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967F9356-0BE7-4BDC-BA3A-3BE51127026C}" xr6:coauthVersionLast="47" xr6:coauthVersionMax="47" xr10:uidLastSave="{00000000-0000-0000-0000-000000000000}"/>
  <bookViews>
    <workbookView xWindow="-110" yWindow="-110" windowWidth="19420" windowHeight="10300" firstSheet="61" activeTab="70" xr2:uid="{00000000-000D-0000-FFFF-FFFF00000000}"/>
  </bookViews>
  <sheets>
    <sheet name="TOC0" sheetId="36" r:id="rId1"/>
    <sheet name="TOC" sheetId="1" r:id="rId2"/>
    <sheet name="Matrix" sheetId="166" r:id="rId3"/>
    <sheet name="Length" sheetId="147" r:id="rId4"/>
    <sheet name="Diag" sheetId="150" r:id="rId5"/>
    <sheet name="Mat Power" sheetId="149" r:id="rId6"/>
    <sheet name="MSUB" sheetId="167" r:id="rId7"/>
    <sheet name="Inverse" sheetId="148" r:id="rId8"/>
    <sheet name="Det 1" sheetId="151" r:id="rId9"/>
    <sheet name="Det 2" sheetId="152" r:id="rId10"/>
    <sheet name="Cramer Rule" sheetId="153" r:id="rId11"/>
    <sheet name="Gauss Elim 1" sheetId="154" r:id="rId12"/>
    <sheet name="Gauss Elim 2" sheetId="155" r:id="rId13"/>
    <sheet name="LinEqSolve" sheetId="156" r:id="rId14"/>
    <sheet name="Newton" sheetId="168" r:id="rId15"/>
    <sheet name="Goal Seek" sheetId="169" r:id="rId16"/>
    <sheet name="NFL" sheetId="170" r:id="rId17"/>
    <sheet name="LUP" sheetId="120" r:id="rId18"/>
    <sheet name="eVAL 1" sheetId="118" r:id="rId19"/>
    <sheet name="eVAL 2" sheetId="119" r:id="rId20"/>
    <sheet name="eVAL 3" sheetId="124" r:id="rId21"/>
    <sheet name="QR 1" sheetId="59" r:id="rId22"/>
    <sheet name="QR 2" sheetId="61" r:id="rId23"/>
    <sheet name="Hess" sheetId="116" r:id="rId24"/>
    <sheet name="Hess 2" sheetId="117" r:id="rId25"/>
    <sheet name="Eigen 1" sheetId="62" r:id="rId26"/>
    <sheet name="Eigen 2" sheetId="70" r:id="rId27"/>
    <sheet name="QR" sheetId="49" r:id="rId28"/>
    <sheet name="QR A" sheetId="106" r:id="rId29"/>
    <sheet name="QR B" sheetId="107" r:id="rId30"/>
    <sheet name="QR C" sheetId="108" r:id="rId31"/>
    <sheet name="Spectral" sheetId="57" r:id="rId32"/>
    <sheet name="SVD" sheetId="58" r:id="rId33"/>
    <sheet name="SVD 2" sheetId="121" r:id="rId34"/>
    <sheet name="PseudoInv" sheetId="122" r:id="rId35"/>
    <sheet name="PseudoInv 1" sheetId="171" r:id="rId36"/>
    <sheet name="PseudoInv 2" sheetId="172" r:id="rId37"/>
    <sheet name="PseudoInv 3" sheetId="173" r:id="rId38"/>
    <sheet name="PseudoInv 4" sheetId="174" r:id="rId39"/>
    <sheet name="PseudoInv 5" sheetId="175" r:id="rId40"/>
    <sheet name="PseudoInv 6" sheetId="176" r:id="rId41"/>
    <sheet name="Matrix 1" sheetId="71" r:id="rId42"/>
    <sheet name="Matrix 2" sheetId="72" r:id="rId43"/>
    <sheet name="Matrix 3" sheetId="123" r:id="rId44"/>
    <sheet name="Par Cor" sheetId="47" r:id="rId45"/>
    <sheet name="SQRT" sheetId="48" r:id="rId46"/>
    <sheet name="Gram" sheetId="56" r:id="rId47"/>
    <sheet name="Cholesky" sheetId="63" r:id="rId48"/>
    <sheet name="Varimax" sheetId="131" r:id="rId49"/>
    <sheet name="Varimax 1" sheetId="132" r:id="rId50"/>
    <sheet name="Graph" sheetId="125" r:id="rId51"/>
    <sheet name="Kruskal" sheetId="126" r:id="rId52"/>
    <sheet name="Kruskal 1" sheetId="127" r:id="rId53"/>
    <sheet name="Prim" sheetId="128" r:id="rId54"/>
    <sheet name="MSTVEctors" sheetId="130" r:id="rId55"/>
    <sheet name="Diagram" sheetId="129" r:id="rId56"/>
    <sheet name="Complex 0" sheetId="133" r:id="rId57"/>
    <sheet name="Complex 1" sheetId="134" r:id="rId58"/>
    <sheet name="Complex 1a" sheetId="135" r:id="rId59"/>
    <sheet name="Complex 2" sheetId="136" r:id="rId60"/>
    <sheet name="Complex 2a" sheetId="137" r:id="rId61"/>
    <sheet name="Spline" sheetId="138" r:id="rId62"/>
    <sheet name="Cubic 1" sheetId="139" r:id="rId63"/>
    <sheet name="Cubic 2" sheetId="140" r:id="rId64"/>
    <sheet name="Roots" sheetId="141" r:id="rId65"/>
    <sheet name="Roots 1" sheetId="142" r:id="rId66"/>
    <sheet name="Roots 2" sheetId="143" r:id="rId67"/>
    <sheet name="Roots A" sheetId="184" r:id="rId68"/>
    <sheet name="Roots B" sheetId="185" r:id="rId69"/>
    <sheet name="Roots C" sheetId="186" r:id="rId70"/>
    <sheet name="Roots D" sheetId="187" r:id="rId71"/>
    <sheet name="MNEWTON" sheetId="188" r:id="rId72"/>
    <sheet name="Markov" sheetId="144" r:id="rId73"/>
    <sheet name="Markov 1" sheetId="145" r:id="rId74"/>
    <sheet name="Prime" sheetId="146" r:id="rId75"/>
    <sheet name="Deriv" sheetId="162" r:id="rId76"/>
    <sheet name="Integ 0" sheetId="163" r:id="rId77"/>
    <sheet name="Integ" sheetId="164" r:id="rId78"/>
    <sheet name="Integ 1" sheetId="165" r:id="rId79"/>
    <sheet name="Surface" sheetId="180" r:id="rId80"/>
    <sheet name="Surface 1" sheetId="177" r:id="rId81"/>
    <sheet name="Surface 2" sheetId="178" r:id="rId82"/>
    <sheet name="Surface 3" sheetId="179" r:id="rId83"/>
    <sheet name="MNEWTON2" sheetId="182" r:id="rId84"/>
    <sheet name="MNEWTON3" sheetId="183" r:id="rId85"/>
    <sheet name="NEWTON2" sheetId="193" r:id="rId86"/>
    <sheet name="F2MIN" sheetId="194" r:id="rId87"/>
    <sheet name="LinEq 1" sheetId="195" r:id="rId88"/>
    <sheet name="LinEq 2" sheetId="196" r:id="rId89"/>
    <sheet name="LinEq 3" sheetId="197" r:id="rId90"/>
    <sheet name="EVal" sheetId="198" r:id="rId91"/>
    <sheet name="Eig A" sheetId="199" r:id="rId92"/>
    <sheet name="Eig B" sheetId="200" r:id="rId93"/>
    <sheet name="Eig C" sheetId="201" r:id="rId94"/>
    <sheet name="Eig D" sheetId="202" r:id="rId95"/>
    <sheet name="Eig E" sheetId="203" r:id="rId96"/>
    <sheet name="Sheet11" sheetId="181" r:id="rId97"/>
  </sheets>
  <externalReferences>
    <externalReference r:id="rId98"/>
  </externalReferences>
  <definedNames>
    <definedName name="solver_adj" localSheetId="16" hidden="1">NFL!$M$1,NFL!$M$3:$M$34</definedName>
    <definedName name="solver_adj" localSheetId="66" hidden="1">'Roots 2'!$B$12:$B$13</definedName>
    <definedName name="solver_cvg" localSheetId="16" hidden="1">0.0001</definedName>
    <definedName name="solver_cvg" localSheetId="66" hidden="1">0.0001</definedName>
    <definedName name="solver_drv" localSheetId="16" hidden="1">2</definedName>
    <definedName name="solver_drv" localSheetId="66" hidden="1">1</definedName>
    <definedName name="solver_eng" localSheetId="16" hidden="1">1</definedName>
    <definedName name="solver_eng" localSheetId="66" hidden="1">1</definedName>
    <definedName name="solver_est" localSheetId="16" hidden="1">1</definedName>
    <definedName name="solver_est" localSheetId="66" hidden="1">1</definedName>
    <definedName name="solver_itr" localSheetId="16" hidden="1">2147483647</definedName>
    <definedName name="solver_itr" localSheetId="66" hidden="1">2147483647</definedName>
    <definedName name="solver_lhs1" localSheetId="16" hidden="1">NFL!$M$36</definedName>
    <definedName name="solver_mip" localSheetId="16" hidden="1">2147483647</definedName>
    <definedName name="solver_mip" localSheetId="66" hidden="1">2147483647</definedName>
    <definedName name="solver_mni" localSheetId="16" hidden="1">30</definedName>
    <definedName name="solver_mni" localSheetId="66" hidden="1">30</definedName>
    <definedName name="solver_mrt" localSheetId="16" hidden="1">0.075</definedName>
    <definedName name="solver_mrt" localSheetId="66" hidden="1">0.075</definedName>
    <definedName name="solver_msl" localSheetId="16" hidden="1">2</definedName>
    <definedName name="solver_msl" localSheetId="66" hidden="1">2</definedName>
    <definedName name="solver_neg" localSheetId="16" hidden="1">2</definedName>
    <definedName name="solver_neg" localSheetId="66" hidden="1">2</definedName>
    <definedName name="solver_nod" localSheetId="16" hidden="1">2147483647</definedName>
    <definedName name="solver_nod" localSheetId="66" hidden="1">2147483647</definedName>
    <definedName name="solver_num" localSheetId="16" hidden="1">1</definedName>
    <definedName name="solver_num" localSheetId="66" hidden="1">0</definedName>
    <definedName name="solver_nwt" localSheetId="16" hidden="1">1</definedName>
    <definedName name="solver_nwt" localSheetId="66" hidden="1">1</definedName>
    <definedName name="solver_opt" localSheetId="16" hidden="1">NFL!$J$2</definedName>
    <definedName name="solver_opt" localSheetId="66" hidden="1">'Roots 2'!$E$12</definedName>
    <definedName name="solver_pre" localSheetId="16" hidden="1">0.000001</definedName>
    <definedName name="solver_pre" localSheetId="66" hidden="1">0.000001</definedName>
    <definedName name="solver_rbv" localSheetId="16" hidden="1">2</definedName>
    <definedName name="solver_rbv" localSheetId="66" hidden="1">1</definedName>
    <definedName name="solver_rel1" localSheetId="16" hidden="1">2</definedName>
    <definedName name="solver_rhs1" localSheetId="16" hidden="1">0</definedName>
    <definedName name="solver_rlx" localSheetId="16" hidden="1">2</definedName>
    <definedName name="solver_rlx" localSheetId="66" hidden="1">2</definedName>
    <definedName name="solver_rsd" localSheetId="16" hidden="1">0</definedName>
    <definedName name="solver_rsd" localSheetId="66" hidden="1">0</definedName>
    <definedName name="solver_scl" localSheetId="16" hidden="1">2</definedName>
    <definedName name="solver_scl" localSheetId="66" hidden="1">1</definedName>
    <definedName name="solver_sho" localSheetId="16" hidden="1">2</definedName>
    <definedName name="solver_sho" localSheetId="66" hidden="1">2</definedName>
    <definedName name="solver_ssz" localSheetId="16" hidden="1">100</definedName>
    <definedName name="solver_ssz" localSheetId="66" hidden="1">100</definedName>
    <definedName name="solver_tim" localSheetId="16" hidden="1">2147483647</definedName>
    <definedName name="solver_tim" localSheetId="66" hidden="1">2147483647</definedName>
    <definedName name="solver_tol" localSheetId="16" hidden="1">0.01</definedName>
    <definedName name="solver_tol" localSheetId="66" hidden="1">0.01</definedName>
    <definedName name="solver_typ" localSheetId="16" hidden="1">2</definedName>
    <definedName name="solver_typ" localSheetId="66" hidden="1">2</definedName>
    <definedName name="solver_val" localSheetId="16" hidden="1">0</definedName>
    <definedName name="solver_val" localSheetId="66" hidden="1">0</definedName>
    <definedName name="solver_ver" localSheetId="16" hidden="1">3</definedName>
    <definedName name="solver_ver" localSheetId="6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203" l="1" a="1"/>
  <c r="I11" i="203" s="1"/>
  <c r="F11" i="203" a="1"/>
  <c r="F11" i="203" s="1"/>
  <c r="I3" i="203" a="1"/>
  <c r="I3" i="203" s="1"/>
  <c r="F3" i="203" a="1"/>
  <c r="F3" i="203" s="1"/>
  <c r="M20" i="202" a="1"/>
  <c r="M20" i="202" s="1"/>
  <c r="H13" i="202" a="1"/>
  <c r="H13" i="202" s="1"/>
  <c r="M11" i="202" a="1"/>
  <c r="M11" i="202" s="1"/>
  <c r="M3" i="202" a="1"/>
  <c r="M3" i="202" s="1"/>
  <c r="H3" i="202" a="1"/>
  <c r="H3" i="202" s="1"/>
  <c r="M11" i="201" a="1"/>
  <c r="M11" i="201" s="1"/>
  <c r="M3" i="201" a="1"/>
  <c r="M3" i="201" s="1"/>
  <c r="H3" i="201" a="1"/>
  <c r="H3" i="201" s="1"/>
  <c r="M20" i="200" a="1"/>
  <c r="M20" i="200" s="1"/>
  <c r="H13" i="200" a="1"/>
  <c r="H13" i="200" s="1"/>
  <c r="M11" i="200" a="1"/>
  <c r="M11" i="200" s="1"/>
  <c r="M3" i="200" a="1"/>
  <c r="M3" i="200" s="1"/>
  <c r="H3" i="200" a="1"/>
  <c r="H3" i="200" s="1"/>
  <c r="H13" i="199" a="1"/>
  <c r="H13" i="199" s="1"/>
  <c r="M11" i="199" a="1"/>
  <c r="M11" i="199" s="1"/>
  <c r="M3" i="199" a="1"/>
  <c r="M3" i="199" s="1"/>
  <c r="H3" i="199" a="1"/>
  <c r="H3" i="199" s="1"/>
  <c r="G9" i="198" a="1"/>
  <c r="G9" i="198" s="1"/>
  <c r="G8" i="198" a="1"/>
  <c r="G8" i="198" s="1"/>
  <c r="G4" i="198" a="1"/>
  <c r="G4" i="198" s="1"/>
  <c r="G3" i="198" a="1"/>
  <c r="G3" i="198" s="1"/>
  <c r="R9" i="197" a="1"/>
  <c r="R9" i="197" s="1"/>
  <c r="O7" i="197" a="1"/>
  <c r="O7" i="197" s="1"/>
  <c r="G3" i="197" a="1"/>
  <c r="G3" i="197" s="1"/>
  <c r="R7" i="197" s="1" a="1"/>
  <c r="R7" i="197" s="1"/>
  <c r="S15" i="196" a="1"/>
  <c r="S15" i="196" s="1"/>
  <c r="U6" i="196" a="1"/>
  <c r="U6" i="196" s="1"/>
  <c r="T6" i="196" a="1"/>
  <c r="T6" i="196" s="1"/>
  <c r="S6" i="196"/>
  <c r="S6" i="196" a="1"/>
  <c r="O6" i="196" a="1"/>
  <c r="O6" i="196" s="1"/>
  <c r="G3" i="196" a="1"/>
  <c r="G3" i="196" s="1"/>
  <c r="S11" i="196" s="1" a="1"/>
  <c r="S11" i="196" s="1"/>
  <c r="Q13" i="195" a="1"/>
  <c r="Q13" i="195" s="1"/>
  <c r="Q7" i="195" a="1"/>
  <c r="Q7" i="195" s="1"/>
  <c r="O7" i="195" a="1"/>
  <c r="O7" i="195" s="1"/>
  <c r="G3" i="195" a="1"/>
  <c r="G3" i="195" s="1"/>
  <c r="S7" i="195" s="1" a="1"/>
  <c r="S7" i="195" s="1"/>
  <c r="E18" i="194" a="1"/>
  <c r="E18" i="194" s="1"/>
  <c r="E17" i="194" a="1"/>
  <c r="E17" i="194" s="1"/>
  <c r="E16" i="194" a="1"/>
  <c r="E16" i="194" s="1"/>
  <c r="E15" i="194" a="1"/>
  <c r="E15" i="194" s="1"/>
  <c r="E14" i="194" a="1"/>
  <c r="E14" i="194" s="1"/>
  <c r="I13" i="194" a="1"/>
  <c r="I13" i="194" s="1"/>
  <c r="E13" i="194" a="1"/>
  <c r="E13" i="194" s="1"/>
  <c r="E10" i="194" a="1"/>
  <c r="E10" i="194" s="1"/>
  <c r="E9" i="194" a="1"/>
  <c r="E9" i="194" s="1"/>
  <c r="E8" i="194" a="1"/>
  <c r="E8" i="194" s="1"/>
  <c r="E7" i="194" a="1"/>
  <c r="E7" i="194" s="1"/>
  <c r="E6" i="194" a="1"/>
  <c r="E6" i="194" s="1"/>
  <c r="I5" i="194" a="1"/>
  <c r="I5" i="194" s="1"/>
  <c r="E5" i="194" a="1"/>
  <c r="E5" i="194" s="1"/>
  <c r="I2" i="194" a="1"/>
  <c r="I2" i="194" s="1"/>
  <c r="C9" i="193" a="1"/>
  <c r="C9" i="193" s="1"/>
  <c r="C8" i="193" a="1"/>
  <c r="C8" i="193" s="1"/>
  <c r="C7" i="193" a="1"/>
  <c r="C7" i="193" s="1"/>
  <c r="C6" i="193" a="1"/>
  <c r="C6" i="193" s="1"/>
  <c r="H5" i="193" a="1"/>
  <c r="H5" i="193" s="1"/>
  <c r="C5" i="193" a="1"/>
  <c r="C5" i="193" s="1"/>
  <c r="H2" i="193" a="1"/>
  <c r="H2" i="193" s="1"/>
  <c r="H1" i="193" a="1"/>
  <c r="H1" i="193" s="1"/>
  <c r="G19" i="183" a="1"/>
  <c r="G19" i="183" s="1"/>
  <c r="G16" i="183" a="1"/>
  <c r="G16" i="183" s="1"/>
  <c r="G13" i="183" a="1"/>
  <c r="G13" i="183" s="1"/>
  <c r="G10" i="183" a="1"/>
  <c r="G10" i="183" s="1"/>
  <c r="G5" i="183" a="1"/>
  <c r="G5" i="183" s="1"/>
  <c r="G2" i="183" a="1"/>
  <c r="G2" i="183" s="1"/>
  <c r="F42" i="182" a="1"/>
  <c r="F42" i="182" s="1"/>
  <c r="F40" i="182" a="1"/>
  <c r="F40" i="182" s="1"/>
  <c r="F36" i="182" a="1"/>
  <c r="F36" i="182" s="1"/>
  <c r="F34" i="182" a="1"/>
  <c r="F34" i="182" s="1"/>
  <c r="F32" i="182" a="1"/>
  <c r="F32" i="182" s="1"/>
  <c r="F28" i="182" a="1"/>
  <c r="F28" i="182" s="1"/>
  <c r="F26" i="182" a="1"/>
  <c r="F26" i="182" s="1"/>
  <c r="F24" i="182" a="1"/>
  <c r="F24" i="182" s="1"/>
  <c r="F20" i="182" a="1"/>
  <c r="F20" i="182" s="1"/>
  <c r="F18" i="182" a="1"/>
  <c r="F18" i="182" s="1"/>
  <c r="F14" i="182" a="1"/>
  <c r="F14" i="182" s="1"/>
  <c r="F12" i="182" a="1"/>
  <c r="F12" i="182" s="1"/>
  <c r="F10" i="182" a="1"/>
  <c r="F10" i="182" s="1"/>
  <c r="F6" i="182" a="1"/>
  <c r="F6" i="182" s="1"/>
  <c r="F4" i="182" a="1"/>
  <c r="F4" i="182" s="1"/>
  <c r="F2" i="182" a="1"/>
  <c r="F2" i="182" s="1"/>
  <c r="A4" i="179" a="1"/>
  <c r="A4" i="179" s="1"/>
  <c r="E2" i="179" a="1"/>
  <c r="E2" i="179" s="1"/>
  <c r="A4" i="178" a="1"/>
  <c r="A4" i="178" s="1"/>
  <c r="A4" i="177" a="1"/>
  <c r="A4" i="177" s="1"/>
  <c r="I13" i="165" a="1"/>
  <c r="I13" i="165" s="1"/>
  <c r="N10" i="165" a="1"/>
  <c r="N10" i="165" s="1"/>
  <c r="L10" i="165" a="1"/>
  <c r="L10" i="165" s="1"/>
  <c r="D10" i="165" a="1"/>
  <c r="D10" i="165" s="1"/>
  <c r="B10" i="165" a="1"/>
  <c r="B10" i="165" s="1"/>
  <c r="N9" i="165" a="1"/>
  <c r="N9" i="165" s="1"/>
  <c r="L9" i="165" a="1"/>
  <c r="L9" i="165" s="1"/>
  <c r="D9" i="165" a="1"/>
  <c r="D9" i="165" s="1"/>
  <c r="B9" i="165" a="1"/>
  <c r="B9" i="165" s="1"/>
  <c r="N8" i="165" a="1"/>
  <c r="N8" i="165" s="1"/>
  <c r="D7" i="165" a="1"/>
  <c r="D7" i="165" s="1"/>
  <c r="D6" i="165" a="1"/>
  <c r="D6" i="165" s="1"/>
  <c r="N5" i="165" a="1"/>
  <c r="N5" i="165" s="1"/>
  <c r="N4" i="165" a="1"/>
  <c r="N4" i="165" s="1"/>
  <c r="N3" i="165" a="1"/>
  <c r="N3" i="165" s="1"/>
  <c r="I3" i="165" a="1"/>
  <c r="I3" i="165" s="1"/>
  <c r="D43" i="164" a="1"/>
  <c r="D43" i="164" s="1"/>
  <c r="B43" i="164" a="1"/>
  <c r="B43" i="164" s="1"/>
  <c r="D42" i="164" a="1"/>
  <c r="D42" i="164" s="1"/>
  <c r="B42" i="164" a="1"/>
  <c r="B42" i="164" s="1"/>
  <c r="D41" i="164" a="1"/>
  <c r="D41" i="164" s="1"/>
  <c r="D39" i="164" a="1"/>
  <c r="D39" i="164" s="1"/>
  <c r="B39" i="164" a="1"/>
  <c r="B39" i="164" s="1"/>
  <c r="D38" i="164" a="1"/>
  <c r="D38" i="164" s="1"/>
  <c r="B38" i="164" a="1"/>
  <c r="B38" i="164" s="1"/>
  <c r="D37" i="164" a="1"/>
  <c r="D37" i="164" s="1"/>
  <c r="D35" i="164" a="1"/>
  <c r="D35" i="164" s="1"/>
  <c r="B35" i="164" a="1"/>
  <c r="B35" i="164" s="1"/>
  <c r="D34" i="164" a="1"/>
  <c r="D34" i="164" s="1"/>
  <c r="B34" i="164" a="1"/>
  <c r="B34" i="164" s="1"/>
  <c r="D33" i="164" a="1"/>
  <c r="D33" i="164" s="1"/>
  <c r="D31" i="164" a="1"/>
  <c r="D31" i="164" s="1"/>
  <c r="B31" i="164" a="1"/>
  <c r="B31" i="164" s="1"/>
  <c r="D30" i="164" a="1"/>
  <c r="D30" i="164" s="1"/>
  <c r="B30" i="164" a="1"/>
  <c r="B30" i="164" s="1"/>
  <c r="D29" i="164" a="1"/>
  <c r="D29" i="164" s="1"/>
  <c r="D27" i="164" a="1"/>
  <c r="D27" i="164" s="1"/>
  <c r="B27" i="164" a="1"/>
  <c r="B27" i="164" s="1"/>
  <c r="D26" i="164" a="1"/>
  <c r="D26" i="164" s="1"/>
  <c r="B26" i="164" a="1"/>
  <c r="B26" i="164" s="1"/>
  <c r="D25" i="164" a="1"/>
  <c r="D25" i="164" s="1"/>
  <c r="D23" i="164" a="1"/>
  <c r="D23" i="164" s="1"/>
  <c r="B23" i="164" a="1"/>
  <c r="B23" i="164" s="1"/>
  <c r="D22" i="164" a="1"/>
  <c r="D22" i="164" s="1"/>
  <c r="B22" i="164" a="1"/>
  <c r="B22" i="164" s="1"/>
  <c r="D21" i="164" a="1"/>
  <c r="D21" i="164" s="1"/>
  <c r="D19" i="164" a="1"/>
  <c r="D19" i="164" s="1"/>
  <c r="B19" i="164" a="1"/>
  <c r="B19" i="164" s="1"/>
  <c r="D18" i="164" a="1"/>
  <c r="D18" i="164" s="1"/>
  <c r="B18" i="164" a="1"/>
  <c r="B18" i="164" s="1"/>
  <c r="D17" i="164" a="1"/>
  <c r="D17" i="164" s="1"/>
  <c r="D15" i="164" a="1"/>
  <c r="D15" i="164" s="1"/>
  <c r="B15" i="164" a="1"/>
  <c r="B15" i="164" s="1"/>
  <c r="D14" i="164" a="1"/>
  <c r="D14" i="164" s="1"/>
  <c r="B14" i="164" a="1"/>
  <c r="B14" i="164" s="1"/>
  <c r="D13" i="164" a="1"/>
  <c r="D13" i="164" s="1"/>
  <c r="D11" i="164" a="1"/>
  <c r="D11" i="164" s="1"/>
  <c r="B11" i="164" a="1"/>
  <c r="B11" i="164" s="1"/>
  <c r="D10" i="164" a="1"/>
  <c r="D10" i="164" s="1"/>
  <c r="B10" i="164" a="1"/>
  <c r="B10" i="164" s="1"/>
  <c r="D8" i="164" a="1"/>
  <c r="D8" i="164" s="1"/>
  <c r="B8" i="164" a="1"/>
  <c r="B8" i="164" s="1"/>
  <c r="D7" i="164" a="1"/>
  <c r="D7" i="164" s="1"/>
  <c r="D6" i="164" a="1"/>
  <c r="D6" i="164" s="1"/>
  <c r="D5" i="164" a="1"/>
  <c r="D5" i="164" s="1"/>
  <c r="D3" i="164" a="1"/>
  <c r="D3" i="164" s="1"/>
  <c r="B3" i="164" a="1"/>
  <c r="B3" i="164" s="1"/>
  <c r="D2" i="164" a="1"/>
  <c r="D2" i="164" s="1"/>
  <c r="D12" i="163" a="1"/>
  <c r="D12" i="163" s="1"/>
  <c r="B12" i="163" a="1"/>
  <c r="B12" i="163" s="1"/>
  <c r="D11" i="163" a="1"/>
  <c r="D11" i="163" s="1"/>
  <c r="B11" i="163" a="1"/>
  <c r="B11" i="163" s="1"/>
  <c r="D9" i="163" a="1"/>
  <c r="D9" i="163" s="1"/>
  <c r="D8" i="163" a="1"/>
  <c r="D8" i="163" s="1"/>
  <c r="D7" i="163" a="1"/>
  <c r="D7" i="163" s="1"/>
  <c r="D6" i="163" a="1"/>
  <c r="D6" i="163" s="1"/>
  <c r="D5" i="163" a="1"/>
  <c r="D5" i="163" s="1"/>
  <c r="D18" i="162" a="1"/>
  <c r="D18" i="162" s="1"/>
  <c r="B18" i="162" a="1"/>
  <c r="B18" i="162" s="1"/>
  <c r="D16" i="162" a="1"/>
  <c r="D16" i="162" s="1"/>
  <c r="D15" i="162" a="1"/>
  <c r="D15" i="162" s="1"/>
  <c r="D9" i="162" a="1"/>
  <c r="D9" i="162" s="1"/>
  <c r="B9" i="162" a="1"/>
  <c r="B9" i="162" s="1"/>
  <c r="D8" i="162" a="1"/>
  <c r="D8" i="162" s="1"/>
  <c r="B8" i="162" a="1"/>
  <c r="B8" i="162" s="1"/>
  <c r="D6" i="162" a="1"/>
  <c r="D6" i="162" s="1"/>
  <c r="D5" i="162" a="1"/>
  <c r="D5" i="162" s="1"/>
  <c r="H20" i="146" a="1"/>
  <c r="H20" i="146" s="1"/>
  <c r="F20" i="146" a="1"/>
  <c r="F20" i="146" s="1"/>
  <c r="H19" i="146" a="1"/>
  <c r="H19" i="146" s="1"/>
  <c r="F19" i="146" a="1"/>
  <c r="F19" i="146" s="1"/>
  <c r="H17" i="146" a="1"/>
  <c r="H17" i="146" s="1"/>
  <c r="F17" i="146" a="1"/>
  <c r="F17" i="146" s="1"/>
  <c r="H10" i="146" a="1"/>
  <c r="H10" i="146" s="1"/>
  <c r="F10" i="146" a="1"/>
  <c r="F11" i="146" s="1"/>
  <c r="H6" i="146" a="1"/>
  <c r="H6" i="146" s="1"/>
  <c r="F6" i="146" a="1"/>
  <c r="F6" i="146" s="1"/>
  <c r="H5" i="146" a="1"/>
  <c r="H5" i="146" s="1"/>
  <c r="F5" i="146" a="1"/>
  <c r="F5" i="146" s="1"/>
  <c r="H3" i="146" a="1"/>
  <c r="H3" i="146" s="1"/>
  <c r="F3" i="146" a="1"/>
  <c r="F3" i="146" s="1"/>
  <c r="D3" i="146" a="1"/>
  <c r="D3" i="146" s="1"/>
  <c r="B36" i="146"/>
  <c r="B3" i="146" a="1"/>
  <c r="B96" i="146" s="1"/>
  <c r="X16" i="145"/>
  <c r="T12" i="145" a="1"/>
  <c r="Y16" i="145" s="1"/>
  <c r="J12" i="145" a="1"/>
  <c r="T4" i="145" a="1"/>
  <c r="U9" i="145" s="1"/>
  <c r="J4" i="145" a="1"/>
  <c r="O8" i="145" s="1"/>
  <c r="R34" i="144"/>
  <c r="R26" i="144" a="1"/>
  <c r="W32" i="144" s="1"/>
  <c r="M14" i="188" a="1"/>
  <c r="M14" i="188" s="1"/>
  <c r="M13" i="188" a="1"/>
  <c r="M13" i="188" s="1"/>
  <c r="M12" i="188" a="1"/>
  <c r="M12" i="188" s="1"/>
  <c r="O7" i="188" a="1"/>
  <c r="O7" i="188" s="1"/>
  <c r="N7" i="188" a="1"/>
  <c r="N7" i="188" s="1"/>
  <c r="M7" i="188" a="1"/>
  <c r="M7" i="188" s="1"/>
  <c r="N22" i="186" a="1"/>
  <c r="N22" i="186" s="1"/>
  <c r="M22" i="186" a="1"/>
  <c r="M22" i="186" s="1"/>
  <c r="L22" i="186" a="1"/>
  <c r="L22" i="186" s="1"/>
  <c r="V16" i="186" a="1"/>
  <c r="V16" i="186" s="1"/>
  <c r="U16" i="186" a="1"/>
  <c r="U16" i="186" s="1"/>
  <c r="T16" i="186" a="1"/>
  <c r="T16" i="186" s="1"/>
  <c r="S16" i="186"/>
  <c r="S16" i="186" a="1"/>
  <c r="O16" i="186" a="1"/>
  <c r="O16" i="186" s="1"/>
  <c r="N16" i="186" a="1"/>
  <c r="N16" i="186" s="1"/>
  <c r="M16" i="186" a="1"/>
  <c r="M16" i="186" s="1"/>
  <c r="L16" i="186" a="1"/>
  <c r="L16" i="186" s="1"/>
  <c r="P11" i="186" a="1"/>
  <c r="P11" i="186" s="1"/>
  <c r="O11" i="186" a="1"/>
  <c r="O11" i="186" s="1"/>
  <c r="N11" i="186" a="1"/>
  <c r="N11" i="186" s="1"/>
  <c r="M11" i="186" a="1"/>
  <c r="M11" i="186" s="1"/>
  <c r="L11" i="186" a="1"/>
  <c r="L11" i="186" s="1"/>
  <c r="N5" i="186" a="1"/>
  <c r="N5" i="186" s="1"/>
  <c r="M5" i="186" a="1"/>
  <c r="M5" i="186" s="1"/>
  <c r="L5" i="186" a="1"/>
  <c r="L5" i="186" s="1"/>
  <c r="R3" i="186" a="1"/>
  <c r="R3" i="186" s="1"/>
  <c r="O29" i="185" a="1"/>
  <c r="O29" i="185" s="1"/>
  <c r="N29" i="185" a="1"/>
  <c r="N29" i="185" s="1"/>
  <c r="M29" i="185" a="1"/>
  <c r="M29" i="185" s="1"/>
  <c r="O27" i="185" a="1"/>
  <c r="O27" i="185" s="1"/>
  <c r="N27" i="185" a="1"/>
  <c r="N27" i="185" s="1"/>
  <c r="M27" i="185" a="1"/>
  <c r="M27" i="185" s="1"/>
  <c r="Q21" i="185" a="1"/>
  <c r="Q21" i="185" s="1"/>
  <c r="P21" i="185" a="1"/>
  <c r="P21" i="185" s="1"/>
  <c r="O21" i="185" a="1"/>
  <c r="O21" i="185" s="1"/>
  <c r="N21" i="185" a="1"/>
  <c r="N21" i="185" s="1"/>
  <c r="M21" i="185" a="1"/>
  <c r="M21" i="185" s="1"/>
  <c r="Q15" i="185" a="1"/>
  <c r="Q15" i="185" s="1"/>
  <c r="P15" i="185" a="1"/>
  <c r="P15" i="185" s="1"/>
  <c r="O15" i="185" a="1"/>
  <c r="O15" i="185" s="1"/>
  <c r="N15" i="185" a="1"/>
  <c r="N15" i="185" s="1"/>
  <c r="M15" i="185" a="1"/>
  <c r="M15" i="185" s="1"/>
  <c r="W12" i="185" a="1"/>
  <c r="W12" i="185" s="1"/>
  <c r="W11" i="185" a="1"/>
  <c r="W11" i="185" s="1"/>
  <c r="W10" i="185" a="1"/>
  <c r="W10" i="185" s="1"/>
  <c r="Q10" i="185" a="1"/>
  <c r="Q10" i="185" s="1"/>
  <c r="P10" i="185" a="1"/>
  <c r="P10" i="185" s="1"/>
  <c r="O10" i="185" a="1"/>
  <c r="O10" i="185" s="1"/>
  <c r="N10" i="185" a="1"/>
  <c r="N10" i="185" s="1"/>
  <c r="M10" i="185" a="1"/>
  <c r="M10" i="185" s="1"/>
  <c r="W9" i="185"/>
  <c r="W9" i="185" a="1"/>
  <c r="S9" i="185" a="1"/>
  <c r="S9" i="185" s="1"/>
  <c r="P5" i="185" a="1"/>
  <c r="P5" i="185" s="1"/>
  <c r="O5" i="185" a="1"/>
  <c r="O5" i="185" s="1"/>
  <c r="N5" i="185" a="1"/>
  <c r="N5" i="185" s="1"/>
  <c r="M5" i="185" a="1"/>
  <c r="M5" i="185" s="1"/>
  <c r="W4" i="185" a="1"/>
  <c r="W4" i="185" s="1"/>
  <c r="W3" i="185" a="1"/>
  <c r="W3" i="185" s="1"/>
  <c r="S3" i="185" a="1"/>
  <c r="S3" i="185" s="1"/>
  <c r="M3" i="184" a="1"/>
  <c r="M3" i="184" s="1"/>
  <c r="P6" i="141" a="1"/>
  <c r="J6" i="141" a="1"/>
  <c r="D8" i="141"/>
  <c r="D6" i="141" a="1"/>
  <c r="E9" i="141" s="1"/>
  <c r="J16" i="140"/>
  <c r="J19" i="140" s="1" a="1"/>
  <c r="J15" i="140"/>
  <c r="J18" i="140" s="1" a="1"/>
  <c r="J15" i="140" a="1"/>
  <c r="K15" i="140" s="1"/>
  <c r="F15" i="140" a="1"/>
  <c r="F15" i="140" s="1"/>
  <c r="F18" i="140" s="1" a="1"/>
  <c r="G18" i="140" s="1"/>
  <c r="B15" i="140" a="1"/>
  <c r="B17" i="140" s="1"/>
  <c r="B20" i="140" s="1" a="1"/>
  <c r="E24" i="139"/>
  <c r="D24" i="139"/>
  <c r="E23" i="139"/>
  <c r="D23" i="139"/>
  <c r="D20" i="139"/>
  <c r="D19" i="139"/>
  <c r="D18" i="139"/>
  <c r="D17" i="139"/>
  <c r="D16" i="139"/>
  <c r="D15" i="139"/>
  <c r="D14" i="139"/>
  <c r="D11" i="139"/>
  <c r="D10" i="139"/>
  <c r="D9" i="139"/>
  <c r="D8" i="139"/>
  <c r="D7" i="139"/>
  <c r="J5" i="139" a="1"/>
  <c r="J4" i="139" a="1"/>
  <c r="K4" i="139" s="1"/>
  <c r="N4" i="138" a="1"/>
  <c r="O14" i="138" s="1"/>
  <c r="E4" i="138" a="1"/>
  <c r="E11" i="138" s="1"/>
  <c r="O11" i="137" a="1"/>
  <c r="O11" i="137" s="1"/>
  <c r="K11" i="137" a="1"/>
  <c r="K11" i="137" s="1"/>
  <c r="I10" i="137"/>
  <c r="F10" i="137"/>
  <c r="O8" i="137"/>
  <c r="K8" i="137" a="1"/>
  <c r="L8" i="137" s="1"/>
  <c r="I6" i="137"/>
  <c r="G6" i="137"/>
  <c r="F6" i="137" a="1"/>
  <c r="O5" i="137"/>
  <c r="K5" i="137" a="1"/>
  <c r="L6" i="137" s="1"/>
  <c r="O3" i="137"/>
  <c r="M3" i="137"/>
  <c r="K3" i="137"/>
  <c r="K3" i="137" a="1"/>
  <c r="L3" i="137" s="1"/>
  <c r="I3" i="137"/>
  <c r="F3" i="137" a="1"/>
  <c r="U24" i="136"/>
  <c r="P24" i="136" a="1"/>
  <c r="Q24" i="136" s="1"/>
  <c r="U21" i="136"/>
  <c r="S21" i="136"/>
  <c r="P21" i="136" a="1"/>
  <c r="S22" i="136" s="1"/>
  <c r="U18" i="136"/>
  <c r="P18" i="136" a="1"/>
  <c r="Q18" i="136" s="1"/>
  <c r="M17" i="136"/>
  <c r="H17" i="136" a="1"/>
  <c r="I17" i="136" s="1"/>
  <c r="U15" i="136"/>
  <c r="M15" i="136"/>
  <c r="H15" i="136" a="1"/>
  <c r="U12" i="136"/>
  <c r="P12" i="136" a="1"/>
  <c r="R13" i="136" s="1"/>
  <c r="M12" i="136"/>
  <c r="H12" i="136" a="1"/>
  <c r="K13" i="136" s="1"/>
  <c r="U9" i="136"/>
  <c r="P9" i="136" a="1"/>
  <c r="S10" i="136" s="1"/>
  <c r="M9" i="136"/>
  <c r="H9" i="136" a="1"/>
  <c r="K9" i="136" s="1"/>
  <c r="U6" i="136"/>
  <c r="Q6" i="136"/>
  <c r="P6" i="136" a="1"/>
  <c r="R7" i="136" s="1"/>
  <c r="M6" i="136"/>
  <c r="H6" i="136" a="1"/>
  <c r="H6" i="136" s="1"/>
  <c r="U3" i="136"/>
  <c r="P3" i="136" a="1"/>
  <c r="S4" i="136" s="1"/>
  <c r="M3" i="136"/>
  <c r="I4" i="136"/>
  <c r="H3" i="136" a="1"/>
  <c r="K4" i="136" s="1"/>
  <c r="K7" i="135"/>
  <c r="H7" i="135" a="1"/>
  <c r="I9" i="135" s="1"/>
  <c r="E7" i="135" a="1"/>
  <c r="E7" i="135" s="1"/>
  <c r="C9" i="135"/>
  <c r="B7" i="135" a="1"/>
  <c r="C8" i="135" s="1"/>
  <c r="K6" i="135"/>
  <c r="K5" i="135"/>
  <c r="H5" i="135" a="1"/>
  <c r="I5" i="135" s="1"/>
  <c r="E5" i="135"/>
  <c r="E5" i="135" a="1"/>
  <c r="F5" i="135" s="1"/>
  <c r="B5" i="135" a="1"/>
  <c r="K4" i="135"/>
  <c r="H4" i="135" a="1"/>
  <c r="I4" i="135" s="1"/>
  <c r="E4" i="135" a="1"/>
  <c r="B4" i="135" a="1"/>
  <c r="B4" i="135" s="1"/>
  <c r="I21" i="134"/>
  <c r="G21" i="134"/>
  <c r="F21" i="134" a="1"/>
  <c r="F21" i="134" s="1"/>
  <c r="N19" i="134"/>
  <c r="K19" i="134"/>
  <c r="I19" i="134"/>
  <c r="F19" i="134" a="1"/>
  <c r="F19" i="134" s="1"/>
  <c r="N17" i="134"/>
  <c r="K17" i="134"/>
  <c r="K17" i="134" a="1"/>
  <c r="L17" i="134" s="1"/>
  <c r="I17" i="134"/>
  <c r="F17" i="134" a="1"/>
  <c r="F17" i="134" s="1"/>
  <c r="N15" i="134"/>
  <c r="K15" i="134" a="1"/>
  <c r="L15" i="134" s="1"/>
  <c r="I15" i="134"/>
  <c r="F15" i="134" a="1"/>
  <c r="G15" i="134" s="1"/>
  <c r="N13" i="134"/>
  <c r="K13" i="134"/>
  <c r="I13" i="134"/>
  <c r="F13" i="134" a="1"/>
  <c r="G13" i="134" s="1"/>
  <c r="N11" i="134"/>
  <c r="I11" i="134"/>
  <c r="F11" i="134" a="1"/>
  <c r="N9" i="134"/>
  <c r="L9" i="134"/>
  <c r="K9" i="134" a="1"/>
  <c r="K9" i="134" s="1"/>
  <c r="I9" i="134"/>
  <c r="F9" i="134" a="1"/>
  <c r="N7" i="134"/>
  <c r="K7" i="134"/>
  <c r="I7" i="134"/>
  <c r="F7" i="134" a="1"/>
  <c r="G7" i="134" s="1"/>
  <c r="N5" i="134"/>
  <c r="K5" i="134"/>
  <c r="I5" i="134"/>
  <c r="G5" i="134"/>
  <c r="F5" i="134" a="1"/>
  <c r="F5" i="134" s="1"/>
  <c r="N3" i="134"/>
  <c r="K3" i="134"/>
  <c r="I3" i="134"/>
  <c r="F3" i="134" a="1"/>
  <c r="G3" i="134" s="1"/>
  <c r="G17" i="133"/>
  <c r="K15" i="133"/>
  <c r="G15" i="133"/>
  <c r="K13" i="133"/>
  <c r="G13" i="133"/>
  <c r="K11" i="133"/>
  <c r="G11" i="133"/>
  <c r="K9" i="133"/>
  <c r="G9" i="133"/>
  <c r="K7" i="133"/>
  <c r="G7" i="133"/>
  <c r="K5" i="133"/>
  <c r="G5" i="133"/>
  <c r="K3" i="133"/>
  <c r="G3" i="133"/>
  <c r="I15" i="130" a="1"/>
  <c r="I15" i="130" s="1"/>
  <c r="E15" i="130" a="1"/>
  <c r="E15" i="130" s="1"/>
  <c r="I4" i="130" a="1"/>
  <c r="I4" i="130" s="1"/>
  <c r="E4" i="130" a="1"/>
  <c r="E4" i="130" s="1"/>
  <c r="AN6" i="128" a="1"/>
  <c r="AN6" i="128" s="1"/>
  <c r="BE6" i="127" a="1"/>
  <c r="BE6" i="127" s="1"/>
  <c r="E4" i="127" a="1"/>
  <c r="E4" i="127" s="1"/>
  <c r="BQ6" i="126" a="1"/>
  <c r="BQ6" i="126" s="1"/>
  <c r="E4" i="126" a="1"/>
  <c r="E4" i="126" s="1"/>
  <c r="I4" i="125" a="1"/>
  <c r="I4" i="125" s="1"/>
  <c r="E4" i="125" a="1"/>
  <c r="E4" i="125" s="1"/>
  <c r="AI15" i="132" a="1"/>
  <c r="AJ23" i="132" s="1"/>
  <c r="V15" i="132" a="1"/>
  <c r="AA23" i="132" s="1"/>
  <c r="AP4" i="132" a="1"/>
  <c r="AR11" i="132" s="1"/>
  <c r="AI15" i="131" a="1"/>
  <c r="AI23" i="131" s="1"/>
  <c r="V15" i="131" a="1"/>
  <c r="AC22" i="131" s="1"/>
  <c r="AQ6" i="131"/>
  <c r="AP4" i="131" a="1"/>
  <c r="AU11" i="131" s="1"/>
  <c r="A23" i="63" a="1"/>
  <c r="B25" i="63" s="1"/>
  <c r="U10" i="56" a="1"/>
  <c r="X11" i="56" s="1"/>
  <c r="A10" i="56" a="1"/>
  <c r="I9" i="48" a="1"/>
  <c r="I11" i="48" s="1"/>
  <c r="F9" i="48"/>
  <c r="E9" i="48" a="1"/>
  <c r="F11" i="48" s="1"/>
  <c r="A9" i="48" a="1"/>
  <c r="C11" i="48" s="1"/>
  <c r="F15" i="47"/>
  <c r="F13" i="47" a="1"/>
  <c r="F13" i="47" s="1"/>
  <c r="B20" i="47" s="1" a="1"/>
  <c r="B20" i="47" s="1"/>
  <c r="F178" i="123"/>
  <c r="H176" i="123"/>
  <c r="F175" i="123"/>
  <c r="E175" i="123" a="1"/>
  <c r="F177" i="123" s="1"/>
  <c r="E163" i="123" a="1"/>
  <c r="G165" i="123" s="1"/>
  <c r="E157" i="123" a="1"/>
  <c r="F157" i="123" s="1"/>
  <c r="E151" i="123" a="1"/>
  <c r="E139" i="123" a="1"/>
  <c r="E133" i="123" a="1"/>
  <c r="E134" i="123" s="1"/>
  <c r="E115" i="123" a="1"/>
  <c r="G115" i="123" s="1"/>
  <c r="E103" i="123" a="1"/>
  <c r="E97" i="123" a="1"/>
  <c r="F99" i="123" s="1"/>
  <c r="E91" i="123" a="1"/>
  <c r="E81" i="123"/>
  <c r="G80" i="123"/>
  <c r="E79" i="123" a="1"/>
  <c r="G81" i="123" s="1"/>
  <c r="E73" i="123" a="1"/>
  <c r="F75" i="123" s="1"/>
  <c r="E61" i="123" a="1"/>
  <c r="G62" i="123" s="1"/>
  <c r="E55" i="123" a="1"/>
  <c r="G57" i="123" s="1"/>
  <c r="G50" i="123"/>
  <c r="E50" i="123"/>
  <c r="E45" i="123" a="1"/>
  <c r="F49" i="123" s="1"/>
  <c r="E41" i="123"/>
  <c r="F40" i="123"/>
  <c r="E40" i="123"/>
  <c r="E39" i="123" a="1"/>
  <c r="G39" i="123" s="1"/>
  <c r="E35" i="123" a="1"/>
  <c r="F35" i="123" s="1"/>
  <c r="E29" i="123" a="1"/>
  <c r="F31" i="123" s="1"/>
  <c r="E23" i="123" a="1"/>
  <c r="E17" i="123" a="1"/>
  <c r="K17" i="72" a="1"/>
  <c r="M20" i="72" s="1"/>
  <c r="F13" i="72" a="1"/>
  <c r="K10" i="72" a="1"/>
  <c r="P3" i="72" a="1"/>
  <c r="N3" i="72"/>
  <c r="M3" i="72"/>
  <c r="L3" i="72"/>
  <c r="K3" i="72" a="1"/>
  <c r="N6" i="72" s="1"/>
  <c r="F3" i="72" a="1"/>
  <c r="I8" i="72" s="1"/>
  <c r="U17" i="71" a="1"/>
  <c r="I19" i="71"/>
  <c r="F19" i="71"/>
  <c r="I17" i="71"/>
  <c r="H16" i="71"/>
  <c r="F15" i="71"/>
  <c r="G14" i="71"/>
  <c r="F14" i="71"/>
  <c r="F13" i="71" a="1"/>
  <c r="G19" i="71" s="1"/>
  <c r="U10" i="71" a="1"/>
  <c r="X13" i="71" s="1"/>
  <c r="P10" i="71" a="1"/>
  <c r="S13" i="71" s="1"/>
  <c r="K10" i="71" a="1"/>
  <c r="Z3" i="71" a="1"/>
  <c r="V3" i="71"/>
  <c r="U3" i="71" a="1"/>
  <c r="X6" i="71" s="1"/>
  <c r="P3" i="71" a="1"/>
  <c r="S6" i="71" s="1"/>
  <c r="F3" i="71" a="1"/>
  <c r="R9" i="176" a="1"/>
  <c r="R9" i="176" s="1"/>
  <c r="J9" i="176" a="1"/>
  <c r="J9" i="176" s="1"/>
  <c r="F9" i="176" a="1"/>
  <c r="F9" i="176" s="1"/>
  <c r="R8" i="176" a="1"/>
  <c r="R8" i="176" s="1"/>
  <c r="C8" i="176" a="1"/>
  <c r="C8" i="176" s="1"/>
  <c r="P15" i="175" a="1"/>
  <c r="P15" i="175" s="1"/>
  <c r="G15" i="175" a="1"/>
  <c r="G15" i="175" s="1"/>
  <c r="P14" i="175" a="1"/>
  <c r="P14" i="175" s="1"/>
  <c r="G9" i="175" a="1"/>
  <c r="J10" i="175" s="1"/>
  <c r="I3" i="175"/>
  <c r="G3" i="175" a="1"/>
  <c r="H5" i="175" s="1"/>
  <c r="N15" i="174" a="1"/>
  <c r="N15" i="174" s="1"/>
  <c r="F15" i="174" a="1"/>
  <c r="N14" i="174" a="1"/>
  <c r="N14" i="174" s="1"/>
  <c r="F10" i="174"/>
  <c r="G9" i="174"/>
  <c r="F9" i="174"/>
  <c r="F9" i="174" a="1"/>
  <c r="G11" i="174" s="1"/>
  <c r="F4" i="174"/>
  <c r="H3" i="174"/>
  <c r="F3" i="174" a="1"/>
  <c r="G3" i="174" s="1"/>
  <c r="C6" i="173" a="1"/>
  <c r="C6" i="173" s="1"/>
  <c r="F2" i="173" a="1"/>
  <c r="F2" i="173" s="1"/>
  <c r="F1" i="173" a="1"/>
  <c r="F1" i="173" s="1"/>
  <c r="C7" i="172" a="1"/>
  <c r="C7" i="172" s="1"/>
  <c r="C9" i="171" a="1"/>
  <c r="C9" i="171" s="1"/>
  <c r="F8" i="122" a="1"/>
  <c r="F8" i="122" s="1"/>
  <c r="N3" i="122" a="1"/>
  <c r="N3" i="122" s="1"/>
  <c r="J4" i="122"/>
  <c r="J3" i="122" a="1"/>
  <c r="K5" i="122" s="1"/>
  <c r="F3" i="122" a="1"/>
  <c r="N2" i="122" a="1"/>
  <c r="N2" i="122" s="1"/>
  <c r="J2" i="122" a="1"/>
  <c r="J2" i="122" s="1"/>
  <c r="F2" i="122" a="1"/>
  <c r="F2" i="122" s="1"/>
  <c r="K13" i="121" a="1"/>
  <c r="K13" i="121" s="1"/>
  <c r="F13" i="121" a="1"/>
  <c r="G13" i="121" s="1"/>
  <c r="P12" i="121" a="1"/>
  <c r="P12" i="121" s="1"/>
  <c r="K12" i="121" a="1"/>
  <c r="K12" i="121" s="1"/>
  <c r="G12" i="121" a="1"/>
  <c r="G12" i="121" s="1"/>
  <c r="H10" i="121"/>
  <c r="F8" i="121" a="1"/>
  <c r="G10" i="121" s="1"/>
  <c r="G7" i="121" a="1"/>
  <c r="G7" i="121" s="1"/>
  <c r="K3" i="121" a="1"/>
  <c r="K3" i="121" s="1"/>
  <c r="F3" i="121" a="1"/>
  <c r="G5" i="121" s="1"/>
  <c r="O2" i="121" a="1"/>
  <c r="O2" i="121" s="1"/>
  <c r="K2" i="121" a="1"/>
  <c r="K2" i="121" s="1"/>
  <c r="G2" i="121" a="1"/>
  <c r="G2" i="121" s="1"/>
  <c r="S58" i="58" a="1"/>
  <c r="S58" i="58" s="1"/>
  <c r="N53" i="58" a="1"/>
  <c r="N55" i="58" s="1"/>
  <c r="S52" i="58" a="1"/>
  <c r="I52" i="58" a="1"/>
  <c r="I55" i="58" s="1"/>
  <c r="E52" i="58" a="1"/>
  <c r="F52" i="58" s="1"/>
  <c r="L35" i="58"/>
  <c r="K35" i="58" a="1"/>
  <c r="K35" i="58" s="1"/>
  <c r="G34" i="58" a="1"/>
  <c r="I36" i="58" s="1"/>
  <c r="D34" i="58" a="1"/>
  <c r="U17" i="58"/>
  <c r="U17" i="58" a="1"/>
  <c r="X20" i="58" s="1"/>
  <c r="O11" i="58" a="1"/>
  <c r="P13" i="58" s="1"/>
  <c r="AA10" i="58" a="1"/>
  <c r="AA11" i="58" s="1"/>
  <c r="V10" i="58" a="1"/>
  <c r="X14" i="58" s="1"/>
  <c r="M14" i="58"/>
  <c r="J11" i="58"/>
  <c r="I10" i="58" a="1"/>
  <c r="L14" i="58" s="1"/>
  <c r="E10" i="58" a="1"/>
  <c r="E10" i="58" s="1"/>
  <c r="U11" i="57" a="1"/>
  <c r="V11" i="57" s="1"/>
  <c r="I10" i="57" a="1"/>
  <c r="J12" i="57" s="1"/>
  <c r="U5" i="57" a="1"/>
  <c r="V7" i="57" s="1"/>
  <c r="E4" i="57" a="1"/>
  <c r="F6" i="57" s="1"/>
  <c r="H12" i="108" a="1"/>
  <c r="H12" i="108" s="1"/>
  <c r="D12" i="108" a="1"/>
  <c r="D12" i="108" s="1"/>
  <c r="H2" i="108" a="1"/>
  <c r="H2" i="108" s="1"/>
  <c r="D2" i="108" a="1"/>
  <c r="D2" i="108" s="1"/>
  <c r="I12" i="107" a="1"/>
  <c r="I12" i="107" s="1"/>
  <c r="E12" i="107" a="1"/>
  <c r="E12" i="107" s="1"/>
  <c r="I2" i="107" a="1"/>
  <c r="I2" i="107" s="1"/>
  <c r="E2" i="107" a="1"/>
  <c r="E2" i="107" s="1"/>
  <c r="I17" i="106" a="1"/>
  <c r="I17" i="106" s="1"/>
  <c r="E17" i="106" a="1"/>
  <c r="E17" i="106" s="1"/>
  <c r="I12" i="106" a="1"/>
  <c r="I12" i="106" s="1"/>
  <c r="E12" i="106" a="1"/>
  <c r="E12" i="106" s="1"/>
  <c r="I7" i="106" a="1"/>
  <c r="I7" i="106" s="1"/>
  <c r="E7" i="106" a="1"/>
  <c r="E7" i="106" s="1"/>
  <c r="I2" i="106" a="1"/>
  <c r="I2" i="106" s="1"/>
  <c r="E2" i="106" a="1"/>
  <c r="E2" i="106" s="1"/>
  <c r="K4" i="49" a="1"/>
  <c r="K10" i="49" s="1"/>
  <c r="F4" i="49" a="1"/>
  <c r="G7" i="49" s="1"/>
  <c r="E52" i="70" a="1"/>
  <c r="F57" i="70" s="1"/>
  <c r="L38" i="70" a="1"/>
  <c r="M39" i="70" s="1"/>
  <c r="A37" i="70" a="1"/>
  <c r="A37" i="70" s="1"/>
  <c r="V33" i="70" a="1"/>
  <c r="X38" i="70" s="1"/>
  <c r="R33" i="70" a="1"/>
  <c r="S38" i="70" s="1"/>
  <c r="R26" i="70" a="1"/>
  <c r="E12" i="70" a="1"/>
  <c r="F14" i="70" s="1"/>
  <c r="L10" i="70" a="1"/>
  <c r="R8" i="70" a="1"/>
  <c r="T8" i="70" s="1"/>
  <c r="A12" i="70"/>
  <c r="A7" i="70" a="1"/>
  <c r="C12" i="70" s="1"/>
  <c r="I6" i="70" a="1"/>
  <c r="I10" i="70" s="1"/>
  <c r="G28" i="62"/>
  <c r="E28" i="62" a="1"/>
  <c r="E29" i="62" s="1"/>
  <c r="S26" i="62"/>
  <c r="Q24" i="62" a="1"/>
  <c r="R28" i="62" s="1"/>
  <c r="M24" i="62" a="1"/>
  <c r="O28" i="62" s="1"/>
  <c r="I24" i="62" a="1"/>
  <c r="I29" i="62" s="1"/>
  <c r="G25" i="62"/>
  <c r="E24" i="62" a="1"/>
  <c r="E21" i="62" a="1"/>
  <c r="F22" i="62" s="1"/>
  <c r="Q17" i="62" a="1"/>
  <c r="R22" i="62" s="1"/>
  <c r="N21" i="62"/>
  <c r="M17" i="62" a="1"/>
  <c r="O22" i="62" s="1"/>
  <c r="I17" i="62" a="1"/>
  <c r="K20" i="62" s="1"/>
  <c r="E17" i="62" a="1"/>
  <c r="M10" i="62" a="1"/>
  <c r="M15" i="62" s="1"/>
  <c r="K13" i="62"/>
  <c r="I10" i="62" a="1"/>
  <c r="K15" i="62" s="1"/>
  <c r="E10" i="62" a="1"/>
  <c r="G10" i="62" s="1"/>
  <c r="M3" i="62" a="1"/>
  <c r="M7" i="62" s="1"/>
  <c r="I3" i="62" a="1"/>
  <c r="I8" i="62" s="1"/>
  <c r="E3" i="62" a="1"/>
  <c r="I21" i="117" a="1"/>
  <c r="I21" i="117" s="1"/>
  <c r="I14" i="117" a="1"/>
  <c r="I14" i="117" s="1"/>
  <c r="I3" i="117" a="1"/>
  <c r="I3" i="117" s="1"/>
  <c r="I2" i="117" a="1"/>
  <c r="I2" i="117" s="1"/>
  <c r="P26" i="116" a="1"/>
  <c r="P26" i="116" s="1"/>
  <c r="S20" i="116" a="1"/>
  <c r="S20" i="116" s="1"/>
  <c r="N20" i="116" a="1"/>
  <c r="N20" i="116" s="1"/>
  <c r="H18" i="116" a="1"/>
  <c r="H18" i="116" s="1"/>
  <c r="N12" i="116" a="1"/>
  <c r="N12" i="116" s="1"/>
  <c r="H12" i="116" a="1"/>
  <c r="H12" i="116" s="1"/>
  <c r="S11" i="116" a="1"/>
  <c r="S11" i="116" s="1"/>
  <c r="N11" i="116" a="1"/>
  <c r="N11" i="116" s="1"/>
  <c r="N3" i="116"/>
  <c r="N3" i="116" a="1"/>
  <c r="H3" i="116" a="1"/>
  <c r="H3" i="116" s="1"/>
  <c r="Y2" i="116" a="1"/>
  <c r="Y2" i="116" s="1"/>
  <c r="S2" i="116" a="1"/>
  <c r="S2" i="116" s="1"/>
  <c r="N2" i="116" a="1"/>
  <c r="N2" i="116" s="1"/>
  <c r="H2" i="116" a="1"/>
  <c r="H2" i="116" s="1"/>
  <c r="AC19" i="61"/>
  <c r="AA18" i="61" a="1"/>
  <c r="AB19" i="61" s="1"/>
  <c r="T18" i="61" a="1"/>
  <c r="T20" i="61" s="1"/>
  <c r="M10" i="61" a="1"/>
  <c r="N13" i="61" s="1"/>
  <c r="I4" i="61" a="1"/>
  <c r="K6" i="61" s="1"/>
  <c r="G9" i="61"/>
  <c r="E4" i="61"/>
  <c r="E4" i="61" a="1"/>
  <c r="G10" i="61" s="1"/>
  <c r="W240" i="59" a="1"/>
  <c r="N2" i="124" a="1"/>
  <c r="N2" i="124" s="1"/>
  <c r="K2" i="124" a="1"/>
  <c r="K2" i="124" s="1"/>
  <c r="D2" i="124" a="1"/>
  <c r="D2" i="124" s="1"/>
  <c r="G2" i="124" s="1" a="1"/>
  <c r="G2" i="124" s="1"/>
  <c r="N1" i="124" a="1"/>
  <c r="N1" i="124" s="1"/>
  <c r="K1" i="124" a="1"/>
  <c r="K1" i="124" s="1"/>
  <c r="G1" i="124" a="1"/>
  <c r="G1" i="124" s="1"/>
  <c r="D1" i="124" a="1"/>
  <c r="D1" i="124" s="1"/>
  <c r="P56" i="119" a="1"/>
  <c r="P56" i="119" s="1"/>
  <c r="L56" i="119" a="1"/>
  <c r="L56" i="119" s="1"/>
  <c r="F56" i="119" a="1"/>
  <c r="F56" i="119" s="1"/>
  <c r="P55" i="119" a="1"/>
  <c r="P55" i="119" s="1"/>
  <c r="L55" i="119" a="1"/>
  <c r="L55" i="119" s="1"/>
  <c r="F55" i="119" a="1"/>
  <c r="F55" i="119" s="1"/>
  <c r="F47" i="119" a="1"/>
  <c r="F47" i="119" s="1"/>
  <c r="F46" i="119" a="1"/>
  <c r="F46" i="119" s="1"/>
  <c r="P34" i="119"/>
  <c r="P34" i="119" a="1"/>
  <c r="L34" i="119" a="1"/>
  <c r="L34" i="119" s="1"/>
  <c r="P33" i="119" a="1"/>
  <c r="P33" i="119" s="1"/>
  <c r="L33" i="119" a="1"/>
  <c r="L33" i="119" s="1"/>
  <c r="F33" i="119" a="1"/>
  <c r="F33" i="119" s="1"/>
  <c r="F25" i="119" a="1"/>
  <c r="F25" i="119" s="1"/>
  <c r="F34" i="119" s="1" a="1"/>
  <c r="F34" i="119" s="1"/>
  <c r="F24" i="119" a="1"/>
  <c r="F24" i="119" s="1"/>
  <c r="Q17" i="119"/>
  <c r="Q17" i="119" a="1"/>
  <c r="P12" i="119" a="1"/>
  <c r="P12" i="119" s="1"/>
  <c r="L12" i="119" a="1"/>
  <c r="L12" i="119" s="1"/>
  <c r="F12" i="119" a="1"/>
  <c r="F12" i="119" s="1"/>
  <c r="P11" i="119" a="1"/>
  <c r="P11" i="119" s="1"/>
  <c r="L11" i="119" a="1"/>
  <c r="L11" i="119" s="1"/>
  <c r="F11" i="119" a="1"/>
  <c r="F11" i="119" s="1"/>
  <c r="F3" i="119" a="1"/>
  <c r="F3" i="119" s="1"/>
  <c r="F2" i="119" a="1"/>
  <c r="F2" i="119" s="1"/>
  <c r="K23" i="118" a="1"/>
  <c r="K23" i="118" s="1"/>
  <c r="F23" i="118" a="1"/>
  <c r="F23" i="118" s="1"/>
  <c r="K22" i="118" a="1"/>
  <c r="K22" i="118" s="1"/>
  <c r="F22" i="118" a="1"/>
  <c r="F22" i="118" s="1"/>
  <c r="F18" i="118" a="1"/>
  <c r="F18" i="118" s="1"/>
  <c r="F17" i="118" a="1"/>
  <c r="F17" i="118" s="1"/>
  <c r="P14" i="118" a="1"/>
  <c r="P14" i="118" s="1"/>
  <c r="K13" i="118" a="1"/>
  <c r="K13" i="118" s="1"/>
  <c r="F13" i="118" a="1"/>
  <c r="F13" i="118" s="1"/>
  <c r="K12" i="118" a="1"/>
  <c r="K12" i="118" s="1"/>
  <c r="F12" i="118" a="1"/>
  <c r="F12" i="118" s="1"/>
  <c r="F8" i="118" a="1"/>
  <c r="F8" i="118" s="1"/>
  <c r="F7" i="118" a="1"/>
  <c r="F7" i="118" s="1"/>
  <c r="K3" i="118" a="1"/>
  <c r="K3" i="118" s="1"/>
  <c r="F3" i="118" a="1"/>
  <c r="F3" i="118" s="1"/>
  <c r="K2" i="118" a="1"/>
  <c r="K2" i="118" s="1"/>
  <c r="F2" i="118" a="1"/>
  <c r="F2" i="118" s="1"/>
  <c r="U27" i="120" a="1"/>
  <c r="U27" i="120" s="1"/>
  <c r="U26" i="120" a="1"/>
  <c r="U26" i="120" s="1"/>
  <c r="U20" i="120" a="1"/>
  <c r="U20" i="120" s="1"/>
  <c r="R22" i="120"/>
  <c r="P19" i="120" a="1"/>
  <c r="Q21" i="120" s="1"/>
  <c r="U14" i="120" a="1"/>
  <c r="U14" i="120" s="1"/>
  <c r="P12" i="120" a="1"/>
  <c r="K11" i="120" a="1"/>
  <c r="K11" i="120" s="1"/>
  <c r="F11" i="120" a="1"/>
  <c r="F11" i="120" s="1"/>
  <c r="P5" i="120" a="1"/>
  <c r="R8" i="120" s="1"/>
  <c r="U4" i="120" a="1"/>
  <c r="U4" i="120" s="1"/>
  <c r="U3" i="120" a="1"/>
  <c r="U3" i="120" s="1"/>
  <c r="Q51" i="156" a="1"/>
  <c r="Q51" i="156" s="1"/>
  <c r="O51" i="156" a="1"/>
  <c r="O51" i="156" s="1"/>
  <c r="H51" i="156" a="1"/>
  <c r="H51" i="156" s="1"/>
  <c r="Q50" i="156" a="1"/>
  <c r="Q50" i="156" s="1"/>
  <c r="O50" i="156" a="1"/>
  <c r="O50" i="156" s="1"/>
  <c r="H50" i="156" a="1"/>
  <c r="H50" i="156" s="1"/>
  <c r="U45" i="156" a="1"/>
  <c r="U45" i="156" s="1"/>
  <c r="Q45" i="156" a="1"/>
  <c r="Q45" i="156" s="1"/>
  <c r="O45" i="156" a="1"/>
  <c r="O45" i="156" s="1"/>
  <c r="H45" i="156" a="1"/>
  <c r="H45" i="156" s="1"/>
  <c r="Q44" i="156" a="1"/>
  <c r="Q44" i="156" s="1"/>
  <c r="O44" i="156" a="1"/>
  <c r="O44" i="156" s="1"/>
  <c r="H44" i="156" a="1"/>
  <c r="H44" i="156" s="1"/>
  <c r="W38" i="156" a="1"/>
  <c r="W38" i="156" s="1"/>
  <c r="U38" i="156" a="1"/>
  <c r="U38" i="156" s="1"/>
  <c r="Q38" i="156" a="1"/>
  <c r="Q38" i="156" s="1"/>
  <c r="O38" i="156" a="1"/>
  <c r="O38" i="156" s="1"/>
  <c r="H38" i="156" a="1"/>
  <c r="H38" i="156" s="1"/>
  <c r="W37" i="156" a="1"/>
  <c r="W37" i="156" s="1"/>
  <c r="Q37" i="156" a="1"/>
  <c r="Q37" i="156" s="1"/>
  <c r="O37" i="156" a="1"/>
  <c r="O37" i="156" s="1"/>
  <c r="H37" i="156" a="1"/>
  <c r="H37" i="156" s="1"/>
  <c r="U31" i="156" a="1"/>
  <c r="U31" i="156" s="1"/>
  <c r="Q31" i="156" a="1"/>
  <c r="Q31" i="156" s="1"/>
  <c r="O31" i="156" a="1"/>
  <c r="O31" i="156" s="1"/>
  <c r="I32" i="156"/>
  <c r="H31" i="156" a="1"/>
  <c r="M34" i="156" s="1"/>
  <c r="Q30" i="156" a="1"/>
  <c r="Q30" i="156" s="1"/>
  <c r="O30" i="156" a="1"/>
  <c r="O30" i="156" s="1"/>
  <c r="H30" i="156" a="1"/>
  <c r="H30" i="156" s="1"/>
  <c r="U24" i="156" a="1"/>
  <c r="U24" i="156" s="1"/>
  <c r="Q24" i="156" a="1"/>
  <c r="Q24" i="156" s="1"/>
  <c r="O24" i="156" a="1"/>
  <c r="O24" i="156" s="1"/>
  <c r="H28" i="156"/>
  <c r="H24" i="156" a="1"/>
  <c r="M27" i="156" s="1"/>
  <c r="AF23" i="156" a="1"/>
  <c r="AF23" i="156" s="1"/>
  <c r="Z23" i="156" a="1"/>
  <c r="Z23" i="156" s="1"/>
  <c r="Q23" i="156"/>
  <c r="Q23" i="156" a="1"/>
  <c r="O23" i="156" a="1"/>
  <c r="O23" i="156" s="1"/>
  <c r="H23" i="156"/>
  <c r="H23" i="156" a="1"/>
  <c r="AF17" i="156" a="1"/>
  <c r="AF17" i="156" s="1"/>
  <c r="Z17" i="156" a="1"/>
  <c r="AA21" i="156" s="1"/>
  <c r="W18" i="156"/>
  <c r="W17" i="156" a="1"/>
  <c r="W17" i="156" s="1"/>
  <c r="U17" i="156" a="1"/>
  <c r="U17" i="156" s="1"/>
  <c r="Q17" i="156" a="1"/>
  <c r="Q18" i="156" s="1"/>
  <c r="O17" i="156" a="1"/>
  <c r="H17" i="156" a="1"/>
  <c r="M19" i="156" s="1"/>
  <c r="AF16" i="156" a="1"/>
  <c r="AF16" i="156" s="1"/>
  <c r="Z16" i="156" a="1"/>
  <c r="Z16" i="156" s="1"/>
  <c r="W16" i="156" a="1"/>
  <c r="W16" i="156" s="1"/>
  <c r="Q16" i="156" a="1"/>
  <c r="Q16" i="156" s="1"/>
  <c r="O16" i="156" a="1"/>
  <c r="O16" i="156" s="1"/>
  <c r="H16" i="156" a="1"/>
  <c r="H16" i="156" s="1"/>
  <c r="AF10" i="156" a="1"/>
  <c r="AF10" i="156" s="1"/>
  <c r="Z10" i="156" a="1"/>
  <c r="Z10" i="156" s="1"/>
  <c r="W10" i="156" a="1"/>
  <c r="W10" i="156" s="1"/>
  <c r="U10" i="156" a="1"/>
  <c r="U10" i="156" s="1"/>
  <c r="Q10" i="156" a="1"/>
  <c r="R12" i="156" s="1"/>
  <c r="O10" i="156" a="1"/>
  <c r="O12" i="156" s="1"/>
  <c r="H10" i="156" a="1"/>
  <c r="K12" i="156" s="1"/>
  <c r="AF9" i="156" a="1"/>
  <c r="AF9" i="156" s="1"/>
  <c r="Z9" i="156" a="1"/>
  <c r="Z9" i="156" s="1"/>
  <c r="W9" i="156" a="1"/>
  <c r="W9" i="156" s="1"/>
  <c r="Q9" i="156" a="1"/>
  <c r="Q9" i="156" s="1"/>
  <c r="O9" i="156" a="1"/>
  <c r="O9" i="156" s="1"/>
  <c r="H9" i="156" a="1"/>
  <c r="H9" i="156" s="1"/>
  <c r="U3" i="156" a="1"/>
  <c r="U3" i="156" s="1"/>
  <c r="Q3" i="156" a="1"/>
  <c r="Q5" i="156" s="1"/>
  <c r="O3" i="156" a="1"/>
  <c r="O4" i="156" s="1"/>
  <c r="J7" i="156"/>
  <c r="H3" i="156" a="1"/>
  <c r="L5" i="156" s="1"/>
  <c r="Q2" i="156" a="1"/>
  <c r="Q2" i="156" s="1"/>
  <c r="O2" i="156" a="1"/>
  <c r="O2" i="156" s="1"/>
  <c r="H2" i="156" a="1"/>
  <c r="H2" i="156" s="1"/>
  <c r="N85" i="155" a="1"/>
  <c r="N85" i="155" s="1"/>
  <c r="N84" i="155" a="1"/>
  <c r="N84" i="155" s="1"/>
  <c r="L84" i="155" a="1"/>
  <c r="H84" i="155" a="1"/>
  <c r="I87" i="155" s="1"/>
  <c r="N78" i="155" a="1"/>
  <c r="N78" i="155" s="1"/>
  <c r="N77" i="155" a="1"/>
  <c r="N77" i="155" s="1"/>
  <c r="L77" i="155" a="1"/>
  <c r="L77" i="155" s="1"/>
  <c r="H77" i="155" a="1"/>
  <c r="I79" i="155" s="1"/>
  <c r="N71" i="155" a="1"/>
  <c r="N71" i="155" s="1"/>
  <c r="N70" i="155" a="1"/>
  <c r="N70" i="155" s="1"/>
  <c r="L70" i="155" a="1"/>
  <c r="L71" i="155" s="1"/>
  <c r="H70" i="155" a="1"/>
  <c r="I72" i="155" s="1"/>
  <c r="I64" i="155" a="1"/>
  <c r="J66" i="155" s="1"/>
  <c r="M59" i="155"/>
  <c r="I58" i="155" a="1"/>
  <c r="L60" i="155" s="1"/>
  <c r="N53" i="155" a="1"/>
  <c r="N53" i="155" s="1"/>
  <c r="N52" i="155" a="1"/>
  <c r="N52" i="155" s="1"/>
  <c r="L52" i="155" a="1"/>
  <c r="L53" i="155" s="1"/>
  <c r="G52" i="155" a="1"/>
  <c r="N47" i="155" a="1"/>
  <c r="N47" i="155" s="1"/>
  <c r="N46" i="155" a="1"/>
  <c r="N46" i="155" s="1"/>
  <c r="L46" i="155" a="1"/>
  <c r="G46" i="155" a="1"/>
  <c r="J47" i="155" s="1"/>
  <c r="N40" i="155" a="1"/>
  <c r="N40" i="155" s="1"/>
  <c r="N39" i="155" a="1"/>
  <c r="N39" i="155" s="1"/>
  <c r="L39" i="155" a="1"/>
  <c r="L40" i="155" s="1"/>
  <c r="H41" i="155"/>
  <c r="G39" i="155" a="1"/>
  <c r="G41" i="155" s="1"/>
  <c r="N34" i="155" a="1"/>
  <c r="N34" i="155" s="1"/>
  <c r="N33" i="155" a="1"/>
  <c r="N33" i="155" s="1"/>
  <c r="L33" i="155" a="1"/>
  <c r="L33" i="155" s="1"/>
  <c r="G35" i="155"/>
  <c r="G33" i="155" a="1"/>
  <c r="J34" i="155" s="1"/>
  <c r="N26" i="155" a="1"/>
  <c r="N26" i="155" s="1"/>
  <c r="N25" i="155" a="1"/>
  <c r="N25" i="155" s="1"/>
  <c r="L25" i="155" a="1"/>
  <c r="L26" i="155" s="1"/>
  <c r="G25" i="155" a="1"/>
  <c r="J28" i="155" s="1"/>
  <c r="N19" i="155" a="1"/>
  <c r="N19" i="155" s="1"/>
  <c r="N18" i="155" a="1"/>
  <c r="N18" i="155" s="1"/>
  <c r="L18" i="155" a="1"/>
  <c r="L20" i="155" s="1"/>
  <c r="G18" i="155" a="1"/>
  <c r="J19" i="155" s="1"/>
  <c r="N13" i="155"/>
  <c r="N13" i="155" a="1"/>
  <c r="N12" i="155"/>
  <c r="N12" i="155" a="1"/>
  <c r="L14" i="155"/>
  <c r="L12" i="155" a="1"/>
  <c r="L13" i="155" s="1"/>
  <c r="I14" i="155"/>
  <c r="G12" i="155" a="1"/>
  <c r="G14" i="155" s="1"/>
  <c r="N6" i="155" a="1"/>
  <c r="N6" i="155" s="1"/>
  <c r="N5" i="155" a="1"/>
  <c r="N5" i="155" s="1"/>
  <c r="L5" i="155" a="1"/>
  <c r="L5" i="155" s="1"/>
  <c r="G5" i="155" a="1"/>
  <c r="J6" i="155" s="1"/>
  <c r="H4" i="167" a="1"/>
  <c r="H4" i="167" s="1"/>
  <c r="N8" i="149"/>
  <c r="N8" i="149" a="1"/>
  <c r="K8" i="149" a="1"/>
  <c r="K8" i="149" s="1"/>
  <c r="H8" i="149" a="1"/>
  <c r="I9" i="149" s="1"/>
  <c r="E8" i="149" a="1"/>
  <c r="S4" i="149" a="1"/>
  <c r="S4" i="149" s="1"/>
  <c r="N4" i="149" a="1"/>
  <c r="N4" i="149" s="1"/>
  <c r="J20" i="150" a="1"/>
  <c r="J20" i="150" s="1"/>
  <c r="H20" i="150" a="1"/>
  <c r="H20" i="150" s="1"/>
  <c r="J15" i="150" a="1"/>
  <c r="J15" i="150" s="1"/>
  <c r="H15" i="150"/>
  <c r="H15" i="150" a="1"/>
  <c r="H17" i="150" s="1"/>
  <c r="N10" i="150" a="1"/>
  <c r="N10" i="150" s="1"/>
  <c r="J10" i="150" a="1"/>
  <c r="J10" i="150" s="1"/>
  <c r="H10" i="150" a="1"/>
  <c r="T7" i="150" a="1"/>
  <c r="T7" i="150" s="1"/>
  <c r="P7" i="150" a="1"/>
  <c r="Q9" i="150" s="1"/>
  <c r="Z5" i="150" a="1"/>
  <c r="Z5" i="150" s="1"/>
  <c r="V5" i="150" a="1"/>
  <c r="W7" i="150" s="1"/>
  <c r="J5" i="150" a="1"/>
  <c r="J5" i="150" s="1"/>
  <c r="H15" i="147" a="1"/>
  <c r="H15" i="147" s="1"/>
  <c r="H14" i="147" a="1"/>
  <c r="H14" i="147" s="1"/>
  <c r="H12" i="147" a="1"/>
  <c r="H12" i="147" s="1"/>
  <c r="H11" i="147" a="1"/>
  <c r="H11" i="147" s="1"/>
  <c r="F11" i="147" a="1"/>
  <c r="F11" i="147" s="1"/>
  <c r="H9" i="147" a="1"/>
  <c r="H9" i="147" s="1"/>
  <c r="F9" i="147" a="1"/>
  <c r="F9" i="147" s="1"/>
  <c r="H4" i="147" a="1"/>
  <c r="H4" i="147" s="1"/>
  <c r="F4" i="147" a="1"/>
  <c r="F7" i="147" s="1"/>
  <c r="I8" i="166" a="1"/>
  <c r="I8" i="166" s="1"/>
  <c r="G8" i="166" a="1"/>
  <c r="G8" i="166" s="1"/>
  <c r="I7" i="166" a="1"/>
  <c r="I7" i="166" s="1"/>
  <c r="G7" i="166" a="1"/>
  <c r="G7" i="166" s="1"/>
  <c r="I6" i="166" a="1"/>
  <c r="I6" i="166" s="1"/>
  <c r="G6" i="166" a="1"/>
  <c r="G6" i="166" s="1"/>
  <c r="I5" i="166" a="1"/>
  <c r="I5" i="166" s="1"/>
  <c r="I4" i="166" a="1"/>
  <c r="I4" i="166" s="1"/>
  <c r="I3" i="166" a="1"/>
  <c r="I3" i="166" s="1"/>
  <c r="O44" i="187" a="1"/>
  <c r="O44" i="187" s="1"/>
  <c r="N44" i="187" a="1"/>
  <c r="N44" i="187" s="1"/>
  <c r="M44" i="187" a="1"/>
  <c r="M44" i="187" s="1"/>
  <c r="L44" i="187" a="1"/>
  <c r="L44" i="187" s="1"/>
  <c r="O42" i="187" a="1"/>
  <c r="O42" i="187" s="1"/>
  <c r="N42" i="187"/>
  <c r="N42" i="187" a="1"/>
  <c r="M42" i="187" a="1"/>
  <c r="M42" i="187" s="1"/>
  <c r="L42" i="187" a="1"/>
  <c r="L42" i="187" s="1"/>
  <c r="P33" i="187" a="1"/>
  <c r="P33" i="187" s="1"/>
  <c r="O33" i="187" a="1"/>
  <c r="O33" i="187" s="1"/>
  <c r="N33" i="187" a="1"/>
  <c r="N33" i="187" s="1"/>
  <c r="M33" i="187" a="1"/>
  <c r="M33" i="187" s="1"/>
  <c r="L33" i="187" a="1"/>
  <c r="L33" i="187" s="1"/>
  <c r="P27" i="187" a="1"/>
  <c r="P27" i="187" s="1"/>
  <c r="O27" i="187" a="1"/>
  <c r="O27" i="187" s="1"/>
  <c r="N27" i="187" a="1"/>
  <c r="N27" i="187" s="1"/>
  <c r="M27" i="187" a="1"/>
  <c r="M27" i="187" s="1"/>
  <c r="L27" i="187" a="1"/>
  <c r="L27" i="187" s="1"/>
  <c r="O22" i="187" a="1"/>
  <c r="O22" i="187" s="1"/>
  <c r="N22" i="187" a="1"/>
  <c r="N22" i="187" s="1"/>
  <c r="M22" i="187" a="1"/>
  <c r="M22" i="187" s="1"/>
  <c r="L22" i="187" a="1"/>
  <c r="L22" i="187" s="1"/>
  <c r="P16" i="187" a="1"/>
  <c r="P16" i="187" s="1"/>
  <c r="O16" i="187" a="1"/>
  <c r="O16" i="187" s="1"/>
  <c r="N16" i="187" a="1"/>
  <c r="N16" i="187" s="1"/>
  <c r="M16" i="187" a="1"/>
  <c r="M16" i="187" s="1"/>
  <c r="L16" i="187" a="1"/>
  <c r="L16" i="187" s="1"/>
  <c r="P10" i="187" a="1"/>
  <c r="P10" i="187" s="1"/>
  <c r="O10" i="187" a="1"/>
  <c r="O10" i="187" s="1"/>
  <c r="N10" i="187" a="1"/>
  <c r="N10" i="187" s="1"/>
  <c r="M10" i="187" a="1"/>
  <c r="M10" i="187" s="1"/>
  <c r="L10" i="187" a="1"/>
  <c r="L10" i="187" s="1"/>
  <c r="O5" i="187" a="1"/>
  <c r="O5" i="187" s="1"/>
  <c r="N5" i="187" a="1"/>
  <c r="N5" i="187" s="1"/>
  <c r="M5" i="187" a="1"/>
  <c r="M5" i="187" s="1"/>
  <c r="L5" i="187" a="1"/>
  <c r="L5" i="187" s="1"/>
  <c r="R3" i="187" a="1"/>
  <c r="R3" i="187" s="1"/>
  <c r="M21" i="156" l="1"/>
  <c r="F5" i="147"/>
  <c r="J14" i="155"/>
  <c r="H25" i="155"/>
  <c r="I35" i="155"/>
  <c r="I70" i="155"/>
  <c r="K17" i="156"/>
  <c r="E7" i="61"/>
  <c r="T18" i="61"/>
  <c r="O10" i="62"/>
  <c r="S27" i="62"/>
  <c r="E11" i="58"/>
  <c r="J12" i="58"/>
  <c r="V11" i="58"/>
  <c r="Y17" i="58"/>
  <c r="K36" i="58"/>
  <c r="L6" i="122"/>
  <c r="H10" i="174"/>
  <c r="H9" i="175"/>
  <c r="W3" i="71"/>
  <c r="U13" i="71"/>
  <c r="F51" i="123"/>
  <c r="G11" i="48"/>
  <c r="E8" i="135"/>
  <c r="Q7" i="136"/>
  <c r="R24" i="136"/>
  <c r="F14" i="146"/>
  <c r="I18" i="155"/>
  <c r="G27" i="155"/>
  <c r="L54" i="155"/>
  <c r="I71" i="155"/>
  <c r="M17" i="156"/>
  <c r="F7" i="61"/>
  <c r="T19" i="61"/>
  <c r="O12" i="62"/>
  <c r="R29" i="62"/>
  <c r="E54" i="70"/>
  <c r="E12" i="58"/>
  <c r="K12" i="58"/>
  <c r="W13" i="58"/>
  <c r="U19" i="58"/>
  <c r="L36" i="58"/>
  <c r="I8" i="121"/>
  <c r="H11" i="174"/>
  <c r="H11" i="175"/>
  <c r="H19" i="71"/>
  <c r="K5" i="72"/>
  <c r="G45" i="123"/>
  <c r="H178" i="123"/>
  <c r="Y15" i="131"/>
  <c r="Y15" i="132"/>
  <c r="G19" i="134"/>
  <c r="C4" i="135"/>
  <c r="R3" i="136"/>
  <c r="Q12" i="136"/>
  <c r="R19" i="136"/>
  <c r="Y8" i="145"/>
  <c r="L12" i="155"/>
  <c r="I20" i="155"/>
  <c r="H27" i="155"/>
  <c r="L34" i="155"/>
  <c r="H73" i="155"/>
  <c r="Q10" i="156"/>
  <c r="J18" i="156"/>
  <c r="I24" i="156"/>
  <c r="E8" i="61"/>
  <c r="N13" i="62"/>
  <c r="E57" i="70"/>
  <c r="W6" i="57"/>
  <c r="F12" i="58"/>
  <c r="J13" i="58"/>
  <c r="Y13" i="58"/>
  <c r="F9" i="121"/>
  <c r="N5" i="72"/>
  <c r="F46" i="123"/>
  <c r="J11" i="48"/>
  <c r="AA16" i="131"/>
  <c r="V19" i="132"/>
  <c r="S10" i="156"/>
  <c r="I19" i="156"/>
  <c r="M24" i="156"/>
  <c r="P19" i="120"/>
  <c r="N15" i="62"/>
  <c r="G12" i="58"/>
  <c r="G46" i="123"/>
  <c r="F163" i="123"/>
  <c r="Z19" i="131"/>
  <c r="H12" i="155"/>
  <c r="L18" i="155"/>
  <c r="H87" i="155"/>
  <c r="J3" i="156"/>
  <c r="Q13" i="156"/>
  <c r="I20" i="156"/>
  <c r="L26" i="156"/>
  <c r="R21" i="120"/>
  <c r="G5" i="49"/>
  <c r="I15" i="58"/>
  <c r="G34" i="58"/>
  <c r="H3" i="121"/>
  <c r="Q3" i="71"/>
  <c r="P10" i="71"/>
  <c r="H14" i="71"/>
  <c r="E47" i="123"/>
  <c r="F165" i="123"/>
  <c r="V21" i="131"/>
  <c r="B7" i="135"/>
  <c r="I6" i="136"/>
  <c r="P21" i="136"/>
  <c r="E7" i="138"/>
  <c r="W12" i="145"/>
  <c r="I12" i="155"/>
  <c r="K20" i="156"/>
  <c r="W34" i="70"/>
  <c r="H5" i="49"/>
  <c r="U11" i="57"/>
  <c r="J10" i="58"/>
  <c r="J15" i="58"/>
  <c r="Q11" i="58"/>
  <c r="G35" i="58"/>
  <c r="H4" i="121"/>
  <c r="R5" i="71"/>
  <c r="Q11" i="71"/>
  <c r="G48" i="123"/>
  <c r="C12" i="48"/>
  <c r="W23" i="131"/>
  <c r="B9" i="135"/>
  <c r="K3" i="136"/>
  <c r="H13" i="155"/>
  <c r="J21" i="156"/>
  <c r="M11" i="61"/>
  <c r="V13" i="57"/>
  <c r="M10" i="58"/>
  <c r="K15" i="58"/>
  <c r="N53" i="58"/>
  <c r="K3" i="122"/>
  <c r="R13" i="71"/>
  <c r="J18" i="62"/>
  <c r="L9" i="49"/>
  <c r="G4" i="57"/>
  <c r="K52" i="58"/>
  <c r="K56" i="58"/>
  <c r="G17" i="175"/>
  <c r="F5" i="72"/>
  <c r="W27" i="144"/>
  <c r="AC21" i="156"/>
  <c r="K5" i="62"/>
  <c r="F6" i="147"/>
  <c r="L6" i="155"/>
  <c r="H14" i="155"/>
  <c r="J20" i="155"/>
  <c r="J25" i="155"/>
  <c r="H39" i="155"/>
  <c r="H79" i="155"/>
  <c r="J84" i="155"/>
  <c r="H6" i="156"/>
  <c r="Q14" i="156"/>
  <c r="L17" i="156"/>
  <c r="J20" i="156"/>
  <c r="J25" i="156"/>
  <c r="I28" i="156"/>
  <c r="P22" i="120"/>
  <c r="J6" i="62"/>
  <c r="K10" i="62"/>
  <c r="K18" i="62"/>
  <c r="O17" i="62"/>
  <c r="G22" i="62"/>
  <c r="R35" i="70"/>
  <c r="N13" i="49"/>
  <c r="E5" i="57"/>
  <c r="I53" i="58"/>
  <c r="I17" i="175"/>
  <c r="G6" i="72"/>
  <c r="V17" i="131"/>
  <c r="W21" i="131"/>
  <c r="AR7" i="132"/>
  <c r="AK15" i="132"/>
  <c r="B8" i="135"/>
  <c r="S7" i="136"/>
  <c r="Q21" i="136"/>
  <c r="K12" i="137"/>
  <c r="O6" i="138"/>
  <c r="V28" i="144"/>
  <c r="O9" i="145"/>
  <c r="X14" i="145"/>
  <c r="I78" i="155"/>
  <c r="I39" i="155"/>
  <c r="H80" i="155"/>
  <c r="I85" i="155"/>
  <c r="S14" i="156"/>
  <c r="L25" i="156"/>
  <c r="J28" i="156"/>
  <c r="J8" i="62"/>
  <c r="I11" i="62"/>
  <c r="I19" i="62"/>
  <c r="O18" i="62"/>
  <c r="R38" i="70"/>
  <c r="F5" i="57"/>
  <c r="L53" i="58"/>
  <c r="J18" i="175"/>
  <c r="H6" i="72"/>
  <c r="AC17" i="131"/>
  <c r="AA21" i="131"/>
  <c r="AI19" i="132"/>
  <c r="O11" i="138"/>
  <c r="W29" i="144"/>
  <c r="H86" i="155"/>
  <c r="K11" i="62"/>
  <c r="I21" i="62"/>
  <c r="N20" i="62"/>
  <c r="G6" i="57"/>
  <c r="I54" i="58"/>
  <c r="F7" i="72"/>
  <c r="W18" i="131"/>
  <c r="Z22" i="131"/>
  <c r="AL22" i="132"/>
  <c r="O15" i="138"/>
  <c r="R30" i="144"/>
  <c r="X4" i="145"/>
  <c r="J39" i="155"/>
  <c r="H26" i="156"/>
  <c r="L28" i="156"/>
  <c r="H5" i="167"/>
  <c r="H18" i="155"/>
  <c r="J27" i="155"/>
  <c r="H40" i="155"/>
  <c r="J70" i="155"/>
  <c r="J86" i="155"/>
  <c r="R10" i="156"/>
  <c r="L18" i="156"/>
  <c r="L21" i="156"/>
  <c r="W20" i="156"/>
  <c r="H24" i="156"/>
  <c r="J26" i="156"/>
  <c r="F10" i="61"/>
  <c r="O4" i="62"/>
  <c r="J13" i="62"/>
  <c r="J21" i="62"/>
  <c r="O20" i="62"/>
  <c r="F28" i="62"/>
  <c r="W33" i="70"/>
  <c r="E53" i="70"/>
  <c r="F7" i="49"/>
  <c r="F7" i="57"/>
  <c r="W12" i="57"/>
  <c r="M12" i="58"/>
  <c r="O11" i="58"/>
  <c r="J54" i="58"/>
  <c r="F4" i="121"/>
  <c r="G9" i="121"/>
  <c r="L3" i="122"/>
  <c r="P3" i="71"/>
  <c r="V6" i="71"/>
  <c r="V11" i="71"/>
  <c r="G16" i="71"/>
  <c r="H8" i="72"/>
  <c r="L5" i="72"/>
  <c r="G40" i="123"/>
  <c r="F47" i="123"/>
  <c r="F14" i="47"/>
  <c r="W15" i="131"/>
  <c r="AA18" i="131"/>
  <c r="AB22" i="131"/>
  <c r="Y17" i="132"/>
  <c r="H4" i="136"/>
  <c r="K7" i="136"/>
  <c r="S13" i="136"/>
  <c r="P19" i="136"/>
  <c r="E5" i="138"/>
  <c r="D6" i="141"/>
  <c r="X30" i="144"/>
  <c r="X6" i="145"/>
  <c r="B8" i="146"/>
  <c r="L55" i="58"/>
  <c r="F9" i="72"/>
  <c r="R32" i="144"/>
  <c r="K21" i="62"/>
  <c r="Q7" i="150"/>
  <c r="H16" i="150"/>
  <c r="G7" i="155"/>
  <c r="G19" i="155"/>
  <c r="L27" i="155"/>
  <c r="I41" i="155"/>
  <c r="H72" i="155"/>
  <c r="H77" i="155"/>
  <c r="Q6" i="156"/>
  <c r="R11" i="156"/>
  <c r="J19" i="156"/>
  <c r="AA17" i="156"/>
  <c r="J24" i="156"/>
  <c r="M26" i="156"/>
  <c r="P6" i="120"/>
  <c r="P20" i="120"/>
  <c r="F4" i="61"/>
  <c r="I3" i="62"/>
  <c r="F10" i="62"/>
  <c r="J14" i="62"/>
  <c r="J17" i="62"/>
  <c r="J22" i="62"/>
  <c r="F29" i="62"/>
  <c r="E14" i="70"/>
  <c r="W37" i="70"/>
  <c r="E56" i="70"/>
  <c r="K7" i="49"/>
  <c r="E4" i="57"/>
  <c r="K10" i="58"/>
  <c r="K13" i="58"/>
  <c r="W11" i="58"/>
  <c r="O12" i="58"/>
  <c r="I52" i="58"/>
  <c r="I56" i="58"/>
  <c r="H5" i="121"/>
  <c r="I10" i="121"/>
  <c r="K4" i="122"/>
  <c r="I15" i="175"/>
  <c r="R4" i="71"/>
  <c r="F17" i="71"/>
  <c r="F3" i="72"/>
  <c r="L6" i="72"/>
  <c r="G29" i="123"/>
  <c r="E49" i="123"/>
  <c r="E63" i="123"/>
  <c r="E98" i="123"/>
  <c r="G175" i="123"/>
  <c r="AA15" i="131"/>
  <c r="AB19" i="131"/>
  <c r="V21" i="132"/>
  <c r="F13" i="134"/>
  <c r="E9" i="135"/>
  <c r="R9" i="136"/>
  <c r="R25" i="136"/>
  <c r="E12" i="138"/>
  <c r="D9" i="141"/>
  <c r="T26" i="144"/>
  <c r="T32" i="144"/>
  <c r="B58" i="146"/>
  <c r="G7" i="57"/>
  <c r="H18" i="150"/>
  <c r="I7" i="155"/>
  <c r="J12" i="155"/>
  <c r="I19" i="155"/>
  <c r="G25" i="155"/>
  <c r="J41" i="155"/>
  <c r="K59" i="155"/>
  <c r="J72" i="155"/>
  <c r="H78" i="155"/>
  <c r="M13" i="156"/>
  <c r="Q12" i="156"/>
  <c r="J17" i="156"/>
  <c r="AA19" i="156"/>
  <c r="L24" i="156"/>
  <c r="J27" i="156"/>
  <c r="R6" i="120"/>
  <c r="E5" i="61"/>
  <c r="K3" i="62"/>
  <c r="K17" i="62"/>
  <c r="K22" i="62"/>
  <c r="Q24" i="62"/>
  <c r="G29" i="62"/>
  <c r="X37" i="70"/>
  <c r="F56" i="70"/>
  <c r="N7" i="49"/>
  <c r="F4" i="57"/>
  <c r="V6" i="57"/>
  <c r="F10" i="58"/>
  <c r="L10" i="58"/>
  <c r="K14" i="58"/>
  <c r="W12" i="58"/>
  <c r="J52" i="58"/>
  <c r="J56" i="58"/>
  <c r="J5" i="122"/>
  <c r="H9" i="174"/>
  <c r="H3" i="175"/>
  <c r="J16" i="175"/>
  <c r="Q5" i="71"/>
  <c r="I13" i="71"/>
  <c r="H17" i="71"/>
  <c r="G4" i="72"/>
  <c r="K3" i="72"/>
  <c r="F45" i="123"/>
  <c r="G49" i="123"/>
  <c r="F98" i="123"/>
  <c r="F176" i="123"/>
  <c r="Z16" i="131"/>
  <c r="V20" i="131"/>
  <c r="AL20" i="131"/>
  <c r="AA22" i="132"/>
  <c r="E15" i="138"/>
  <c r="U27" i="144"/>
  <c r="B86" i="146"/>
  <c r="X20" i="71"/>
  <c r="W20" i="71"/>
  <c r="V19" i="71"/>
  <c r="P8" i="150"/>
  <c r="L8" i="149"/>
  <c r="H6" i="167"/>
  <c r="L7" i="155"/>
  <c r="H19" i="155"/>
  <c r="L19" i="155"/>
  <c r="L35" i="155"/>
  <c r="G47" i="155"/>
  <c r="N64" i="155"/>
  <c r="J79" i="155"/>
  <c r="H4" i="156"/>
  <c r="O3" i="156"/>
  <c r="O6" i="156"/>
  <c r="O14" i="156"/>
  <c r="O10" i="156"/>
  <c r="Q17" i="156"/>
  <c r="Q20" i="156"/>
  <c r="AC17" i="156"/>
  <c r="P7" i="120"/>
  <c r="S22" i="120"/>
  <c r="P21" i="120"/>
  <c r="R20" i="120"/>
  <c r="Q20" i="120"/>
  <c r="Q22" i="120"/>
  <c r="G6" i="61"/>
  <c r="N11" i="61"/>
  <c r="O27" i="62"/>
  <c r="L39" i="70"/>
  <c r="AC6" i="71"/>
  <c r="AB5" i="71"/>
  <c r="AB3" i="71"/>
  <c r="Z3" i="71"/>
  <c r="X18" i="71"/>
  <c r="K17" i="72"/>
  <c r="I46" i="155"/>
  <c r="I47" i="155"/>
  <c r="J4" i="156"/>
  <c r="Q7" i="120"/>
  <c r="J4" i="61"/>
  <c r="I5" i="61"/>
  <c r="K4" i="61"/>
  <c r="I4" i="61"/>
  <c r="O11" i="61"/>
  <c r="M28" i="62"/>
  <c r="T26" i="70"/>
  <c r="S26" i="70"/>
  <c r="L40" i="70"/>
  <c r="I7" i="49"/>
  <c r="I6" i="49"/>
  <c r="H4" i="49"/>
  <c r="H6" i="49"/>
  <c r="G4" i="49"/>
  <c r="G6" i="49"/>
  <c r="F4" i="49"/>
  <c r="H7" i="49"/>
  <c r="U54" i="58"/>
  <c r="T55" i="58"/>
  <c r="V53" i="58"/>
  <c r="T53" i="58"/>
  <c r="S53" i="58"/>
  <c r="U52" i="58"/>
  <c r="R9" i="150"/>
  <c r="L9" i="149"/>
  <c r="G5" i="155"/>
  <c r="G20" i="155"/>
  <c r="G33" i="155"/>
  <c r="G48" i="155"/>
  <c r="I58" i="155"/>
  <c r="I73" i="155"/>
  <c r="I77" i="155"/>
  <c r="I80" i="155"/>
  <c r="I86" i="155"/>
  <c r="I84" i="155"/>
  <c r="L4" i="156"/>
  <c r="M20" i="156"/>
  <c r="K21" i="156"/>
  <c r="H20" i="156"/>
  <c r="K18" i="156"/>
  <c r="H17" i="156"/>
  <c r="I21" i="156"/>
  <c r="L19" i="156"/>
  <c r="H18" i="156"/>
  <c r="M18" i="156"/>
  <c r="L20" i="156"/>
  <c r="AA20" i="156"/>
  <c r="K33" i="156"/>
  <c r="Q19" i="120"/>
  <c r="J5" i="61"/>
  <c r="M12" i="61"/>
  <c r="G11" i="62"/>
  <c r="F11" i="62"/>
  <c r="E25" i="62"/>
  <c r="G24" i="62"/>
  <c r="F24" i="62"/>
  <c r="E24" i="62"/>
  <c r="R26" i="70"/>
  <c r="L41" i="70"/>
  <c r="I4" i="49"/>
  <c r="M12" i="49"/>
  <c r="L12" i="49"/>
  <c r="N6" i="49"/>
  <c r="N11" i="49"/>
  <c r="L5" i="49"/>
  <c r="L11" i="49"/>
  <c r="N4" i="49"/>
  <c r="V54" i="58"/>
  <c r="F18" i="123"/>
  <c r="E18" i="123"/>
  <c r="E17" i="123"/>
  <c r="E19" i="123"/>
  <c r="G17" i="123"/>
  <c r="F17" i="123"/>
  <c r="L41" i="155"/>
  <c r="N27" i="62"/>
  <c r="M26" i="62"/>
  <c r="N25" i="62"/>
  <c r="M25" i="62"/>
  <c r="L20" i="72"/>
  <c r="L19" i="72"/>
  <c r="N17" i="72"/>
  <c r="N19" i="72"/>
  <c r="M19" i="72"/>
  <c r="K19" i="72"/>
  <c r="L18" i="72"/>
  <c r="M17" i="72"/>
  <c r="L17" i="72"/>
  <c r="F4" i="137"/>
  <c r="F3" i="137"/>
  <c r="K9" i="149"/>
  <c r="F4" i="147"/>
  <c r="I5" i="155"/>
  <c r="G18" i="155"/>
  <c r="H20" i="155"/>
  <c r="L25" i="155"/>
  <c r="I33" i="155"/>
  <c r="H42" i="155"/>
  <c r="H48" i="155"/>
  <c r="L52" i="155"/>
  <c r="K58" i="155"/>
  <c r="H70" i="155"/>
  <c r="J77" i="155"/>
  <c r="J80" i="155"/>
  <c r="H84" i="155"/>
  <c r="Q4" i="156"/>
  <c r="I17" i="156"/>
  <c r="H19" i="156"/>
  <c r="H21" i="156"/>
  <c r="R19" i="120"/>
  <c r="E9" i="61"/>
  <c r="F9" i="61"/>
  <c r="E6" i="61"/>
  <c r="G8" i="61"/>
  <c r="G5" i="61"/>
  <c r="F8" i="61"/>
  <c r="F5" i="61"/>
  <c r="G7" i="61"/>
  <c r="I6" i="61"/>
  <c r="N12" i="61"/>
  <c r="E10" i="62"/>
  <c r="F18" i="62"/>
  <c r="G18" i="62"/>
  <c r="F25" i="62"/>
  <c r="Q29" i="62"/>
  <c r="S25" i="62"/>
  <c r="Q25" i="62"/>
  <c r="S29" i="62"/>
  <c r="R24" i="62"/>
  <c r="F5" i="49"/>
  <c r="M4" i="49"/>
  <c r="E55" i="58"/>
  <c r="E54" i="58"/>
  <c r="F53" i="58"/>
  <c r="O55" i="58"/>
  <c r="P55" i="58"/>
  <c r="O54" i="58"/>
  <c r="N54" i="58"/>
  <c r="P53" i="58"/>
  <c r="O53" i="58"/>
  <c r="I48" i="155"/>
  <c r="S8" i="120"/>
  <c r="Q8" i="120"/>
  <c r="R5" i="120"/>
  <c r="P8" i="120"/>
  <c r="Q5" i="120"/>
  <c r="R7" i="120"/>
  <c r="P5" i="120"/>
  <c r="F12" i="70"/>
  <c r="F13" i="70"/>
  <c r="E13" i="70"/>
  <c r="G12" i="70"/>
  <c r="C38" i="70"/>
  <c r="B38" i="70"/>
  <c r="A38" i="70"/>
  <c r="C37" i="70"/>
  <c r="H15" i="121"/>
  <c r="G15" i="121"/>
  <c r="I14" i="121"/>
  <c r="H13" i="121"/>
  <c r="H8" i="149"/>
  <c r="L39" i="155"/>
  <c r="G46" i="155"/>
  <c r="M6" i="156"/>
  <c r="J5" i="156"/>
  <c r="I11" i="156"/>
  <c r="P13" i="61"/>
  <c r="M13" i="61"/>
  <c r="P10" i="61"/>
  <c r="P12" i="61"/>
  <c r="O10" i="61"/>
  <c r="O12" i="61"/>
  <c r="N10" i="61"/>
  <c r="O13" i="61"/>
  <c r="E12" i="70"/>
  <c r="G7" i="71"/>
  <c r="G9" i="71"/>
  <c r="I6" i="71"/>
  <c r="G5" i="71"/>
  <c r="I4" i="71"/>
  <c r="H4" i="71"/>
  <c r="I18" i="72"/>
  <c r="F19" i="72"/>
  <c r="G14" i="72"/>
  <c r="F17" i="72"/>
  <c r="H18" i="72"/>
  <c r="G18" i="72"/>
  <c r="H16" i="72"/>
  <c r="G16" i="72"/>
  <c r="F15" i="72"/>
  <c r="H14" i="72"/>
  <c r="L78" i="155"/>
  <c r="L6" i="156"/>
  <c r="P15" i="120"/>
  <c r="Q15" i="120"/>
  <c r="Q22" i="62"/>
  <c r="S19" i="62"/>
  <c r="S17" i="62"/>
  <c r="Q17" i="62"/>
  <c r="P7" i="150"/>
  <c r="H9" i="149"/>
  <c r="J18" i="155"/>
  <c r="H46" i="155"/>
  <c r="M60" i="155"/>
  <c r="J78" i="155"/>
  <c r="H3" i="156"/>
  <c r="H7" i="156"/>
  <c r="AB21" i="156"/>
  <c r="AC19" i="156"/>
  <c r="AA18" i="156"/>
  <c r="Q6" i="120"/>
  <c r="Q13" i="120"/>
  <c r="G4" i="61"/>
  <c r="E10" i="61"/>
  <c r="M10" i="61"/>
  <c r="E11" i="62"/>
  <c r="R20" i="62"/>
  <c r="Q27" i="62"/>
  <c r="G13" i="70"/>
  <c r="V38" i="70"/>
  <c r="W36" i="70"/>
  <c r="W35" i="70"/>
  <c r="X34" i="70"/>
  <c r="B39" i="70"/>
  <c r="F6" i="49"/>
  <c r="K9" i="49"/>
  <c r="T60" i="58"/>
  <c r="V61" i="58"/>
  <c r="S61" i="58"/>
  <c r="S59" i="58"/>
  <c r="T58" i="58"/>
  <c r="F13" i="72"/>
  <c r="S12" i="156"/>
  <c r="H25" i="156"/>
  <c r="H27" i="156"/>
  <c r="K19" i="62"/>
  <c r="E6" i="57"/>
  <c r="U7" i="57"/>
  <c r="W13" i="57"/>
  <c r="G13" i="58"/>
  <c r="L11" i="58"/>
  <c r="L13" i="58"/>
  <c r="L15" i="58"/>
  <c r="W14" i="58"/>
  <c r="P12" i="58"/>
  <c r="W19" i="58"/>
  <c r="I37" i="58"/>
  <c r="L5" i="122"/>
  <c r="G4" i="174"/>
  <c r="G4" i="175"/>
  <c r="R3" i="71"/>
  <c r="S5" i="71"/>
  <c r="X3" i="71"/>
  <c r="R11" i="71"/>
  <c r="H15" i="71"/>
  <c r="F18" i="71"/>
  <c r="F140" i="123"/>
  <c r="F139" i="123"/>
  <c r="D22" i="47"/>
  <c r="D20" i="47"/>
  <c r="AR9" i="131"/>
  <c r="I20" i="62"/>
  <c r="M11" i="58"/>
  <c r="M13" i="58"/>
  <c r="Y14" i="58"/>
  <c r="O13" i="58"/>
  <c r="U20" i="58"/>
  <c r="F3" i="121"/>
  <c r="J6" i="122"/>
  <c r="H4" i="174"/>
  <c r="I4" i="175"/>
  <c r="S3" i="71"/>
  <c r="P6" i="71"/>
  <c r="V4" i="71"/>
  <c r="P12" i="71"/>
  <c r="F13" i="71"/>
  <c r="I15" i="71"/>
  <c r="G18" i="71"/>
  <c r="E105" i="123"/>
  <c r="G104" i="123"/>
  <c r="E104" i="123"/>
  <c r="G103" i="123"/>
  <c r="G153" i="123"/>
  <c r="G151" i="123"/>
  <c r="E151" i="123"/>
  <c r="F153" i="123"/>
  <c r="F152" i="123"/>
  <c r="G11" i="134"/>
  <c r="F11" i="134"/>
  <c r="R13" i="156"/>
  <c r="K25" i="156"/>
  <c r="L27" i="156"/>
  <c r="N7" i="62"/>
  <c r="M10" i="62"/>
  <c r="I17" i="62"/>
  <c r="J20" i="62"/>
  <c r="M18" i="62"/>
  <c r="E28" i="62"/>
  <c r="A9" i="70"/>
  <c r="F53" i="70"/>
  <c r="E7" i="57"/>
  <c r="I10" i="58"/>
  <c r="I12" i="58"/>
  <c r="I14" i="58"/>
  <c r="Y10" i="58"/>
  <c r="Q13" i="58"/>
  <c r="W21" i="58"/>
  <c r="G3" i="121"/>
  <c r="H8" i="121"/>
  <c r="J3" i="122"/>
  <c r="K6" i="122"/>
  <c r="I5" i="175"/>
  <c r="P4" i="71"/>
  <c r="Q6" i="71"/>
  <c r="U5" i="71"/>
  <c r="Q13" i="71"/>
  <c r="H13" i="71"/>
  <c r="F16" i="71"/>
  <c r="H18" i="71"/>
  <c r="F57" i="123"/>
  <c r="F55" i="123"/>
  <c r="F104" i="123"/>
  <c r="E152" i="123"/>
  <c r="X21" i="58"/>
  <c r="Q4" i="71"/>
  <c r="R6" i="71"/>
  <c r="V5" i="71"/>
  <c r="G91" i="123"/>
  <c r="E92" i="123"/>
  <c r="E91" i="123"/>
  <c r="E93" i="123"/>
  <c r="G92" i="123"/>
  <c r="F116" i="123"/>
  <c r="F115" i="123"/>
  <c r="E115" i="123"/>
  <c r="F117" i="123"/>
  <c r="G116" i="123"/>
  <c r="E116" i="123"/>
  <c r="F159" i="123"/>
  <c r="E158" i="123"/>
  <c r="G157" i="123"/>
  <c r="E157" i="123"/>
  <c r="G159" i="123"/>
  <c r="E159" i="123"/>
  <c r="W5" i="71"/>
  <c r="F92" i="123"/>
  <c r="J5" i="139"/>
  <c r="K5" i="139"/>
  <c r="P11" i="58"/>
  <c r="V17" i="58"/>
  <c r="G3" i="175"/>
  <c r="I10" i="175"/>
  <c r="P5" i="71"/>
  <c r="U3" i="71"/>
  <c r="X5" i="71"/>
  <c r="U11" i="71"/>
  <c r="N13" i="72"/>
  <c r="L10" i="72"/>
  <c r="F93" i="123"/>
  <c r="E117" i="123"/>
  <c r="G158" i="123"/>
  <c r="E75" i="123"/>
  <c r="G74" i="123"/>
  <c r="E73" i="123"/>
  <c r="G133" i="123"/>
  <c r="F133" i="123"/>
  <c r="E133" i="123"/>
  <c r="E135" i="123"/>
  <c r="F134" i="123"/>
  <c r="AS12" i="131"/>
  <c r="AS11" i="131"/>
  <c r="AT8" i="131"/>
  <c r="AP6" i="131"/>
  <c r="AR11" i="131"/>
  <c r="AR8" i="131"/>
  <c r="AU5" i="131"/>
  <c r="AQ11" i="131"/>
  <c r="AP8" i="131"/>
  <c r="AQ5" i="131"/>
  <c r="AS10" i="131"/>
  <c r="AU7" i="131"/>
  <c r="AT4" i="131"/>
  <c r="AP10" i="131"/>
  <c r="AS7" i="131"/>
  <c r="AS4" i="131"/>
  <c r="AU12" i="131"/>
  <c r="AU9" i="131"/>
  <c r="AP7" i="131"/>
  <c r="AR4" i="131"/>
  <c r="AR12" i="131"/>
  <c r="AT9" i="131"/>
  <c r="AS6" i="131"/>
  <c r="AP4" i="131"/>
  <c r="G178" i="123"/>
  <c r="G9" i="48"/>
  <c r="K11" i="48"/>
  <c r="AB15" i="131"/>
  <c r="W17" i="131"/>
  <c r="AB18" i="131"/>
  <c r="W20" i="131"/>
  <c r="AB21" i="131"/>
  <c r="X23" i="131"/>
  <c r="Z15" i="132"/>
  <c r="Z17" i="132"/>
  <c r="X19" i="132"/>
  <c r="W21" i="132"/>
  <c r="W23" i="132"/>
  <c r="AL15" i="132"/>
  <c r="AL19" i="132"/>
  <c r="AI23" i="132"/>
  <c r="C7" i="135"/>
  <c r="F8" i="135"/>
  <c r="S3" i="136"/>
  <c r="K6" i="136"/>
  <c r="S9" i="136"/>
  <c r="Q19" i="136"/>
  <c r="P22" i="136"/>
  <c r="E6" i="138"/>
  <c r="V26" i="144"/>
  <c r="X28" i="144"/>
  <c r="S31" i="144"/>
  <c r="Y4" i="145"/>
  <c r="T7" i="145"/>
  <c r="T9" i="145"/>
  <c r="X12" i="145"/>
  <c r="T15" i="145"/>
  <c r="T17" i="145"/>
  <c r="B10" i="146"/>
  <c r="B38" i="146"/>
  <c r="B60" i="146"/>
  <c r="B88" i="146"/>
  <c r="F15" i="146"/>
  <c r="F61" i="123"/>
  <c r="E10" i="48"/>
  <c r="V16" i="131"/>
  <c r="Z17" i="131"/>
  <c r="AC18" i="131"/>
  <c r="Z20" i="131"/>
  <c r="V22" i="131"/>
  <c r="Z23" i="131"/>
  <c r="AC15" i="132"/>
  <c r="AA17" i="132"/>
  <c r="AA19" i="132"/>
  <c r="X21" i="132"/>
  <c r="X23" i="132"/>
  <c r="AI16" i="132"/>
  <c r="AI20" i="132"/>
  <c r="AK23" i="132"/>
  <c r="P4" i="136"/>
  <c r="P10" i="136"/>
  <c r="F18" i="140"/>
  <c r="X26" i="144"/>
  <c r="S29" i="144"/>
  <c r="U31" i="144"/>
  <c r="M4" i="145"/>
  <c r="T5" i="145"/>
  <c r="V7" i="145"/>
  <c r="V9" i="145"/>
  <c r="T13" i="145"/>
  <c r="U15" i="145"/>
  <c r="V17" i="145"/>
  <c r="B12" i="146"/>
  <c r="B40" i="146"/>
  <c r="B68" i="146"/>
  <c r="B90" i="146"/>
  <c r="A9" i="48"/>
  <c r="G10" i="48"/>
  <c r="W16" i="131"/>
  <c r="AA17" i="131"/>
  <c r="V19" i="131"/>
  <c r="AA20" i="131"/>
  <c r="W22" i="131"/>
  <c r="AA23" i="131"/>
  <c r="AU7" i="132"/>
  <c r="X16" i="132"/>
  <c r="AC17" i="132"/>
  <c r="AC19" i="132"/>
  <c r="Z21" i="132"/>
  <c r="Y23" i="132"/>
  <c r="AL16" i="132"/>
  <c r="AK20" i="132"/>
  <c r="F15" i="134"/>
  <c r="H4" i="135"/>
  <c r="H5" i="135"/>
  <c r="F9" i="135"/>
  <c r="Q4" i="136"/>
  <c r="Q10" i="136"/>
  <c r="Q13" i="136"/>
  <c r="H17" i="136"/>
  <c r="E8" i="138"/>
  <c r="O7" i="138"/>
  <c r="B15" i="140"/>
  <c r="B18" i="140" s="1" a="1"/>
  <c r="B18" i="140" s="1"/>
  <c r="S27" i="144"/>
  <c r="U29" i="144"/>
  <c r="W31" i="144"/>
  <c r="K7" i="145"/>
  <c r="V5" i="145"/>
  <c r="W7" i="145"/>
  <c r="X9" i="145"/>
  <c r="V13" i="145"/>
  <c r="V15" i="145"/>
  <c r="X17" i="145"/>
  <c r="B20" i="146"/>
  <c r="B42" i="146"/>
  <c r="B70" i="146"/>
  <c r="B92" i="146"/>
  <c r="G8" i="72"/>
  <c r="L4" i="72"/>
  <c r="F48" i="123"/>
  <c r="G51" i="123"/>
  <c r="F63" i="123"/>
  <c r="E163" i="123"/>
  <c r="E176" i="123"/>
  <c r="A10" i="48"/>
  <c r="E11" i="48"/>
  <c r="V15" i="131"/>
  <c r="Y16" i="131"/>
  <c r="AB17" i="131"/>
  <c r="X19" i="131"/>
  <c r="AC20" i="131"/>
  <c r="X22" i="131"/>
  <c r="AC23" i="131"/>
  <c r="AU9" i="132"/>
  <c r="Y16" i="132"/>
  <c r="W18" i="132"/>
  <c r="V20" i="132"/>
  <c r="V22" i="132"/>
  <c r="Z23" i="132"/>
  <c r="AK17" i="132"/>
  <c r="AL20" i="132"/>
  <c r="R4" i="136"/>
  <c r="R10" i="136"/>
  <c r="P24" i="136"/>
  <c r="E9" i="138"/>
  <c r="O10" i="138"/>
  <c r="C17" i="140"/>
  <c r="X5" i="145"/>
  <c r="X7" i="145"/>
  <c r="X13" i="145"/>
  <c r="X15" i="145"/>
  <c r="Y17" i="145"/>
  <c r="B22" i="146"/>
  <c r="B44" i="146"/>
  <c r="B72" i="146"/>
  <c r="B100" i="146"/>
  <c r="Z16" i="132"/>
  <c r="Z18" i="132"/>
  <c r="W20" i="132"/>
  <c r="W22" i="132"/>
  <c r="AC23" i="132"/>
  <c r="AL17" i="132"/>
  <c r="AJ21" i="132"/>
  <c r="T6" i="145"/>
  <c r="T8" i="145"/>
  <c r="Y13" i="145"/>
  <c r="T16" i="145"/>
  <c r="B24" i="146"/>
  <c r="B52" i="146"/>
  <c r="B74" i="146"/>
  <c r="B102" i="146"/>
  <c r="F10" i="146"/>
  <c r="E164" i="123"/>
  <c r="B23" i="63"/>
  <c r="AI17" i="131"/>
  <c r="W15" i="132"/>
  <c r="AA16" i="132"/>
  <c r="AA18" i="132"/>
  <c r="Y20" i="132"/>
  <c r="X22" i="132"/>
  <c r="AI18" i="132"/>
  <c r="AI22" i="132"/>
  <c r="F7" i="134"/>
  <c r="P3" i="136"/>
  <c r="P9" i="136"/>
  <c r="R18" i="136"/>
  <c r="E13" i="138"/>
  <c r="G15" i="140"/>
  <c r="R28" i="144"/>
  <c r="T30" i="144"/>
  <c r="V32" i="144"/>
  <c r="T4" i="145"/>
  <c r="U6" i="145"/>
  <c r="V8" i="145"/>
  <c r="T12" i="145"/>
  <c r="T14" i="145"/>
  <c r="V16" i="145"/>
  <c r="B4" i="146"/>
  <c r="B26" i="146"/>
  <c r="B54" i="146"/>
  <c r="B76" i="146"/>
  <c r="F12" i="146"/>
  <c r="H4" i="72"/>
  <c r="M5" i="72"/>
  <c r="E46" i="123"/>
  <c r="E99" i="123"/>
  <c r="F164" i="123"/>
  <c r="E178" i="123"/>
  <c r="E9" i="48"/>
  <c r="I9" i="48"/>
  <c r="B24" i="63"/>
  <c r="Z15" i="131"/>
  <c r="AB16" i="131"/>
  <c r="X18" i="131"/>
  <c r="AC19" i="131"/>
  <c r="X21" i="131"/>
  <c r="AI18" i="131"/>
  <c r="X15" i="132"/>
  <c r="V17" i="132"/>
  <c r="AC18" i="132"/>
  <c r="AC20" i="132"/>
  <c r="Y22" i="132"/>
  <c r="AJ15" i="132"/>
  <c r="AK18" i="132"/>
  <c r="AK22" i="132"/>
  <c r="K15" i="134"/>
  <c r="F7" i="135"/>
  <c r="Q3" i="136"/>
  <c r="Q9" i="136"/>
  <c r="S18" i="136"/>
  <c r="R21" i="136"/>
  <c r="E4" i="138"/>
  <c r="E14" i="138"/>
  <c r="R26" i="144"/>
  <c r="T28" i="144"/>
  <c r="V30" i="144"/>
  <c r="X32" i="144"/>
  <c r="V4" i="145"/>
  <c r="V6" i="145"/>
  <c r="X8" i="145"/>
  <c r="V12" i="145"/>
  <c r="V14" i="145"/>
  <c r="W16" i="145"/>
  <c r="B6" i="146"/>
  <c r="B28" i="146"/>
  <c r="B56" i="146"/>
  <c r="B84" i="146"/>
  <c r="F13" i="146"/>
  <c r="J7" i="70"/>
  <c r="J9" i="70"/>
  <c r="I9" i="70"/>
  <c r="J8" i="70"/>
  <c r="I8" i="70"/>
  <c r="I7" i="70"/>
  <c r="J6" i="70"/>
  <c r="J10" i="70"/>
  <c r="I6" i="70"/>
  <c r="W242" i="59"/>
  <c r="Y241" i="59"/>
  <c r="X241" i="59"/>
  <c r="Y243" i="59"/>
  <c r="W241" i="59"/>
  <c r="X243" i="59"/>
  <c r="Y240" i="59"/>
  <c r="W243" i="59"/>
  <c r="X240" i="59"/>
  <c r="Y242" i="59"/>
  <c r="W240" i="59"/>
  <c r="G4" i="62"/>
  <c r="F4" i="62"/>
  <c r="E4" i="62"/>
  <c r="G3" i="62"/>
  <c r="F3" i="62"/>
  <c r="E3" i="62"/>
  <c r="Q5" i="72"/>
  <c r="Q3" i="72"/>
  <c r="R6" i="72"/>
  <c r="R4" i="72"/>
  <c r="Q6" i="72"/>
  <c r="Q4" i="72"/>
  <c r="P6" i="72"/>
  <c r="P4" i="72"/>
  <c r="S5" i="72"/>
  <c r="S3" i="72"/>
  <c r="S6" i="72"/>
  <c r="R5" i="72"/>
  <c r="P5" i="72"/>
  <c r="S4" i="72"/>
  <c r="R3" i="72"/>
  <c r="P3" i="72"/>
  <c r="A13" i="56"/>
  <c r="B10" i="56"/>
  <c r="A12" i="56"/>
  <c r="C13" i="56"/>
  <c r="A10" i="56"/>
  <c r="C12" i="56"/>
  <c r="B12" i="56"/>
  <c r="C11" i="56"/>
  <c r="B11" i="56"/>
  <c r="A11" i="56"/>
  <c r="B13" i="56"/>
  <c r="C10" i="56"/>
  <c r="I66" i="155"/>
  <c r="M64" i="155"/>
  <c r="N65" i="155"/>
  <c r="L64" i="155"/>
  <c r="M65" i="155"/>
  <c r="K64" i="155"/>
  <c r="J65" i="155"/>
  <c r="N66" i="155"/>
  <c r="L65" i="155"/>
  <c r="J64" i="155"/>
  <c r="L66" i="155"/>
  <c r="M66" i="155"/>
  <c r="K65" i="155"/>
  <c r="I64" i="155"/>
  <c r="K66" i="155"/>
  <c r="I65" i="155"/>
  <c r="L13" i="156"/>
  <c r="J12" i="156"/>
  <c r="H11" i="156"/>
  <c r="M14" i="156"/>
  <c r="K13" i="156"/>
  <c r="I12" i="156"/>
  <c r="M10" i="156"/>
  <c r="L14" i="156"/>
  <c r="J13" i="156"/>
  <c r="H12" i="156"/>
  <c r="L10" i="156"/>
  <c r="K14" i="156"/>
  <c r="I13" i="156"/>
  <c r="M11" i="156"/>
  <c r="K10" i="156"/>
  <c r="J14" i="156"/>
  <c r="H13" i="156"/>
  <c r="L11" i="156"/>
  <c r="J10" i="156"/>
  <c r="M12" i="156"/>
  <c r="K11" i="156"/>
  <c r="I10" i="156"/>
  <c r="I14" i="156"/>
  <c r="H14" i="156"/>
  <c r="L12" i="156"/>
  <c r="J11" i="156"/>
  <c r="H10" i="156"/>
  <c r="X242" i="59"/>
  <c r="W6" i="150"/>
  <c r="V6" i="150"/>
  <c r="X5" i="150"/>
  <c r="W5" i="150"/>
  <c r="X7" i="150"/>
  <c r="V5" i="150"/>
  <c r="V7" i="150"/>
  <c r="G53" i="155"/>
  <c r="J54" i="155"/>
  <c r="J52" i="155"/>
  <c r="I54" i="155"/>
  <c r="I52" i="155"/>
  <c r="J53" i="155"/>
  <c r="H54" i="155"/>
  <c r="H52" i="155"/>
  <c r="G54" i="155"/>
  <c r="G52" i="155"/>
  <c r="I53" i="155"/>
  <c r="L48" i="155"/>
  <c r="L47" i="155"/>
  <c r="L46" i="155"/>
  <c r="X6" i="150"/>
  <c r="H53" i="155"/>
  <c r="O21" i="156"/>
  <c r="O20" i="156"/>
  <c r="O19" i="156"/>
  <c r="O18" i="156"/>
  <c r="O17" i="156"/>
  <c r="L34" i="156"/>
  <c r="J33" i="156"/>
  <c r="H32" i="156"/>
  <c r="M35" i="156"/>
  <c r="K34" i="156"/>
  <c r="I33" i="156"/>
  <c r="M31" i="156"/>
  <c r="L35" i="156"/>
  <c r="J34" i="156"/>
  <c r="H33" i="156"/>
  <c r="L31" i="156"/>
  <c r="K35" i="156"/>
  <c r="I34" i="156"/>
  <c r="M32" i="156"/>
  <c r="K31" i="156"/>
  <c r="J35" i="156"/>
  <c r="H34" i="156"/>
  <c r="L32" i="156"/>
  <c r="J31" i="156"/>
  <c r="I35" i="156"/>
  <c r="M33" i="156"/>
  <c r="K32" i="156"/>
  <c r="I31" i="156"/>
  <c r="H35" i="156"/>
  <c r="L33" i="156"/>
  <c r="J32" i="156"/>
  <c r="H31" i="156"/>
  <c r="H13" i="150"/>
  <c r="H12" i="150"/>
  <c r="H11" i="150"/>
  <c r="H10" i="150"/>
  <c r="K28" i="62"/>
  <c r="I26" i="62"/>
  <c r="J28" i="62"/>
  <c r="K25" i="62"/>
  <c r="I28" i="62"/>
  <c r="J25" i="62"/>
  <c r="K27" i="62"/>
  <c r="I25" i="62"/>
  <c r="J27" i="62"/>
  <c r="K24" i="62"/>
  <c r="K29" i="62"/>
  <c r="I27" i="62"/>
  <c r="J24" i="62"/>
  <c r="J29" i="62"/>
  <c r="K26" i="62"/>
  <c r="I24" i="62"/>
  <c r="K12" i="71"/>
  <c r="K10" i="71"/>
  <c r="L13" i="71"/>
  <c r="L11" i="71"/>
  <c r="K13" i="71"/>
  <c r="K11" i="71"/>
  <c r="N12" i="71"/>
  <c r="N10" i="71"/>
  <c r="M12" i="71"/>
  <c r="M10" i="71"/>
  <c r="N13" i="71"/>
  <c r="M13" i="71"/>
  <c r="L12" i="71"/>
  <c r="N11" i="71"/>
  <c r="M11" i="71"/>
  <c r="L10" i="71"/>
  <c r="F9" i="149"/>
  <c r="E9" i="149"/>
  <c r="F8" i="149"/>
  <c r="E8" i="149"/>
  <c r="L85" i="155"/>
  <c r="L84" i="155"/>
  <c r="J26" i="62"/>
  <c r="M11" i="70"/>
  <c r="L11" i="70"/>
  <c r="M10" i="70"/>
  <c r="L10" i="70"/>
  <c r="R7" i="150"/>
  <c r="I8" i="149"/>
  <c r="H5" i="155"/>
  <c r="H7" i="155"/>
  <c r="G13" i="155"/>
  <c r="I25" i="155"/>
  <c r="I27" i="155"/>
  <c r="H33" i="155"/>
  <c r="H35" i="155"/>
  <c r="G40" i="155"/>
  <c r="G42" i="155"/>
  <c r="J46" i="155"/>
  <c r="J48" i="155"/>
  <c r="J58" i="155"/>
  <c r="L59" i="155"/>
  <c r="N60" i="155"/>
  <c r="H71" i="155"/>
  <c r="J73" i="155"/>
  <c r="H85" i="155"/>
  <c r="J87" i="155"/>
  <c r="I3" i="156"/>
  <c r="K4" i="156"/>
  <c r="M5" i="156"/>
  <c r="I7" i="156"/>
  <c r="O5" i="156"/>
  <c r="Q7" i="156"/>
  <c r="O11" i="156"/>
  <c r="Q11" i="156"/>
  <c r="S13" i="156"/>
  <c r="I18" i="156"/>
  <c r="K19" i="156"/>
  <c r="Q19" i="156"/>
  <c r="W19" i="156"/>
  <c r="Z18" i="156"/>
  <c r="Z20" i="156"/>
  <c r="K24" i="156"/>
  <c r="M25" i="156"/>
  <c r="I27" i="156"/>
  <c r="K28" i="156"/>
  <c r="S5" i="120"/>
  <c r="S7" i="120"/>
  <c r="R13" i="120"/>
  <c r="R15" i="120"/>
  <c r="S19" i="120"/>
  <c r="S21" i="120"/>
  <c r="K5" i="61"/>
  <c r="AA20" i="61"/>
  <c r="J3" i="62"/>
  <c r="I6" i="62"/>
  <c r="K8" i="62"/>
  <c r="M5" i="62"/>
  <c r="O7" i="62"/>
  <c r="J11" i="62"/>
  <c r="I14" i="62"/>
  <c r="N10" i="62"/>
  <c r="M13" i="62"/>
  <c r="O15" i="62"/>
  <c r="J19" i="62"/>
  <c r="I22" i="62"/>
  <c r="N18" i="62"/>
  <c r="M21" i="62"/>
  <c r="R17" i="62"/>
  <c r="Q20" i="62"/>
  <c r="S22" i="62"/>
  <c r="O25" i="62"/>
  <c r="N28" i="62"/>
  <c r="S24" i="62"/>
  <c r="R27" i="62"/>
  <c r="B9" i="70"/>
  <c r="S35" i="70"/>
  <c r="V35" i="70"/>
  <c r="A39" i="70"/>
  <c r="M40" i="70"/>
  <c r="G53" i="70"/>
  <c r="G56" i="70"/>
  <c r="K5" i="49"/>
  <c r="L7" i="49"/>
  <c r="N9" i="49"/>
  <c r="K12" i="49"/>
  <c r="U13" i="57"/>
  <c r="V12" i="57"/>
  <c r="F11" i="58"/>
  <c r="F13" i="58"/>
  <c r="G10" i="58"/>
  <c r="E13" i="58"/>
  <c r="Y11" i="58"/>
  <c r="W17" i="58"/>
  <c r="Y19" i="58"/>
  <c r="Y21" i="58"/>
  <c r="H34" i="58"/>
  <c r="G53" i="58"/>
  <c r="U58" i="58"/>
  <c r="F15" i="121"/>
  <c r="H6" i="71"/>
  <c r="AA5" i="71"/>
  <c r="AA3" i="71"/>
  <c r="AB6" i="71"/>
  <c r="AB4" i="71"/>
  <c r="AA6" i="71"/>
  <c r="AA4" i="71"/>
  <c r="Z6" i="71"/>
  <c r="Z4" i="71"/>
  <c r="AC5" i="71"/>
  <c r="AC3" i="71"/>
  <c r="X11" i="71"/>
  <c r="M11" i="72"/>
  <c r="E35" i="123"/>
  <c r="G35" i="123"/>
  <c r="G55" i="123"/>
  <c r="E55" i="123"/>
  <c r="E57" i="123"/>
  <c r="G56" i="123"/>
  <c r="F56" i="123"/>
  <c r="E56" i="123"/>
  <c r="AJ20" i="131"/>
  <c r="AR9" i="132"/>
  <c r="S13" i="120"/>
  <c r="S15" i="120"/>
  <c r="AB20" i="61"/>
  <c r="N5" i="62"/>
  <c r="M8" i="62"/>
  <c r="B12" i="70"/>
  <c r="C9" i="70"/>
  <c r="A7" i="70"/>
  <c r="A10" i="70"/>
  <c r="T36" i="70"/>
  <c r="R34" i="70"/>
  <c r="T35" i="70"/>
  <c r="T38" i="70"/>
  <c r="K12" i="57"/>
  <c r="I10" i="57"/>
  <c r="I12" i="57"/>
  <c r="E35" i="58"/>
  <c r="E34" i="58"/>
  <c r="H5" i="122"/>
  <c r="F3" i="122"/>
  <c r="H4" i="122"/>
  <c r="G4" i="122"/>
  <c r="H6" i="122"/>
  <c r="F4" i="122"/>
  <c r="G6" i="122"/>
  <c r="H3" i="122"/>
  <c r="F17" i="174"/>
  <c r="F16" i="174"/>
  <c r="H15" i="174"/>
  <c r="G15" i="174"/>
  <c r="H17" i="174"/>
  <c r="F15" i="174"/>
  <c r="N11" i="72"/>
  <c r="G23" i="123"/>
  <c r="F23" i="123"/>
  <c r="F25" i="123"/>
  <c r="E25" i="123"/>
  <c r="G24" i="123"/>
  <c r="F24" i="123"/>
  <c r="B20" i="140"/>
  <c r="C20" i="140"/>
  <c r="Q8" i="150"/>
  <c r="J5" i="155"/>
  <c r="J7" i="155"/>
  <c r="I13" i="155"/>
  <c r="G26" i="155"/>
  <c r="G28" i="155"/>
  <c r="J33" i="155"/>
  <c r="J35" i="155"/>
  <c r="I40" i="155"/>
  <c r="I42" i="155"/>
  <c r="H47" i="155"/>
  <c r="L58" i="155"/>
  <c r="N59" i="155"/>
  <c r="J71" i="155"/>
  <c r="L70" i="155"/>
  <c r="J85" i="155"/>
  <c r="K3" i="156"/>
  <c r="M4" i="156"/>
  <c r="I6" i="156"/>
  <c r="K7" i="156"/>
  <c r="O7" i="156"/>
  <c r="O13" i="156"/>
  <c r="S11" i="156"/>
  <c r="R14" i="156"/>
  <c r="Q21" i="156"/>
  <c r="W21" i="156"/>
  <c r="AB18" i="156"/>
  <c r="AB20" i="156"/>
  <c r="I26" i="156"/>
  <c r="K27" i="156"/>
  <c r="M28" i="156"/>
  <c r="P12" i="120"/>
  <c r="P14" i="120"/>
  <c r="J6" i="61"/>
  <c r="AA18" i="61"/>
  <c r="AC20" i="61"/>
  <c r="I4" i="62"/>
  <c r="K6" i="62"/>
  <c r="M3" i="62"/>
  <c r="O5" i="62"/>
  <c r="N8" i="62"/>
  <c r="I12" i="62"/>
  <c r="K14" i="62"/>
  <c r="M11" i="62"/>
  <c r="O13" i="62"/>
  <c r="E17" i="62"/>
  <c r="M19" i="62"/>
  <c r="O21" i="62"/>
  <c r="Q18" i="62"/>
  <c r="S20" i="62"/>
  <c r="E21" i="62"/>
  <c r="N26" i="62"/>
  <c r="M29" i="62"/>
  <c r="R25" i="62"/>
  <c r="Q28" i="62"/>
  <c r="B7" i="70"/>
  <c r="B10" i="70"/>
  <c r="R8" i="70"/>
  <c r="R33" i="70"/>
  <c r="R36" i="70"/>
  <c r="W38" i="70"/>
  <c r="X35" i="70"/>
  <c r="V33" i="70"/>
  <c r="V36" i="70"/>
  <c r="C39" i="70"/>
  <c r="M41" i="70"/>
  <c r="F54" i="70"/>
  <c r="N5" i="49"/>
  <c r="K8" i="49"/>
  <c r="L10" i="49"/>
  <c r="W5" i="57"/>
  <c r="W7" i="57"/>
  <c r="U5" i="57"/>
  <c r="J10" i="57"/>
  <c r="V14" i="58"/>
  <c r="V12" i="58"/>
  <c r="V10" i="58"/>
  <c r="X13" i="58"/>
  <c r="X11" i="58"/>
  <c r="X12" i="58"/>
  <c r="V18" i="58"/>
  <c r="V20" i="58"/>
  <c r="D34" i="58"/>
  <c r="I35" i="58"/>
  <c r="F54" i="58"/>
  <c r="T54" i="58"/>
  <c r="T52" i="58"/>
  <c r="S54" i="58"/>
  <c r="S52" i="58"/>
  <c r="U55" i="58"/>
  <c r="U53" i="58"/>
  <c r="S55" i="58"/>
  <c r="V59" i="58"/>
  <c r="G3" i="122"/>
  <c r="G16" i="174"/>
  <c r="V13" i="71"/>
  <c r="U19" i="71"/>
  <c r="U17" i="71"/>
  <c r="V20" i="71"/>
  <c r="V18" i="71"/>
  <c r="U20" i="71"/>
  <c r="U18" i="71"/>
  <c r="X19" i="71"/>
  <c r="X17" i="71"/>
  <c r="W19" i="71"/>
  <c r="W17" i="71"/>
  <c r="L12" i="72"/>
  <c r="E23" i="123"/>
  <c r="U13" i="56"/>
  <c r="U11" i="56"/>
  <c r="V12" i="56"/>
  <c r="V10" i="56"/>
  <c r="U12" i="56"/>
  <c r="W11" i="56"/>
  <c r="X13" i="56"/>
  <c r="V11" i="56"/>
  <c r="W13" i="56"/>
  <c r="X10" i="56"/>
  <c r="V13" i="56"/>
  <c r="W10" i="56"/>
  <c r="X12" i="56"/>
  <c r="U10" i="56"/>
  <c r="R8" i="150"/>
  <c r="G6" i="155"/>
  <c r="J13" i="155"/>
  <c r="H26" i="155"/>
  <c r="H28" i="155"/>
  <c r="G34" i="155"/>
  <c r="J40" i="155"/>
  <c r="J42" i="155"/>
  <c r="M58" i="155"/>
  <c r="I60" i="155"/>
  <c r="L3" i="156"/>
  <c r="H5" i="156"/>
  <c r="J6" i="156"/>
  <c r="L7" i="156"/>
  <c r="AC18" i="156"/>
  <c r="AC20" i="156"/>
  <c r="Q12" i="120"/>
  <c r="Q14" i="120"/>
  <c r="AB18" i="61"/>
  <c r="J4" i="62"/>
  <c r="I7" i="62"/>
  <c r="N3" i="62"/>
  <c r="M6" i="62"/>
  <c r="O8" i="62"/>
  <c r="J12" i="62"/>
  <c r="I15" i="62"/>
  <c r="N11" i="62"/>
  <c r="M14" i="62"/>
  <c r="F17" i="62"/>
  <c r="N19" i="62"/>
  <c r="M22" i="62"/>
  <c r="R18" i="62"/>
  <c r="Q21" i="62"/>
  <c r="F21" i="62"/>
  <c r="M24" i="62"/>
  <c r="O26" i="62"/>
  <c r="N29" i="62"/>
  <c r="C7" i="70"/>
  <c r="C10" i="70"/>
  <c r="S8" i="70"/>
  <c r="S33" i="70"/>
  <c r="S36" i="70"/>
  <c r="F55" i="70"/>
  <c r="G52" i="70"/>
  <c r="G54" i="70"/>
  <c r="G57" i="70"/>
  <c r="M13" i="49"/>
  <c r="M11" i="49"/>
  <c r="M9" i="49"/>
  <c r="M7" i="49"/>
  <c r="M5" i="49"/>
  <c r="K6" i="49"/>
  <c r="L8" i="49"/>
  <c r="M10" i="49"/>
  <c r="N12" i="49"/>
  <c r="V5" i="57"/>
  <c r="K10" i="57"/>
  <c r="W11" i="57"/>
  <c r="W10" i="58"/>
  <c r="Y12" i="58"/>
  <c r="AA10" i="58"/>
  <c r="W18" i="58"/>
  <c r="W20" i="58"/>
  <c r="D35" i="58"/>
  <c r="G36" i="58"/>
  <c r="S60" i="58"/>
  <c r="H16" i="121"/>
  <c r="H14" i="121"/>
  <c r="G16" i="121"/>
  <c r="G14" i="121"/>
  <c r="F16" i="121"/>
  <c r="F14" i="121"/>
  <c r="I15" i="121"/>
  <c r="I13" i="121"/>
  <c r="I16" i="121"/>
  <c r="F5" i="122"/>
  <c r="H16" i="174"/>
  <c r="F9" i="71"/>
  <c r="F7" i="71"/>
  <c r="F5" i="71"/>
  <c r="F3" i="71"/>
  <c r="G8" i="71"/>
  <c r="G6" i="71"/>
  <c r="G4" i="71"/>
  <c r="F8" i="71"/>
  <c r="F6" i="71"/>
  <c r="F4" i="71"/>
  <c r="I9" i="71"/>
  <c r="I7" i="71"/>
  <c r="I5" i="71"/>
  <c r="I3" i="71"/>
  <c r="H9" i="71"/>
  <c r="H7" i="71"/>
  <c r="H5" i="71"/>
  <c r="H3" i="71"/>
  <c r="H8" i="71"/>
  <c r="AC4" i="71"/>
  <c r="V17" i="71"/>
  <c r="M13" i="72"/>
  <c r="E24" i="123"/>
  <c r="AU12" i="132"/>
  <c r="AS11" i="132"/>
  <c r="AQ10" i="132"/>
  <c r="AU8" i="132"/>
  <c r="AS7" i="132"/>
  <c r="AQ6" i="132"/>
  <c r="AU4" i="132"/>
  <c r="AT11" i="132"/>
  <c r="AP10" i="132"/>
  <c r="AS8" i="132"/>
  <c r="AP7" i="132"/>
  <c r="AS5" i="132"/>
  <c r="AP4" i="132"/>
  <c r="AS12" i="132"/>
  <c r="AP11" i="132"/>
  <c r="AS9" i="132"/>
  <c r="AP8" i="132"/>
  <c r="AS6" i="132"/>
  <c r="AP5" i="132"/>
  <c r="AU11" i="132"/>
  <c r="AT9" i="132"/>
  <c r="AT7" i="132"/>
  <c r="AT5" i="132"/>
  <c r="AQ11" i="132"/>
  <c r="AQ9" i="132"/>
  <c r="AQ7" i="132"/>
  <c r="AQ5" i="132"/>
  <c r="AU10" i="132"/>
  <c r="AP9" i="132"/>
  <c r="AU6" i="132"/>
  <c r="AT4" i="132"/>
  <c r="AT12" i="132"/>
  <c r="AT10" i="132"/>
  <c r="AT8" i="132"/>
  <c r="AT6" i="132"/>
  <c r="AS4" i="132"/>
  <c r="AR12" i="132"/>
  <c r="AS10" i="132"/>
  <c r="AR8" i="132"/>
  <c r="AR6" i="132"/>
  <c r="AR4" i="132"/>
  <c r="AQ12" i="132"/>
  <c r="AR10" i="132"/>
  <c r="AQ8" i="132"/>
  <c r="AP6" i="132"/>
  <c r="AQ4" i="132"/>
  <c r="AP12" i="132"/>
  <c r="P9" i="150"/>
  <c r="H6" i="155"/>
  <c r="G12" i="155"/>
  <c r="I26" i="155"/>
  <c r="I28" i="155"/>
  <c r="H34" i="155"/>
  <c r="G39" i="155"/>
  <c r="N58" i="155"/>
  <c r="J60" i="155"/>
  <c r="M3" i="156"/>
  <c r="I5" i="156"/>
  <c r="K6" i="156"/>
  <c r="M7" i="156"/>
  <c r="Q3" i="156"/>
  <c r="Z17" i="156"/>
  <c r="Z19" i="156"/>
  <c r="Z21" i="156"/>
  <c r="I25" i="156"/>
  <c r="K26" i="156"/>
  <c r="S6" i="120"/>
  <c r="R12" i="120"/>
  <c r="R14" i="120"/>
  <c r="S20" i="120"/>
  <c r="F6" i="61"/>
  <c r="P11" i="61"/>
  <c r="AC18" i="61"/>
  <c r="K4" i="62"/>
  <c r="J7" i="62"/>
  <c r="O3" i="62"/>
  <c r="N6" i="62"/>
  <c r="I10" i="62"/>
  <c r="K12" i="62"/>
  <c r="J15" i="62"/>
  <c r="O11" i="62"/>
  <c r="N14" i="62"/>
  <c r="G17" i="62"/>
  <c r="I18" i="62"/>
  <c r="M17" i="62"/>
  <c r="O19" i="62"/>
  <c r="N22" i="62"/>
  <c r="S18" i="62"/>
  <c r="R21" i="62"/>
  <c r="G21" i="62"/>
  <c r="N24" i="62"/>
  <c r="M27" i="62"/>
  <c r="O29" i="62"/>
  <c r="Q26" i="62"/>
  <c r="S28" i="62"/>
  <c r="A8" i="70"/>
  <c r="A11" i="70"/>
  <c r="G14" i="70"/>
  <c r="T33" i="70"/>
  <c r="R37" i="70"/>
  <c r="X33" i="70"/>
  <c r="X36" i="70"/>
  <c r="B37" i="70"/>
  <c r="L38" i="70"/>
  <c r="E52" i="70"/>
  <c r="E55" i="70"/>
  <c r="K4" i="49"/>
  <c r="L6" i="49"/>
  <c r="M8" i="49"/>
  <c r="N10" i="49"/>
  <c r="K13" i="49"/>
  <c r="U6" i="57"/>
  <c r="I11" i="57"/>
  <c r="U12" i="57"/>
  <c r="G11" i="58"/>
  <c r="X10" i="58"/>
  <c r="V13" i="58"/>
  <c r="AA12" i="58"/>
  <c r="X18" i="58"/>
  <c r="D36" i="58"/>
  <c r="H36" i="58"/>
  <c r="K55" i="58"/>
  <c r="K53" i="58"/>
  <c r="J55" i="58"/>
  <c r="J53" i="58"/>
  <c r="L56" i="58"/>
  <c r="L54" i="58"/>
  <c r="L52" i="58"/>
  <c r="K54" i="58"/>
  <c r="V52" i="58"/>
  <c r="V55" i="58"/>
  <c r="F13" i="121"/>
  <c r="G5" i="122"/>
  <c r="G17" i="174"/>
  <c r="H17" i="175"/>
  <c r="H15" i="175"/>
  <c r="I18" i="175"/>
  <c r="I16" i="175"/>
  <c r="H18" i="175"/>
  <c r="H16" i="175"/>
  <c r="G18" i="175"/>
  <c r="G16" i="175"/>
  <c r="J17" i="175"/>
  <c r="J15" i="175"/>
  <c r="G3" i="71"/>
  <c r="I8" i="71"/>
  <c r="Z5" i="71"/>
  <c r="W18" i="71"/>
  <c r="G25" i="123"/>
  <c r="F80" i="123"/>
  <c r="F81" i="123"/>
  <c r="E80" i="123"/>
  <c r="G79" i="123"/>
  <c r="F79" i="123"/>
  <c r="E79" i="123"/>
  <c r="W12" i="56"/>
  <c r="AR5" i="132"/>
  <c r="I6" i="155"/>
  <c r="J26" i="155"/>
  <c r="I34" i="155"/>
  <c r="I59" i="155"/>
  <c r="K60" i="155"/>
  <c r="S12" i="120"/>
  <c r="S14" i="120"/>
  <c r="AA19" i="61"/>
  <c r="I5" i="62"/>
  <c r="K7" i="62"/>
  <c r="M4" i="62"/>
  <c r="O6" i="62"/>
  <c r="J10" i="62"/>
  <c r="I13" i="62"/>
  <c r="M12" i="62"/>
  <c r="O14" i="62"/>
  <c r="E18" i="62"/>
  <c r="N17" i="62"/>
  <c r="M20" i="62"/>
  <c r="Q19" i="62"/>
  <c r="S21" i="62"/>
  <c r="E22" i="62"/>
  <c r="O24" i="62"/>
  <c r="R26" i="62"/>
  <c r="B8" i="70"/>
  <c r="B11" i="70"/>
  <c r="S34" i="70"/>
  <c r="S37" i="70"/>
  <c r="V34" i="70"/>
  <c r="V37" i="70"/>
  <c r="M38" i="70"/>
  <c r="F52" i="70"/>
  <c r="G55" i="70"/>
  <c r="L4" i="49"/>
  <c r="M6" i="49"/>
  <c r="N8" i="49"/>
  <c r="K11" i="49"/>
  <c r="L13" i="49"/>
  <c r="J11" i="57"/>
  <c r="V21" i="58"/>
  <c r="X19" i="58"/>
  <c r="U18" i="58"/>
  <c r="Y20" i="58"/>
  <c r="V19" i="58"/>
  <c r="X17" i="58"/>
  <c r="Y18" i="58"/>
  <c r="U21" i="58"/>
  <c r="E36" i="58"/>
  <c r="G55" i="58"/>
  <c r="E53" i="58"/>
  <c r="F55" i="58"/>
  <c r="G52" i="58"/>
  <c r="G54" i="58"/>
  <c r="E52" i="58"/>
  <c r="U61" i="58"/>
  <c r="U59" i="58"/>
  <c r="T61" i="58"/>
  <c r="T59" i="58"/>
  <c r="V60" i="58"/>
  <c r="V58" i="58"/>
  <c r="U60" i="58"/>
  <c r="F6" i="122"/>
  <c r="G11" i="175"/>
  <c r="G9" i="175"/>
  <c r="H10" i="175"/>
  <c r="G10" i="175"/>
  <c r="J11" i="175"/>
  <c r="J9" i="175"/>
  <c r="I11" i="175"/>
  <c r="I9" i="175"/>
  <c r="W13" i="71"/>
  <c r="W11" i="71"/>
  <c r="X12" i="71"/>
  <c r="X10" i="71"/>
  <c r="W12" i="71"/>
  <c r="W10" i="71"/>
  <c r="V12" i="71"/>
  <c r="V10" i="71"/>
  <c r="U12" i="71"/>
  <c r="U10" i="71"/>
  <c r="G31" i="123"/>
  <c r="E29" i="123"/>
  <c r="F29" i="123"/>
  <c r="E31" i="123"/>
  <c r="G30" i="123"/>
  <c r="F30" i="123"/>
  <c r="E30" i="123"/>
  <c r="AK23" i="131"/>
  <c r="AK21" i="131"/>
  <c r="AK19" i="131"/>
  <c r="AK17" i="131"/>
  <c r="AK15" i="131"/>
  <c r="AI22" i="131"/>
  <c r="AL19" i="131"/>
  <c r="AJ17" i="131"/>
  <c r="AI15" i="131"/>
  <c r="AJ23" i="131"/>
  <c r="AI21" i="131"/>
  <c r="AL18" i="131"/>
  <c r="AK16" i="131"/>
  <c r="AL23" i="131"/>
  <c r="AK20" i="131"/>
  <c r="AL17" i="131"/>
  <c r="AL22" i="131"/>
  <c r="AI20" i="131"/>
  <c r="AL16" i="131"/>
  <c r="AK22" i="131"/>
  <c r="AJ19" i="131"/>
  <c r="AJ16" i="131"/>
  <c r="AJ22" i="131"/>
  <c r="AI19" i="131"/>
  <c r="AI16" i="131"/>
  <c r="AL21" i="131"/>
  <c r="AK18" i="131"/>
  <c r="AL15" i="131"/>
  <c r="AJ21" i="131"/>
  <c r="AJ18" i="131"/>
  <c r="AJ15" i="131"/>
  <c r="AU5" i="132"/>
  <c r="C5" i="135"/>
  <c r="B5" i="135"/>
  <c r="J59" i="155"/>
  <c r="I4" i="156"/>
  <c r="K5" i="156"/>
  <c r="AB17" i="156"/>
  <c r="AB19" i="156"/>
  <c r="P13" i="120"/>
  <c r="J5" i="62"/>
  <c r="N4" i="62"/>
  <c r="N12" i="62"/>
  <c r="R19" i="62"/>
  <c r="C8" i="70"/>
  <c r="C11" i="70"/>
  <c r="T34" i="70"/>
  <c r="T37" i="70"/>
  <c r="K11" i="57"/>
  <c r="H35" i="58"/>
  <c r="H37" i="58"/>
  <c r="I34" i="58"/>
  <c r="G37" i="58"/>
  <c r="K12" i="72"/>
  <c r="K10" i="72"/>
  <c r="L13" i="72"/>
  <c r="L11" i="72"/>
  <c r="K13" i="72"/>
  <c r="K11" i="72"/>
  <c r="N12" i="72"/>
  <c r="N10" i="72"/>
  <c r="M12" i="72"/>
  <c r="M10" i="72"/>
  <c r="E140" i="123"/>
  <c r="G141" i="123"/>
  <c r="E139" i="123"/>
  <c r="G139" i="123"/>
  <c r="F141" i="123"/>
  <c r="E141" i="123"/>
  <c r="G140" i="123"/>
  <c r="I5" i="49"/>
  <c r="G5" i="57"/>
  <c r="I11" i="58"/>
  <c r="L12" i="58"/>
  <c r="J14" i="58"/>
  <c r="M15" i="58"/>
  <c r="Q12" i="58"/>
  <c r="P54" i="58"/>
  <c r="G4" i="121"/>
  <c r="H9" i="121"/>
  <c r="L4" i="122"/>
  <c r="F5" i="174"/>
  <c r="G10" i="174"/>
  <c r="H4" i="175"/>
  <c r="U4" i="71"/>
  <c r="U6" i="71"/>
  <c r="Q10" i="71"/>
  <c r="Q12" i="71"/>
  <c r="I14" i="71"/>
  <c r="I16" i="71"/>
  <c r="I18" i="71"/>
  <c r="G3" i="72"/>
  <c r="G5" i="72"/>
  <c r="G7" i="72"/>
  <c r="G9" i="72"/>
  <c r="K4" i="72"/>
  <c r="K6" i="72"/>
  <c r="G13" i="72"/>
  <c r="G15" i="72"/>
  <c r="G17" i="72"/>
  <c r="G19" i="72"/>
  <c r="K18" i="72"/>
  <c r="K20" i="72"/>
  <c r="G18" i="123"/>
  <c r="F41" i="123"/>
  <c r="G61" i="123"/>
  <c r="F73" i="123"/>
  <c r="G93" i="123"/>
  <c r="F105" i="123"/>
  <c r="G134" i="123"/>
  <c r="G152" i="123"/>
  <c r="E165" i="123"/>
  <c r="G176" i="123"/>
  <c r="C21" i="47"/>
  <c r="C10" i="48"/>
  <c r="J9" i="48"/>
  <c r="C24" i="63"/>
  <c r="AU4" i="131"/>
  <c r="AT6" i="131"/>
  <c r="AS8" i="131"/>
  <c r="AQ10" i="131"/>
  <c r="AP12" i="131"/>
  <c r="F6" i="137"/>
  <c r="G8" i="137"/>
  <c r="F8" i="137"/>
  <c r="G7" i="137"/>
  <c r="F7" i="137"/>
  <c r="C18" i="140"/>
  <c r="I9" i="121"/>
  <c r="G5" i="174"/>
  <c r="R10" i="71"/>
  <c r="R12" i="71"/>
  <c r="H3" i="72"/>
  <c r="H5" i="72"/>
  <c r="H7" i="72"/>
  <c r="H9" i="72"/>
  <c r="H13" i="72"/>
  <c r="H15" i="72"/>
  <c r="H17" i="72"/>
  <c r="H19" i="72"/>
  <c r="G41" i="123"/>
  <c r="E62" i="123"/>
  <c r="G73" i="123"/>
  <c r="G99" i="123"/>
  <c r="E97" i="123"/>
  <c r="G105" i="123"/>
  <c r="D21" i="47"/>
  <c r="A11" i="48"/>
  <c r="I10" i="48"/>
  <c r="A25" i="63"/>
  <c r="J12" i="136"/>
  <c r="J13" i="136"/>
  <c r="I13" i="136"/>
  <c r="H13" i="136"/>
  <c r="K12" i="136"/>
  <c r="K11" i="58"/>
  <c r="I13" i="58"/>
  <c r="F5" i="121"/>
  <c r="F8" i="121"/>
  <c r="F10" i="121"/>
  <c r="F3" i="174"/>
  <c r="H5" i="174"/>
  <c r="F11" i="174"/>
  <c r="G5" i="175"/>
  <c r="S4" i="71"/>
  <c r="W4" i="71"/>
  <c r="W6" i="71"/>
  <c r="S10" i="71"/>
  <c r="S12" i="71"/>
  <c r="G13" i="71"/>
  <c r="G15" i="71"/>
  <c r="G17" i="71"/>
  <c r="I3" i="72"/>
  <c r="I5" i="72"/>
  <c r="I7" i="72"/>
  <c r="I9" i="72"/>
  <c r="M4" i="72"/>
  <c r="M6" i="72"/>
  <c r="I13" i="72"/>
  <c r="I15" i="72"/>
  <c r="I17" i="72"/>
  <c r="I19" i="72"/>
  <c r="M18" i="72"/>
  <c r="N20" i="72"/>
  <c r="F19" i="123"/>
  <c r="E39" i="123"/>
  <c r="F50" i="123"/>
  <c r="G47" i="123"/>
  <c r="E45" i="123"/>
  <c r="E48" i="123"/>
  <c r="E51" i="123"/>
  <c r="F62" i="123"/>
  <c r="E74" i="123"/>
  <c r="F91" i="123"/>
  <c r="F97" i="123"/>
  <c r="E103" i="123"/>
  <c r="G117" i="123"/>
  <c r="F135" i="123"/>
  <c r="C22" i="47"/>
  <c r="B11" i="48"/>
  <c r="J10" i="48"/>
  <c r="AR5" i="131"/>
  <c r="AQ7" i="131"/>
  <c r="AU8" i="131"/>
  <c r="AT10" i="131"/>
  <c r="F3" i="134"/>
  <c r="G17" i="134"/>
  <c r="H12" i="136"/>
  <c r="G8" i="121"/>
  <c r="X4" i="71"/>
  <c r="P11" i="71"/>
  <c r="P13" i="71"/>
  <c r="F4" i="72"/>
  <c r="F6" i="72"/>
  <c r="F8" i="72"/>
  <c r="N4" i="72"/>
  <c r="F14" i="72"/>
  <c r="F16" i="72"/>
  <c r="F18" i="72"/>
  <c r="N18" i="72"/>
  <c r="G19" i="123"/>
  <c r="F39" i="123"/>
  <c r="F74" i="123"/>
  <c r="G97" i="123"/>
  <c r="F103" i="123"/>
  <c r="G135" i="123"/>
  <c r="F151" i="123"/>
  <c r="E153" i="123"/>
  <c r="G164" i="123"/>
  <c r="G163" i="123"/>
  <c r="H177" i="123"/>
  <c r="H175" i="123"/>
  <c r="E177" i="123"/>
  <c r="E175" i="123"/>
  <c r="G177" i="123"/>
  <c r="AQ12" i="131"/>
  <c r="AU10" i="131"/>
  <c r="AS9" i="131"/>
  <c r="AQ8" i="131"/>
  <c r="AU6" i="131"/>
  <c r="AS5" i="131"/>
  <c r="AQ4" i="131"/>
  <c r="AT11" i="131"/>
  <c r="AR10" i="131"/>
  <c r="AP9" i="131"/>
  <c r="AT7" i="131"/>
  <c r="AR6" i="131"/>
  <c r="AP5" i="131"/>
  <c r="AT5" i="131"/>
  <c r="AR7" i="131"/>
  <c r="AQ9" i="131"/>
  <c r="AP11" i="131"/>
  <c r="AT12" i="131"/>
  <c r="G9" i="134"/>
  <c r="F9" i="134"/>
  <c r="I12" i="136"/>
  <c r="B22" i="47"/>
  <c r="B21" i="47"/>
  <c r="B10" i="48"/>
  <c r="A12" i="48"/>
  <c r="B9" i="48"/>
  <c r="B12" i="48"/>
  <c r="A24" i="63"/>
  <c r="C25" i="63"/>
  <c r="A23" i="63"/>
  <c r="J10" i="136"/>
  <c r="J9" i="136"/>
  <c r="I9" i="136"/>
  <c r="H9" i="136"/>
  <c r="K10" i="136"/>
  <c r="H10" i="136"/>
  <c r="I15" i="136"/>
  <c r="H15" i="136"/>
  <c r="H8" i="135"/>
  <c r="I7" i="135"/>
  <c r="H7" i="135"/>
  <c r="H9" i="135"/>
  <c r="S11" i="71"/>
  <c r="I4" i="72"/>
  <c r="I6" i="72"/>
  <c r="I14" i="72"/>
  <c r="I16" i="72"/>
  <c r="G63" i="123"/>
  <c r="E61" i="123"/>
  <c r="G75" i="123"/>
  <c r="G98" i="123"/>
  <c r="C20" i="47"/>
  <c r="C9" i="48"/>
  <c r="K10" i="48"/>
  <c r="K9" i="48"/>
  <c r="C23" i="63"/>
  <c r="I8" i="135"/>
  <c r="I10" i="136"/>
  <c r="K19" i="140"/>
  <c r="J19" i="140"/>
  <c r="F158" i="123"/>
  <c r="F10" i="48"/>
  <c r="Y23" i="131"/>
  <c r="Y22" i="131"/>
  <c r="Y21" i="131"/>
  <c r="Y20" i="131"/>
  <c r="Y19" i="131"/>
  <c r="Y18" i="131"/>
  <c r="Y17" i="131"/>
  <c r="AC15" i="131"/>
  <c r="AC16" i="131"/>
  <c r="V18" i="131"/>
  <c r="W19" i="131"/>
  <c r="X20" i="131"/>
  <c r="Z21" i="131"/>
  <c r="AA22" i="131"/>
  <c r="AB23" i="131"/>
  <c r="AA15" i="132"/>
  <c r="AC16" i="132"/>
  <c r="V18" i="132"/>
  <c r="W19" i="132"/>
  <c r="X20" i="132"/>
  <c r="Y21" i="132"/>
  <c r="Z22" i="132"/>
  <c r="AK16" i="132"/>
  <c r="AL18" i="132"/>
  <c r="AI21" i="132"/>
  <c r="P6" i="136"/>
  <c r="P7" i="136"/>
  <c r="S6" i="136"/>
  <c r="R6" i="136"/>
  <c r="K8" i="137"/>
  <c r="L9" i="137"/>
  <c r="K9" i="137"/>
  <c r="N17" i="145"/>
  <c r="L16" i="145"/>
  <c r="J15" i="145"/>
  <c r="N13" i="145"/>
  <c r="L12" i="145"/>
  <c r="L17" i="145"/>
  <c r="J16" i="145"/>
  <c r="N14" i="145"/>
  <c r="L13" i="145"/>
  <c r="J12" i="145"/>
  <c r="J17" i="145"/>
  <c r="N15" i="145"/>
  <c r="L14" i="145"/>
  <c r="J13" i="145"/>
  <c r="N16" i="145"/>
  <c r="L15" i="145"/>
  <c r="J14" i="145"/>
  <c r="N12" i="145"/>
  <c r="O16" i="145"/>
  <c r="K14" i="145"/>
  <c r="M16" i="145"/>
  <c r="O13" i="145"/>
  <c r="K16" i="145"/>
  <c r="M13" i="145"/>
  <c r="O15" i="145"/>
  <c r="K13" i="145"/>
  <c r="M15" i="145"/>
  <c r="O12" i="145"/>
  <c r="O17" i="145"/>
  <c r="K15" i="145"/>
  <c r="M12" i="145"/>
  <c r="M17" i="145"/>
  <c r="O14" i="145"/>
  <c r="K12" i="145"/>
  <c r="AB23" i="132"/>
  <c r="AB22" i="132"/>
  <c r="AB21" i="132"/>
  <c r="AB20" i="132"/>
  <c r="AB19" i="132"/>
  <c r="AB18" i="132"/>
  <c r="AB17" i="132"/>
  <c r="AB16" i="132"/>
  <c r="AB15" i="132"/>
  <c r="V16" i="132"/>
  <c r="W17" i="132"/>
  <c r="X18" i="132"/>
  <c r="Y19" i="132"/>
  <c r="Z20" i="132"/>
  <c r="AA21" i="132"/>
  <c r="AC22" i="132"/>
  <c r="AJ22" i="132"/>
  <c r="AJ20" i="132"/>
  <c r="AJ18" i="132"/>
  <c r="AJ16" i="132"/>
  <c r="AI17" i="132"/>
  <c r="AJ19" i="132"/>
  <c r="AK21" i="132"/>
  <c r="AL23" i="132"/>
  <c r="F4" i="135"/>
  <c r="E4" i="135"/>
  <c r="J6" i="136"/>
  <c r="J7" i="136"/>
  <c r="I7" i="136"/>
  <c r="H7" i="136"/>
  <c r="K6" i="137"/>
  <c r="L5" i="137"/>
  <c r="K5" i="137"/>
  <c r="M14" i="145"/>
  <c r="X15" i="131"/>
  <c r="X16" i="131"/>
  <c r="X17" i="131"/>
  <c r="Z18" i="131"/>
  <c r="AA19" i="131"/>
  <c r="AB20" i="131"/>
  <c r="AC21" i="131"/>
  <c r="V23" i="131"/>
  <c r="V15" i="132"/>
  <c r="W16" i="132"/>
  <c r="X17" i="132"/>
  <c r="Y18" i="132"/>
  <c r="Z19" i="132"/>
  <c r="AA20" i="132"/>
  <c r="AC21" i="132"/>
  <c r="V23" i="132"/>
  <c r="AI15" i="132"/>
  <c r="AJ17" i="132"/>
  <c r="AK19" i="132"/>
  <c r="AL21" i="132"/>
  <c r="J4" i="136"/>
  <c r="J3" i="136"/>
  <c r="I3" i="136"/>
  <c r="H3" i="136"/>
  <c r="P12" i="136"/>
  <c r="P13" i="136"/>
  <c r="S12" i="136"/>
  <c r="R12" i="136"/>
  <c r="N15" i="138"/>
  <c r="N11" i="138"/>
  <c r="N7" i="138"/>
  <c r="N14" i="138"/>
  <c r="N10" i="138"/>
  <c r="N6" i="138"/>
  <c r="O13" i="138"/>
  <c r="O9" i="138"/>
  <c r="O5" i="138"/>
  <c r="N13" i="138"/>
  <c r="N9" i="138"/>
  <c r="N5" i="138"/>
  <c r="O12" i="138"/>
  <c r="O8" i="138"/>
  <c r="O4" i="138"/>
  <c r="N12" i="138"/>
  <c r="N8" i="138"/>
  <c r="N4" i="138"/>
  <c r="K18" i="140"/>
  <c r="J18" i="140"/>
  <c r="K17" i="145"/>
  <c r="K9" i="141"/>
  <c r="J9" i="141"/>
  <c r="K8" i="141"/>
  <c r="J8" i="141"/>
  <c r="K7" i="141"/>
  <c r="J7" i="141"/>
  <c r="K6" i="141"/>
  <c r="J6" i="141"/>
  <c r="Q6" i="141"/>
  <c r="P6" i="141"/>
  <c r="S19" i="136"/>
  <c r="Q22" i="136"/>
  <c r="S24" i="136"/>
  <c r="C15" i="140"/>
  <c r="F16" i="140"/>
  <c r="F19" i="140" s="1" a="1"/>
  <c r="K16" i="140"/>
  <c r="E6" i="141"/>
  <c r="O4" i="145"/>
  <c r="M7" i="145"/>
  <c r="B14" i="146"/>
  <c r="B30" i="146"/>
  <c r="B46" i="146"/>
  <c r="B62" i="146"/>
  <c r="B78" i="146"/>
  <c r="B94" i="146"/>
  <c r="P18" i="136"/>
  <c r="R22" i="136"/>
  <c r="P25" i="136"/>
  <c r="E10" i="138"/>
  <c r="J4" i="139"/>
  <c r="B16" i="140"/>
  <c r="B19" i="140" s="1" a="1"/>
  <c r="G16" i="140"/>
  <c r="J17" i="140"/>
  <c r="J20" i="140" s="1" a="1"/>
  <c r="D7" i="141"/>
  <c r="K5" i="145"/>
  <c r="O7" i="145"/>
  <c r="B16" i="146"/>
  <c r="B32" i="146"/>
  <c r="B48" i="146"/>
  <c r="B64" i="146"/>
  <c r="B80" i="146"/>
  <c r="Q25" i="136"/>
  <c r="C16" i="140"/>
  <c r="F17" i="140"/>
  <c r="F20" i="140" s="1" a="1"/>
  <c r="K17" i="140"/>
  <c r="E7" i="141"/>
  <c r="M5" i="145"/>
  <c r="K8" i="145"/>
  <c r="B99" i="146"/>
  <c r="B91" i="146"/>
  <c r="B83" i="146"/>
  <c r="B75" i="146"/>
  <c r="B67" i="146"/>
  <c r="B59" i="146"/>
  <c r="B51" i="146"/>
  <c r="B43" i="146"/>
  <c r="B35" i="146"/>
  <c r="B27" i="146"/>
  <c r="B19" i="146"/>
  <c r="B11" i="146"/>
  <c r="B3" i="146"/>
  <c r="B97" i="146"/>
  <c r="B89" i="146"/>
  <c r="B81" i="146"/>
  <c r="B73" i="146"/>
  <c r="B65" i="146"/>
  <c r="B57" i="146"/>
  <c r="B49" i="146"/>
  <c r="B41" i="146"/>
  <c r="B33" i="146"/>
  <c r="B25" i="146"/>
  <c r="B17" i="146"/>
  <c r="B9" i="146"/>
  <c r="B95" i="146"/>
  <c r="B87" i="146"/>
  <c r="B79" i="146"/>
  <c r="B71" i="146"/>
  <c r="B63" i="146"/>
  <c r="B55" i="146"/>
  <c r="B47" i="146"/>
  <c r="B39" i="146"/>
  <c r="B31" i="146"/>
  <c r="B23" i="146"/>
  <c r="B15" i="146"/>
  <c r="B7" i="146"/>
  <c r="B101" i="146"/>
  <c r="B93" i="146"/>
  <c r="B85" i="146"/>
  <c r="B77" i="146"/>
  <c r="B69" i="146"/>
  <c r="B61" i="146"/>
  <c r="B53" i="146"/>
  <c r="B45" i="146"/>
  <c r="B37" i="146"/>
  <c r="B29" i="146"/>
  <c r="B21" i="146"/>
  <c r="B13" i="146"/>
  <c r="B5" i="146"/>
  <c r="B18" i="146"/>
  <c r="B34" i="146"/>
  <c r="B50" i="146"/>
  <c r="B66" i="146"/>
  <c r="B82" i="146"/>
  <c r="B98" i="146"/>
  <c r="G17" i="140"/>
  <c r="O5" i="145"/>
  <c r="M8" i="145"/>
  <c r="S25" i="136"/>
  <c r="E8" i="141"/>
  <c r="K6" i="145"/>
  <c r="N8" i="145"/>
  <c r="L7" i="145"/>
  <c r="J6" i="145"/>
  <c r="N4" i="145"/>
  <c r="N9" i="145"/>
  <c r="L8" i="145"/>
  <c r="J7" i="145"/>
  <c r="N5" i="145"/>
  <c r="L4" i="145"/>
  <c r="L9" i="145"/>
  <c r="J8" i="145"/>
  <c r="N6" i="145"/>
  <c r="L5" i="145"/>
  <c r="J4" i="145"/>
  <c r="J9" i="145"/>
  <c r="N7" i="145"/>
  <c r="L6" i="145"/>
  <c r="J5" i="145"/>
  <c r="M6" i="145"/>
  <c r="K9" i="145"/>
  <c r="K4" i="145"/>
  <c r="O6" i="145"/>
  <c r="M9" i="145"/>
  <c r="S26" i="144"/>
  <c r="T27" i="144"/>
  <c r="U28" i="144"/>
  <c r="V29" i="144"/>
  <c r="W30" i="144"/>
  <c r="X31" i="144"/>
  <c r="U4" i="145"/>
  <c r="W5" i="145"/>
  <c r="Y6" i="145"/>
  <c r="U8" i="145"/>
  <c r="W9" i="145"/>
  <c r="U13" i="145"/>
  <c r="W14" i="145"/>
  <c r="Y15" i="145"/>
  <c r="U17" i="145"/>
  <c r="U26" i="144"/>
  <c r="V27" i="144"/>
  <c r="W28" i="144"/>
  <c r="X29" i="144"/>
  <c r="R31" i="144"/>
  <c r="S32" i="144"/>
  <c r="W4" i="145"/>
  <c r="Y5" i="145"/>
  <c r="U7" i="145"/>
  <c r="W8" i="145"/>
  <c r="Y9" i="145"/>
  <c r="U12" i="145"/>
  <c r="W13" i="145"/>
  <c r="Y14" i="145"/>
  <c r="U16" i="145"/>
  <c r="W17" i="145"/>
  <c r="W26" i="144"/>
  <c r="X27" i="144"/>
  <c r="R29" i="144"/>
  <c r="S30" i="144"/>
  <c r="T31" i="144"/>
  <c r="U32" i="144"/>
  <c r="R27" i="144"/>
  <c r="S28" i="144"/>
  <c r="T29" i="144"/>
  <c r="U30" i="144"/>
  <c r="V31" i="144"/>
  <c r="U5" i="145"/>
  <c r="W6" i="145"/>
  <c r="Y7" i="145"/>
  <c r="Y12" i="145"/>
  <c r="U14" i="145"/>
  <c r="W15" i="145"/>
  <c r="I10" i="195"/>
  <c r="L7" i="195" s="1"/>
  <c r="H9" i="195"/>
  <c r="K12" i="195" s="1"/>
  <c r="G8" i="195"/>
  <c r="J11" i="195" s="1"/>
  <c r="G12" i="195"/>
  <c r="J9" i="195" s="1"/>
  <c r="M12" i="195"/>
  <c r="I11" i="195"/>
  <c r="L8" i="195" s="1"/>
  <c r="H10" i="195"/>
  <c r="K7" i="195" s="1"/>
  <c r="G9" i="195"/>
  <c r="J12" i="195" s="1"/>
  <c r="M10" i="195"/>
  <c r="H7" i="195"/>
  <c r="K10" i="195" s="1"/>
  <c r="I12" i="195"/>
  <c r="L9" i="195" s="1"/>
  <c r="H11" i="195"/>
  <c r="K8" i="195" s="1"/>
  <c r="G10" i="195"/>
  <c r="J7" i="195" s="1"/>
  <c r="M8" i="195"/>
  <c r="H12" i="195"/>
  <c r="K9" i="195" s="1"/>
  <c r="G11" i="195"/>
  <c r="J8" i="195" s="1"/>
  <c r="M9" i="195"/>
  <c r="I7" i="195"/>
  <c r="L10" i="195" s="1"/>
  <c r="M11" i="195"/>
  <c r="I8" i="195"/>
  <c r="L11" i="195" s="1"/>
  <c r="I9" i="195"/>
  <c r="L12" i="195" s="1"/>
  <c r="H8" i="195"/>
  <c r="K11" i="195" s="1"/>
  <c r="M7" i="195"/>
  <c r="I7" i="196"/>
  <c r="L9" i="196" s="1"/>
  <c r="H6" i="196"/>
  <c r="K8" i="196" s="1"/>
  <c r="M7" i="196"/>
  <c r="M8" i="196"/>
  <c r="M9" i="196"/>
  <c r="I8" i="196"/>
  <c r="L6" i="196" s="1"/>
  <c r="H7" i="196"/>
  <c r="K9" i="196" s="1"/>
  <c r="G9" i="196"/>
  <c r="J7" i="196" s="1"/>
  <c r="I9" i="196"/>
  <c r="L7" i="196" s="1"/>
  <c r="H8" i="196"/>
  <c r="K6" i="196" s="1"/>
  <c r="G7" i="196"/>
  <c r="J9" i="196" s="1"/>
  <c r="H9" i="196"/>
  <c r="K7" i="196" s="1"/>
  <c r="G8" i="196"/>
  <c r="J6" i="196" s="1"/>
  <c r="M6" i="196"/>
  <c r="I6" i="196"/>
  <c r="L8" i="196" s="1"/>
  <c r="M12" i="197"/>
  <c r="H11" i="197"/>
  <c r="K8" i="197" s="1"/>
  <c r="G8" i="197"/>
  <c r="J11" i="197" s="1"/>
  <c r="M7" i="197"/>
  <c r="G10" i="197"/>
  <c r="J7" i="197" s="1"/>
  <c r="H9" i="197"/>
  <c r="K12" i="197" s="1"/>
  <c r="G11" i="197"/>
  <c r="J8" i="197" s="1"/>
  <c r="G9" i="197"/>
  <c r="J12" i="197" s="1"/>
  <c r="I10" i="197"/>
  <c r="L7" i="197" s="1"/>
  <c r="I8" i="197"/>
  <c r="L11" i="197" s="1"/>
  <c r="H12" i="197"/>
  <c r="K9" i="197" s="1"/>
  <c r="I7" i="197"/>
  <c r="L10" i="197" s="1"/>
  <c r="H7" i="197"/>
  <c r="K10" i="197" s="1"/>
  <c r="I11" i="197"/>
  <c r="L8" i="197" s="1"/>
  <c r="H10" i="197"/>
  <c r="K7" i="197" s="1"/>
  <c r="I9" i="197"/>
  <c r="L12" i="197" s="1"/>
  <c r="H8" i="197"/>
  <c r="K11" i="197" s="1"/>
  <c r="I12" i="197"/>
  <c r="L9" i="197" s="1"/>
  <c r="G12" i="197"/>
  <c r="J9" i="197" s="1"/>
  <c r="M10" i="197"/>
  <c r="M8" i="197"/>
  <c r="M11" i="197"/>
  <c r="M9" i="197"/>
  <c r="K20" i="140" l="1"/>
  <c r="J20" i="140"/>
  <c r="C19" i="140"/>
  <c r="B19" i="140"/>
  <c r="G19" i="140"/>
  <c r="F19" i="140"/>
  <c r="G20" i="140"/>
  <c r="F20" i="140"/>
  <c r="G7" i="195"/>
  <c r="J10" i="195" s="1"/>
  <c r="G7" i="197"/>
  <c r="J10" i="197" s="1"/>
  <c r="G6" i="196"/>
  <c r="J8" i="196" s="1"/>
  <c r="Z24" i="156" l="1" a="1"/>
  <c r="Z24" i="156" s="1"/>
  <c r="B14" i="147"/>
  <c r="B11" i="147" a="1"/>
  <c r="B11" i="147" s="1"/>
  <c r="AB25" i="156" l="1"/>
  <c r="AB28" i="156"/>
  <c r="AA25" i="156"/>
  <c r="Z25" i="156"/>
  <c r="AD24" i="156"/>
  <c r="AA26" i="156"/>
  <c r="AB24" i="156"/>
  <c r="AC28" i="156"/>
  <c r="Z27" i="156"/>
  <c r="AD26" i="156"/>
  <c r="AA28" i="156"/>
  <c r="AC26" i="156"/>
  <c r="Z28" i="156"/>
  <c r="AB26" i="156"/>
  <c r="AD27" i="156"/>
  <c r="AC24" i="156"/>
  <c r="AC27" i="156"/>
  <c r="Z26" i="156"/>
  <c r="AB27" i="156"/>
  <c r="AD25" i="156"/>
  <c r="AA24" i="156"/>
  <c r="AD28" i="156"/>
  <c r="AA27" i="156"/>
  <c r="AC25" i="156"/>
  <c r="G2" i="194" l="1"/>
  <c r="F11" i="193"/>
  <c r="E11" i="193"/>
  <c r="F2" i="193"/>
  <c r="E2" i="193"/>
  <c r="A5" i="188" l="1"/>
  <c r="A6" i="188" s="1"/>
  <c r="B4" i="188"/>
  <c r="A4" i="188"/>
  <c r="N3" i="188"/>
  <c r="B3" i="188"/>
  <c r="M37" i="187"/>
  <c r="A29" i="187"/>
  <c r="B29" i="187" s="1"/>
  <c r="B28" i="187"/>
  <c r="A5" i="187"/>
  <c r="B5" i="187" s="1"/>
  <c r="B4" i="187"/>
  <c r="A4" i="187"/>
  <c r="B3" i="187"/>
  <c r="A29" i="186"/>
  <c r="B29" i="186" s="1"/>
  <c r="B27" i="186"/>
  <c r="A27" i="186"/>
  <c r="A28" i="186" s="1"/>
  <c r="B28" i="186" s="1"/>
  <c r="A26" i="186"/>
  <c r="B26" i="186" s="1"/>
  <c r="A25" i="186"/>
  <c r="B25" i="186" s="1"/>
  <c r="B24" i="186"/>
  <c r="A24" i="186"/>
  <c r="B23" i="186"/>
  <c r="A5" i="186"/>
  <c r="B5" i="186" s="1"/>
  <c r="A4" i="186"/>
  <c r="B4" i="186" s="1"/>
  <c r="B3" i="186"/>
  <c r="A29" i="185"/>
  <c r="B29" i="185" s="1"/>
  <c r="B28" i="185"/>
  <c r="X10" i="185"/>
  <c r="X9" i="185"/>
  <c r="X4" i="185"/>
  <c r="A4" i="185"/>
  <c r="X3" i="185"/>
  <c r="B3" i="185"/>
  <c r="B29" i="184"/>
  <c r="A29" i="184"/>
  <c r="A30" i="184" s="1"/>
  <c r="B28" i="184"/>
  <c r="B5" i="184"/>
  <c r="A5" i="184"/>
  <c r="A6" i="184" s="1"/>
  <c r="B4" i="184"/>
  <c r="A4" i="184"/>
  <c r="B3" i="184"/>
  <c r="D2" i="183"/>
  <c r="L6" i="187" l="1"/>
  <c r="M4" i="184"/>
  <c r="M6" i="185"/>
  <c r="O28" i="185"/>
  <c r="N43" i="187"/>
  <c r="M30" i="185"/>
  <c r="P34" i="187"/>
  <c r="O11" i="185"/>
  <c r="M22" i="185"/>
  <c r="Q22" i="185"/>
  <c r="M12" i="186"/>
  <c r="N17" i="187"/>
  <c r="O43" i="187"/>
  <c r="T3" i="185"/>
  <c r="T4" i="185"/>
  <c r="T5" i="185"/>
  <c r="N6" i="185"/>
  <c r="N30" i="185"/>
  <c r="S4" i="186"/>
  <c r="S3" i="186"/>
  <c r="L6" i="186"/>
  <c r="N12" i="186"/>
  <c r="L17" i="186"/>
  <c r="L23" i="186"/>
  <c r="S5" i="187"/>
  <c r="S4" i="187"/>
  <c r="S3" i="187"/>
  <c r="O17" i="187"/>
  <c r="L23" i="187"/>
  <c r="L34" i="187"/>
  <c r="M45" i="187"/>
  <c r="P11" i="185"/>
  <c r="V11" i="185"/>
  <c r="N22" i="185"/>
  <c r="N6" i="187"/>
  <c r="M11" i="187"/>
  <c r="O6" i="185"/>
  <c r="M28" i="185"/>
  <c r="O30" i="185"/>
  <c r="M6" i="186"/>
  <c r="N11" i="187"/>
  <c r="N45" i="187"/>
  <c r="T10" i="185"/>
  <c r="T9" i="185"/>
  <c r="T11" i="185"/>
  <c r="M11" i="185"/>
  <c r="Q11" i="185"/>
  <c r="O22" i="185"/>
  <c r="P12" i="186"/>
  <c r="N17" i="186"/>
  <c r="N23" i="186"/>
  <c r="O6" i="187"/>
  <c r="N23" i="187"/>
  <c r="N34" i="187"/>
  <c r="O45" i="187"/>
  <c r="P6" i="185"/>
  <c r="N28" i="185"/>
  <c r="N6" i="186"/>
  <c r="O17" i="186"/>
  <c r="O11" i="187"/>
  <c r="O23" i="187"/>
  <c r="M43" i="187"/>
  <c r="N11" i="185"/>
  <c r="V12" i="185"/>
  <c r="P22" i="185"/>
  <c r="L12" i="186"/>
  <c r="M17" i="187"/>
  <c r="O34" i="187"/>
  <c r="M17" i="186"/>
  <c r="M23" i="186"/>
  <c r="L11" i="187"/>
  <c r="P11" i="187"/>
  <c r="M23" i="187"/>
  <c r="O12" i="186"/>
  <c r="M6" i="187"/>
  <c r="L17" i="187"/>
  <c r="P17" i="187"/>
  <c r="M34" i="187"/>
  <c r="L43" i="187"/>
  <c r="L45" i="187"/>
  <c r="A7" i="184"/>
  <c r="B6" i="184"/>
  <c r="A6" i="186"/>
  <c r="A5" i="185"/>
  <c r="B4" i="185"/>
  <c r="B6" i="188"/>
  <c r="A7" i="188"/>
  <c r="A31" i="184"/>
  <c r="B30" i="184"/>
  <c r="A30" i="186"/>
  <c r="A30" i="187"/>
  <c r="B5" i="188"/>
  <c r="A30" i="185"/>
  <c r="A6" i="187"/>
  <c r="B6" i="187" l="1"/>
  <c r="A7" i="187"/>
  <c r="B30" i="185"/>
  <c r="A31" i="185"/>
  <c r="A31" i="187"/>
  <c r="B30" i="187"/>
  <c r="A31" i="186"/>
  <c r="B30" i="186"/>
  <c r="A32" i="184"/>
  <c r="B31" i="184"/>
  <c r="B7" i="188"/>
  <c r="A8" i="188"/>
  <c r="B5" i="185"/>
  <c r="A6" i="185"/>
  <c r="A7" i="186"/>
  <c r="B6" i="186"/>
  <c r="A8" i="184"/>
  <c r="B7" i="184"/>
  <c r="X12" i="185"/>
  <c r="X11" i="185"/>
  <c r="D10" i="183"/>
  <c r="C2" i="182" l="1"/>
  <c r="C10" i="182" l="1"/>
  <c r="C18" i="182"/>
  <c r="C24" i="182"/>
  <c r="C32" i="182"/>
  <c r="C40" i="182"/>
  <c r="A9" i="184" l="1"/>
  <c r="B8" i="184"/>
  <c r="A8" i="186"/>
  <c r="B7" i="186"/>
  <c r="A7" i="185"/>
  <c r="B6" i="185"/>
  <c r="A9" i="188"/>
  <c r="B8" i="188"/>
  <c r="A33" i="184"/>
  <c r="B32" i="184"/>
  <c r="A32" i="186"/>
  <c r="B31" i="186"/>
  <c r="A32" i="187"/>
  <c r="B31" i="187"/>
  <c r="A32" i="185"/>
  <c r="B31" i="185"/>
  <c r="A8" i="187"/>
  <c r="B7" i="187"/>
  <c r="B8" i="187" l="1"/>
  <c r="A9" i="187"/>
  <c r="A33" i="185"/>
  <c r="B32" i="185"/>
  <c r="A33" i="187"/>
  <c r="B32" i="187"/>
  <c r="B32" i="186"/>
  <c r="A33" i="186"/>
  <c r="A34" i="184"/>
  <c r="B33" i="184"/>
  <c r="A10" i="188"/>
  <c r="B9" i="188"/>
  <c r="A8" i="185"/>
  <c r="B7" i="185"/>
  <c r="A9" i="186"/>
  <c r="B8" i="186"/>
  <c r="B9" i="184"/>
  <c r="A10" i="184"/>
  <c r="A11" i="184" l="1"/>
  <c r="B10" i="184"/>
  <c r="A10" i="186"/>
  <c r="B9" i="186"/>
  <c r="A9" i="185"/>
  <c r="B8" i="185"/>
  <c r="A11" i="188"/>
  <c r="B10" i="188"/>
  <c r="A35" i="184"/>
  <c r="B34" i="184"/>
  <c r="B33" i="186"/>
  <c r="A34" i="186"/>
  <c r="A34" i="187"/>
  <c r="B33" i="187"/>
  <c r="A34" i="185"/>
  <c r="B33" i="185"/>
  <c r="B9" i="187"/>
  <c r="A10" i="187"/>
  <c r="A11" i="187" l="1"/>
  <c r="B10" i="187"/>
  <c r="A35" i="185"/>
  <c r="B34" i="185"/>
  <c r="A35" i="187"/>
  <c r="B34" i="187"/>
  <c r="A35" i="186"/>
  <c r="B34" i="186"/>
  <c r="A36" i="184"/>
  <c r="B35" i="184"/>
  <c r="B11" i="188"/>
  <c r="A12" i="188"/>
  <c r="B9" i="185"/>
  <c r="A10" i="185"/>
  <c r="A11" i="186"/>
  <c r="B10" i="186"/>
  <c r="A12" i="184"/>
  <c r="B11" i="184"/>
  <c r="A13" i="184" l="1"/>
  <c r="B12" i="184"/>
  <c r="A12" i="186"/>
  <c r="B11" i="186"/>
  <c r="B10" i="185"/>
  <c r="A11" i="185"/>
  <c r="A13" i="188"/>
  <c r="B12" i="188"/>
  <c r="A37" i="184"/>
  <c r="B36" i="184"/>
  <c r="A36" i="186"/>
  <c r="B35" i="186"/>
  <c r="B35" i="187"/>
  <c r="A36" i="187"/>
  <c r="A36" i="185"/>
  <c r="B35" i="185"/>
  <c r="B11" i="187"/>
  <c r="A12" i="187"/>
  <c r="A13" i="187" l="1"/>
  <c r="B12" i="187"/>
  <c r="A37" i="185"/>
  <c r="B36" i="185"/>
  <c r="A37" i="187"/>
  <c r="B36" i="187"/>
  <c r="A37" i="186"/>
  <c r="B36" i="186"/>
  <c r="A38" i="184"/>
  <c r="B37" i="184"/>
  <c r="B13" i="188"/>
  <c r="A14" i="188"/>
  <c r="A12" i="185"/>
  <c r="B11" i="185"/>
  <c r="B12" i="186"/>
  <c r="A13" i="186"/>
  <c r="B13" i="184"/>
  <c r="A14" i="184"/>
  <c r="A15" i="184" l="1"/>
  <c r="B14" i="184"/>
  <c r="A14" i="186"/>
  <c r="B13" i="186"/>
  <c r="A13" i="185"/>
  <c r="B12" i="185"/>
  <c r="A15" i="188"/>
  <c r="B14" i="188"/>
  <c r="A39" i="184"/>
  <c r="B38" i="184"/>
  <c r="B37" i="186"/>
  <c r="A38" i="186"/>
  <c r="A38" i="187"/>
  <c r="B37" i="187"/>
  <c r="A38" i="185"/>
  <c r="B37" i="185"/>
  <c r="A14" i="187"/>
  <c r="B13" i="187"/>
  <c r="A15" i="187" l="1"/>
  <c r="B14" i="187"/>
  <c r="A39" i="185"/>
  <c r="B38" i="185"/>
  <c r="A39" i="187"/>
  <c r="B38" i="187"/>
  <c r="A39" i="186"/>
  <c r="B38" i="186"/>
  <c r="A40" i="184"/>
  <c r="B39" i="184"/>
  <c r="A16" i="188"/>
  <c r="B15" i="188"/>
  <c r="A14" i="185"/>
  <c r="B13" i="185"/>
  <c r="A15" i="186"/>
  <c r="B14" i="186"/>
  <c r="A16" i="184"/>
  <c r="B15" i="184"/>
  <c r="A17" i="184" l="1"/>
  <c r="B16" i="184"/>
  <c r="B15" i="186"/>
  <c r="A16" i="186"/>
  <c r="A15" i="185"/>
  <c r="B14" i="185"/>
  <c r="B16" i="188"/>
  <c r="A17" i="188"/>
  <c r="A41" i="184"/>
  <c r="B40" i="184"/>
  <c r="A40" i="186"/>
  <c r="B39" i="186"/>
  <c r="B39" i="187"/>
  <c r="A40" i="187"/>
  <c r="A40" i="185"/>
  <c r="B39" i="185"/>
  <c r="B15" i="187"/>
  <c r="A16" i="187"/>
  <c r="A17" i="187" l="1"/>
  <c r="B16" i="187"/>
  <c r="A41" i="185"/>
  <c r="B40" i="185"/>
  <c r="A41" i="187"/>
  <c r="B40" i="187"/>
  <c r="A41" i="186"/>
  <c r="B40" i="186"/>
  <c r="A42" i="184"/>
  <c r="B41" i="184"/>
  <c r="A18" i="188"/>
  <c r="B17" i="188"/>
  <c r="A16" i="185"/>
  <c r="B15" i="185"/>
  <c r="A17" i="186"/>
  <c r="B16" i="186"/>
  <c r="B17" i="184"/>
  <c r="A18" i="184"/>
  <c r="A19" i="184" l="1"/>
  <c r="B18" i="184"/>
  <c r="B17" i="186"/>
  <c r="A18" i="186"/>
  <c r="A17" i="185"/>
  <c r="B16" i="185"/>
  <c r="A19" i="188"/>
  <c r="B18" i="188"/>
  <c r="A43" i="184"/>
  <c r="B42" i="184"/>
  <c r="B41" i="186"/>
  <c r="A42" i="186"/>
  <c r="B41" i="187"/>
  <c r="A42" i="187"/>
  <c r="A42" i="185"/>
  <c r="B41" i="185"/>
  <c r="B17" i="187"/>
  <c r="A18" i="187"/>
  <c r="A19" i="187" l="1"/>
  <c r="B18" i="187"/>
  <c r="A43" i="185"/>
  <c r="B42" i="185"/>
  <c r="A43" i="187"/>
  <c r="B42" i="187"/>
  <c r="A43" i="186"/>
  <c r="B43" i="186" s="1"/>
  <c r="B42" i="186"/>
  <c r="A44" i="184"/>
  <c r="B43" i="184"/>
  <c r="A20" i="188"/>
  <c r="B19" i="188"/>
  <c r="A18" i="185"/>
  <c r="B17" i="185"/>
  <c r="A19" i="186"/>
  <c r="B18" i="186"/>
  <c r="A20" i="184"/>
  <c r="B19" i="184"/>
  <c r="A21" i="184" l="1"/>
  <c r="B20" i="184"/>
  <c r="A20" i="186"/>
  <c r="B19" i="186"/>
  <c r="A19" i="185"/>
  <c r="B18" i="185"/>
  <c r="B20" i="188"/>
  <c r="A21" i="188"/>
  <c r="A45" i="184"/>
  <c r="B44" i="184"/>
  <c r="A44" i="187"/>
  <c r="B43" i="187"/>
  <c r="A44" i="185"/>
  <c r="B43" i="185"/>
  <c r="A20" i="187"/>
  <c r="B19" i="187"/>
  <c r="A21" i="187" l="1"/>
  <c r="B20" i="187"/>
  <c r="A45" i="185"/>
  <c r="B44" i="185"/>
  <c r="A45" i="187"/>
  <c r="B44" i="187"/>
  <c r="A46" i="184"/>
  <c r="B45" i="184"/>
  <c r="A22" i="188"/>
  <c r="B21" i="188"/>
  <c r="A20" i="185"/>
  <c r="B19" i="185"/>
  <c r="A21" i="186"/>
  <c r="B20" i="186"/>
  <c r="B21" i="184"/>
  <c r="A22" i="184"/>
  <c r="A23" i="184" l="1"/>
  <c r="B22" i="184"/>
  <c r="B21" i="186"/>
  <c r="A22" i="186"/>
  <c r="B22" i="186" s="1"/>
  <c r="A21" i="185"/>
  <c r="B20" i="185"/>
  <c r="A23" i="188"/>
  <c r="B22" i="188"/>
  <c r="A47" i="184"/>
  <c r="B46" i="184"/>
  <c r="B45" i="187"/>
  <c r="A46" i="187"/>
  <c r="A46" i="185"/>
  <c r="B45" i="185"/>
  <c r="B21" i="187"/>
  <c r="A22" i="187"/>
  <c r="B22" i="187" l="1"/>
  <c r="A23" i="187"/>
  <c r="A47" i="185"/>
  <c r="B46" i="185"/>
  <c r="A47" i="187"/>
  <c r="B46" i="187"/>
  <c r="A48" i="184"/>
  <c r="B47" i="184"/>
  <c r="A24" i="188"/>
  <c r="B23" i="188"/>
  <c r="A22" i="185"/>
  <c r="B21" i="185"/>
  <c r="A24" i="184"/>
  <c r="B23" i="184"/>
  <c r="A25" i="184" l="1"/>
  <c r="B24" i="184"/>
  <c r="B22" i="185"/>
  <c r="A23" i="185"/>
  <c r="B24" i="188"/>
  <c r="A25" i="188"/>
  <c r="A49" i="184"/>
  <c r="B48" i="184"/>
  <c r="A48" i="187"/>
  <c r="B47" i="187"/>
  <c r="A48" i="185"/>
  <c r="B47" i="185"/>
  <c r="A24" i="187"/>
  <c r="B23" i="187"/>
  <c r="A25" i="187" l="1"/>
  <c r="B24" i="187"/>
  <c r="A49" i="185"/>
  <c r="B48" i="185"/>
  <c r="B48" i="187"/>
  <c r="A49" i="187"/>
  <c r="A50" i="184"/>
  <c r="B49" i="184"/>
  <c r="A26" i="188"/>
  <c r="B25" i="188"/>
  <c r="A24" i="185"/>
  <c r="B23" i="185"/>
  <c r="B25" i="184"/>
  <c r="A26" i="184"/>
  <c r="A27" i="184" l="1"/>
  <c r="B27" i="184" s="1"/>
  <c r="B26" i="184"/>
  <c r="A25" i="185"/>
  <c r="B24" i="185"/>
  <c r="A27" i="188"/>
  <c r="B26" i="188"/>
  <c r="A51" i="184"/>
  <c r="B50" i="184"/>
  <c r="B49" i="187"/>
  <c r="A50" i="187"/>
  <c r="A50" i="185"/>
  <c r="B49" i="185"/>
  <c r="A26" i="187"/>
  <c r="B25" i="187"/>
  <c r="A27" i="187" l="1"/>
  <c r="B27" i="187" s="1"/>
  <c r="B26" i="187"/>
  <c r="A51" i="185"/>
  <c r="B50" i="185"/>
  <c r="A51" i="187"/>
  <c r="B50" i="187"/>
  <c r="A52" i="184"/>
  <c r="B51" i="184"/>
  <c r="A28" i="188"/>
  <c r="B27" i="188"/>
  <c r="B25" i="185"/>
  <c r="A26" i="185"/>
  <c r="A27" i="185" l="1"/>
  <c r="B27" i="185" s="1"/>
  <c r="B26" i="185"/>
  <c r="B28" i="188"/>
  <c r="A29" i="188"/>
  <c r="A53" i="184"/>
  <c r="B53" i="184" s="1"/>
  <c r="B52" i="184"/>
  <c r="A52" i="187"/>
  <c r="B51" i="187"/>
  <c r="A52" i="185"/>
  <c r="B51" i="185"/>
  <c r="A53" i="185" l="1"/>
  <c r="B53" i="185" s="1"/>
  <c r="B52" i="185"/>
  <c r="A53" i="187"/>
  <c r="B53" i="187" s="1"/>
  <c r="B52" i="187"/>
  <c r="A30" i="188"/>
  <c r="B29" i="188"/>
  <c r="A31" i="188" l="1"/>
  <c r="B30" i="188"/>
  <c r="A32" i="188" l="1"/>
  <c r="B31" i="188"/>
  <c r="B32" i="188" l="1"/>
  <c r="A33" i="188"/>
  <c r="A34" i="188" l="1"/>
  <c r="B33" i="188"/>
  <c r="A35" i="188" l="1"/>
  <c r="B34" i="188"/>
  <c r="A36" i="188" l="1"/>
  <c r="B35" i="188"/>
  <c r="B36" i="188" l="1"/>
  <c r="A37" i="188"/>
  <c r="A38" i="188" l="1"/>
  <c r="B37" i="188"/>
  <c r="A39" i="188" l="1"/>
  <c r="B38" i="188"/>
  <c r="A40" i="188" l="1"/>
  <c r="B39" i="188"/>
  <c r="B40" i="188" l="1"/>
  <c r="A41" i="188"/>
  <c r="A42" i="188" l="1"/>
  <c r="B41" i="188"/>
  <c r="A43" i="188" l="1"/>
  <c r="B42" i="188"/>
  <c r="A44" i="188" l="1"/>
  <c r="B43" i="188"/>
  <c r="B44" i="188" l="1"/>
  <c r="A45" i="188"/>
  <c r="A46" i="188" l="1"/>
  <c r="B45" i="188"/>
  <c r="A47" i="188" l="1"/>
  <c r="B46" i="188"/>
  <c r="A48" i="188" l="1"/>
  <c r="B47" i="188"/>
  <c r="B48" i="188" l="1"/>
  <c r="A49" i="188"/>
  <c r="A50" i="188" l="1"/>
  <c r="B49" i="188"/>
  <c r="A51" i="188" l="1"/>
  <c r="B50" i="188"/>
  <c r="A52" i="188" l="1"/>
  <c r="B51" i="188"/>
  <c r="B52" i="188" l="1"/>
  <c r="A53" i="188"/>
  <c r="A54" i="188" l="1"/>
  <c r="B53" i="188"/>
  <c r="A55" i="188" l="1"/>
  <c r="B54" i="188"/>
  <c r="A56" i="188" l="1"/>
  <c r="B55" i="188"/>
  <c r="B56" i="188" l="1"/>
  <c r="A57" i="188"/>
  <c r="A58" i="188" l="1"/>
  <c r="B57" i="188"/>
  <c r="A59" i="188" l="1"/>
  <c r="B59" i="188" s="1"/>
  <c r="B58" i="188"/>
  <c r="A4" i="180" l="1"/>
  <c r="U3" i="180"/>
  <c r="U3" i="180" a="1"/>
  <c r="C3" i="180"/>
  <c r="B3" i="180"/>
  <c r="C2" i="180"/>
  <c r="D2" i="180" s="1"/>
  <c r="C2" i="179"/>
  <c r="C2" i="178"/>
  <c r="C2" i="177"/>
  <c r="C6" i="176"/>
  <c r="J2" i="176"/>
  <c r="K6" i="176" s="1"/>
  <c r="J2" i="176" a="1"/>
  <c r="F2" i="176"/>
  <c r="G6" i="176" s="1"/>
  <c r="F2" i="176" a="1"/>
  <c r="C8" i="173"/>
  <c r="K2" i="172"/>
  <c r="K10" i="172" s="1" a="1"/>
  <c r="K10" i="172" s="1"/>
  <c r="K15" i="172" s="1" a="1"/>
  <c r="K15" i="172" s="1"/>
  <c r="K2" i="172" a="1"/>
  <c r="F2" i="172"/>
  <c r="G7" i="172" s="1"/>
  <c r="F2" i="172" a="1"/>
  <c r="L4" i="171" a="1"/>
  <c r="L4" i="171" s="1"/>
  <c r="G4" i="171" a="1"/>
  <c r="G4" i="171" s="1"/>
  <c r="H9" i="171" s="1"/>
  <c r="H271" i="170"/>
  <c r="G271" i="170"/>
  <c r="I271" i="170" s="1"/>
  <c r="H270" i="170"/>
  <c r="G270" i="170"/>
  <c r="I270" i="170" s="1"/>
  <c r="H269" i="170"/>
  <c r="I269" i="170" s="1"/>
  <c r="G269" i="170"/>
  <c r="H268" i="170"/>
  <c r="I268" i="170" s="1"/>
  <c r="G268" i="170"/>
  <c r="I267" i="170"/>
  <c r="H267" i="170"/>
  <c r="G267" i="170"/>
  <c r="I266" i="170"/>
  <c r="H266" i="170"/>
  <c r="G266" i="170"/>
  <c r="H265" i="170"/>
  <c r="G265" i="170"/>
  <c r="I265" i="170" s="1"/>
  <c r="H264" i="170"/>
  <c r="G264" i="170"/>
  <c r="I264" i="170" s="1"/>
  <c r="H263" i="170"/>
  <c r="G263" i="170"/>
  <c r="I263" i="170" s="1"/>
  <c r="H262" i="170"/>
  <c r="I262" i="170" s="1"/>
  <c r="G262" i="170"/>
  <c r="H261" i="170"/>
  <c r="G261" i="170"/>
  <c r="I261" i="170" s="1"/>
  <c r="J261" i="170" s="1"/>
  <c r="J264" i="170" s="1"/>
  <c r="H256" i="170"/>
  <c r="G256" i="170"/>
  <c r="I256" i="170" s="1"/>
  <c r="H255" i="170"/>
  <c r="G255" i="170"/>
  <c r="I255" i="170" s="1"/>
  <c r="H254" i="170"/>
  <c r="I254" i="170" s="1"/>
  <c r="G254" i="170"/>
  <c r="H253" i="170"/>
  <c r="I253" i="170" s="1"/>
  <c r="G253" i="170"/>
  <c r="I252" i="170"/>
  <c r="H252" i="170"/>
  <c r="G252" i="170"/>
  <c r="I251" i="170"/>
  <c r="H251" i="170"/>
  <c r="G251" i="170"/>
  <c r="H250" i="170"/>
  <c r="G250" i="170"/>
  <c r="I250" i="170" s="1"/>
  <c r="H249" i="170"/>
  <c r="G249" i="170"/>
  <c r="I249" i="170" s="1"/>
  <c r="H248" i="170"/>
  <c r="G248" i="170"/>
  <c r="I248" i="170" s="1"/>
  <c r="H247" i="170"/>
  <c r="G247" i="170"/>
  <c r="I247" i="170" s="1"/>
  <c r="H246" i="170"/>
  <c r="I246" i="170" s="1"/>
  <c r="G246" i="170"/>
  <c r="H245" i="170"/>
  <c r="I245" i="170" s="1"/>
  <c r="G245" i="170"/>
  <c r="I244" i="170"/>
  <c r="H244" i="170"/>
  <c r="G244" i="170"/>
  <c r="I243" i="170"/>
  <c r="H243" i="170"/>
  <c r="G243" i="170"/>
  <c r="H242" i="170"/>
  <c r="G242" i="170"/>
  <c r="I242" i="170" s="1"/>
  <c r="H241" i="170"/>
  <c r="G241" i="170"/>
  <c r="I241" i="170" s="1"/>
  <c r="H240" i="170"/>
  <c r="G240" i="170"/>
  <c r="I240" i="170" s="1"/>
  <c r="H239" i="170"/>
  <c r="G239" i="170"/>
  <c r="I239" i="170" s="1"/>
  <c r="H238" i="170"/>
  <c r="I238" i="170" s="1"/>
  <c r="G238" i="170"/>
  <c r="H237" i="170"/>
  <c r="I237" i="170" s="1"/>
  <c r="G237" i="170"/>
  <c r="I236" i="170"/>
  <c r="H236" i="170"/>
  <c r="G236" i="170"/>
  <c r="I235" i="170"/>
  <c r="H235" i="170"/>
  <c r="G235" i="170"/>
  <c r="H234" i="170"/>
  <c r="G234" i="170"/>
  <c r="I234" i="170" s="1"/>
  <c r="H233" i="170"/>
  <c r="G233" i="170"/>
  <c r="I233" i="170" s="1"/>
  <c r="H232" i="170"/>
  <c r="G232" i="170"/>
  <c r="I232" i="170" s="1"/>
  <c r="H231" i="170"/>
  <c r="G231" i="170"/>
  <c r="I231" i="170" s="1"/>
  <c r="H230" i="170"/>
  <c r="I230" i="170" s="1"/>
  <c r="G230" i="170"/>
  <c r="H229" i="170"/>
  <c r="I229" i="170" s="1"/>
  <c r="G229" i="170"/>
  <c r="I228" i="170"/>
  <c r="H228" i="170"/>
  <c r="G228" i="170"/>
  <c r="I227" i="170"/>
  <c r="H227" i="170"/>
  <c r="G227" i="170"/>
  <c r="H226" i="170"/>
  <c r="G226" i="170"/>
  <c r="I226" i="170" s="1"/>
  <c r="H225" i="170"/>
  <c r="G225" i="170"/>
  <c r="I225" i="170" s="1"/>
  <c r="H224" i="170"/>
  <c r="G224" i="170"/>
  <c r="I224" i="170" s="1"/>
  <c r="H223" i="170"/>
  <c r="G223" i="170"/>
  <c r="I223" i="170" s="1"/>
  <c r="H222" i="170"/>
  <c r="I222" i="170" s="1"/>
  <c r="G222" i="170"/>
  <c r="H221" i="170"/>
  <c r="I221" i="170" s="1"/>
  <c r="G221" i="170"/>
  <c r="I220" i="170"/>
  <c r="H220" i="170"/>
  <c r="G220" i="170"/>
  <c r="I219" i="170"/>
  <c r="H219" i="170"/>
  <c r="G219" i="170"/>
  <c r="H218" i="170"/>
  <c r="G218" i="170"/>
  <c r="I218" i="170" s="1"/>
  <c r="H217" i="170"/>
  <c r="G217" i="170"/>
  <c r="I217" i="170" s="1"/>
  <c r="H216" i="170"/>
  <c r="G216" i="170"/>
  <c r="I216" i="170" s="1"/>
  <c r="H215" i="170"/>
  <c r="G215" i="170"/>
  <c r="I215" i="170" s="1"/>
  <c r="H214" i="170"/>
  <c r="I214" i="170" s="1"/>
  <c r="G214" i="170"/>
  <c r="H213" i="170"/>
  <c r="I213" i="170" s="1"/>
  <c r="G213" i="170"/>
  <c r="I212" i="170"/>
  <c r="H212" i="170"/>
  <c r="G212" i="170"/>
  <c r="I211" i="170"/>
  <c r="H211" i="170"/>
  <c r="G211" i="170"/>
  <c r="H210" i="170"/>
  <c r="G210" i="170"/>
  <c r="I210" i="170" s="1"/>
  <c r="H209" i="170"/>
  <c r="G209" i="170"/>
  <c r="I209" i="170" s="1"/>
  <c r="H208" i="170"/>
  <c r="G208" i="170"/>
  <c r="I208" i="170" s="1"/>
  <c r="H207" i="170"/>
  <c r="G207" i="170"/>
  <c r="I207" i="170" s="1"/>
  <c r="H206" i="170"/>
  <c r="I206" i="170" s="1"/>
  <c r="G206" i="170"/>
  <c r="H205" i="170"/>
  <c r="I205" i="170" s="1"/>
  <c r="G205" i="170"/>
  <c r="I204" i="170"/>
  <c r="H204" i="170"/>
  <c r="G204" i="170"/>
  <c r="I203" i="170"/>
  <c r="H203" i="170"/>
  <c r="G203" i="170"/>
  <c r="H202" i="170"/>
  <c r="G202" i="170"/>
  <c r="I202" i="170" s="1"/>
  <c r="H201" i="170"/>
  <c r="G201" i="170"/>
  <c r="I201" i="170" s="1"/>
  <c r="H200" i="170"/>
  <c r="G200" i="170"/>
  <c r="I200" i="170" s="1"/>
  <c r="H199" i="170"/>
  <c r="G199" i="170"/>
  <c r="I199" i="170" s="1"/>
  <c r="H198" i="170"/>
  <c r="I198" i="170" s="1"/>
  <c r="G198" i="170"/>
  <c r="H197" i="170"/>
  <c r="I197" i="170" s="1"/>
  <c r="G197" i="170"/>
  <c r="I196" i="170"/>
  <c r="H196" i="170"/>
  <c r="G196" i="170"/>
  <c r="I195" i="170"/>
  <c r="H195" i="170"/>
  <c r="G195" i="170"/>
  <c r="H194" i="170"/>
  <c r="G194" i="170"/>
  <c r="I194" i="170" s="1"/>
  <c r="H193" i="170"/>
  <c r="G193" i="170"/>
  <c r="I193" i="170" s="1"/>
  <c r="H192" i="170"/>
  <c r="G192" i="170"/>
  <c r="I192" i="170" s="1"/>
  <c r="H191" i="170"/>
  <c r="G191" i="170"/>
  <c r="I191" i="170" s="1"/>
  <c r="H190" i="170"/>
  <c r="I190" i="170" s="1"/>
  <c r="G190" i="170"/>
  <c r="I189" i="170"/>
  <c r="H189" i="170"/>
  <c r="G189" i="170"/>
  <c r="I188" i="170"/>
  <c r="H188" i="170"/>
  <c r="G188" i="170"/>
  <c r="I187" i="170"/>
  <c r="H187" i="170"/>
  <c r="G187" i="170"/>
  <c r="H186" i="170"/>
  <c r="G186" i="170"/>
  <c r="I186" i="170" s="1"/>
  <c r="H185" i="170"/>
  <c r="G185" i="170"/>
  <c r="I185" i="170" s="1"/>
  <c r="H184" i="170"/>
  <c r="G184" i="170"/>
  <c r="I184" i="170" s="1"/>
  <c r="H183" i="170"/>
  <c r="G183" i="170"/>
  <c r="I183" i="170" s="1"/>
  <c r="H182" i="170"/>
  <c r="I182" i="170" s="1"/>
  <c r="G182" i="170"/>
  <c r="I181" i="170"/>
  <c r="H181" i="170"/>
  <c r="G181" i="170"/>
  <c r="I180" i="170"/>
  <c r="H180" i="170"/>
  <c r="G180" i="170"/>
  <c r="I179" i="170"/>
  <c r="H179" i="170"/>
  <c r="G179" i="170"/>
  <c r="H178" i="170"/>
  <c r="G178" i="170"/>
  <c r="I178" i="170" s="1"/>
  <c r="H177" i="170"/>
  <c r="G177" i="170"/>
  <c r="I177" i="170" s="1"/>
  <c r="H176" i="170"/>
  <c r="G176" i="170"/>
  <c r="I176" i="170" s="1"/>
  <c r="H175" i="170"/>
  <c r="G175" i="170"/>
  <c r="I175" i="170" s="1"/>
  <c r="H174" i="170"/>
  <c r="I174" i="170" s="1"/>
  <c r="G174" i="170"/>
  <c r="I173" i="170"/>
  <c r="H173" i="170"/>
  <c r="G173" i="170"/>
  <c r="I172" i="170"/>
  <c r="H172" i="170"/>
  <c r="G172" i="170"/>
  <c r="I171" i="170"/>
  <c r="H171" i="170"/>
  <c r="G171" i="170"/>
  <c r="H170" i="170"/>
  <c r="G170" i="170"/>
  <c r="I170" i="170" s="1"/>
  <c r="H169" i="170"/>
  <c r="G169" i="170"/>
  <c r="I169" i="170" s="1"/>
  <c r="H168" i="170"/>
  <c r="G168" i="170"/>
  <c r="I168" i="170" s="1"/>
  <c r="H167" i="170"/>
  <c r="G167" i="170"/>
  <c r="I167" i="170" s="1"/>
  <c r="H166" i="170"/>
  <c r="I166" i="170" s="1"/>
  <c r="G166" i="170"/>
  <c r="I165" i="170"/>
  <c r="H165" i="170"/>
  <c r="G165" i="170"/>
  <c r="I164" i="170"/>
  <c r="H164" i="170"/>
  <c r="G164" i="170"/>
  <c r="I163" i="170"/>
  <c r="H163" i="170"/>
  <c r="G163" i="170"/>
  <c r="H162" i="170"/>
  <c r="G162" i="170"/>
  <c r="I162" i="170" s="1"/>
  <c r="H161" i="170"/>
  <c r="G161" i="170"/>
  <c r="I161" i="170" s="1"/>
  <c r="H160" i="170"/>
  <c r="G160" i="170"/>
  <c r="I160" i="170" s="1"/>
  <c r="H159" i="170"/>
  <c r="G159" i="170"/>
  <c r="I159" i="170" s="1"/>
  <c r="H158" i="170"/>
  <c r="I158" i="170" s="1"/>
  <c r="G158" i="170"/>
  <c r="I157" i="170"/>
  <c r="H157" i="170"/>
  <c r="G157" i="170"/>
  <c r="I156" i="170"/>
  <c r="H156" i="170"/>
  <c r="G156" i="170"/>
  <c r="I155" i="170"/>
  <c r="H155" i="170"/>
  <c r="G155" i="170"/>
  <c r="H154" i="170"/>
  <c r="G154" i="170"/>
  <c r="I154" i="170" s="1"/>
  <c r="H153" i="170"/>
  <c r="G153" i="170"/>
  <c r="I153" i="170" s="1"/>
  <c r="H152" i="170"/>
  <c r="G152" i="170"/>
  <c r="I152" i="170" s="1"/>
  <c r="H151" i="170"/>
  <c r="G151" i="170"/>
  <c r="I151" i="170" s="1"/>
  <c r="H150" i="170"/>
  <c r="I150" i="170" s="1"/>
  <c r="G150" i="170"/>
  <c r="I149" i="170"/>
  <c r="H149" i="170"/>
  <c r="G149" i="170"/>
  <c r="I148" i="170"/>
  <c r="H148" i="170"/>
  <c r="G148" i="170"/>
  <c r="I147" i="170"/>
  <c r="H147" i="170"/>
  <c r="G147" i="170"/>
  <c r="H146" i="170"/>
  <c r="G146" i="170"/>
  <c r="I146" i="170" s="1"/>
  <c r="H145" i="170"/>
  <c r="G145" i="170"/>
  <c r="I145" i="170" s="1"/>
  <c r="H144" i="170"/>
  <c r="G144" i="170"/>
  <c r="I144" i="170" s="1"/>
  <c r="H143" i="170"/>
  <c r="G143" i="170"/>
  <c r="I143" i="170" s="1"/>
  <c r="H142" i="170"/>
  <c r="I142" i="170" s="1"/>
  <c r="G142" i="170"/>
  <c r="I141" i="170"/>
  <c r="H141" i="170"/>
  <c r="G141" i="170"/>
  <c r="I140" i="170"/>
  <c r="H140" i="170"/>
  <c r="G140" i="170"/>
  <c r="I139" i="170"/>
  <c r="H139" i="170"/>
  <c r="G139" i="170"/>
  <c r="H138" i="170"/>
  <c r="G138" i="170"/>
  <c r="I138" i="170" s="1"/>
  <c r="H137" i="170"/>
  <c r="G137" i="170"/>
  <c r="I137" i="170" s="1"/>
  <c r="H136" i="170"/>
  <c r="G136" i="170"/>
  <c r="I136" i="170" s="1"/>
  <c r="H135" i="170"/>
  <c r="G135" i="170"/>
  <c r="I135" i="170" s="1"/>
  <c r="H134" i="170"/>
  <c r="I134" i="170" s="1"/>
  <c r="G134" i="170"/>
  <c r="I133" i="170"/>
  <c r="H133" i="170"/>
  <c r="G133" i="170"/>
  <c r="I132" i="170"/>
  <c r="H132" i="170"/>
  <c r="G132" i="170"/>
  <c r="I131" i="170"/>
  <c r="H131" i="170"/>
  <c r="G131" i="170"/>
  <c r="H130" i="170"/>
  <c r="G130" i="170"/>
  <c r="I130" i="170" s="1"/>
  <c r="H129" i="170"/>
  <c r="G129" i="170"/>
  <c r="I129" i="170" s="1"/>
  <c r="H128" i="170"/>
  <c r="G128" i="170"/>
  <c r="I128" i="170" s="1"/>
  <c r="H127" i="170"/>
  <c r="G127" i="170"/>
  <c r="I127" i="170" s="1"/>
  <c r="H126" i="170"/>
  <c r="I126" i="170" s="1"/>
  <c r="G126" i="170"/>
  <c r="I125" i="170"/>
  <c r="H125" i="170"/>
  <c r="G125" i="170"/>
  <c r="I124" i="170"/>
  <c r="H124" i="170"/>
  <c r="G124" i="170"/>
  <c r="I123" i="170"/>
  <c r="H123" i="170"/>
  <c r="G123" i="170"/>
  <c r="H122" i="170"/>
  <c r="G122" i="170"/>
  <c r="I122" i="170" s="1"/>
  <c r="H121" i="170"/>
  <c r="G121" i="170"/>
  <c r="I121" i="170" s="1"/>
  <c r="H120" i="170"/>
  <c r="G120" i="170"/>
  <c r="I120" i="170" s="1"/>
  <c r="H119" i="170"/>
  <c r="G119" i="170"/>
  <c r="I119" i="170" s="1"/>
  <c r="H118" i="170"/>
  <c r="I118" i="170" s="1"/>
  <c r="G118" i="170"/>
  <c r="I117" i="170"/>
  <c r="H117" i="170"/>
  <c r="G117" i="170"/>
  <c r="I116" i="170"/>
  <c r="H116" i="170"/>
  <c r="G116" i="170"/>
  <c r="I115" i="170"/>
  <c r="H115" i="170"/>
  <c r="G115" i="170"/>
  <c r="H114" i="170"/>
  <c r="G114" i="170"/>
  <c r="I114" i="170" s="1"/>
  <c r="H113" i="170"/>
  <c r="G113" i="170"/>
  <c r="I113" i="170" s="1"/>
  <c r="H112" i="170"/>
  <c r="G112" i="170"/>
  <c r="I112" i="170" s="1"/>
  <c r="H111" i="170"/>
  <c r="G111" i="170"/>
  <c r="I111" i="170" s="1"/>
  <c r="H110" i="170"/>
  <c r="I110" i="170" s="1"/>
  <c r="G110" i="170"/>
  <c r="H109" i="170"/>
  <c r="I109" i="170" s="1"/>
  <c r="G109" i="170"/>
  <c r="I108" i="170"/>
  <c r="H108" i="170"/>
  <c r="G108" i="170"/>
  <c r="I107" i="170"/>
  <c r="H107" i="170"/>
  <c r="G107" i="170"/>
  <c r="H106" i="170"/>
  <c r="G106" i="170"/>
  <c r="I106" i="170" s="1"/>
  <c r="H105" i="170"/>
  <c r="G105" i="170"/>
  <c r="I105" i="170" s="1"/>
  <c r="H104" i="170"/>
  <c r="G104" i="170"/>
  <c r="I104" i="170" s="1"/>
  <c r="H103" i="170"/>
  <c r="G103" i="170"/>
  <c r="I103" i="170" s="1"/>
  <c r="H102" i="170"/>
  <c r="I102" i="170" s="1"/>
  <c r="G102" i="170"/>
  <c r="H101" i="170"/>
  <c r="I101" i="170" s="1"/>
  <c r="G101" i="170"/>
  <c r="I100" i="170"/>
  <c r="H100" i="170"/>
  <c r="G100" i="170"/>
  <c r="I99" i="170"/>
  <c r="H99" i="170"/>
  <c r="G99" i="170"/>
  <c r="H98" i="170"/>
  <c r="G98" i="170"/>
  <c r="I98" i="170" s="1"/>
  <c r="H97" i="170"/>
  <c r="G97" i="170"/>
  <c r="I97" i="170" s="1"/>
  <c r="H96" i="170"/>
  <c r="G96" i="170"/>
  <c r="I96" i="170" s="1"/>
  <c r="H95" i="170"/>
  <c r="G95" i="170"/>
  <c r="I95" i="170" s="1"/>
  <c r="H94" i="170"/>
  <c r="I94" i="170" s="1"/>
  <c r="G94" i="170"/>
  <c r="H93" i="170"/>
  <c r="I93" i="170" s="1"/>
  <c r="G93" i="170"/>
  <c r="I92" i="170"/>
  <c r="H92" i="170"/>
  <c r="G92" i="170"/>
  <c r="I91" i="170"/>
  <c r="H91" i="170"/>
  <c r="G91" i="170"/>
  <c r="H90" i="170"/>
  <c r="G90" i="170"/>
  <c r="I90" i="170" s="1"/>
  <c r="H89" i="170"/>
  <c r="G89" i="170"/>
  <c r="I89" i="170" s="1"/>
  <c r="H88" i="170"/>
  <c r="G88" i="170"/>
  <c r="I88" i="170" s="1"/>
  <c r="H87" i="170"/>
  <c r="G87" i="170"/>
  <c r="I87" i="170" s="1"/>
  <c r="H86" i="170"/>
  <c r="I86" i="170" s="1"/>
  <c r="G86" i="170"/>
  <c r="H85" i="170"/>
  <c r="I85" i="170" s="1"/>
  <c r="G85" i="170"/>
  <c r="I84" i="170"/>
  <c r="H84" i="170"/>
  <c r="G84" i="170"/>
  <c r="I83" i="170"/>
  <c r="H83" i="170"/>
  <c r="G83" i="170"/>
  <c r="H82" i="170"/>
  <c r="G82" i="170"/>
  <c r="I82" i="170" s="1"/>
  <c r="H81" i="170"/>
  <c r="G81" i="170"/>
  <c r="I81" i="170" s="1"/>
  <c r="H80" i="170"/>
  <c r="G80" i="170"/>
  <c r="I80" i="170" s="1"/>
  <c r="H79" i="170"/>
  <c r="G79" i="170"/>
  <c r="I79" i="170" s="1"/>
  <c r="H78" i="170"/>
  <c r="I78" i="170" s="1"/>
  <c r="G78" i="170"/>
  <c r="H77" i="170"/>
  <c r="I77" i="170" s="1"/>
  <c r="G77" i="170"/>
  <c r="I76" i="170"/>
  <c r="H76" i="170"/>
  <c r="G76" i="170"/>
  <c r="I75" i="170"/>
  <c r="H75" i="170"/>
  <c r="G75" i="170"/>
  <c r="H74" i="170"/>
  <c r="G74" i="170"/>
  <c r="I74" i="170" s="1"/>
  <c r="H73" i="170"/>
  <c r="G73" i="170"/>
  <c r="I73" i="170" s="1"/>
  <c r="H72" i="170"/>
  <c r="G72" i="170"/>
  <c r="I72" i="170" s="1"/>
  <c r="H71" i="170"/>
  <c r="G71" i="170"/>
  <c r="I71" i="170" s="1"/>
  <c r="H70" i="170"/>
  <c r="I70" i="170" s="1"/>
  <c r="G70" i="170"/>
  <c r="H69" i="170"/>
  <c r="I69" i="170" s="1"/>
  <c r="G69" i="170"/>
  <c r="I68" i="170"/>
  <c r="H68" i="170"/>
  <c r="G68" i="170"/>
  <c r="I67" i="170"/>
  <c r="H67" i="170"/>
  <c r="G67" i="170"/>
  <c r="H66" i="170"/>
  <c r="G66" i="170"/>
  <c r="I66" i="170" s="1"/>
  <c r="H65" i="170"/>
  <c r="G65" i="170"/>
  <c r="I65" i="170" s="1"/>
  <c r="H64" i="170"/>
  <c r="G64" i="170"/>
  <c r="I64" i="170" s="1"/>
  <c r="H63" i="170"/>
  <c r="G63" i="170"/>
  <c r="I63" i="170" s="1"/>
  <c r="H62" i="170"/>
  <c r="I62" i="170" s="1"/>
  <c r="G62" i="170"/>
  <c r="H61" i="170"/>
  <c r="I61" i="170" s="1"/>
  <c r="G61" i="170"/>
  <c r="I60" i="170"/>
  <c r="H60" i="170"/>
  <c r="G60" i="170"/>
  <c r="I59" i="170"/>
  <c r="H59" i="170"/>
  <c r="G59" i="170"/>
  <c r="H58" i="170"/>
  <c r="G58" i="170"/>
  <c r="I58" i="170" s="1"/>
  <c r="H57" i="170"/>
  <c r="G57" i="170"/>
  <c r="I57" i="170" s="1"/>
  <c r="H56" i="170"/>
  <c r="G56" i="170"/>
  <c r="I56" i="170" s="1"/>
  <c r="H55" i="170"/>
  <c r="G55" i="170"/>
  <c r="I55" i="170" s="1"/>
  <c r="H54" i="170"/>
  <c r="I54" i="170" s="1"/>
  <c r="G54" i="170"/>
  <c r="H53" i="170"/>
  <c r="I53" i="170" s="1"/>
  <c r="G53" i="170"/>
  <c r="I52" i="170"/>
  <c r="H52" i="170"/>
  <c r="G52" i="170"/>
  <c r="I51" i="170"/>
  <c r="H51" i="170"/>
  <c r="G51" i="170"/>
  <c r="H50" i="170"/>
  <c r="G50" i="170"/>
  <c r="I50" i="170" s="1"/>
  <c r="H49" i="170"/>
  <c r="G49" i="170"/>
  <c r="I49" i="170" s="1"/>
  <c r="H48" i="170"/>
  <c r="G48" i="170"/>
  <c r="I48" i="170" s="1"/>
  <c r="H47" i="170"/>
  <c r="G47" i="170"/>
  <c r="I47" i="170" s="1"/>
  <c r="H46" i="170"/>
  <c r="I46" i="170" s="1"/>
  <c r="G46" i="170"/>
  <c r="H45" i="170"/>
  <c r="I45" i="170" s="1"/>
  <c r="G45" i="170"/>
  <c r="I44" i="170"/>
  <c r="H44" i="170"/>
  <c r="G44" i="170"/>
  <c r="I43" i="170"/>
  <c r="H43" i="170"/>
  <c r="G43" i="170"/>
  <c r="H42" i="170"/>
  <c r="G42" i="170"/>
  <c r="I42" i="170" s="1"/>
  <c r="H41" i="170"/>
  <c r="G41" i="170"/>
  <c r="I41" i="170" s="1"/>
  <c r="H40" i="170"/>
  <c r="G40" i="170"/>
  <c r="I40" i="170" s="1"/>
  <c r="H39" i="170"/>
  <c r="G39" i="170"/>
  <c r="I39" i="170" s="1"/>
  <c r="H38" i="170"/>
  <c r="I38" i="170" s="1"/>
  <c r="G38" i="170"/>
  <c r="H37" i="170"/>
  <c r="I37" i="170" s="1"/>
  <c r="G37" i="170"/>
  <c r="M36" i="170"/>
  <c r="H36" i="170"/>
  <c r="G36" i="170"/>
  <c r="I36" i="170" s="1"/>
  <c r="H35" i="170"/>
  <c r="G35" i="170"/>
  <c r="I35" i="170" s="1"/>
  <c r="H34" i="170"/>
  <c r="G34" i="170"/>
  <c r="I34" i="170" s="1"/>
  <c r="H33" i="170"/>
  <c r="I33" i="170" s="1"/>
  <c r="G33" i="170"/>
  <c r="H32" i="170"/>
  <c r="I32" i="170" s="1"/>
  <c r="G32" i="170"/>
  <c r="I31" i="170"/>
  <c r="H31" i="170"/>
  <c r="G31" i="170"/>
  <c r="I30" i="170"/>
  <c r="H30" i="170"/>
  <c r="G30" i="170"/>
  <c r="H29" i="170"/>
  <c r="G29" i="170"/>
  <c r="I29" i="170" s="1"/>
  <c r="H28" i="170"/>
  <c r="G28" i="170"/>
  <c r="I28" i="170" s="1"/>
  <c r="H27" i="170"/>
  <c r="G27" i="170"/>
  <c r="I27" i="170" s="1"/>
  <c r="H26" i="170"/>
  <c r="G26" i="170"/>
  <c r="I26" i="170" s="1"/>
  <c r="H25" i="170"/>
  <c r="I25" i="170" s="1"/>
  <c r="G25" i="170"/>
  <c r="H24" i="170"/>
  <c r="I24" i="170" s="1"/>
  <c r="G24" i="170"/>
  <c r="I23" i="170"/>
  <c r="H23" i="170"/>
  <c r="G23" i="170"/>
  <c r="I22" i="170"/>
  <c r="H22" i="170"/>
  <c r="G22" i="170"/>
  <c r="H21" i="170"/>
  <c r="G21" i="170"/>
  <c r="I21" i="170" s="1"/>
  <c r="H20" i="170"/>
  <c r="G20" i="170"/>
  <c r="I20" i="170" s="1"/>
  <c r="H19" i="170"/>
  <c r="G19" i="170"/>
  <c r="I19" i="170" s="1"/>
  <c r="H18" i="170"/>
  <c r="G18" i="170"/>
  <c r="I18" i="170" s="1"/>
  <c r="H17" i="170"/>
  <c r="I17" i="170" s="1"/>
  <c r="G17" i="170"/>
  <c r="H16" i="170"/>
  <c r="I16" i="170" s="1"/>
  <c r="G16" i="170"/>
  <c r="I15" i="170"/>
  <c r="H15" i="170"/>
  <c r="G15" i="170"/>
  <c r="I14" i="170"/>
  <c r="H14" i="170"/>
  <c r="G14" i="170"/>
  <c r="H13" i="170"/>
  <c r="G13" i="170"/>
  <c r="I13" i="170" s="1"/>
  <c r="H12" i="170"/>
  <c r="G12" i="170"/>
  <c r="I12" i="170" s="1"/>
  <c r="H11" i="170"/>
  <c r="G11" i="170"/>
  <c r="I11" i="170" s="1"/>
  <c r="H10" i="170"/>
  <c r="G10" i="170"/>
  <c r="I10" i="170" s="1"/>
  <c r="H9" i="170"/>
  <c r="I9" i="170" s="1"/>
  <c r="G9" i="170"/>
  <c r="H8" i="170"/>
  <c r="I8" i="170" s="1"/>
  <c r="G8" i="170"/>
  <c r="I7" i="170"/>
  <c r="H7" i="170"/>
  <c r="G7" i="170"/>
  <c r="I6" i="170"/>
  <c r="H6" i="170"/>
  <c r="G6" i="170"/>
  <c r="H5" i="170"/>
  <c r="G5" i="170"/>
  <c r="I5" i="170" s="1"/>
  <c r="H4" i="170"/>
  <c r="I4" i="170" s="1"/>
  <c r="G4" i="170"/>
  <c r="H3" i="170"/>
  <c r="I3" i="170" s="1"/>
  <c r="G3" i="170"/>
  <c r="H2" i="170"/>
  <c r="G2" i="170"/>
  <c r="I2" i="170" s="1"/>
  <c r="F32" i="169" a="1"/>
  <c r="H34" i="169" s="1"/>
  <c r="F25" i="169" a="1"/>
  <c r="F28" i="169" s="1"/>
  <c r="F18" i="169" a="1"/>
  <c r="H21" i="169" s="1"/>
  <c r="F11" i="169" a="1"/>
  <c r="F13" i="169" s="1"/>
  <c r="A25" i="168"/>
  <c r="A26" i="168" s="1"/>
  <c r="A27" i="168" s="1"/>
  <c r="A28" i="168" s="1"/>
  <c r="B24" i="168"/>
  <c r="B25" i="168" s="1"/>
  <c r="B26" i="168" s="1"/>
  <c r="B27" i="168" s="1"/>
  <c r="B28" i="168" s="1"/>
  <c r="A24" i="168"/>
  <c r="B23" i="168"/>
  <c r="A23" i="168"/>
  <c r="F17" i="168" a="1"/>
  <c r="F17" i="168" s="1"/>
  <c r="F14" i="168"/>
  <c r="F12" i="168"/>
  <c r="A12" i="168"/>
  <c r="A13" i="168" s="1"/>
  <c r="A14" i="168" s="1"/>
  <c r="A15" i="168" s="1"/>
  <c r="F11" i="168"/>
  <c r="A11" i="168"/>
  <c r="B10" i="168"/>
  <c r="B11" i="168" s="1"/>
  <c r="B12" i="168" s="1"/>
  <c r="B13" i="168" s="1"/>
  <c r="B14" i="168" s="1"/>
  <c r="B15" i="168" s="1"/>
  <c r="F21" i="168" s="1"/>
  <c r="F22" i="168" s="1"/>
  <c r="A10" i="168"/>
  <c r="D3" i="180" l="1"/>
  <c r="E2" i="180"/>
  <c r="B4" i="180"/>
  <c r="C4" i="180"/>
  <c r="D4" i="180"/>
  <c r="A5" i="180"/>
  <c r="M9" i="171"/>
  <c r="L12" i="171" a="1"/>
  <c r="L12" i="171" s="1"/>
  <c r="L18" i="171" s="1" a="1"/>
  <c r="L18" i="171" s="1"/>
  <c r="L7" i="172"/>
  <c r="J2" i="170"/>
  <c r="J5" i="170" s="1"/>
  <c r="G17" i="168"/>
  <c r="G11" i="169"/>
  <c r="G13" i="169"/>
  <c r="I19" i="169"/>
  <c r="I21" i="169"/>
  <c r="G26" i="169"/>
  <c r="G28" i="169"/>
  <c r="I32" i="169"/>
  <c r="I34" i="169"/>
  <c r="F18" i="168"/>
  <c r="H11" i="169"/>
  <c r="H13" i="169"/>
  <c r="F18" i="169"/>
  <c r="F20" i="169"/>
  <c r="H26" i="169"/>
  <c r="H28" i="169"/>
  <c r="F33" i="169"/>
  <c r="F35" i="169"/>
  <c r="I26" i="169"/>
  <c r="I28" i="169"/>
  <c r="G33" i="169"/>
  <c r="G35" i="169"/>
  <c r="G18" i="168"/>
  <c r="I9" i="168" s="1" a="1"/>
  <c r="I11" i="169"/>
  <c r="I13" i="169"/>
  <c r="G18" i="169"/>
  <c r="G20" i="169"/>
  <c r="F12" i="169"/>
  <c r="F14" i="169"/>
  <c r="H18" i="169"/>
  <c r="H20" i="169"/>
  <c r="F25" i="169"/>
  <c r="F27" i="169"/>
  <c r="H33" i="169"/>
  <c r="H35" i="169"/>
  <c r="G12" i="169"/>
  <c r="G14" i="169"/>
  <c r="I18" i="169"/>
  <c r="I20" i="169"/>
  <c r="G25" i="169"/>
  <c r="G27" i="169"/>
  <c r="I33" i="169"/>
  <c r="I35" i="169"/>
  <c r="H12" i="169"/>
  <c r="H14" i="169"/>
  <c r="F19" i="169"/>
  <c r="F21" i="169"/>
  <c r="H25" i="169"/>
  <c r="H27" i="169"/>
  <c r="F32" i="169"/>
  <c r="F34" i="169"/>
  <c r="I12" i="169"/>
  <c r="I14" i="169"/>
  <c r="G19" i="169"/>
  <c r="G21" i="169"/>
  <c r="I25" i="169"/>
  <c r="I27" i="169"/>
  <c r="G32" i="169"/>
  <c r="G34" i="169"/>
  <c r="F11" i="169"/>
  <c r="H19" i="169"/>
  <c r="F26" i="169"/>
  <c r="H32" i="169"/>
  <c r="D5" i="180" l="1"/>
  <c r="C5" i="180"/>
  <c r="B5" i="180"/>
  <c r="E5" i="180"/>
  <c r="A6" i="180"/>
  <c r="E3" i="180"/>
  <c r="F2" i="180"/>
  <c r="E4" i="180"/>
  <c r="F21" i="174" a="1"/>
  <c r="J9" i="174" a="1"/>
  <c r="J9" i="174" s="1"/>
  <c r="J15" i="174" s="1" a="1"/>
  <c r="J15" i="174" s="1"/>
  <c r="G22" i="175" a="1"/>
  <c r="F7" i="173" a="1"/>
  <c r="F7" i="173" s="1"/>
  <c r="J7" i="173" s="1" a="1"/>
  <c r="J7" i="173" s="1"/>
  <c r="F12" i="173" a="1"/>
  <c r="F12" i="173" s="1"/>
  <c r="J12" i="173" s="1" a="1"/>
  <c r="J12" i="173" s="1"/>
  <c r="L9" i="175" a="1"/>
  <c r="L9" i="175" s="1"/>
  <c r="L15" i="175" s="1" a="1"/>
  <c r="L15" i="175" s="1"/>
  <c r="I10" i="168"/>
  <c r="I11" i="168" s="1"/>
  <c r="I9" i="168"/>
  <c r="D18" i="169"/>
  <c r="D11" i="169"/>
  <c r="D32" i="169"/>
  <c r="D25" i="169"/>
  <c r="G6" i="180" l="1"/>
  <c r="E6" i="180"/>
  <c r="F6" i="180"/>
  <c r="A7" i="180"/>
  <c r="D6" i="180"/>
  <c r="C6" i="180"/>
  <c r="B6" i="180"/>
  <c r="G2" i="180"/>
  <c r="F3" i="180"/>
  <c r="F4" i="180"/>
  <c r="F5" i="180"/>
  <c r="H23" i="174"/>
  <c r="F21" i="174"/>
  <c r="G23" i="174"/>
  <c r="G21" i="174"/>
  <c r="F23" i="174"/>
  <c r="H22" i="174"/>
  <c r="G22" i="174"/>
  <c r="F22" i="174"/>
  <c r="H21" i="174"/>
  <c r="J14" i="176" a="1"/>
  <c r="J14" i="176" s="1"/>
  <c r="N2" i="176" s="1" a="1"/>
  <c r="N2" i="176" s="1"/>
  <c r="N9" i="176" s="1" a="1"/>
  <c r="N9" i="176" s="1"/>
  <c r="I23" i="175"/>
  <c r="H23" i="175"/>
  <c r="G23" i="175"/>
  <c r="J23" i="175"/>
  <c r="J24" i="175"/>
  <c r="J22" i="175"/>
  <c r="I24" i="175"/>
  <c r="I22" i="175"/>
  <c r="H24" i="175"/>
  <c r="H22" i="175"/>
  <c r="G24" i="175"/>
  <c r="G22" i="175"/>
  <c r="I12" i="168"/>
  <c r="I14" i="168"/>
  <c r="I17" i="168" s="1" a="1"/>
  <c r="H2" i="180" l="1"/>
  <c r="G3" i="180"/>
  <c r="G4" i="180"/>
  <c r="G5" i="180"/>
  <c r="C7" i="180"/>
  <c r="B7" i="180"/>
  <c r="H7" i="180"/>
  <c r="E7" i="180"/>
  <c r="G7" i="180"/>
  <c r="A8" i="180"/>
  <c r="F7" i="180"/>
  <c r="D7" i="180"/>
  <c r="R20" i="176" a="1"/>
  <c r="R20" i="176" s="1"/>
  <c r="R30" i="176" s="1" a="1"/>
  <c r="R30" i="176" s="1"/>
  <c r="N20" i="176" a="1"/>
  <c r="N20" i="176" s="1"/>
  <c r="N30" i="176" s="1" a="1"/>
  <c r="N30" i="176" s="1"/>
  <c r="J18" i="168"/>
  <c r="I18" i="168"/>
  <c r="J17" i="168"/>
  <c r="I17" i="168"/>
  <c r="L9" i="168" s="1" a="1"/>
  <c r="H4" i="180" l="1"/>
  <c r="I2" i="180"/>
  <c r="H3" i="180"/>
  <c r="H5" i="180"/>
  <c r="H6" i="180"/>
  <c r="G8" i="180"/>
  <c r="A9" i="180"/>
  <c r="F8" i="180"/>
  <c r="E8" i="180"/>
  <c r="D8" i="180"/>
  <c r="H8" i="180"/>
  <c r="C8" i="180"/>
  <c r="B8" i="180"/>
  <c r="N25" i="176" a="1"/>
  <c r="N25" i="176" s="1"/>
  <c r="R25" i="176" a="1"/>
  <c r="R25" i="176" s="1"/>
  <c r="L10" i="168"/>
  <c r="L9" i="168"/>
  <c r="C9" i="180" l="1"/>
  <c r="J9" i="180"/>
  <c r="B9" i="180"/>
  <c r="I9" i="180"/>
  <c r="H9" i="180"/>
  <c r="A10" i="180"/>
  <c r="G9" i="180"/>
  <c r="E9" i="180"/>
  <c r="D9" i="180"/>
  <c r="F9" i="180"/>
  <c r="I3" i="180"/>
  <c r="J2" i="180"/>
  <c r="I4" i="180"/>
  <c r="I5" i="180"/>
  <c r="I6" i="180"/>
  <c r="I7" i="180"/>
  <c r="I8" i="180"/>
  <c r="L11" i="168"/>
  <c r="L14" i="168"/>
  <c r="L17" i="168" s="1" a="1"/>
  <c r="L12" i="168"/>
  <c r="G10" i="180" l="1"/>
  <c r="E10" i="180"/>
  <c r="F10" i="180"/>
  <c r="A11" i="180"/>
  <c r="D10" i="180"/>
  <c r="H10" i="180"/>
  <c r="K10" i="180"/>
  <c r="C10" i="180"/>
  <c r="I10" i="180"/>
  <c r="J10" i="180"/>
  <c r="B10" i="180"/>
  <c r="J3" i="180"/>
  <c r="K2" i="180"/>
  <c r="J4" i="180"/>
  <c r="J5" i="180"/>
  <c r="J6" i="180"/>
  <c r="J7" i="180"/>
  <c r="J8" i="180"/>
  <c r="M18" i="168"/>
  <c r="L18" i="168"/>
  <c r="M17" i="168"/>
  <c r="L17" i="168"/>
  <c r="O9" i="168" s="1" a="1"/>
  <c r="K3" i="180" l="1"/>
  <c r="L2" i="180"/>
  <c r="L11" i="180" s="1"/>
  <c r="K4" i="180"/>
  <c r="K5" i="180"/>
  <c r="K6" i="180"/>
  <c r="K7" i="180"/>
  <c r="K8" i="180"/>
  <c r="K9" i="180"/>
  <c r="K11" i="180"/>
  <c r="C11" i="180"/>
  <c r="I11" i="180"/>
  <c r="D11" i="180"/>
  <c r="J11" i="180"/>
  <c r="B11" i="180"/>
  <c r="H11" i="180"/>
  <c r="E11" i="180"/>
  <c r="G11" i="180"/>
  <c r="A12" i="180"/>
  <c r="F11" i="180"/>
  <c r="O10" i="168"/>
  <c r="O9" i="168"/>
  <c r="G12" i="180" l="1"/>
  <c r="A13" i="180"/>
  <c r="F12" i="180"/>
  <c r="E12" i="180"/>
  <c r="L12" i="180"/>
  <c r="D12" i="180"/>
  <c r="I12" i="180"/>
  <c r="K12" i="180"/>
  <c r="C12" i="180"/>
  <c r="J12" i="180"/>
  <c r="B12" i="180"/>
  <c r="H12" i="180"/>
  <c r="L3" i="180"/>
  <c r="L4" i="180"/>
  <c r="L5" i="180"/>
  <c r="L6" i="180"/>
  <c r="L7" i="180"/>
  <c r="L8" i="180"/>
  <c r="L9" i="180"/>
  <c r="L10" i="180"/>
  <c r="O14" i="168"/>
  <c r="O17" i="168" s="1" a="1"/>
  <c r="O12" i="168"/>
  <c r="O11" i="168"/>
  <c r="K13" i="180" l="1"/>
  <c r="C13" i="180"/>
  <c r="J13" i="180"/>
  <c r="B13" i="180"/>
  <c r="I13" i="180"/>
  <c r="H13" i="180"/>
  <c r="L13" i="180"/>
  <c r="G13" i="180"/>
  <c r="D13" i="180"/>
  <c r="F13" i="180"/>
  <c r="E13" i="180"/>
  <c r="P17" i="168"/>
  <c r="O17" i="168"/>
  <c r="R9" i="168" s="1" a="1"/>
  <c r="P18" i="168"/>
  <c r="O18" i="168"/>
  <c r="R10" i="168" l="1"/>
  <c r="R11" i="168" s="1"/>
  <c r="R9" i="168"/>
  <c r="R14" i="168" l="1"/>
  <c r="R17" i="168" s="1" a="1"/>
  <c r="R12" i="168"/>
  <c r="S18" i="168" l="1"/>
  <c r="R18" i="168"/>
  <c r="S17" i="168"/>
  <c r="R17" i="168"/>
  <c r="P4" i="149" l="1" a="1"/>
  <c r="P5" i="149" s="1"/>
  <c r="P4" i="149" l="1"/>
  <c r="Q5" i="149"/>
  <c r="Q4" i="149"/>
  <c r="F4" i="167" l="1" a="1"/>
  <c r="F6" i="167" s="1"/>
  <c r="G5" i="166"/>
  <c r="G4" i="166"/>
  <c r="G3" i="166"/>
  <c r="L10" i="150" a="1"/>
  <c r="L12" i="150" s="1"/>
  <c r="F14" i="147" a="1"/>
  <c r="F14" i="147"/>
  <c r="L8" i="165"/>
  <c r="B7" i="165"/>
  <c r="B6" i="165"/>
  <c r="L4" i="165"/>
  <c r="L5" i="165" s="1"/>
  <c r="G4" i="165"/>
  <c r="F4" i="165"/>
  <c r="F5" i="165" s="1"/>
  <c r="L3" i="165"/>
  <c r="G3" i="165"/>
  <c r="B41" i="164"/>
  <c r="B37" i="164"/>
  <c r="B33" i="164"/>
  <c r="B29" i="164"/>
  <c r="B25" i="164"/>
  <c r="B21" i="164"/>
  <c r="B17" i="164"/>
  <c r="B13" i="164"/>
  <c r="B7" i="164"/>
  <c r="B2" i="164"/>
  <c r="B8" i="163"/>
  <c r="B9" i="163" s="1"/>
  <c r="B7" i="163"/>
  <c r="B6" i="163"/>
  <c r="B5" i="163"/>
  <c r="B16" i="162"/>
  <c r="B15" i="162"/>
  <c r="B6" i="162"/>
  <c r="B5" i="162"/>
  <c r="F42" i="156"/>
  <c r="E42" i="156"/>
  <c r="D42" i="156"/>
  <c r="C42" i="156"/>
  <c r="B42" i="156"/>
  <c r="A42" i="156"/>
  <c r="F41" i="156"/>
  <c r="E41" i="156"/>
  <c r="D41" i="156"/>
  <c r="C41" i="156"/>
  <c r="B41" i="156"/>
  <c r="A41" i="156"/>
  <c r="AF24" i="156"/>
  <c r="P64" i="155" a="1"/>
  <c r="R66" i="155" s="1"/>
  <c r="P58" i="155" a="1"/>
  <c r="R59" i="155" s="1"/>
  <c r="P40" i="154"/>
  <c r="O40" i="154"/>
  <c r="N40" i="154"/>
  <c r="M40" i="154"/>
  <c r="V40" i="154" s="1"/>
  <c r="D45" i="154" s="1"/>
  <c r="M45" i="154" s="1"/>
  <c r="V45" i="154" s="1"/>
  <c r="L40" i="154"/>
  <c r="U40" i="154" s="1"/>
  <c r="K40" i="154"/>
  <c r="P39" i="154"/>
  <c r="Y39" i="154" s="1"/>
  <c r="O39" i="154"/>
  <c r="O41" i="154" s="1"/>
  <c r="X41" i="154" s="1"/>
  <c r="N39" i="154"/>
  <c r="N41" i="154" s="1"/>
  <c r="W41" i="154" s="1"/>
  <c r="M39" i="154"/>
  <c r="M41" i="154" s="1"/>
  <c r="V41" i="154" s="1"/>
  <c r="L39" i="154"/>
  <c r="L41" i="154" s="1"/>
  <c r="U41" i="154" s="1"/>
  <c r="K39" i="154"/>
  <c r="K41" i="154" s="1"/>
  <c r="T41" i="154" s="1"/>
  <c r="L29" i="154"/>
  <c r="S30" i="154" s="1"/>
  <c r="K29" i="154"/>
  <c r="R30" i="154" s="1"/>
  <c r="J29" i="154"/>
  <c r="Q30" i="154" s="1"/>
  <c r="I29" i="154"/>
  <c r="P30" i="154" s="1"/>
  <c r="R28" i="154"/>
  <c r="L28" i="154"/>
  <c r="S28" i="154" s="1"/>
  <c r="K28" i="154"/>
  <c r="K30" i="154" s="1"/>
  <c r="J28" i="154"/>
  <c r="Q28" i="154" s="1"/>
  <c r="I28" i="154"/>
  <c r="I30" i="154" s="1"/>
  <c r="P19" i="154"/>
  <c r="B23" i="154" s="1"/>
  <c r="L18" i="154"/>
  <c r="S19" i="154" s="1"/>
  <c r="E23" i="154" s="1"/>
  <c r="K18" i="154"/>
  <c r="R19" i="154" s="1"/>
  <c r="D23" i="154" s="1"/>
  <c r="K23" i="154" s="1"/>
  <c r="R23" i="154" s="1"/>
  <c r="J18" i="154"/>
  <c r="Q19" i="154" s="1"/>
  <c r="C23" i="154" s="1"/>
  <c r="I18" i="154"/>
  <c r="P17" i="154"/>
  <c r="B21" i="154" s="1"/>
  <c r="L17" i="154"/>
  <c r="L19" i="154" s="1"/>
  <c r="S18" i="154" s="1"/>
  <c r="E22" i="154" s="1"/>
  <c r="L22" i="154" s="1"/>
  <c r="K17" i="154"/>
  <c r="K19" i="154" s="1"/>
  <c r="R18" i="154" s="1"/>
  <c r="J17" i="154"/>
  <c r="J19" i="154" s="1"/>
  <c r="Q18" i="154" s="1"/>
  <c r="C22" i="154" s="1"/>
  <c r="J22" i="154" s="1"/>
  <c r="I17" i="154"/>
  <c r="I19" i="154" s="1"/>
  <c r="P18" i="154" s="1"/>
  <c r="L7" i="154"/>
  <c r="K7" i="154"/>
  <c r="J7" i="154"/>
  <c r="Q7" i="154" s="1"/>
  <c r="I7" i="154"/>
  <c r="P7" i="154" s="1"/>
  <c r="B11" i="154" s="1"/>
  <c r="I11" i="154" s="1"/>
  <c r="L6" i="154"/>
  <c r="S6" i="154" s="1"/>
  <c r="K6" i="154"/>
  <c r="R6" i="154" s="1"/>
  <c r="J6" i="154"/>
  <c r="Q6" i="154" s="1"/>
  <c r="I6" i="154"/>
  <c r="P6" i="154" s="1"/>
  <c r="D30" i="153"/>
  <c r="D25" i="153"/>
  <c r="D20" i="153"/>
  <c r="D15" i="153"/>
  <c r="C10" i="153"/>
  <c r="I4" i="153" a="1"/>
  <c r="I5" i="153" s="1"/>
  <c r="G18" i="152"/>
  <c r="U6" i="152"/>
  <c r="C11" i="152" s="1"/>
  <c r="L11" i="152" s="1"/>
  <c r="N6" i="152"/>
  <c r="M6" i="152"/>
  <c r="V6" i="152" s="1"/>
  <c r="D11" i="152" s="1"/>
  <c r="M11" i="152" s="1"/>
  <c r="L6" i="152"/>
  <c r="K6" i="152"/>
  <c r="W6" i="152" s="1"/>
  <c r="E11" i="152" s="1"/>
  <c r="N11" i="152" s="1"/>
  <c r="N5" i="152"/>
  <c r="M5" i="152"/>
  <c r="V5" i="152" s="1"/>
  <c r="D9" i="152" s="1"/>
  <c r="L5" i="152"/>
  <c r="K5" i="152"/>
  <c r="U5" i="152" s="1"/>
  <c r="C9" i="152" s="1"/>
  <c r="L9" i="152" s="1"/>
  <c r="U9" i="152" s="1"/>
  <c r="C14" i="152" s="1"/>
  <c r="L14" i="152" s="1"/>
  <c r="U14" i="152" s="1"/>
  <c r="N4" i="152"/>
  <c r="M4" i="152"/>
  <c r="V4" i="152" s="1"/>
  <c r="D10" i="152" s="1"/>
  <c r="M10" i="152" s="1"/>
  <c r="L4" i="152"/>
  <c r="K4" i="152"/>
  <c r="W4" i="152" s="1"/>
  <c r="E10" i="152" s="1"/>
  <c r="N10" i="152" s="1"/>
  <c r="W3" i="152"/>
  <c r="E8" i="152" s="1"/>
  <c r="N8" i="152" s="1"/>
  <c r="W8" i="152" s="1"/>
  <c r="E13" i="152" s="1"/>
  <c r="N13" i="152" s="1"/>
  <c r="W13" i="152" s="1"/>
  <c r="V3" i="152"/>
  <c r="D8" i="152" s="1"/>
  <c r="M8" i="152" s="1"/>
  <c r="V8" i="152" s="1"/>
  <c r="D13" i="152" s="1"/>
  <c r="M13" i="152" s="1"/>
  <c r="V13" i="152" s="1"/>
  <c r="P3" i="152"/>
  <c r="Y3" i="152" s="1"/>
  <c r="G8" i="152" s="1"/>
  <c r="N3" i="152"/>
  <c r="M3" i="152"/>
  <c r="L3" i="152"/>
  <c r="U3" i="152" s="1"/>
  <c r="C8" i="152" s="1"/>
  <c r="L8" i="152" s="1"/>
  <c r="U8" i="152" s="1"/>
  <c r="C13" i="152" s="1"/>
  <c r="L13" i="152" s="1"/>
  <c r="U13" i="152" s="1"/>
  <c r="K3" i="152"/>
  <c r="T3" i="152" s="1"/>
  <c r="B8" i="152" s="1"/>
  <c r="K8" i="152" s="1"/>
  <c r="T8" i="152" s="1"/>
  <c r="B13" i="152" s="1"/>
  <c r="K13" i="152" s="1"/>
  <c r="T13" i="152" s="1"/>
  <c r="G3" i="151"/>
  <c r="G6" i="150"/>
  <c r="E4" i="149" a="1"/>
  <c r="E5" i="149" s="1"/>
  <c r="E5" i="148" a="1"/>
  <c r="F5" i="148" s="1"/>
  <c r="B9" i="147"/>
  <c r="D7" i="147" s="1"/>
  <c r="A5" i="146"/>
  <c r="A6" i="146" s="1"/>
  <c r="A7" i="146" s="1"/>
  <c r="A8" i="146" s="1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30" i="146" s="1"/>
  <c r="A31" i="146" s="1"/>
  <c r="A32" i="146" s="1"/>
  <c r="A33" i="146" s="1"/>
  <c r="A34" i="146" s="1"/>
  <c r="A35" i="146" s="1"/>
  <c r="A36" i="146" s="1"/>
  <c r="A37" i="146" s="1"/>
  <c r="A38" i="146" s="1"/>
  <c r="A39" i="146" s="1"/>
  <c r="A40" i="146" s="1"/>
  <c r="A41" i="146" s="1"/>
  <c r="A42" i="146" s="1"/>
  <c r="A43" i="146" s="1"/>
  <c r="A44" i="146" s="1"/>
  <c r="A45" i="146" s="1"/>
  <c r="A46" i="146" s="1"/>
  <c r="A47" i="146" s="1"/>
  <c r="A48" i="146" s="1"/>
  <c r="A49" i="146" s="1"/>
  <c r="A50" i="146" s="1"/>
  <c r="A51" i="146" s="1"/>
  <c r="A52" i="146" s="1"/>
  <c r="A53" i="146" s="1"/>
  <c r="A54" i="146" s="1"/>
  <c r="A55" i="146" s="1"/>
  <c r="A56" i="146" s="1"/>
  <c r="A57" i="146" s="1"/>
  <c r="A58" i="146" s="1"/>
  <c r="A59" i="146" s="1"/>
  <c r="A60" i="146" s="1"/>
  <c r="A61" i="146" s="1"/>
  <c r="A62" i="146" s="1"/>
  <c r="A63" i="146" s="1"/>
  <c r="A64" i="146" s="1"/>
  <c r="A65" i="146" s="1"/>
  <c r="A66" i="146" s="1"/>
  <c r="A67" i="146" s="1"/>
  <c r="A68" i="146" s="1"/>
  <c r="A69" i="146" s="1"/>
  <c r="A70" i="146" s="1"/>
  <c r="A71" i="146" s="1"/>
  <c r="A72" i="146" s="1"/>
  <c r="A73" i="146" s="1"/>
  <c r="A74" i="146" s="1"/>
  <c r="A75" i="146" s="1"/>
  <c r="A76" i="146" s="1"/>
  <c r="A77" i="146" s="1"/>
  <c r="A78" i="146" s="1"/>
  <c r="A79" i="146" s="1"/>
  <c r="A80" i="146" s="1"/>
  <c r="A81" i="146" s="1"/>
  <c r="A82" i="146" s="1"/>
  <c r="A83" i="146" s="1"/>
  <c r="A84" i="146" s="1"/>
  <c r="A85" i="146" s="1"/>
  <c r="A86" i="146" s="1"/>
  <c r="A87" i="146" s="1"/>
  <c r="A88" i="146" s="1"/>
  <c r="A89" i="146" s="1"/>
  <c r="A90" i="146" s="1"/>
  <c r="A91" i="146" s="1"/>
  <c r="A92" i="146" s="1"/>
  <c r="A93" i="146" s="1"/>
  <c r="A94" i="146" s="1"/>
  <c r="A95" i="146" s="1"/>
  <c r="A96" i="146" s="1"/>
  <c r="A97" i="146" s="1"/>
  <c r="A98" i="146" s="1"/>
  <c r="A99" i="146" s="1"/>
  <c r="A100" i="146" s="1"/>
  <c r="A101" i="146" s="1"/>
  <c r="A102" i="146" s="1"/>
  <c r="A4" i="146"/>
  <c r="P60" i="155" l="1"/>
  <c r="R60" i="155"/>
  <c r="Q64" i="155"/>
  <c r="Q65" i="155"/>
  <c r="P58" i="155"/>
  <c r="Q58" i="155"/>
  <c r="Q59" i="155"/>
  <c r="R7" i="154"/>
  <c r="X40" i="154"/>
  <c r="S7" i="154"/>
  <c r="E11" i="154" s="1"/>
  <c r="L11" i="154" s="1"/>
  <c r="Q17" i="154"/>
  <c r="C21" i="154" s="1"/>
  <c r="J21" i="154" s="1"/>
  <c r="B10" i="154"/>
  <c r="I10" i="154" s="1"/>
  <c r="L8" i="154"/>
  <c r="S8" i="154" s="1"/>
  <c r="E12" i="154" s="1"/>
  <c r="S17" i="154"/>
  <c r="E21" i="154" s="1"/>
  <c r="L21" i="154" s="1"/>
  <c r="G43" i="154"/>
  <c r="P43" i="154" s="1"/>
  <c r="Y40" i="154"/>
  <c r="G44" i="154" s="1"/>
  <c r="P44" i="154" s="1"/>
  <c r="E10" i="154"/>
  <c r="L10" i="154" s="1"/>
  <c r="R29" i="154"/>
  <c r="D33" i="154" s="1"/>
  <c r="U39" i="154"/>
  <c r="C43" i="154" s="1"/>
  <c r="L43" i="154" s="1"/>
  <c r="B22" i="154"/>
  <c r="I22" i="154" s="1"/>
  <c r="T40" i="154"/>
  <c r="B45" i="154" s="1"/>
  <c r="K45" i="154" s="1"/>
  <c r="T45" i="154" s="1"/>
  <c r="W40" i="154"/>
  <c r="E45" i="154" s="1"/>
  <c r="N45" i="154" s="1"/>
  <c r="W45" i="154" s="1"/>
  <c r="M9" i="152"/>
  <c r="V9" i="152" s="1"/>
  <c r="D14" i="152" s="1"/>
  <c r="M14" i="152" s="1"/>
  <c r="V14" i="152" s="1"/>
  <c r="P8" i="152"/>
  <c r="Y8" i="152" s="1"/>
  <c r="U4" i="152"/>
  <c r="C10" i="152" s="1"/>
  <c r="L10" i="152" s="1"/>
  <c r="V10" i="152" s="1"/>
  <c r="D15" i="152" s="1"/>
  <c r="M15" i="152" s="1"/>
  <c r="V15" i="152" s="1"/>
  <c r="W5" i="152"/>
  <c r="E9" i="152" s="1"/>
  <c r="N9" i="152" s="1"/>
  <c r="W9" i="152" s="1"/>
  <c r="E14" i="152" s="1"/>
  <c r="N14" i="152" s="1"/>
  <c r="W14" i="152" s="1"/>
  <c r="C8" i="153"/>
  <c r="C9" i="153"/>
  <c r="I6" i="153"/>
  <c r="E6" i="148"/>
  <c r="F6" i="148"/>
  <c r="F5" i="167"/>
  <c r="F4" i="167"/>
  <c r="L11" i="150"/>
  <c r="L10" i="150"/>
  <c r="L13" i="150"/>
  <c r="D5" i="147"/>
  <c r="F4" i="149"/>
  <c r="E4" i="149"/>
  <c r="F5" i="149"/>
  <c r="D6" i="147"/>
  <c r="G5" i="165"/>
  <c r="F6" i="165"/>
  <c r="H4" i="149" a="1"/>
  <c r="G7" i="150"/>
  <c r="G8" i="150" s="1"/>
  <c r="D22" i="154"/>
  <c r="K22" i="154" s="1"/>
  <c r="R22" i="154" s="1"/>
  <c r="D4" i="147"/>
  <c r="T4" i="152"/>
  <c r="B10" i="152" s="1"/>
  <c r="K10" i="152" s="1"/>
  <c r="T5" i="152"/>
  <c r="B9" i="152" s="1"/>
  <c r="K9" i="152" s="1"/>
  <c r="T9" i="152" s="1"/>
  <c r="B14" i="152" s="1"/>
  <c r="K14" i="152" s="1"/>
  <c r="T14" i="152" s="1"/>
  <c r="T6" i="152"/>
  <c r="B11" i="152" s="1"/>
  <c r="K11" i="152" s="1"/>
  <c r="B44" i="154"/>
  <c r="K44" i="154" s="1"/>
  <c r="D11" i="154"/>
  <c r="K11" i="154" s="1"/>
  <c r="U11" i="152"/>
  <c r="C16" i="152" s="1"/>
  <c r="I8" i="154"/>
  <c r="P8" i="154" s="1"/>
  <c r="B12" i="154" s="1"/>
  <c r="I21" i="154"/>
  <c r="C45" i="154"/>
  <c r="L45" i="154" s="1"/>
  <c r="U45" i="154" s="1"/>
  <c r="C44" i="154"/>
  <c r="L44" i="154" s="1"/>
  <c r="C10" i="154"/>
  <c r="J10" i="154" s="1"/>
  <c r="D10" i="154"/>
  <c r="K10" i="154" s="1"/>
  <c r="L23" i="154"/>
  <c r="S23" i="154" s="1"/>
  <c r="E44" i="154"/>
  <c r="N44" i="154" s="1"/>
  <c r="I23" i="154"/>
  <c r="P23" i="154" s="1"/>
  <c r="E5" i="148"/>
  <c r="V11" i="152"/>
  <c r="D16" i="152" s="1"/>
  <c r="F45" i="154"/>
  <c r="O45" i="154" s="1"/>
  <c r="X45" i="154" s="1"/>
  <c r="F44" i="154"/>
  <c r="O44" i="154" s="1"/>
  <c r="C11" i="154"/>
  <c r="J11" i="154" s="1"/>
  <c r="W10" i="152"/>
  <c r="W11" i="152"/>
  <c r="E16" i="152" s="1"/>
  <c r="J23" i="154"/>
  <c r="Q23" i="154" s="1"/>
  <c r="J8" i="154"/>
  <c r="Q8" i="154" s="1"/>
  <c r="C12" i="154" s="1"/>
  <c r="J30" i="154"/>
  <c r="P41" i="154"/>
  <c r="Y41" i="154" s="1"/>
  <c r="G45" i="154" s="1"/>
  <c r="P45" i="154" s="1"/>
  <c r="Y45" i="154" s="1"/>
  <c r="Q60" i="155"/>
  <c r="R64" i="155"/>
  <c r="K8" i="154"/>
  <c r="R8" i="154" s="1"/>
  <c r="D12" i="154" s="1"/>
  <c r="R17" i="154"/>
  <c r="D21" i="154" s="1"/>
  <c r="T39" i="154"/>
  <c r="B43" i="154" s="1"/>
  <c r="K43" i="154" s="1"/>
  <c r="P65" i="155"/>
  <c r="L30" i="154"/>
  <c r="P28" i="154"/>
  <c r="B32" i="154" s="1"/>
  <c r="P29" i="154"/>
  <c r="B33" i="154" s="1"/>
  <c r="V39" i="154"/>
  <c r="D43" i="154" s="1"/>
  <c r="M43" i="154" s="1"/>
  <c r="V43" i="154" s="1"/>
  <c r="D44" i="154"/>
  <c r="M44" i="154" s="1"/>
  <c r="V44" i="154" s="1"/>
  <c r="R58" i="155"/>
  <c r="R65" i="155"/>
  <c r="Q29" i="154"/>
  <c r="C33" i="154" s="1"/>
  <c r="W39" i="154"/>
  <c r="E43" i="154" s="1"/>
  <c r="N43" i="154" s="1"/>
  <c r="P59" i="155"/>
  <c r="P66" i="155"/>
  <c r="I4" i="153"/>
  <c r="X39" i="154"/>
  <c r="F43" i="154" s="1"/>
  <c r="O43" i="154" s="1"/>
  <c r="X43" i="154" s="1"/>
  <c r="Q66" i="155"/>
  <c r="S29" i="154"/>
  <c r="E33" i="154" s="1"/>
  <c r="P64" i="155"/>
  <c r="C32" i="154" l="1"/>
  <c r="P22" i="154"/>
  <c r="T43" i="154"/>
  <c r="J12" i="154"/>
  <c r="Q12" i="154" s="1"/>
  <c r="D32" i="154"/>
  <c r="D34" i="154"/>
  <c r="T10" i="152"/>
  <c r="B15" i="152" s="1"/>
  <c r="K15" i="152" s="1"/>
  <c r="T15" i="152" s="1"/>
  <c r="U10" i="152"/>
  <c r="E15" i="152"/>
  <c r="N15" i="152" s="1"/>
  <c r="W15" i="152" s="1"/>
  <c r="D9" i="147"/>
  <c r="H5" i="150" a="1"/>
  <c r="H7" i="150" s="1"/>
  <c r="F7" i="165"/>
  <c r="G6" i="165"/>
  <c r="K12" i="154"/>
  <c r="R12" i="154" s="1"/>
  <c r="L12" i="154"/>
  <c r="S11" i="154" s="1"/>
  <c r="E32" i="154"/>
  <c r="Y44" i="154"/>
  <c r="K21" i="154"/>
  <c r="R21" i="154" s="1"/>
  <c r="C34" i="154"/>
  <c r="B34" i="154"/>
  <c r="C15" i="152"/>
  <c r="L15" i="152" s="1"/>
  <c r="U15" i="152" s="1"/>
  <c r="U43" i="154"/>
  <c r="S22" i="154"/>
  <c r="G13" i="152"/>
  <c r="P13" i="152" s="1"/>
  <c r="Q21" i="154"/>
  <c r="T11" i="152"/>
  <c r="B16" i="152" s="1"/>
  <c r="N16" i="152"/>
  <c r="W16" i="152" s="1"/>
  <c r="M16" i="152"/>
  <c r="V16" i="152" s="1"/>
  <c r="Q10" i="154"/>
  <c r="R11" i="154"/>
  <c r="H4" i="149"/>
  <c r="I5" i="149"/>
  <c r="I4" i="149"/>
  <c r="H5" i="149"/>
  <c r="I12" i="154"/>
  <c r="P11" i="154" s="1"/>
  <c r="W43" i="154"/>
  <c r="Q11" i="154"/>
  <c r="Y43" i="154"/>
  <c r="U44" i="154"/>
  <c r="E34" i="154"/>
  <c r="T44" i="154"/>
  <c r="X44" i="154"/>
  <c r="W44" i="154"/>
  <c r="Q22" i="154"/>
  <c r="P21" i="154" l="1"/>
  <c r="R10" i="154"/>
  <c r="S21" i="154"/>
  <c r="K16" i="152"/>
  <c r="K4" i="149" a="1"/>
  <c r="H5" i="150"/>
  <c r="H8" i="150"/>
  <c r="H6" i="150"/>
  <c r="G7" i="165"/>
  <c r="F8" i="165"/>
  <c r="Y13" i="152"/>
  <c r="L16" i="152"/>
  <c r="U16" i="152" s="1"/>
  <c r="P12" i="154"/>
  <c r="P10" i="154"/>
  <c r="T16" i="152"/>
  <c r="S12" i="154"/>
  <c r="S10" i="154"/>
  <c r="K5" i="149" l="1"/>
  <c r="K4" i="149"/>
  <c r="L5" i="149"/>
  <c r="L4" i="149"/>
  <c r="F9" i="165"/>
  <c r="G8" i="165"/>
  <c r="S13" i="145"/>
  <c r="S14" i="145" s="1"/>
  <c r="S15" i="145" s="1"/>
  <c r="I13" i="145"/>
  <c r="I14" i="145" s="1"/>
  <c r="I15" i="145" s="1"/>
  <c r="V11" i="145"/>
  <c r="W11" i="145" s="1"/>
  <c r="U11" i="145"/>
  <c r="K11" i="145"/>
  <c r="L11" i="145" s="1"/>
  <c r="M11" i="145" s="1"/>
  <c r="S6" i="145"/>
  <c r="S7" i="145" s="1"/>
  <c r="F6" i="145"/>
  <c r="A6" i="145"/>
  <c r="A7" i="145" s="1"/>
  <c r="S5" i="145"/>
  <c r="I5" i="145"/>
  <c r="I6" i="145" s="1"/>
  <c r="I7" i="145" s="1"/>
  <c r="F5" i="145"/>
  <c r="D5" i="145"/>
  <c r="E6" i="145" s="1"/>
  <c r="A5" i="145"/>
  <c r="F4" i="145"/>
  <c r="G8" i="145" s="1"/>
  <c r="C4" i="145"/>
  <c r="C8" i="145" s="1"/>
  <c r="U3" i="145"/>
  <c r="V3" i="145" s="1"/>
  <c r="W3" i="145" s="1"/>
  <c r="L3" i="145"/>
  <c r="M3" i="145" s="1"/>
  <c r="K3" i="145"/>
  <c r="C3" i="145"/>
  <c r="D3" i="145" s="1"/>
  <c r="E3" i="145" s="1"/>
  <c r="S25" i="144"/>
  <c r="T25" i="144" s="1"/>
  <c r="U25" i="144" s="1"/>
  <c r="V25" i="144" s="1"/>
  <c r="W25" i="144" s="1"/>
  <c r="X25" i="144" s="1"/>
  <c r="I16" i="144"/>
  <c r="I17" i="144" s="1"/>
  <c r="I18" i="144" s="1"/>
  <c r="I19" i="144" s="1"/>
  <c r="I20" i="144" s="1"/>
  <c r="I21" i="144" s="1"/>
  <c r="S14" i="144"/>
  <c r="T14" i="144" s="1"/>
  <c r="U14" i="144" s="1"/>
  <c r="V14" i="144" s="1"/>
  <c r="W14" i="144" s="1"/>
  <c r="X14" i="144" s="1"/>
  <c r="K14" i="144"/>
  <c r="L14" i="144" s="1"/>
  <c r="M14" i="144" s="1"/>
  <c r="N14" i="144" s="1"/>
  <c r="O14" i="144" s="1"/>
  <c r="P14" i="144" s="1"/>
  <c r="H9" i="144"/>
  <c r="G9" i="144"/>
  <c r="F8" i="144"/>
  <c r="G8" i="144" s="1"/>
  <c r="F7" i="144"/>
  <c r="E7" i="144"/>
  <c r="D6" i="144"/>
  <c r="E6" i="144" s="1"/>
  <c r="C5" i="144"/>
  <c r="A5" i="144"/>
  <c r="A6" i="144" s="1"/>
  <c r="A7" i="144" s="1"/>
  <c r="A8" i="144" s="1"/>
  <c r="A9" i="144" s="1"/>
  <c r="A10" i="144" s="1"/>
  <c r="S3" i="144"/>
  <c r="T3" i="144" s="1"/>
  <c r="U3" i="144" s="1"/>
  <c r="V3" i="144" s="1"/>
  <c r="W3" i="144" s="1"/>
  <c r="X3" i="144" s="1"/>
  <c r="K3" i="144"/>
  <c r="L3" i="144" s="1"/>
  <c r="M3" i="144" s="1"/>
  <c r="N3" i="144" s="1"/>
  <c r="O3" i="144" s="1"/>
  <c r="P3" i="144" s="1"/>
  <c r="C3" i="144"/>
  <c r="D3" i="144" s="1"/>
  <c r="E3" i="144" s="1"/>
  <c r="F3" i="144" s="1"/>
  <c r="G3" i="144" s="1"/>
  <c r="H3" i="144" s="1"/>
  <c r="B17" i="143"/>
  <c r="B15" i="143"/>
  <c r="C18" i="143" s="1"/>
  <c r="E10" i="143"/>
  <c r="E9" i="143"/>
  <c r="E8" i="143" s="1"/>
  <c r="A7" i="143"/>
  <c r="A8" i="143" s="1"/>
  <c r="A9" i="143" s="1"/>
  <c r="A10" i="143" s="1"/>
  <c r="B13" i="142"/>
  <c r="B12" i="142"/>
  <c r="H10" i="142"/>
  <c r="I10" i="142" s="1"/>
  <c r="J10" i="142" s="1"/>
  <c r="E10" i="142"/>
  <c r="F10" i="142" s="1"/>
  <c r="G10" i="142" s="1"/>
  <c r="C10" i="142"/>
  <c r="D10" i="142" s="1"/>
  <c r="E9" i="142"/>
  <c r="H9" i="142" s="1"/>
  <c r="C9" i="142"/>
  <c r="H8" i="142"/>
  <c r="K8" i="142" s="1"/>
  <c r="E8" i="142"/>
  <c r="K7" i="142"/>
  <c r="N7" i="142" s="1"/>
  <c r="H7" i="142"/>
  <c r="E7" i="142"/>
  <c r="A7" i="142"/>
  <c r="A8" i="142" s="1"/>
  <c r="A9" i="142" s="1"/>
  <c r="A10" i="142" s="1"/>
  <c r="E6" i="142"/>
  <c r="H6" i="142" s="1"/>
  <c r="G8" i="141"/>
  <c r="G9" i="141" s="1"/>
  <c r="G10" i="141" s="1"/>
  <c r="A8" i="141"/>
  <c r="A9" i="141" s="1"/>
  <c r="A10" i="141" s="1"/>
  <c r="M7" i="141"/>
  <c r="G7" i="141"/>
  <c r="A7" i="141"/>
  <c r="F9" i="140"/>
  <c r="B9" i="140"/>
  <c r="J8" i="140"/>
  <c r="J10" i="140" s="1"/>
  <c r="J11" i="140" s="1"/>
  <c r="F8" i="140"/>
  <c r="F10" i="140" s="1"/>
  <c r="F11" i="140" s="1"/>
  <c r="B8" i="140"/>
  <c r="B10" i="140" s="1"/>
  <c r="B11" i="140" s="1"/>
  <c r="J7" i="140"/>
  <c r="J9" i="140" s="1"/>
  <c r="F7" i="140"/>
  <c r="B7" i="140"/>
  <c r="B28" i="139"/>
  <c r="B27" i="139"/>
  <c r="B26" i="139"/>
  <c r="B29" i="139" s="1"/>
  <c r="B8" i="139"/>
  <c r="B10" i="139" s="1"/>
  <c r="B7" i="139"/>
  <c r="B9" i="139" s="1"/>
  <c r="D5" i="138"/>
  <c r="D6" i="138" s="1"/>
  <c r="D7" i="138" s="1"/>
  <c r="D8" i="138" s="1"/>
  <c r="D9" i="138" s="1"/>
  <c r="D10" i="138" s="1"/>
  <c r="D11" i="138" s="1"/>
  <c r="D12" i="138" s="1"/>
  <c r="D13" i="138" s="1"/>
  <c r="D14" i="138" s="1"/>
  <c r="D15" i="138" s="1"/>
  <c r="P15" i="136" a="1"/>
  <c r="S16" i="136" s="1"/>
  <c r="K11" i="134" a="1"/>
  <c r="L11" i="134" s="1"/>
  <c r="E17" i="133"/>
  <c r="I15" i="133"/>
  <c r="E15" i="133"/>
  <c r="I13" i="133"/>
  <c r="E13" i="133"/>
  <c r="I11" i="133"/>
  <c r="E11" i="133"/>
  <c r="I9" i="133"/>
  <c r="E9" i="133"/>
  <c r="I7" i="133"/>
  <c r="E7" i="133"/>
  <c r="B7" i="133"/>
  <c r="I5" i="133"/>
  <c r="E5" i="133"/>
  <c r="I3" i="133"/>
  <c r="E3" i="133"/>
  <c r="F10" i="165" l="1"/>
  <c r="G9" i="165"/>
  <c r="D5" i="144"/>
  <c r="Q7" i="142"/>
  <c r="C14" i="140"/>
  <c r="B14" i="140"/>
  <c r="N8" i="142"/>
  <c r="B11" i="139"/>
  <c r="B14" i="139"/>
  <c r="B15" i="139" s="1"/>
  <c r="B16" i="139" s="1"/>
  <c r="G14" i="140"/>
  <c r="F14" i="140"/>
  <c r="D9" i="142"/>
  <c r="H13" i="143"/>
  <c r="E7" i="143"/>
  <c r="E6" i="143" s="1"/>
  <c r="E12" i="143" s="1"/>
  <c r="K14" i="140"/>
  <c r="J14" i="140"/>
  <c r="K6" i="142"/>
  <c r="K9" i="142"/>
  <c r="K10" i="142"/>
  <c r="C17" i="143"/>
  <c r="C8" i="142"/>
  <c r="H12" i="143"/>
  <c r="H15" i="143" s="1"/>
  <c r="B18" i="143"/>
  <c r="P15" i="136"/>
  <c r="Q15" i="136"/>
  <c r="R15" i="136"/>
  <c r="S15" i="136"/>
  <c r="P16" i="136"/>
  <c r="K11" i="134"/>
  <c r="Q16" i="136"/>
  <c r="R16" i="136"/>
  <c r="G10" i="165" l="1"/>
  <c r="F11" i="165"/>
  <c r="Q4" i="145"/>
  <c r="Q12" i="145"/>
  <c r="AA12" i="145"/>
  <c r="AA4" i="145"/>
  <c r="J4" i="144" a="1"/>
  <c r="C7" i="142"/>
  <c r="D8" i="142"/>
  <c r="N6" i="142"/>
  <c r="H3" i="139"/>
  <c r="J3" i="139" s="1"/>
  <c r="B19" i="139"/>
  <c r="B18" i="139"/>
  <c r="N10" i="142"/>
  <c r="L10" i="142"/>
  <c r="M10" i="142" s="1"/>
  <c r="T7" i="142"/>
  <c r="Q8" i="142"/>
  <c r="I18" i="143"/>
  <c r="H18" i="143"/>
  <c r="I17" i="143"/>
  <c r="H17" i="143"/>
  <c r="N9" i="142"/>
  <c r="F12" i="165" l="1"/>
  <c r="G12" i="165" s="1"/>
  <c r="G11" i="165"/>
  <c r="P10" i="144"/>
  <c r="O9" i="144"/>
  <c r="N8" i="144"/>
  <c r="M7" i="144"/>
  <c r="L6" i="144"/>
  <c r="K5" i="144"/>
  <c r="J4" i="144"/>
  <c r="O10" i="144"/>
  <c r="N9" i="144"/>
  <c r="M8" i="144"/>
  <c r="L7" i="144"/>
  <c r="K6" i="144"/>
  <c r="J5" i="144"/>
  <c r="N10" i="144"/>
  <c r="M9" i="144"/>
  <c r="L8" i="144"/>
  <c r="K7" i="144"/>
  <c r="J6" i="144"/>
  <c r="P4" i="144"/>
  <c r="K9" i="144"/>
  <c r="N4" i="144"/>
  <c r="P7" i="144"/>
  <c r="N5" i="144"/>
  <c r="M10" i="144"/>
  <c r="L9" i="144"/>
  <c r="K8" i="144"/>
  <c r="J7" i="144"/>
  <c r="P5" i="144"/>
  <c r="O4" i="144"/>
  <c r="L10" i="144"/>
  <c r="P6" i="144"/>
  <c r="M4" i="144"/>
  <c r="J10" i="144"/>
  <c r="P8" i="144"/>
  <c r="O7" i="144"/>
  <c r="N6" i="144"/>
  <c r="M5" i="144"/>
  <c r="L4" i="144"/>
  <c r="J8" i="144"/>
  <c r="O5" i="144"/>
  <c r="K10" i="144"/>
  <c r="P9" i="144"/>
  <c r="O8" i="144"/>
  <c r="N7" i="144"/>
  <c r="M6" i="144"/>
  <c r="L5" i="144"/>
  <c r="K4" i="144"/>
  <c r="J9" i="144"/>
  <c r="O6" i="144"/>
  <c r="T8" i="142"/>
  <c r="Q6" i="142"/>
  <c r="C6" i="142"/>
  <c r="D7" i="142"/>
  <c r="E13" i="142" s="1"/>
  <c r="Q9" i="142"/>
  <c r="W7" i="142"/>
  <c r="Q10" i="142"/>
  <c r="O10" i="142"/>
  <c r="P10" i="142" s="1"/>
  <c r="B20" i="139"/>
  <c r="G13" i="165" l="1"/>
  <c r="J15" i="144" a="1"/>
  <c r="R10" i="142"/>
  <c r="S10" i="142" s="1"/>
  <c r="T10" i="142"/>
  <c r="T6" i="142"/>
  <c r="Z7" i="142"/>
  <c r="C23" i="139"/>
  <c r="I4" i="139" s="1"/>
  <c r="B23" i="139"/>
  <c r="H4" i="139" s="1"/>
  <c r="C24" i="139"/>
  <c r="I5" i="139" s="1"/>
  <c r="B24" i="139"/>
  <c r="H5" i="139" s="1"/>
  <c r="D6" i="142"/>
  <c r="E12" i="142"/>
  <c r="W8" i="142"/>
  <c r="T9" i="142"/>
  <c r="P21" i="144" l="1"/>
  <c r="O20" i="144"/>
  <c r="N19" i="144"/>
  <c r="M18" i="144"/>
  <c r="L17" i="144"/>
  <c r="K16" i="144"/>
  <c r="J15" i="144"/>
  <c r="N16" i="144"/>
  <c r="O21" i="144"/>
  <c r="N20" i="144"/>
  <c r="M19" i="144"/>
  <c r="L18" i="144"/>
  <c r="K17" i="144"/>
  <c r="J16" i="144"/>
  <c r="N21" i="144"/>
  <c r="M20" i="144"/>
  <c r="L19" i="144"/>
  <c r="K18" i="144"/>
  <c r="J17" i="144"/>
  <c r="P15" i="144"/>
  <c r="J19" i="144"/>
  <c r="M15" i="144"/>
  <c r="M21" i="144"/>
  <c r="L20" i="144"/>
  <c r="K19" i="144"/>
  <c r="J18" i="144"/>
  <c r="P16" i="144"/>
  <c r="O15" i="144"/>
  <c r="L21" i="144"/>
  <c r="O16" i="144"/>
  <c r="P18" i="144"/>
  <c r="J21" i="144"/>
  <c r="P19" i="144"/>
  <c r="O18" i="144"/>
  <c r="N17" i="144"/>
  <c r="M16" i="144"/>
  <c r="L15" i="144"/>
  <c r="P17" i="144"/>
  <c r="K21" i="144"/>
  <c r="O17" i="144"/>
  <c r="P20" i="144"/>
  <c r="O19" i="144"/>
  <c r="N18" i="144"/>
  <c r="M17" i="144"/>
  <c r="L16" i="144"/>
  <c r="K15" i="144"/>
  <c r="K20" i="144"/>
  <c r="N15" i="144"/>
  <c r="J20" i="144"/>
  <c r="Z8" i="142"/>
  <c r="F9" i="142"/>
  <c r="G9" i="142" s="1"/>
  <c r="W9" i="142"/>
  <c r="W6" i="142"/>
  <c r="W10" i="142"/>
  <c r="U10" i="142"/>
  <c r="V10" i="142" s="1"/>
  <c r="R4" i="144" l="1" a="1"/>
  <c r="Z6" i="142"/>
  <c r="F8" i="142"/>
  <c r="X10" i="142"/>
  <c r="Y10" i="142" s="1"/>
  <c r="Z10" i="142"/>
  <c r="AA10" i="142" s="1"/>
  <c r="AB10" i="142" s="1"/>
  <c r="Z9" i="142"/>
  <c r="V10" i="144" l="1"/>
  <c r="U9" i="144"/>
  <c r="T8" i="144"/>
  <c r="S7" i="144"/>
  <c r="R6" i="144"/>
  <c r="X4" i="144"/>
  <c r="U5" i="144"/>
  <c r="U6" i="144"/>
  <c r="U10" i="144"/>
  <c r="T9" i="144"/>
  <c r="S8" i="144"/>
  <c r="R7" i="144"/>
  <c r="X5" i="144"/>
  <c r="W4" i="144"/>
  <c r="W8" i="144"/>
  <c r="T10" i="144"/>
  <c r="S9" i="144"/>
  <c r="R8" i="144"/>
  <c r="X6" i="144"/>
  <c r="W5" i="144"/>
  <c r="V4" i="144"/>
  <c r="R10" i="144"/>
  <c r="V6" i="144"/>
  <c r="S4" i="144"/>
  <c r="S10" i="144"/>
  <c r="R9" i="144"/>
  <c r="X7" i="144"/>
  <c r="W6" i="144"/>
  <c r="V5" i="144"/>
  <c r="U4" i="144"/>
  <c r="X8" i="144"/>
  <c r="X9" i="144"/>
  <c r="T5" i="144"/>
  <c r="X10" i="144"/>
  <c r="W9" i="144"/>
  <c r="V8" i="144"/>
  <c r="U7" i="144"/>
  <c r="T6" i="144"/>
  <c r="S5" i="144"/>
  <c r="R4" i="144"/>
  <c r="W7" i="144"/>
  <c r="W10" i="144"/>
  <c r="V9" i="144"/>
  <c r="U8" i="144"/>
  <c r="T7" i="144"/>
  <c r="S6" i="144"/>
  <c r="R5" i="144"/>
  <c r="T4" i="144"/>
  <c r="V7" i="144"/>
  <c r="G8" i="142"/>
  <c r="F7" i="142"/>
  <c r="R15" i="144" l="1" a="1"/>
  <c r="G7" i="142"/>
  <c r="H13" i="142" s="1"/>
  <c r="F6" i="142"/>
  <c r="V21" i="144" l="1"/>
  <c r="U20" i="144"/>
  <c r="T19" i="144"/>
  <c r="S18" i="144"/>
  <c r="R17" i="144"/>
  <c r="X15" i="144"/>
  <c r="R35" i="144" s="1"/>
  <c r="U21" i="144"/>
  <c r="T20" i="144"/>
  <c r="S19" i="144"/>
  <c r="R18" i="144"/>
  <c r="X16" i="144"/>
  <c r="W15" i="144"/>
  <c r="V18" i="144"/>
  <c r="T21" i="144"/>
  <c r="S20" i="144"/>
  <c r="R19" i="144"/>
  <c r="X17" i="144"/>
  <c r="W16" i="144"/>
  <c r="V15" i="144"/>
  <c r="W18" i="144"/>
  <c r="U16" i="144"/>
  <c r="S15" i="144"/>
  <c r="S21" i="144"/>
  <c r="R20" i="144"/>
  <c r="X18" i="144"/>
  <c r="W17" i="144"/>
  <c r="V16" i="144"/>
  <c r="U15" i="144"/>
  <c r="R21" i="144"/>
  <c r="V17" i="144"/>
  <c r="W19" i="144"/>
  <c r="T16" i="144"/>
  <c r="X21" i="144"/>
  <c r="W20" i="144"/>
  <c r="V19" i="144"/>
  <c r="U18" i="144"/>
  <c r="T17" i="144"/>
  <c r="S16" i="144"/>
  <c r="R15" i="144"/>
  <c r="X19" i="144"/>
  <c r="T15" i="144"/>
  <c r="X20" i="144"/>
  <c r="U17" i="144"/>
  <c r="W21" i="144"/>
  <c r="V20" i="144"/>
  <c r="U19" i="144"/>
  <c r="T18" i="144"/>
  <c r="S17" i="144"/>
  <c r="R16" i="144"/>
  <c r="G6" i="142"/>
  <c r="H12" i="142"/>
  <c r="I7" i="142" l="1"/>
  <c r="I9" i="142"/>
  <c r="J9" i="142" s="1"/>
  <c r="I8" i="142"/>
  <c r="J8" i="142" s="1"/>
  <c r="J7" i="142" l="1"/>
  <c r="K13" i="142" s="1"/>
  <c r="I6" i="142"/>
  <c r="J6" i="142" l="1"/>
  <c r="K12" i="142"/>
  <c r="L9" i="142" l="1"/>
  <c r="M9" i="142" s="1"/>
  <c r="L8" i="142" l="1"/>
  <c r="M8" i="142" l="1"/>
  <c r="L7" i="142"/>
  <c r="M7" i="142" l="1"/>
  <c r="N13" i="142" s="1"/>
  <c r="L6" i="142"/>
  <c r="M6" i="142" l="1"/>
  <c r="N12" i="142"/>
  <c r="O9" i="142" l="1"/>
  <c r="P9" i="142" s="1"/>
  <c r="O8" i="142" l="1"/>
  <c r="P8" i="142" l="1"/>
  <c r="O7" i="142"/>
  <c r="P7" i="142" l="1"/>
  <c r="O6" i="142"/>
  <c r="P6" i="142" l="1"/>
  <c r="Q12" i="142"/>
  <c r="Q13" i="142"/>
  <c r="R8" i="142" l="1"/>
  <c r="S8" i="142" s="1"/>
  <c r="R9" i="142"/>
  <c r="S9" i="142" s="1"/>
  <c r="R7" i="142" l="1"/>
  <c r="S7" i="142" l="1"/>
  <c r="R6" i="142"/>
  <c r="S6" i="142" l="1"/>
  <c r="T12" i="142"/>
  <c r="T13" i="142"/>
  <c r="U9" i="142" l="1"/>
  <c r="V9" i="142" s="1"/>
  <c r="U8" i="142" l="1"/>
  <c r="V8" i="142" l="1"/>
  <c r="U7" i="142"/>
  <c r="V7" i="142" l="1"/>
  <c r="U6" i="142"/>
  <c r="V6" i="142" l="1"/>
  <c r="W12" i="142"/>
  <c r="W13" i="142"/>
  <c r="X8" i="142" l="1"/>
  <c r="Y8" i="142" s="1"/>
  <c r="X9" i="142"/>
  <c r="Y9" i="142" s="1"/>
  <c r="X7" i="142" l="1"/>
  <c r="Y7" i="142" l="1"/>
  <c r="X6" i="142"/>
  <c r="Z13" i="142" s="1"/>
  <c r="Y6" i="142" l="1"/>
  <c r="Z12" i="142"/>
  <c r="W15" i="142" l="1"/>
  <c r="AA9" i="142"/>
  <c r="AB9" i="142" s="1"/>
  <c r="AA8" i="142" l="1"/>
  <c r="X17" i="142"/>
  <c r="W17" i="142"/>
  <c r="W18" i="142"/>
  <c r="X18" i="142"/>
  <c r="AB8" i="142" l="1"/>
  <c r="AA7" i="142"/>
  <c r="AB7" i="142" l="1"/>
  <c r="AA6" i="142"/>
  <c r="AB6" i="142" s="1"/>
  <c r="R951" i="132" l="1"/>
  <c r="Q951" i="132"/>
  <c r="R938" i="132"/>
  <c r="Q938" i="132"/>
  <c r="R925" i="132"/>
  <c r="Q925" i="132"/>
  <c r="R912" i="132"/>
  <c r="Q912" i="132"/>
  <c r="R899" i="132"/>
  <c r="Q899" i="132"/>
  <c r="R886" i="132"/>
  <c r="Q886" i="132"/>
  <c r="R873" i="132"/>
  <c r="Q873" i="132"/>
  <c r="R860" i="132"/>
  <c r="Q860" i="132"/>
  <c r="R847" i="132"/>
  <c r="Q847" i="132"/>
  <c r="R834" i="132"/>
  <c r="Q834" i="132"/>
  <c r="R821" i="132"/>
  <c r="Q821" i="132"/>
  <c r="R808" i="132"/>
  <c r="Q808" i="132"/>
  <c r="R795" i="132"/>
  <c r="Q795" i="132"/>
  <c r="R782" i="132"/>
  <c r="Q782" i="132"/>
  <c r="R769" i="132"/>
  <c r="Q769" i="132"/>
  <c r="R756" i="132"/>
  <c r="Q756" i="132"/>
  <c r="R743" i="132"/>
  <c r="Q743" i="132"/>
  <c r="R730" i="132"/>
  <c r="Q730" i="132"/>
  <c r="R717" i="132"/>
  <c r="Q717" i="132"/>
  <c r="R704" i="132"/>
  <c r="Q704" i="132"/>
  <c r="R691" i="132"/>
  <c r="Q691" i="132"/>
  <c r="R678" i="132"/>
  <c r="Q678" i="132"/>
  <c r="R665" i="132"/>
  <c r="Q665" i="132"/>
  <c r="R652" i="132"/>
  <c r="Q652" i="132"/>
  <c r="R639" i="132"/>
  <c r="Q639" i="132"/>
  <c r="R626" i="132"/>
  <c r="Q626" i="132"/>
  <c r="R613" i="132"/>
  <c r="Q613" i="132"/>
  <c r="R600" i="132"/>
  <c r="Q600" i="132"/>
  <c r="R587" i="132"/>
  <c r="Q587" i="132"/>
  <c r="R574" i="132"/>
  <c r="Q574" i="132"/>
  <c r="R561" i="132"/>
  <c r="Q561" i="132"/>
  <c r="R548" i="132"/>
  <c r="Q548" i="132"/>
  <c r="R535" i="132"/>
  <c r="Q535" i="132"/>
  <c r="R522" i="132"/>
  <c r="Q522" i="132"/>
  <c r="R509" i="132"/>
  <c r="Q509" i="132"/>
  <c r="R496" i="132"/>
  <c r="Q496" i="132"/>
  <c r="R483" i="132"/>
  <c r="Q483" i="132"/>
  <c r="R470" i="132"/>
  <c r="Q470" i="132"/>
  <c r="R457" i="132"/>
  <c r="Q457" i="132"/>
  <c r="R444" i="132"/>
  <c r="Q444" i="132"/>
  <c r="R431" i="132"/>
  <c r="Q431" i="132"/>
  <c r="R418" i="132"/>
  <c r="Q418" i="132"/>
  <c r="R405" i="132"/>
  <c r="Q405" i="132"/>
  <c r="R392" i="132"/>
  <c r="Q392" i="132"/>
  <c r="R379" i="132"/>
  <c r="Q379" i="132"/>
  <c r="R366" i="132"/>
  <c r="Q366" i="132"/>
  <c r="R353" i="132"/>
  <c r="Q353" i="132"/>
  <c r="R340" i="132"/>
  <c r="Q340" i="132"/>
  <c r="R327" i="132"/>
  <c r="Q327" i="132"/>
  <c r="R314" i="132"/>
  <c r="Q314" i="132"/>
  <c r="R301" i="132"/>
  <c r="Q301" i="132"/>
  <c r="R288" i="132"/>
  <c r="Q288" i="132"/>
  <c r="R275" i="132"/>
  <c r="Q275" i="132"/>
  <c r="R262" i="132"/>
  <c r="Q262" i="132"/>
  <c r="R249" i="132"/>
  <c r="Q249" i="132"/>
  <c r="R236" i="132"/>
  <c r="Q236" i="132"/>
  <c r="R223" i="132"/>
  <c r="Q223" i="132"/>
  <c r="R210" i="132"/>
  <c r="Q210" i="132"/>
  <c r="R197" i="132"/>
  <c r="Q197" i="132"/>
  <c r="R184" i="132"/>
  <c r="Q184" i="132"/>
  <c r="R171" i="132"/>
  <c r="Q171" i="132"/>
  <c r="R158" i="132"/>
  <c r="Q158" i="132"/>
  <c r="R145" i="132"/>
  <c r="Q145" i="132"/>
  <c r="R132" i="132"/>
  <c r="Q132" i="132"/>
  <c r="R119" i="132"/>
  <c r="Q119" i="132"/>
  <c r="R106" i="132"/>
  <c r="Q106" i="132"/>
  <c r="R93" i="132"/>
  <c r="Q93" i="132"/>
  <c r="R80" i="132"/>
  <c r="Q80" i="132"/>
  <c r="R67" i="132"/>
  <c r="Q67" i="132"/>
  <c r="R54" i="132"/>
  <c r="Q54" i="132"/>
  <c r="R41" i="132"/>
  <c r="Q41" i="132"/>
  <c r="R28" i="132"/>
  <c r="Q28" i="132"/>
  <c r="R15" i="132"/>
  <c r="Q15" i="132"/>
  <c r="A4" i="132" a="1"/>
  <c r="D11" i="132" s="1"/>
  <c r="R327" i="131"/>
  <c r="Q327" i="131"/>
  <c r="R314" i="131"/>
  <c r="Q314" i="131"/>
  <c r="R301" i="131"/>
  <c r="Q301" i="131"/>
  <c r="R288" i="131"/>
  <c r="Q288" i="131"/>
  <c r="R275" i="131"/>
  <c r="Q275" i="131"/>
  <c r="R262" i="131"/>
  <c r="Q262" i="131"/>
  <c r="R249" i="131"/>
  <c r="Q249" i="131"/>
  <c r="R236" i="131"/>
  <c r="Q236" i="131"/>
  <c r="R223" i="131"/>
  <c r="Q223" i="131"/>
  <c r="R210" i="131"/>
  <c r="Q210" i="131"/>
  <c r="R197" i="131"/>
  <c r="Q197" i="131"/>
  <c r="R184" i="131"/>
  <c r="Q184" i="131"/>
  <c r="R171" i="131"/>
  <c r="Q171" i="131"/>
  <c r="R158" i="131"/>
  <c r="Q158" i="131"/>
  <c r="R145" i="131"/>
  <c r="Q145" i="131"/>
  <c r="R132" i="131"/>
  <c r="Q132" i="131"/>
  <c r="R119" i="131"/>
  <c r="Q119" i="131"/>
  <c r="R106" i="131"/>
  <c r="Q106" i="131"/>
  <c r="R93" i="131"/>
  <c r="Q93" i="131"/>
  <c r="R80" i="131"/>
  <c r="Q80" i="131"/>
  <c r="R67" i="131"/>
  <c r="Q67" i="131"/>
  <c r="R54" i="131"/>
  <c r="Q54" i="131"/>
  <c r="R41" i="131"/>
  <c r="Q41" i="131"/>
  <c r="R28" i="131"/>
  <c r="Q28" i="131"/>
  <c r="R15" i="131"/>
  <c r="Q15" i="131"/>
  <c r="A4" i="131" a="1"/>
  <c r="C12" i="131" s="1"/>
  <c r="A5" i="130"/>
  <c r="A6" i="130" s="1"/>
  <c r="A7" i="130" s="1"/>
  <c r="A8" i="130" s="1"/>
  <c r="A9" i="130" s="1"/>
  <c r="A10" i="130" s="1"/>
  <c r="A11" i="130" s="1"/>
  <c r="A12" i="130" s="1"/>
  <c r="A13" i="130" s="1"/>
  <c r="A14" i="130" s="1"/>
  <c r="A15" i="130" s="1"/>
  <c r="T9" i="128"/>
  <c r="T10" i="128" s="1"/>
  <c r="T11" i="128" s="1"/>
  <c r="T12" i="128" s="1"/>
  <c r="O9" i="128"/>
  <c r="O10" i="128" s="1"/>
  <c r="O11" i="128" s="1"/>
  <c r="O12" i="128" s="1"/>
  <c r="T8" i="128"/>
  <c r="O8" i="128"/>
  <c r="J8" i="128"/>
  <c r="J9" i="128" s="1"/>
  <c r="J10" i="128" s="1"/>
  <c r="J11" i="128" s="1"/>
  <c r="J12" i="128" s="1"/>
  <c r="AI7" i="128"/>
  <c r="AI8" i="128" s="1"/>
  <c r="AI9" i="128" s="1"/>
  <c r="AI10" i="128" s="1"/>
  <c r="AI11" i="128" s="1"/>
  <c r="AI12" i="128" s="1"/>
  <c r="AD7" i="128"/>
  <c r="AD8" i="128" s="1"/>
  <c r="AD9" i="128" s="1"/>
  <c r="AD10" i="128" s="1"/>
  <c r="AD11" i="128" s="1"/>
  <c r="AD12" i="128" s="1"/>
  <c r="Y7" i="128"/>
  <c r="Y8" i="128" s="1"/>
  <c r="Y9" i="128" s="1"/>
  <c r="Y10" i="128" s="1"/>
  <c r="Y11" i="128" s="1"/>
  <c r="Y12" i="128" s="1"/>
  <c r="T7" i="128"/>
  <c r="O7" i="128"/>
  <c r="J7" i="128"/>
  <c r="E7" i="128"/>
  <c r="E8" i="128" s="1"/>
  <c r="E9" i="128" s="1"/>
  <c r="E10" i="128" s="1"/>
  <c r="E11" i="128" s="1"/>
  <c r="E12" i="128" s="1"/>
  <c r="K3" i="128"/>
  <c r="P3" i="128" s="1"/>
  <c r="U3" i="128" s="1"/>
  <c r="Z3" i="128" s="1"/>
  <c r="AE3" i="128" s="1"/>
  <c r="AJ3" i="128" s="1"/>
  <c r="U9" i="127"/>
  <c r="U10" i="127" s="1"/>
  <c r="BA8" i="127"/>
  <c r="BA9" i="127" s="1"/>
  <c r="BA10" i="127" s="1"/>
  <c r="AW8" i="127"/>
  <c r="AW9" i="127" s="1"/>
  <c r="AW10" i="127" s="1"/>
  <c r="AS8" i="127"/>
  <c r="AS9" i="127" s="1"/>
  <c r="AS10" i="127" s="1"/>
  <c r="U8" i="127"/>
  <c r="BA7" i="127"/>
  <c r="AW7" i="127"/>
  <c r="AS7" i="127"/>
  <c r="AO7" i="127"/>
  <c r="AO8" i="127" s="1"/>
  <c r="AO9" i="127" s="1"/>
  <c r="AO10" i="127" s="1"/>
  <c r="AK7" i="127"/>
  <c r="AK8" i="127" s="1"/>
  <c r="AK9" i="127" s="1"/>
  <c r="AK10" i="127" s="1"/>
  <c r="AG7" i="127"/>
  <c r="AG8" i="127" s="1"/>
  <c r="AG9" i="127" s="1"/>
  <c r="AG10" i="127" s="1"/>
  <c r="AC7" i="127"/>
  <c r="AC8" i="127" s="1"/>
  <c r="AC9" i="127" s="1"/>
  <c r="AC10" i="127" s="1"/>
  <c r="Y7" i="127"/>
  <c r="Y8" i="127" s="1"/>
  <c r="Y9" i="127" s="1"/>
  <c r="U7" i="127"/>
  <c r="V7" i="127" s="1"/>
  <c r="Q7" i="127"/>
  <c r="R7" i="127" s="1"/>
  <c r="N7" i="127"/>
  <c r="M7" i="127"/>
  <c r="M8" i="127" s="1"/>
  <c r="J7" i="127"/>
  <c r="I7" i="127"/>
  <c r="I8" i="127" s="1"/>
  <c r="J6" i="127"/>
  <c r="R3" i="127"/>
  <c r="V3" i="127" s="1"/>
  <c r="Z3" i="127" s="1"/>
  <c r="AD3" i="127" s="1"/>
  <c r="AH3" i="127" s="1"/>
  <c r="AL3" i="127" s="1"/>
  <c r="AP3" i="127" s="1"/>
  <c r="AT3" i="127" s="1"/>
  <c r="AX3" i="127" s="1"/>
  <c r="BB3" i="127" s="1"/>
  <c r="N3" i="127"/>
  <c r="Y10" i="126"/>
  <c r="Z10" i="126" s="1"/>
  <c r="Y9" i="126"/>
  <c r="Z9" i="126" s="1"/>
  <c r="BM8" i="126"/>
  <c r="BM9" i="126" s="1"/>
  <c r="BM10" i="126" s="1"/>
  <c r="BM11" i="126" s="1"/>
  <c r="BM12" i="126" s="1"/>
  <c r="BM13" i="126" s="1"/>
  <c r="BE8" i="126"/>
  <c r="BE9" i="126" s="1"/>
  <c r="BE10" i="126" s="1"/>
  <c r="BE11" i="126" s="1"/>
  <c r="BE12" i="126" s="1"/>
  <c r="BE13" i="126" s="1"/>
  <c r="AG8" i="126"/>
  <c r="AG9" i="126" s="1"/>
  <c r="Y8" i="126"/>
  <c r="I8" i="126"/>
  <c r="J8" i="126" s="1"/>
  <c r="BM7" i="126"/>
  <c r="BI7" i="126"/>
  <c r="BI8" i="126" s="1"/>
  <c r="BI9" i="126" s="1"/>
  <c r="BI10" i="126" s="1"/>
  <c r="BI11" i="126" s="1"/>
  <c r="BI12" i="126" s="1"/>
  <c r="BI13" i="126" s="1"/>
  <c r="BE7" i="126"/>
  <c r="BA7" i="126"/>
  <c r="BA8" i="126" s="1"/>
  <c r="BA9" i="126" s="1"/>
  <c r="BA10" i="126" s="1"/>
  <c r="BA11" i="126" s="1"/>
  <c r="BA12" i="126" s="1"/>
  <c r="BA13" i="126" s="1"/>
  <c r="AW7" i="126"/>
  <c r="AW8" i="126" s="1"/>
  <c r="AW9" i="126" s="1"/>
  <c r="AW10" i="126" s="1"/>
  <c r="AS7" i="126"/>
  <c r="AS8" i="126" s="1"/>
  <c r="AS9" i="126" s="1"/>
  <c r="AS10" i="126" s="1"/>
  <c r="AO7" i="126"/>
  <c r="AO8" i="126" s="1"/>
  <c r="AO9" i="126" s="1"/>
  <c r="AO10" i="126" s="1"/>
  <c r="AK7" i="126"/>
  <c r="AK8" i="126" s="1"/>
  <c r="AK9" i="126" s="1"/>
  <c r="AG7" i="126"/>
  <c r="AC7" i="126"/>
  <c r="AC8" i="126" s="1"/>
  <c r="AC9" i="126" s="1"/>
  <c r="Y7" i="126"/>
  <c r="U7" i="126"/>
  <c r="U8" i="126" s="1"/>
  <c r="U9" i="126" s="1"/>
  <c r="Q7" i="126"/>
  <c r="Q8" i="126" s="1"/>
  <c r="Q9" i="126" s="1"/>
  <c r="M7" i="126"/>
  <c r="N7" i="126" s="1"/>
  <c r="J7" i="126"/>
  <c r="I7" i="126"/>
  <c r="Z6" i="126"/>
  <c r="V6" i="126"/>
  <c r="R6" i="126"/>
  <c r="N6" i="126"/>
  <c r="J6" i="126"/>
  <c r="N3" i="126"/>
  <c r="R3" i="126" s="1"/>
  <c r="V3" i="126" s="1"/>
  <c r="Z3" i="126" s="1"/>
  <c r="AD3" i="126" s="1"/>
  <c r="AH3" i="126" s="1"/>
  <c r="AL3" i="126" s="1"/>
  <c r="AP3" i="126" s="1"/>
  <c r="AT3" i="126" s="1"/>
  <c r="AX3" i="126" s="1"/>
  <c r="BB3" i="126" s="1"/>
  <c r="BF3" i="126" s="1"/>
  <c r="BJ3" i="126" s="1"/>
  <c r="BN3" i="126" s="1"/>
  <c r="F11" i="123"/>
  <c r="E11" i="123" a="1"/>
  <c r="E12" i="123" s="1"/>
  <c r="E6" i="123"/>
  <c r="E5" i="123" a="1"/>
  <c r="G6" i="123" s="1"/>
  <c r="K4" i="120" a="1"/>
  <c r="K4" i="120" s="1"/>
  <c r="A50" i="119"/>
  <c r="D47" i="119"/>
  <c r="A28" i="119"/>
  <c r="D25" i="119"/>
  <c r="A6" i="119"/>
  <c r="D3" i="119"/>
  <c r="B9" i="132" l="1"/>
  <c r="W9" i="132" s="1"/>
  <c r="A4" i="132"/>
  <c r="V4" i="132" s="1"/>
  <c r="D9" i="132"/>
  <c r="Y9" i="132" s="1"/>
  <c r="C11" i="132"/>
  <c r="A6" i="132"/>
  <c r="V6" i="132" s="1"/>
  <c r="A5" i="132"/>
  <c r="V5" i="132" s="1"/>
  <c r="B10" i="132"/>
  <c r="A7" i="132"/>
  <c r="V7" i="132" s="1"/>
  <c r="C12" i="132"/>
  <c r="X12" i="132" s="1"/>
  <c r="C7" i="132"/>
  <c r="X7" i="132" s="1"/>
  <c r="C5" i="132"/>
  <c r="X5" i="132" s="1"/>
  <c r="A12" i="132"/>
  <c r="A8" i="132"/>
  <c r="V8" i="132" s="1"/>
  <c r="X12" i="131"/>
  <c r="D6" i="131"/>
  <c r="D10" i="131"/>
  <c r="A5" i="131"/>
  <c r="A7" i="131"/>
  <c r="A9" i="131"/>
  <c r="A11" i="131"/>
  <c r="B6" i="131"/>
  <c r="B12" i="131"/>
  <c r="D4" i="131"/>
  <c r="D8" i="131"/>
  <c r="D12" i="131"/>
  <c r="B5" i="131"/>
  <c r="B7" i="131"/>
  <c r="B9" i="131"/>
  <c r="B11" i="131"/>
  <c r="B4" i="131"/>
  <c r="B10" i="131"/>
  <c r="C5" i="131"/>
  <c r="C7" i="131"/>
  <c r="C9" i="131"/>
  <c r="C11" i="131"/>
  <c r="D9" i="131"/>
  <c r="D11" i="131"/>
  <c r="A4" i="131"/>
  <c r="A6" i="131"/>
  <c r="A8" i="131"/>
  <c r="A10" i="131"/>
  <c r="A12" i="131"/>
  <c r="Y11" i="132"/>
  <c r="D7" i="131"/>
  <c r="B8" i="131"/>
  <c r="D5" i="131"/>
  <c r="C4" i="131"/>
  <c r="C6" i="131"/>
  <c r="C8" i="131"/>
  <c r="C10" i="131"/>
  <c r="W10" i="132"/>
  <c r="X11" i="132"/>
  <c r="V12" i="132"/>
  <c r="B4" i="132"/>
  <c r="B6" i="132"/>
  <c r="B8" i="132"/>
  <c r="C10" i="132"/>
  <c r="D12" i="132"/>
  <c r="C4" i="132"/>
  <c r="C6" i="132"/>
  <c r="C8" i="132"/>
  <c r="D10" i="132"/>
  <c r="D4" i="132"/>
  <c r="D6" i="132"/>
  <c r="D8" i="132"/>
  <c r="B11" i="132"/>
  <c r="B5" i="132"/>
  <c r="B7" i="132"/>
  <c r="C9" i="132"/>
  <c r="A11" i="132"/>
  <c r="A9" i="132"/>
  <c r="D5" i="132"/>
  <c r="D7" i="132"/>
  <c r="A10" i="132"/>
  <c r="B12" i="132"/>
  <c r="E12" i="132" s="1"/>
  <c r="AS11" i="126"/>
  <c r="AS12" i="126" s="1"/>
  <c r="AS13" i="126" s="1"/>
  <c r="AT10" i="126"/>
  <c r="AH9" i="126"/>
  <c r="AG10" i="126"/>
  <c r="J8" i="127"/>
  <c r="I9" i="127"/>
  <c r="AG11" i="127"/>
  <c r="AG12" i="127" s="1"/>
  <c r="AH10" i="127"/>
  <c r="AX10" i="127"/>
  <c r="AW11" i="127"/>
  <c r="AW12" i="127" s="1"/>
  <c r="AS11" i="127"/>
  <c r="AS12" i="127" s="1"/>
  <c r="AT10" i="127"/>
  <c r="R9" i="126"/>
  <c r="Q10" i="126"/>
  <c r="AW11" i="126"/>
  <c r="AW12" i="126" s="1"/>
  <c r="AW13" i="126" s="1"/>
  <c r="AX10" i="126"/>
  <c r="BE14" i="126"/>
  <c r="BF13" i="126"/>
  <c r="AK11" i="127"/>
  <c r="AK12" i="127" s="1"/>
  <c r="AL10" i="127"/>
  <c r="BA11" i="127"/>
  <c r="BA12" i="127" s="1"/>
  <c r="BB10" i="127"/>
  <c r="AP10" i="126"/>
  <c r="AO11" i="126"/>
  <c r="AO12" i="126" s="1"/>
  <c r="AO13" i="126" s="1"/>
  <c r="BN13" i="126"/>
  <c r="BM14" i="126"/>
  <c r="N8" i="127"/>
  <c r="M9" i="127"/>
  <c r="V10" i="127"/>
  <c r="U11" i="127"/>
  <c r="U12" i="127" s="1"/>
  <c r="AC10" i="126"/>
  <c r="AD9" i="126"/>
  <c r="BA14" i="126"/>
  <c r="BB13" i="126"/>
  <c r="BJ13" i="126"/>
  <c r="BI14" i="126"/>
  <c r="AD10" i="127"/>
  <c r="AC11" i="127"/>
  <c r="AC12" i="127" s="1"/>
  <c r="V9" i="126"/>
  <c r="U10" i="126"/>
  <c r="AO11" i="127"/>
  <c r="AO12" i="127" s="1"/>
  <c r="AP10" i="127"/>
  <c r="AL9" i="126"/>
  <c r="AK10" i="126"/>
  <c r="Y10" i="127"/>
  <c r="Z9" i="127"/>
  <c r="I9" i="126"/>
  <c r="Q8" i="127"/>
  <c r="Q9" i="127" s="1"/>
  <c r="Y11" i="126"/>
  <c r="Y12" i="126" s="1"/>
  <c r="Y13" i="126" s="1"/>
  <c r="M8" i="126"/>
  <c r="V9" i="127"/>
  <c r="F12" i="123"/>
  <c r="F7" i="123"/>
  <c r="G12" i="123"/>
  <c r="E5" i="123"/>
  <c r="G7" i="123"/>
  <c r="E13" i="123"/>
  <c r="E7" i="123"/>
  <c r="F5" i="123"/>
  <c r="F13" i="123"/>
  <c r="G5" i="123"/>
  <c r="E11" i="123"/>
  <c r="G13" i="123"/>
  <c r="F6" i="123"/>
  <c r="G11" i="123"/>
  <c r="U21" i="120" a="1"/>
  <c r="U21" i="120" s="1"/>
  <c r="P15" i="118" a="1"/>
  <c r="P15" i="118" s="1"/>
  <c r="I17" i="119"/>
  <c r="G20" i="119"/>
  <c r="F19" i="119"/>
  <c r="H17" i="119"/>
  <c r="F17" i="119"/>
  <c r="G17" i="119"/>
  <c r="I21" i="119"/>
  <c r="I18" i="119"/>
  <c r="H65" i="119"/>
  <c r="I61" i="119"/>
  <c r="H61" i="119"/>
  <c r="F61" i="119"/>
  <c r="G61" i="119"/>
  <c r="F64" i="119"/>
  <c r="I63" i="119"/>
  <c r="H62" i="119"/>
  <c r="G39" i="119"/>
  <c r="F42" i="119"/>
  <c r="G41" i="119"/>
  <c r="I40" i="119"/>
  <c r="I43" i="119"/>
  <c r="I39" i="119"/>
  <c r="H39" i="119"/>
  <c r="H13" i="116" a="1"/>
  <c r="H13" i="116" s="1"/>
  <c r="H19" i="116" a="1"/>
  <c r="H19" i="116" s="1"/>
  <c r="S3" i="116" a="1"/>
  <c r="S3" i="116" s="1"/>
  <c r="I15" i="117" a="1"/>
  <c r="I15" i="117" s="1"/>
  <c r="I22" i="117" a="1"/>
  <c r="I22" i="117" s="1"/>
  <c r="E6" i="132" l="1"/>
  <c r="G6" i="132" s="1"/>
  <c r="A18" i="132" s="1"/>
  <c r="F18" i="132" s="1"/>
  <c r="E8" i="132"/>
  <c r="G8" i="132" s="1"/>
  <c r="A20" i="132" s="1"/>
  <c r="F20" i="132" s="1"/>
  <c r="I12" i="132"/>
  <c r="C24" i="132" s="1"/>
  <c r="G12" i="132"/>
  <c r="A24" i="132" s="1"/>
  <c r="F24" i="132" s="1"/>
  <c r="Y6" i="132"/>
  <c r="W5" i="131"/>
  <c r="V11" i="132"/>
  <c r="E11" i="132"/>
  <c r="H11" i="132" s="1"/>
  <c r="B23" i="132" s="1"/>
  <c r="G23" i="132" s="1"/>
  <c r="W5" i="132"/>
  <c r="Y4" i="132"/>
  <c r="W4" i="132"/>
  <c r="X4" i="131"/>
  <c r="W4" i="131"/>
  <c r="E11" i="131"/>
  <c r="G11" i="131" s="1"/>
  <c r="A23" i="131" s="1"/>
  <c r="F23" i="131" s="1"/>
  <c r="V11" i="131"/>
  <c r="E9" i="132"/>
  <c r="G9" i="132" s="1"/>
  <c r="A21" i="132" s="1"/>
  <c r="F21" i="132" s="1"/>
  <c r="V9" i="132"/>
  <c r="AE15" i="131" a="1"/>
  <c r="V4" i="131"/>
  <c r="E4" i="131"/>
  <c r="I4" i="131" s="1"/>
  <c r="C16" i="131" s="1"/>
  <c r="W10" i="131"/>
  <c r="Y5" i="131"/>
  <c r="X11" i="131"/>
  <c r="Y12" i="131"/>
  <c r="V9" i="131"/>
  <c r="E9" i="131"/>
  <c r="G9" i="131" s="1"/>
  <c r="A21" i="131" s="1"/>
  <c r="F21" i="131" s="1"/>
  <c r="AS15" i="132" a="1"/>
  <c r="E5" i="132"/>
  <c r="H5" i="132" s="1"/>
  <c r="B17" i="132" s="1"/>
  <c r="G17" i="132" s="1"/>
  <c r="X9" i="131"/>
  <c r="Y8" i="131"/>
  <c r="E7" i="131"/>
  <c r="I7" i="131" s="1"/>
  <c r="C19" i="131" s="1"/>
  <c r="V7" i="131"/>
  <c r="AS15" i="131" a="1"/>
  <c r="X4" i="132"/>
  <c r="W6" i="132"/>
  <c r="H6" i="132"/>
  <c r="B18" i="132" s="1"/>
  <c r="G18" i="132" s="1"/>
  <c r="J18" i="132" s="1"/>
  <c r="X6" i="131"/>
  <c r="W12" i="132"/>
  <c r="H12" i="132"/>
  <c r="B24" i="132" s="1"/>
  <c r="G24" i="132" s="1"/>
  <c r="W8" i="131"/>
  <c r="V12" i="131"/>
  <c r="E12" i="131"/>
  <c r="I12" i="131" s="1"/>
  <c r="C24" i="131" s="1"/>
  <c r="X7" i="131"/>
  <c r="Y4" i="131"/>
  <c r="E5" i="131"/>
  <c r="H5" i="131" s="1"/>
  <c r="B17" i="131" s="1"/>
  <c r="G17" i="131" s="1"/>
  <c r="V5" i="131"/>
  <c r="E7" i="132"/>
  <c r="W7" i="132"/>
  <c r="E10" i="132"/>
  <c r="H10" i="132" s="1"/>
  <c r="B22" i="132" s="1"/>
  <c r="G22" i="132" s="1"/>
  <c r="V10" i="132"/>
  <c r="Y10" i="132"/>
  <c r="Y12" i="132"/>
  <c r="J12" i="132"/>
  <c r="D24" i="132" s="1"/>
  <c r="Y7" i="131"/>
  <c r="V10" i="131"/>
  <c r="E10" i="131"/>
  <c r="H10" i="131" s="1"/>
  <c r="B22" i="131" s="1"/>
  <c r="G22" i="131" s="1"/>
  <c r="X5" i="131"/>
  <c r="H11" i="131"/>
  <c r="B23" i="131" s="1"/>
  <c r="G23" i="131" s="1"/>
  <c r="W11" i="131"/>
  <c r="W12" i="131"/>
  <c r="Y10" i="131"/>
  <c r="Y7" i="132"/>
  <c r="W11" i="132"/>
  <c r="X8" i="132"/>
  <c r="X10" i="132"/>
  <c r="AE15" i="132" a="1"/>
  <c r="X10" i="131"/>
  <c r="E8" i="131"/>
  <c r="J8" i="131" s="1"/>
  <c r="D20" i="131" s="1"/>
  <c r="V8" i="131"/>
  <c r="Y11" i="131"/>
  <c r="W9" i="131"/>
  <c r="W6" i="131"/>
  <c r="Y6" i="131"/>
  <c r="Y5" i="132"/>
  <c r="X9" i="132"/>
  <c r="J8" i="132"/>
  <c r="D20" i="132" s="1"/>
  <c r="Y8" i="132"/>
  <c r="X6" i="132"/>
  <c r="W8" i="132"/>
  <c r="H8" i="132"/>
  <c r="B20" i="132" s="1"/>
  <c r="G20" i="132" s="1"/>
  <c r="I20" i="132" s="1"/>
  <c r="E4" i="132"/>
  <c r="G4" i="132" s="1"/>
  <c r="A16" i="132" s="1"/>
  <c r="X8" i="131"/>
  <c r="V6" i="131"/>
  <c r="E6" i="131"/>
  <c r="I6" i="131" s="1"/>
  <c r="C18" i="131" s="1"/>
  <c r="Y9" i="131"/>
  <c r="W7" i="131"/>
  <c r="AS14" i="126"/>
  <c r="AT13" i="126"/>
  <c r="Q10" i="127"/>
  <c r="R9" i="127"/>
  <c r="V10" i="126"/>
  <c r="U11" i="126"/>
  <c r="U12" i="126" s="1"/>
  <c r="U13" i="126" s="1"/>
  <c r="AO14" i="126"/>
  <c r="AP13" i="126"/>
  <c r="Q11" i="126"/>
  <c r="R10" i="126"/>
  <c r="I10" i="127"/>
  <c r="J9" i="127"/>
  <c r="Z10" i="127"/>
  <c r="Y11" i="127"/>
  <c r="Y12" i="127" s="1"/>
  <c r="AL10" i="126"/>
  <c r="AK11" i="126"/>
  <c r="AK12" i="126" s="1"/>
  <c r="AK13" i="126" s="1"/>
  <c r="M10" i="127"/>
  <c r="N9" i="127"/>
  <c r="AH10" i="126"/>
  <c r="AG11" i="126"/>
  <c r="AG12" i="126" s="1"/>
  <c r="AG13" i="126" s="1"/>
  <c r="Z13" i="126"/>
  <c r="Y14" i="126"/>
  <c r="J9" i="126"/>
  <c r="I10" i="126"/>
  <c r="AC11" i="126"/>
  <c r="AC12" i="126" s="1"/>
  <c r="AC13" i="126" s="1"/>
  <c r="AD10" i="126"/>
  <c r="AW14" i="126"/>
  <c r="AX13" i="126"/>
  <c r="M9" i="126"/>
  <c r="N8" i="126"/>
  <c r="F9" i="122" a="1"/>
  <c r="G10" i="122" s="1"/>
  <c r="E85" i="123" a="1"/>
  <c r="E169" i="123" a="1"/>
  <c r="E67" i="123" a="1"/>
  <c r="E145" i="123" a="1"/>
  <c r="E121" i="123" a="1"/>
  <c r="E109" i="123" a="1"/>
  <c r="A8" i="121" a="1"/>
  <c r="O3" i="121" a="1"/>
  <c r="O3" i="121" s="1"/>
  <c r="P13" i="121" a="1"/>
  <c r="P13" i="121" s="1"/>
  <c r="P26" i="120" a="1"/>
  <c r="U15" i="120" a="1"/>
  <c r="U15" i="120" s="1"/>
  <c r="F39" i="119"/>
  <c r="S12" i="116" a="1"/>
  <c r="S12" i="116" s="1"/>
  <c r="N21" i="116" a="1"/>
  <c r="Y3" i="116" a="1"/>
  <c r="Y3" i="116" s="1"/>
  <c r="H7" i="131" l="1"/>
  <c r="B19" i="131" s="1"/>
  <c r="G19" i="131" s="1"/>
  <c r="G7" i="131"/>
  <c r="A19" i="131" s="1"/>
  <c r="F19" i="131" s="1"/>
  <c r="J7" i="131"/>
  <c r="D19" i="131" s="1"/>
  <c r="J5" i="132"/>
  <c r="D17" i="132" s="1"/>
  <c r="I9" i="131"/>
  <c r="C21" i="131" s="1"/>
  <c r="I8" i="132"/>
  <c r="C20" i="132" s="1"/>
  <c r="J9" i="131"/>
  <c r="D21" i="131" s="1"/>
  <c r="I9" i="132"/>
  <c r="C21" i="132" s="1"/>
  <c r="J11" i="131"/>
  <c r="D23" i="131" s="1"/>
  <c r="G4" i="131"/>
  <c r="I11" i="131"/>
  <c r="C23" i="131" s="1"/>
  <c r="I10" i="131"/>
  <c r="C22" i="131" s="1"/>
  <c r="I6" i="132"/>
  <c r="C18" i="132" s="1"/>
  <c r="J10" i="131"/>
  <c r="D22" i="131" s="1"/>
  <c r="G10" i="131"/>
  <c r="A22" i="131" s="1"/>
  <c r="F22" i="131" s="1"/>
  <c r="J22" i="131" s="1"/>
  <c r="J6" i="132"/>
  <c r="D18" i="132" s="1"/>
  <c r="J12" i="131"/>
  <c r="D24" i="131" s="1"/>
  <c r="G6" i="131"/>
  <c r="A18" i="131" s="1"/>
  <c r="F18" i="131" s="1"/>
  <c r="G10" i="132"/>
  <c r="A22" i="132" s="1"/>
  <c r="F22" i="132" s="1"/>
  <c r="I22" i="132" s="1"/>
  <c r="J4" i="131"/>
  <c r="D16" i="131" s="1"/>
  <c r="H4" i="131"/>
  <c r="B16" i="131" s="1"/>
  <c r="G16" i="131" s="1"/>
  <c r="H12" i="131"/>
  <c r="B24" i="131" s="1"/>
  <c r="G24" i="131" s="1"/>
  <c r="I4" i="132"/>
  <c r="C16" i="132" s="1"/>
  <c r="I10" i="132"/>
  <c r="C22" i="132" s="1"/>
  <c r="G8" i="131"/>
  <c r="A20" i="131" s="1"/>
  <c r="F20" i="131" s="1"/>
  <c r="H8" i="131"/>
  <c r="B20" i="131" s="1"/>
  <c r="G20" i="131" s="1"/>
  <c r="J6" i="131"/>
  <c r="D18" i="131" s="1"/>
  <c r="AG22" i="131"/>
  <c r="AG20" i="131"/>
  <c r="AG18" i="131"/>
  <c r="AG16" i="131"/>
  <c r="AF20" i="131"/>
  <c r="AF16" i="131"/>
  <c r="AE22" i="131"/>
  <c r="AE20" i="131"/>
  <c r="AE18" i="131"/>
  <c r="AE16" i="131"/>
  <c r="AH15" i="131"/>
  <c r="AH23" i="131"/>
  <c r="AH17" i="131"/>
  <c r="AG23" i="131"/>
  <c r="AG21" i="131"/>
  <c r="AG19" i="131"/>
  <c r="AG17" i="131"/>
  <c r="AG15" i="131"/>
  <c r="AH22" i="131"/>
  <c r="AH16" i="131"/>
  <c r="AH19" i="131"/>
  <c r="AF23" i="131"/>
  <c r="AF21" i="131"/>
  <c r="AF19" i="131"/>
  <c r="AF17" i="131"/>
  <c r="AF15" i="131"/>
  <c r="AH20" i="131"/>
  <c r="AH21" i="131"/>
  <c r="AE23" i="131"/>
  <c r="AE21" i="131"/>
  <c r="AE19" i="131"/>
  <c r="AE17" i="131"/>
  <c r="AE15" i="131"/>
  <c r="AH18" i="131"/>
  <c r="AF22" i="131"/>
  <c r="AF18" i="131"/>
  <c r="AT16" i="131"/>
  <c r="AS16" i="131"/>
  <c r="AU15" i="131"/>
  <c r="AT15" i="131"/>
  <c r="AU17" i="131"/>
  <c r="AS15" i="131"/>
  <c r="AT17" i="131"/>
  <c r="AU16" i="131"/>
  <c r="AS17" i="131"/>
  <c r="I5" i="132"/>
  <c r="C17" i="132" s="1"/>
  <c r="G5" i="132"/>
  <c r="A17" i="132" s="1"/>
  <c r="F17" i="132" s="1"/>
  <c r="A16" i="131"/>
  <c r="J24" i="132"/>
  <c r="I24" i="132"/>
  <c r="J19" i="131"/>
  <c r="I19" i="131"/>
  <c r="AS17" i="132"/>
  <c r="AU16" i="132"/>
  <c r="AT17" i="132"/>
  <c r="AT16" i="132"/>
  <c r="AS16" i="132"/>
  <c r="AU15" i="132"/>
  <c r="AT15" i="132"/>
  <c r="AS15" i="132"/>
  <c r="AU17" i="132"/>
  <c r="J5" i="131"/>
  <c r="D17" i="131" s="1"/>
  <c r="I11" i="132"/>
  <c r="C23" i="132" s="1"/>
  <c r="J11" i="132"/>
  <c r="D23" i="132" s="1"/>
  <c r="J23" i="131"/>
  <c r="I23" i="131"/>
  <c r="H6" i="131"/>
  <c r="B18" i="131" s="1"/>
  <c r="G18" i="131" s="1"/>
  <c r="G7" i="132"/>
  <c r="A19" i="132" s="1"/>
  <c r="F19" i="132" s="1"/>
  <c r="I7" i="132"/>
  <c r="C19" i="132" s="1"/>
  <c r="G11" i="132"/>
  <c r="A23" i="132" s="1"/>
  <c r="F23" i="132" s="1"/>
  <c r="I18" i="132"/>
  <c r="I8" i="131"/>
  <c r="C20" i="131" s="1"/>
  <c r="H9" i="131"/>
  <c r="B21" i="131" s="1"/>
  <c r="G21" i="131" s="1"/>
  <c r="J21" i="131" s="1"/>
  <c r="J7" i="132"/>
  <c r="D19" i="132" s="1"/>
  <c r="I5" i="131"/>
  <c r="C17" i="131" s="1"/>
  <c r="H7" i="132"/>
  <c r="B19" i="132" s="1"/>
  <c r="G19" i="132" s="1"/>
  <c r="H9" i="132"/>
  <c r="B21" i="132" s="1"/>
  <c r="G21" i="132" s="1"/>
  <c r="J21" i="132" s="1"/>
  <c r="J9" i="132"/>
  <c r="D21" i="132" s="1"/>
  <c r="F16" i="132"/>
  <c r="AE23" i="132"/>
  <c r="AE21" i="132"/>
  <c r="AE19" i="132"/>
  <c r="AE17" i="132"/>
  <c r="AE15" i="132"/>
  <c r="AH22" i="132"/>
  <c r="AH20" i="132"/>
  <c r="AH18" i="132"/>
  <c r="AH16" i="132"/>
  <c r="AH21" i="132"/>
  <c r="AF19" i="132"/>
  <c r="AF16" i="132"/>
  <c r="AG21" i="132"/>
  <c r="AG18" i="132"/>
  <c r="AE16" i="132"/>
  <c r="AH23" i="132"/>
  <c r="AF21" i="132"/>
  <c r="AF18" i="132"/>
  <c r="AH15" i="132"/>
  <c r="AG23" i="132"/>
  <c r="AG20" i="132"/>
  <c r="AE18" i="132"/>
  <c r="AG15" i="132"/>
  <c r="AF23" i="132"/>
  <c r="AF20" i="132"/>
  <c r="AH17" i="132"/>
  <c r="AF15" i="132"/>
  <c r="AG22" i="132"/>
  <c r="AE20" i="132"/>
  <c r="AG17" i="132"/>
  <c r="AF22" i="132"/>
  <c r="AH19" i="132"/>
  <c r="AF17" i="132"/>
  <c r="AG16" i="132"/>
  <c r="AE22" i="132"/>
  <c r="AG19" i="132"/>
  <c r="J10" i="132"/>
  <c r="D22" i="132" s="1"/>
  <c r="G5" i="131"/>
  <c r="A17" i="131" s="1"/>
  <c r="F17" i="131" s="1"/>
  <c r="G12" i="131"/>
  <c r="A24" i="131" s="1"/>
  <c r="F24" i="131" s="1"/>
  <c r="H4" i="132"/>
  <c r="B16" i="132" s="1"/>
  <c r="G16" i="132" s="1"/>
  <c r="J20" i="132"/>
  <c r="L20" i="132" s="1"/>
  <c r="J4" i="132"/>
  <c r="D16" i="132" s="1"/>
  <c r="G9" i="122"/>
  <c r="F10" i="122"/>
  <c r="H11" i="122"/>
  <c r="N9" i="126"/>
  <c r="M10" i="126"/>
  <c r="I11" i="126"/>
  <c r="J10" i="126"/>
  <c r="AK14" i="126"/>
  <c r="AL13" i="126"/>
  <c r="U14" i="126"/>
  <c r="V14" i="126" s="1"/>
  <c r="V13" i="126"/>
  <c r="AH13" i="126"/>
  <c r="AG14" i="126"/>
  <c r="J10" i="127"/>
  <c r="I11" i="127"/>
  <c r="Q11" i="127"/>
  <c r="R10" i="127"/>
  <c r="AD13" i="126"/>
  <c r="AC14" i="126"/>
  <c r="N10" i="127"/>
  <c r="M11" i="127"/>
  <c r="Q12" i="126"/>
  <c r="Q13" i="126" s="1"/>
  <c r="R11" i="126"/>
  <c r="F11" i="122"/>
  <c r="F9" i="122"/>
  <c r="H9" i="122"/>
  <c r="H10" i="122"/>
  <c r="G11" i="122"/>
  <c r="G110" i="123"/>
  <c r="F110" i="123"/>
  <c r="E110" i="123"/>
  <c r="G109" i="123"/>
  <c r="F109" i="123"/>
  <c r="G111" i="123"/>
  <c r="E109" i="123"/>
  <c r="F111" i="123"/>
  <c r="E111" i="123"/>
  <c r="F121" i="123"/>
  <c r="G123" i="123"/>
  <c r="E121" i="123"/>
  <c r="E123" i="123"/>
  <c r="G122" i="123"/>
  <c r="F122" i="123"/>
  <c r="F123" i="123"/>
  <c r="E122" i="123"/>
  <c r="G121" i="123"/>
  <c r="F145" i="123"/>
  <c r="E145" i="123"/>
  <c r="G147" i="123"/>
  <c r="E147" i="123"/>
  <c r="G146" i="123"/>
  <c r="G145" i="123"/>
  <c r="F146" i="123"/>
  <c r="F147" i="123"/>
  <c r="E146" i="123"/>
  <c r="E68" i="123"/>
  <c r="G67" i="123"/>
  <c r="F67" i="123"/>
  <c r="G69" i="123"/>
  <c r="E67" i="123"/>
  <c r="F69" i="123"/>
  <c r="F68" i="123"/>
  <c r="E69" i="123"/>
  <c r="G68" i="123"/>
  <c r="F169" i="123"/>
  <c r="G171" i="123"/>
  <c r="E169" i="123"/>
  <c r="F171" i="123"/>
  <c r="E171" i="123"/>
  <c r="G170" i="123"/>
  <c r="F170" i="123"/>
  <c r="E170" i="123"/>
  <c r="G169" i="123"/>
  <c r="G86" i="123"/>
  <c r="F86" i="123"/>
  <c r="G85" i="123"/>
  <c r="F85" i="123"/>
  <c r="G87" i="123"/>
  <c r="E85" i="123"/>
  <c r="F87" i="123"/>
  <c r="E87" i="123"/>
  <c r="E86" i="123"/>
  <c r="C10" i="121"/>
  <c r="B10" i="121"/>
  <c r="B8" i="121"/>
  <c r="A10" i="121"/>
  <c r="A8" i="121"/>
  <c r="D9" i="121"/>
  <c r="C9" i="121"/>
  <c r="B9" i="121"/>
  <c r="D10" i="121"/>
  <c r="D8" i="121"/>
  <c r="A9" i="121"/>
  <c r="C8" i="121"/>
  <c r="S28" i="120"/>
  <c r="S26" i="120"/>
  <c r="S27" i="120"/>
  <c r="P27" i="120"/>
  <c r="R28" i="120"/>
  <c r="R26" i="120"/>
  <c r="S29" i="120"/>
  <c r="Q28" i="120"/>
  <c r="Q26" i="120"/>
  <c r="P28" i="120"/>
  <c r="P26" i="120"/>
  <c r="P29" i="120"/>
  <c r="R29" i="120"/>
  <c r="R27" i="120"/>
  <c r="Q29" i="120"/>
  <c r="Q27" i="120"/>
  <c r="N21" i="116"/>
  <c r="S21" i="116" s="1" a="1"/>
  <c r="S21" i="116" s="1"/>
  <c r="P27" i="116" a="1"/>
  <c r="P27" i="116" s="1"/>
  <c r="H17" i="108" a="1"/>
  <c r="H17" i="108" s="1"/>
  <c r="D17" i="108" a="1"/>
  <c r="D17" i="108" s="1"/>
  <c r="K12" i="108" a="1"/>
  <c r="K12" i="108" s="1"/>
  <c r="M7" i="106" a="1"/>
  <c r="M7" i="106" s="1"/>
  <c r="U7" i="106" a="1"/>
  <c r="U7" i="106" s="1"/>
  <c r="Q7" i="106" a="1"/>
  <c r="Q7" i="106" s="1"/>
  <c r="U17" i="106" a="1"/>
  <c r="U17" i="106" s="1"/>
  <c r="Q17" i="106" a="1"/>
  <c r="Q17" i="106" s="1"/>
  <c r="M17" i="106" a="1"/>
  <c r="M17" i="106" s="1"/>
  <c r="M12" i="107" a="1"/>
  <c r="M12" i="107" s="1"/>
  <c r="I16" i="107" a="1"/>
  <c r="I16" i="107" s="1"/>
  <c r="E16" i="107" a="1"/>
  <c r="E16" i="107" s="1"/>
  <c r="Q2" i="106" a="1"/>
  <c r="Q2" i="106" s="1"/>
  <c r="M2" i="106" a="1"/>
  <c r="M2" i="106" s="1"/>
  <c r="U2" i="106" a="1"/>
  <c r="U2" i="106" s="1"/>
  <c r="H7" i="108" a="1"/>
  <c r="H7" i="108" s="1"/>
  <c r="D7" i="108" a="1"/>
  <c r="D7" i="108" s="1"/>
  <c r="K2" i="108" a="1"/>
  <c r="K2" i="108" s="1"/>
  <c r="E7" i="107" a="1"/>
  <c r="E7" i="107" s="1"/>
  <c r="M2" i="107" a="1"/>
  <c r="M2" i="107" s="1"/>
  <c r="I7" i="107" a="1"/>
  <c r="I7" i="107" s="1"/>
  <c r="U12" i="106" a="1"/>
  <c r="U12" i="106" s="1"/>
  <c r="Q12" i="106" a="1"/>
  <c r="Q12" i="106" s="1"/>
  <c r="M12" i="106" a="1"/>
  <c r="M12" i="106" s="1"/>
  <c r="I22" i="131" l="1"/>
  <c r="C29" i="132" a="1"/>
  <c r="C31" i="132" s="1"/>
  <c r="G31" i="132" s="1"/>
  <c r="D29" i="131" a="1"/>
  <c r="D33" i="131" s="1"/>
  <c r="J22" i="132"/>
  <c r="K22" i="132" s="1"/>
  <c r="J20" i="131"/>
  <c r="L20" i="131" s="1"/>
  <c r="J18" i="131"/>
  <c r="B26" i="132"/>
  <c r="C29" i="131" a="1"/>
  <c r="C34" i="131" s="1"/>
  <c r="G34" i="131" s="1"/>
  <c r="I20" i="131"/>
  <c r="D32" i="131"/>
  <c r="J17" i="131"/>
  <c r="I17" i="131"/>
  <c r="J23" i="132"/>
  <c r="I23" i="132"/>
  <c r="L22" i="132"/>
  <c r="I21" i="132"/>
  <c r="L24" i="132"/>
  <c r="K24" i="132"/>
  <c r="K20" i="131"/>
  <c r="L22" i="131"/>
  <c r="K22" i="131"/>
  <c r="AS19" i="131" a="1"/>
  <c r="D29" i="132" a="1"/>
  <c r="J19" i="132"/>
  <c r="I19" i="132"/>
  <c r="I18" i="131"/>
  <c r="K20" i="132"/>
  <c r="J24" i="131"/>
  <c r="I24" i="131"/>
  <c r="F16" i="131"/>
  <c r="B26" i="131"/>
  <c r="L23" i="131"/>
  <c r="K23" i="131"/>
  <c r="AS19" i="132" a="1"/>
  <c r="L19" i="131"/>
  <c r="K19" i="131"/>
  <c r="J17" i="132"/>
  <c r="I17" i="132"/>
  <c r="I21" i="131"/>
  <c r="K18" i="132"/>
  <c r="L18" i="132"/>
  <c r="J16" i="132"/>
  <c r="I16" i="132"/>
  <c r="H19" i="119"/>
  <c r="H18" i="119"/>
  <c r="H21" i="119"/>
  <c r="H20" i="119"/>
  <c r="R11" i="127"/>
  <c r="Q12" i="127"/>
  <c r="J11" i="127"/>
  <c r="I12" i="127"/>
  <c r="J12" i="127" s="1"/>
  <c r="Q14" i="126"/>
  <c r="R14" i="126" s="1"/>
  <c r="R13" i="126"/>
  <c r="I12" i="126"/>
  <c r="J11" i="126"/>
  <c r="N11" i="127"/>
  <c r="M12" i="127"/>
  <c r="M11" i="126"/>
  <c r="N10" i="126"/>
  <c r="G65" i="119"/>
  <c r="G64" i="119"/>
  <c r="G62" i="119"/>
  <c r="G63" i="119"/>
  <c r="E127" i="123" a="1"/>
  <c r="D34" i="131" l="1"/>
  <c r="D29" i="131"/>
  <c r="D35" i="131"/>
  <c r="D36" i="131"/>
  <c r="D30" i="131"/>
  <c r="Q18" i="119" a="1"/>
  <c r="Q18" i="119" s="1"/>
  <c r="C34" i="132"/>
  <c r="G34" i="132" s="1"/>
  <c r="D37" i="131"/>
  <c r="C32" i="132"/>
  <c r="G32" i="132" s="1"/>
  <c r="C35" i="132"/>
  <c r="G35" i="132" s="1"/>
  <c r="C36" i="132"/>
  <c r="G36" i="132" s="1"/>
  <c r="D31" i="131"/>
  <c r="C33" i="132"/>
  <c r="G33" i="132" s="1"/>
  <c r="C29" i="132"/>
  <c r="G29" i="132" s="1"/>
  <c r="C30" i="132"/>
  <c r="G30" i="132" s="1"/>
  <c r="C37" i="132"/>
  <c r="G37" i="132" s="1"/>
  <c r="C35" i="131"/>
  <c r="G35" i="131" s="1"/>
  <c r="C29" i="131"/>
  <c r="G29" i="131" s="1"/>
  <c r="C33" i="131"/>
  <c r="G33" i="131" s="1"/>
  <c r="C36" i="131"/>
  <c r="G36" i="131" s="1"/>
  <c r="C31" i="131"/>
  <c r="G31" i="131" s="1"/>
  <c r="C37" i="131"/>
  <c r="G37" i="131" s="1"/>
  <c r="C32" i="131"/>
  <c r="G32" i="131" s="1"/>
  <c r="C30" i="131"/>
  <c r="G30" i="131" s="1"/>
  <c r="K24" i="131"/>
  <c r="L24" i="131"/>
  <c r="I25" i="132"/>
  <c r="K16" i="132"/>
  <c r="L16" i="132"/>
  <c r="L23" i="132"/>
  <c r="K23" i="132"/>
  <c r="J25" i="132"/>
  <c r="AU19" i="132"/>
  <c r="AT19" i="132"/>
  <c r="AT21" i="132"/>
  <c r="AU21" i="132"/>
  <c r="AS21" i="132"/>
  <c r="AU20" i="132"/>
  <c r="AT20" i="132"/>
  <c r="AS20" i="132"/>
  <c r="AS19" i="132"/>
  <c r="L18" i="131"/>
  <c r="K18" i="131"/>
  <c r="L17" i="131"/>
  <c r="K17" i="131"/>
  <c r="L19" i="132"/>
  <c r="K19" i="132"/>
  <c r="K21" i="131"/>
  <c r="L21" i="131"/>
  <c r="AT20" i="131"/>
  <c r="AU19" i="131"/>
  <c r="AT19" i="131"/>
  <c r="AU21" i="131"/>
  <c r="AS19" i="131"/>
  <c r="AS20" i="131"/>
  <c r="AT21" i="131"/>
  <c r="AS21" i="131"/>
  <c r="AU20" i="131"/>
  <c r="L17" i="132"/>
  <c r="K17" i="132"/>
  <c r="J16" i="131"/>
  <c r="J25" i="131" s="1"/>
  <c r="I16" i="131"/>
  <c r="D33" i="132"/>
  <c r="D32" i="132"/>
  <c r="D30" i="132"/>
  <c r="D35" i="132"/>
  <c r="D34" i="132"/>
  <c r="D31" i="132"/>
  <c r="D37" i="132"/>
  <c r="D36" i="132"/>
  <c r="D29" i="132"/>
  <c r="L21" i="132"/>
  <c r="K21" i="132"/>
  <c r="J12" i="126"/>
  <c r="I13" i="126"/>
  <c r="M12" i="126"/>
  <c r="M13" i="126" s="1"/>
  <c r="N11" i="126"/>
  <c r="H42" i="119"/>
  <c r="H41" i="119"/>
  <c r="H40" i="119"/>
  <c r="H43" i="119"/>
  <c r="F129" i="123"/>
  <c r="E129" i="123"/>
  <c r="F128" i="123"/>
  <c r="E128" i="123"/>
  <c r="E127" i="123"/>
  <c r="G127" i="123"/>
  <c r="F127" i="123"/>
  <c r="G129" i="123"/>
  <c r="G128" i="123"/>
  <c r="D42" i="131" l="1" a="1"/>
  <c r="D50" i="131" s="1"/>
  <c r="G50" i="131" s="1"/>
  <c r="D42" i="132" a="1"/>
  <c r="D50" i="132" s="1"/>
  <c r="G50" i="132" s="1"/>
  <c r="L16" i="131"/>
  <c r="L25" i="131" s="1"/>
  <c r="K16" i="131"/>
  <c r="K25" i="131" s="1"/>
  <c r="I25" i="131"/>
  <c r="L25" i="132"/>
  <c r="O16" i="132" s="1"/>
  <c r="K25" i="132"/>
  <c r="O17" i="132" s="1"/>
  <c r="D44" i="131"/>
  <c r="G44" i="131" s="1"/>
  <c r="D43" i="131"/>
  <c r="G43" i="131" s="1"/>
  <c r="D49" i="131"/>
  <c r="G49" i="131" s="1"/>
  <c r="D45" i="131"/>
  <c r="G45" i="131" s="1"/>
  <c r="D42" i="131"/>
  <c r="G42" i="131" s="1"/>
  <c r="N13" i="126"/>
  <c r="M14" i="126"/>
  <c r="N14" i="126" s="1"/>
  <c r="J13" i="126"/>
  <c r="I14" i="126"/>
  <c r="J14" i="126" s="1"/>
  <c r="A25" i="70" a="1"/>
  <c r="D47" i="131" l="1"/>
  <c r="G47" i="131" s="1"/>
  <c r="D46" i="131"/>
  <c r="G46" i="131" s="1"/>
  <c r="D48" i="131"/>
  <c r="G48" i="131" s="1"/>
  <c r="O16" i="131"/>
  <c r="D45" i="132"/>
  <c r="G45" i="132" s="1"/>
  <c r="O18" i="132"/>
  <c r="N20" i="132" s="1"/>
  <c r="D48" i="132"/>
  <c r="G48" i="132" s="1"/>
  <c r="O17" i="131"/>
  <c r="O18" i="131" s="1"/>
  <c r="D49" i="132"/>
  <c r="G49" i="132" s="1"/>
  <c r="D46" i="132"/>
  <c r="G46" i="132" s="1"/>
  <c r="D44" i="132"/>
  <c r="G44" i="132" s="1"/>
  <c r="D42" i="132"/>
  <c r="G42" i="132" s="1"/>
  <c r="D47" i="132"/>
  <c r="G47" i="132" s="1"/>
  <c r="D43" i="132"/>
  <c r="G43" i="132" s="1"/>
  <c r="M19" i="70"/>
  <c r="R12" i="70"/>
  <c r="X2" i="70"/>
  <c r="V2" i="70" a="1"/>
  <c r="V4" i="70" s="1"/>
  <c r="E2" i="70" a="1"/>
  <c r="G2" i="70" s="1"/>
  <c r="N21" i="132" l="1"/>
  <c r="O20" i="132" s="1"/>
  <c r="N21" i="131"/>
  <c r="O20" i="131" s="1"/>
  <c r="N20" i="131"/>
  <c r="O21" i="131" s="1"/>
  <c r="Q16" i="131" s="1" a="1"/>
  <c r="O21" i="132"/>
  <c r="Q16" i="132" a="1"/>
  <c r="E4" i="70"/>
  <c r="V3" i="70"/>
  <c r="F4" i="70"/>
  <c r="G3" i="70"/>
  <c r="F2" i="70"/>
  <c r="E2" i="70"/>
  <c r="G4" i="70"/>
  <c r="F3" i="70"/>
  <c r="E3" i="70"/>
  <c r="W4" i="70"/>
  <c r="X3" i="70"/>
  <c r="W2" i="70"/>
  <c r="W3" i="70"/>
  <c r="V2" i="70"/>
  <c r="X4" i="70"/>
  <c r="R24" i="132" l="1"/>
  <c r="R20" i="132"/>
  <c r="R16" i="132"/>
  <c r="Q24" i="132"/>
  <c r="Q20" i="132"/>
  <c r="Q16" i="132"/>
  <c r="Q19" i="132"/>
  <c r="R23" i="132"/>
  <c r="R18" i="132"/>
  <c r="Q23" i="132"/>
  <c r="Q18" i="132"/>
  <c r="R22" i="132"/>
  <c r="R17" i="132"/>
  <c r="Q22" i="132"/>
  <c r="Q17" i="132"/>
  <c r="R21" i="132"/>
  <c r="Q21" i="132"/>
  <c r="R19" i="132"/>
  <c r="R23" i="131"/>
  <c r="R19" i="131"/>
  <c r="Q23" i="131"/>
  <c r="R22" i="131"/>
  <c r="R18" i="131"/>
  <c r="Q22" i="131"/>
  <c r="Q18" i="131"/>
  <c r="R21" i="131"/>
  <c r="R17" i="131"/>
  <c r="Q16" i="131"/>
  <c r="Q21" i="131"/>
  <c r="Q17" i="131"/>
  <c r="Q20" i="131"/>
  <c r="R24" i="131"/>
  <c r="R20" i="131"/>
  <c r="R16" i="131"/>
  <c r="Q24" i="131"/>
  <c r="Q19" i="131"/>
  <c r="K24" i="72" a="1"/>
  <c r="L26" i="72" s="1"/>
  <c r="C27" i="70"/>
  <c r="C25" i="70"/>
  <c r="C26" i="70"/>
  <c r="A27" i="70"/>
  <c r="A25" i="70"/>
  <c r="A26" i="70"/>
  <c r="B26" i="70"/>
  <c r="B27" i="70"/>
  <c r="B25" i="70"/>
  <c r="A30" i="70" a="1"/>
  <c r="P10" i="72" a="1"/>
  <c r="Z10" i="71" a="1"/>
  <c r="P24" i="71" a="1"/>
  <c r="U24" i="71" a="1"/>
  <c r="K3" i="71" a="1"/>
  <c r="A20" i="70" a="1"/>
  <c r="E7" i="70" a="1"/>
  <c r="A15" i="70" a="1"/>
  <c r="E32" i="70"/>
  <c r="A29" i="132" l="1" a="1"/>
  <c r="A31" i="132" s="1"/>
  <c r="F31" i="132" s="1"/>
  <c r="A29" i="131" a="1"/>
  <c r="B29" i="132" a="1"/>
  <c r="B29" i="131" a="1"/>
  <c r="L24" i="72"/>
  <c r="M25" i="72"/>
  <c r="N25" i="72"/>
  <c r="N26" i="72"/>
  <c r="N27" i="72"/>
  <c r="K24" i="72"/>
  <c r="N24" i="72"/>
  <c r="M24" i="72"/>
  <c r="K26" i="72"/>
  <c r="K27" i="72"/>
  <c r="K25" i="72"/>
  <c r="M26" i="72"/>
  <c r="M27" i="72"/>
  <c r="L27" i="72"/>
  <c r="L25" i="72"/>
  <c r="A30" i="70"/>
  <c r="C30" i="70"/>
  <c r="C32" i="70"/>
  <c r="C31" i="70"/>
  <c r="B31" i="70"/>
  <c r="B32" i="70"/>
  <c r="B30" i="70"/>
  <c r="A31" i="70"/>
  <c r="A32" i="70"/>
  <c r="L3" i="71"/>
  <c r="M4" i="71"/>
  <c r="M3" i="71"/>
  <c r="K6" i="71"/>
  <c r="N5" i="71"/>
  <c r="L5" i="71"/>
  <c r="L4" i="71"/>
  <c r="L6" i="71"/>
  <c r="M6" i="71"/>
  <c r="K4" i="71"/>
  <c r="K3" i="71"/>
  <c r="N6" i="71"/>
  <c r="K5" i="71"/>
  <c r="N4" i="71"/>
  <c r="N3" i="71"/>
  <c r="M5" i="71"/>
  <c r="Z10" i="71"/>
  <c r="AC12" i="71"/>
  <c r="AA12" i="71"/>
  <c r="AC11" i="71"/>
  <c r="Z11" i="71"/>
  <c r="AC10" i="71"/>
  <c r="AA11" i="71"/>
  <c r="AB11" i="71"/>
  <c r="AB12" i="71"/>
  <c r="AA10" i="71"/>
  <c r="AB10" i="71"/>
  <c r="AC13" i="71"/>
  <c r="AB13" i="71"/>
  <c r="AA13" i="71"/>
  <c r="Z13" i="71"/>
  <c r="Z12" i="71"/>
  <c r="X27" i="71"/>
  <c r="U24" i="71"/>
  <c r="V26" i="71"/>
  <c r="W24" i="71"/>
  <c r="X24" i="71"/>
  <c r="U26" i="71"/>
  <c r="V27" i="71"/>
  <c r="W25" i="71"/>
  <c r="X25" i="71"/>
  <c r="U25" i="71"/>
  <c r="X26" i="71"/>
  <c r="U27" i="71"/>
  <c r="W26" i="71"/>
  <c r="W27" i="71"/>
  <c r="V24" i="71"/>
  <c r="V25" i="71"/>
  <c r="Q13" i="72"/>
  <c r="R12" i="72"/>
  <c r="P10" i="72"/>
  <c r="S10" i="72"/>
  <c r="Q10" i="72"/>
  <c r="P11" i="72"/>
  <c r="S11" i="72"/>
  <c r="R10" i="72"/>
  <c r="Q12" i="72"/>
  <c r="P13" i="72"/>
  <c r="S13" i="72"/>
  <c r="R13" i="72"/>
  <c r="Q11" i="72"/>
  <c r="P12" i="72"/>
  <c r="S12" i="72"/>
  <c r="R11" i="72"/>
  <c r="S27" i="71"/>
  <c r="P25" i="71"/>
  <c r="Q25" i="71"/>
  <c r="R25" i="71"/>
  <c r="S25" i="71"/>
  <c r="P26" i="71"/>
  <c r="Q26" i="71"/>
  <c r="R26" i="71"/>
  <c r="S26" i="71"/>
  <c r="P27" i="71"/>
  <c r="R27" i="71"/>
  <c r="Q24" i="71"/>
  <c r="S24" i="71"/>
  <c r="Q27" i="71"/>
  <c r="R24" i="71"/>
  <c r="P24" i="71"/>
  <c r="E9" i="70"/>
  <c r="E8" i="70"/>
  <c r="E7" i="70"/>
  <c r="C21" i="70"/>
  <c r="B20" i="70"/>
  <c r="C22" i="70"/>
  <c r="B21" i="70"/>
  <c r="A20" i="70"/>
  <c r="B22" i="70"/>
  <c r="A21" i="70"/>
  <c r="A22" i="70"/>
  <c r="C20" i="70"/>
  <c r="B17" i="70"/>
  <c r="A16" i="70"/>
  <c r="A17" i="70"/>
  <c r="C15" i="70"/>
  <c r="C16" i="70"/>
  <c r="B16" i="70"/>
  <c r="B15" i="70"/>
  <c r="A15" i="70"/>
  <c r="C17" i="70"/>
  <c r="A32" i="132" l="1"/>
  <c r="F32" i="132" s="1"/>
  <c r="J32" i="132" s="1"/>
  <c r="A33" i="132"/>
  <c r="F33" i="132" s="1"/>
  <c r="I33" i="132" s="1"/>
  <c r="A35" i="132"/>
  <c r="F35" i="132" s="1"/>
  <c r="I35" i="132" s="1"/>
  <c r="A36" i="132"/>
  <c r="F36" i="132" s="1"/>
  <c r="J36" i="132" s="1"/>
  <c r="A29" i="132"/>
  <c r="F29" i="132" s="1"/>
  <c r="A37" i="132"/>
  <c r="F37" i="132" s="1"/>
  <c r="J37" i="132" s="1"/>
  <c r="A30" i="132"/>
  <c r="F30" i="132" s="1"/>
  <c r="I30" i="132" s="1"/>
  <c r="A34" i="132"/>
  <c r="F34" i="132" s="1"/>
  <c r="J34" i="132" s="1"/>
  <c r="I32" i="132"/>
  <c r="B31" i="131"/>
  <c r="B30" i="131"/>
  <c r="B37" i="131"/>
  <c r="B29" i="131"/>
  <c r="B36" i="131"/>
  <c r="B35" i="131"/>
  <c r="B32" i="131"/>
  <c r="B34" i="131"/>
  <c r="B33" i="131"/>
  <c r="B37" i="132"/>
  <c r="B29" i="132"/>
  <c r="B36" i="132"/>
  <c r="B34" i="132"/>
  <c r="B30" i="132"/>
  <c r="B35" i="132"/>
  <c r="B33" i="132"/>
  <c r="B32" i="132"/>
  <c r="B31" i="132"/>
  <c r="A33" i="131"/>
  <c r="F33" i="131" s="1"/>
  <c r="A32" i="131"/>
  <c r="F32" i="131" s="1"/>
  <c r="A31" i="131"/>
  <c r="F31" i="131" s="1"/>
  <c r="A30" i="131"/>
  <c r="F30" i="131" s="1"/>
  <c r="A37" i="131"/>
  <c r="F37" i="131" s="1"/>
  <c r="A29" i="131"/>
  <c r="A36" i="131"/>
  <c r="F36" i="131" s="1"/>
  <c r="A34" i="131"/>
  <c r="F34" i="131" s="1"/>
  <c r="A35" i="131"/>
  <c r="F35" i="131" s="1"/>
  <c r="J30" i="132"/>
  <c r="I31" i="132"/>
  <c r="J31" i="132"/>
  <c r="P24" i="72" a="1"/>
  <c r="K24" i="71" a="1"/>
  <c r="Z24" i="71" a="1"/>
  <c r="B39" i="132" l="1"/>
  <c r="I37" i="132"/>
  <c r="L37" i="132" s="1"/>
  <c r="J35" i="132"/>
  <c r="I34" i="132"/>
  <c r="I36" i="132"/>
  <c r="K36" i="132" s="1"/>
  <c r="J33" i="132"/>
  <c r="K33" i="132" s="1"/>
  <c r="I35" i="131"/>
  <c r="J35" i="131"/>
  <c r="I33" i="131"/>
  <c r="J33" i="131"/>
  <c r="L35" i="132"/>
  <c r="K35" i="132"/>
  <c r="L30" i="132"/>
  <c r="K30" i="132"/>
  <c r="I34" i="131"/>
  <c r="J34" i="131"/>
  <c r="B42" i="132" a="1"/>
  <c r="L31" i="132"/>
  <c r="K31" i="132"/>
  <c r="B39" i="131"/>
  <c r="F29" i="131"/>
  <c r="B42" i="131" a="1"/>
  <c r="L32" i="132"/>
  <c r="K32" i="132"/>
  <c r="J36" i="131"/>
  <c r="I36" i="131"/>
  <c r="J37" i="131"/>
  <c r="I37" i="131"/>
  <c r="J32" i="131"/>
  <c r="I32" i="131"/>
  <c r="J30" i="131"/>
  <c r="I30" i="131"/>
  <c r="L34" i="132"/>
  <c r="K34" i="132"/>
  <c r="J31" i="131"/>
  <c r="I31" i="131"/>
  <c r="J29" i="132"/>
  <c r="I29" i="132"/>
  <c r="AC27" i="71"/>
  <c r="Z27" i="71"/>
  <c r="AA27" i="71"/>
  <c r="AB26" i="71"/>
  <c r="AC26" i="71"/>
  <c r="AA24" i="71"/>
  <c r="Z25" i="71"/>
  <c r="AB27" i="71"/>
  <c r="AA25" i="71"/>
  <c r="AC24" i="71"/>
  <c r="AA26" i="71"/>
  <c r="AC25" i="71"/>
  <c r="AB24" i="71"/>
  <c r="AB25" i="71"/>
  <c r="Z24" i="71"/>
  <c r="Z26" i="71"/>
  <c r="K24" i="71"/>
  <c r="N27" i="71"/>
  <c r="L27" i="71"/>
  <c r="N25" i="71"/>
  <c r="K27" i="71"/>
  <c r="N26" i="71"/>
  <c r="L26" i="71"/>
  <c r="N24" i="71"/>
  <c r="K26" i="71"/>
  <c r="M26" i="71"/>
  <c r="M27" i="71"/>
  <c r="M24" i="71"/>
  <c r="M25" i="71"/>
  <c r="L25" i="71"/>
  <c r="L24" i="71"/>
  <c r="K25" i="71"/>
  <c r="P24" i="72"/>
  <c r="R24" i="72"/>
  <c r="Q24" i="72"/>
  <c r="R25" i="72"/>
  <c r="S27" i="72"/>
  <c r="Q27" i="72"/>
  <c r="S26" i="72"/>
  <c r="P27" i="72"/>
  <c r="Q26" i="72"/>
  <c r="P26" i="72"/>
  <c r="Q25" i="72"/>
  <c r="P25" i="72"/>
  <c r="S24" i="72"/>
  <c r="R27" i="72"/>
  <c r="S25" i="72"/>
  <c r="R26" i="72"/>
  <c r="J38" i="132" l="1"/>
  <c r="L33" i="132"/>
  <c r="K37" i="132"/>
  <c r="L36" i="132"/>
  <c r="I38" i="132"/>
  <c r="L29" i="132"/>
  <c r="K29" i="132"/>
  <c r="K38" i="132" s="1"/>
  <c r="L32" i="131"/>
  <c r="K32" i="131"/>
  <c r="K36" i="131"/>
  <c r="L36" i="131"/>
  <c r="B43" i="132"/>
  <c r="B50" i="132"/>
  <c r="B42" i="132"/>
  <c r="B48" i="132"/>
  <c r="B44" i="132"/>
  <c r="B47" i="132"/>
  <c r="B46" i="132"/>
  <c r="B45" i="132"/>
  <c r="B49" i="132"/>
  <c r="L34" i="131"/>
  <c r="K34" i="131"/>
  <c r="K30" i="131"/>
  <c r="L30" i="131"/>
  <c r="K31" i="131"/>
  <c r="L31" i="131"/>
  <c r="J29" i="131"/>
  <c r="J38" i="131" s="1"/>
  <c r="I29" i="131"/>
  <c r="L33" i="131"/>
  <c r="K33" i="131"/>
  <c r="K35" i="131"/>
  <c r="L35" i="131"/>
  <c r="B48" i="131"/>
  <c r="B47" i="131"/>
  <c r="B45" i="131"/>
  <c r="B46" i="131"/>
  <c r="B44" i="131"/>
  <c r="B43" i="131"/>
  <c r="B42" i="131"/>
  <c r="B49" i="131"/>
  <c r="B50" i="131"/>
  <c r="L37" i="131"/>
  <c r="K37" i="131"/>
  <c r="E17" i="70" a="1"/>
  <c r="F18" i="70" s="1"/>
  <c r="I2" i="70" s="1"/>
  <c r="C18" i="63"/>
  <c r="C12" i="63"/>
  <c r="C17" i="63" s="1"/>
  <c r="B12" i="63"/>
  <c r="B17" i="63" s="1"/>
  <c r="A8" i="63"/>
  <c r="A9" i="63" s="1"/>
  <c r="L38" i="132" l="1"/>
  <c r="O29" i="132" s="1"/>
  <c r="B55" i="131" a="1"/>
  <c r="B60" i="131" s="1"/>
  <c r="F60" i="131" s="1"/>
  <c r="O30" i="132"/>
  <c r="B55" i="132" a="1"/>
  <c r="I38" i="131"/>
  <c r="L29" i="131"/>
  <c r="L38" i="131" s="1"/>
  <c r="K29" i="131"/>
  <c r="K38" i="131" s="1"/>
  <c r="O30" i="131" s="1"/>
  <c r="G19" i="70"/>
  <c r="G17" i="70"/>
  <c r="F17" i="70"/>
  <c r="E19" i="70"/>
  <c r="E17" i="70"/>
  <c r="G18" i="70"/>
  <c r="E18" i="70"/>
  <c r="F19" i="70"/>
  <c r="I3" i="70" s="1"/>
  <c r="A10" i="63"/>
  <c r="A14" i="63" s="1"/>
  <c r="A19" i="63" s="1"/>
  <c r="B9" i="63" a="1"/>
  <c r="A13" i="63"/>
  <c r="A18" i="63" s="1"/>
  <c r="A12" i="63"/>
  <c r="A17" i="63" s="1"/>
  <c r="AE18" i="61" a="1"/>
  <c r="AE19" i="61" s="1"/>
  <c r="O31" i="132" l="1"/>
  <c r="N33" i="132" s="1"/>
  <c r="O29" i="131"/>
  <c r="B57" i="131"/>
  <c r="F57" i="131" s="1"/>
  <c r="B58" i="131"/>
  <c r="F58" i="131" s="1"/>
  <c r="B59" i="131"/>
  <c r="F59" i="131" s="1"/>
  <c r="B61" i="131"/>
  <c r="F61" i="131" s="1"/>
  <c r="B63" i="131"/>
  <c r="F63" i="131" s="1"/>
  <c r="B62" i="131"/>
  <c r="F62" i="131" s="1"/>
  <c r="B55" i="131"/>
  <c r="F55" i="131" s="1"/>
  <c r="B56" i="131"/>
  <c r="F56" i="131" s="1"/>
  <c r="O31" i="131"/>
  <c r="B57" i="132"/>
  <c r="F57" i="132" s="1"/>
  <c r="B56" i="132"/>
  <c r="F56" i="132" s="1"/>
  <c r="B62" i="132"/>
  <c r="F62" i="132" s="1"/>
  <c r="B58" i="132"/>
  <c r="F58" i="132" s="1"/>
  <c r="B55" i="132"/>
  <c r="F55" i="132" s="1"/>
  <c r="B63" i="132"/>
  <c r="F63" i="132" s="1"/>
  <c r="B61" i="132"/>
  <c r="F61" i="132" s="1"/>
  <c r="B60" i="132"/>
  <c r="F60" i="132" s="1"/>
  <c r="B59" i="132"/>
  <c r="F59" i="132" s="1"/>
  <c r="L26" i="70"/>
  <c r="L7" i="70"/>
  <c r="L6" i="70"/>
  <c r="J3" i="70"/>
  <c r="J2" i="70"/>
  <c r="E23" i="63" a="1"/>
  <c r="C10" i="63"/>
  <c r="B9" i="63"/>
  <c r="B13" i="63" s="1"/>
  <c r="B18" i="63" s="1"/>
  <c r="B10" i="63"/>
  <c r="C9" i="63"/>
  <c r="AE20" i="61"/>
  <c r="AG18" i="61"/>
  <c r="AG19" i="61"/>
  <c r="AF18" i="61"/>
  <c r="AG20" i="61"/>
  <c r="AF19" i="61"/>
  <c r="AE18" i="61"/>
  <c r="AF20" i="61"/>
  <c r="N34" i="132" l="1"/>
  <c r="O33" i="132" s="1"/>
  <c r="N34" i="131"/>
  <c r="O33" i="131" s="1"/>
  <c r="N33" i="131"/>
  <c r="O34" i="132"/>
  <c r="I13" i="70" a="1"/>
  <c r="I13" i="70" s="1"/>
  <c r="L2" i="70" a="1"/>
  <c r="M3" i="70" s="1"/>
  <c r="I23" i="70" a="1"/>
  <c r="J24" i="70" s="1"/>
  <c r="I27" i="70" a="1"/>
  <c r="J27" i="70" s="1"/>
  <c r="I17" i="70" a="1"/>
  <c r="J18" i="70" s="1"/>
  <c r="G25" i="63"/>
  <c r="F24" i="63"/>
  <c r="E23" i="63"/>
  <c r="F25" i="63"/>
  <c r="E24" i="63"/>
  <c r="E25" i="63"/>
  <c r="G23" i="63"/>
  <c r="G24" i="63"/>
  <c r="F23" i="63"/>
  <c r="B14" i="63"/>
  <c r="B19" i="63" s="1"/>
  <c r="R4" i="61" a="1"/>
  <c r="E13" i="59"/>
  <c r="E12" i="59"/>
  <c r="E11" i="59"/>
  <c r="A11" i="59" a="1"/>
  <c r="A12" i="59" s="1"/>
  <c r="I47" i="58" a="1"/>
  <c r="I50" i="58" s="1"/>
  <c r="E47" i="58" a="1"/>
  <c r="F49" i="58" s="1"/>
  <c r="A32" i="58"/>
  <c r="D30" i="58" s="1" a="1"/>
  <c r="E30" i="58" s="1"/>
  <c r="G30" i="58" a="1"/>
  <c r="I30" i="58" s="1"/>
  <c r="V4" i="58" a="1"/>
  <c r="I4" i="58" a="1"/>
  <c r="L8" i="58" s="1"/>
  <c r="E4" i="58" a="1"/>
  <c r="E5" i="58" s="1"/>
  <c r="A6" i="57"/>
  <c r="A5" i="57"/>
  <c r="Q29" i="132" l="1" a="1"/>
  <c r="R34" i="132" s="1"/>
  <c r="Q34" i="132"/>
  <c r="Q37" i="132"/>
  <c r="Q33" i="132"/>
  <c r="Q29" i="132"/>
  <c r="Q36" i="132"/>
  <c r="Q35" i="132"/>
  <c r="R36" i="132"/>
  <c r="R33" i="132"/>
  <c r="R32" i="132"/>
  <c r="Q32" i="132"/>
  <c r="O34" i="131"/>
  <c r="Q29" i="131" s="1" a="1"/>
  <c r="F5" i="58"/>
  <c r="J13" i="70"/>
  <c r="I23" i="70"/>
  <c r="I24" i="70"/>
  <c r="J23" i="70"/>
  <c r="M2" i="70"/>
  <c r="L4" i="58"/>
  <c r="I14" i="70"/>
  <c r="K5" i="58"/>
  <c r="J14" i="70"/>
  <c r="M6" i="58"/>
  <c r="G49" i="58"/>
  <c r="L7" i="58"/>
  <c r="G31" i="58"/>
  <c r="J48" i="58"/>
  <c r="J50" i="58"/>
  <c r="L2" i="70"/>
  <c r="L3" i="70"/>
  <c r="E31" i="58"/>
  <c r="F47" i="58"/>
  <c r="E48" i="58"/>
  <c r="I28" i="70"/>
  <c r="J17" i="70"/>
  <c r="J28" i="70"/>
  <c r="I27" i="70"/>
  <c r="L22" i="70" a="1"/>
  <c r="M23" i="70" s="1"/>
  <c r="I18" i="70"/>
  <c r="I17" i="70"/>
  <c r="G6" i="58"/>
  <c r="K48" i="58"/>
  <c r="K50" i="58"/>
  <c r="E4" i="58"/>
  <c r="G48" i="58"/>
  <c r="J47" i="58"/>
  <c r="J49" i="58"/>
  <c r="G32" i="58"/>
  <c r="M5" i="58"/>
  <c r="M7" i="58"/>
  <c r="D30" i="58"/>
  <c r="H30" i="58"/>
  <c r="H32" i="58"/>
  <c r="K4" i="58"/>
  <c r="L6" i="58"/>
  <c r="D31" i="58"/>
  <c r="E47" i="58"/>
  <c r="K47" i="58"/>
  <c r="K49" i="58"/>
  <c r="B12" i="59"/>
  <c r="C14" i="63"/>
  <c r="C19" i="63" s="1"/>
  <c r="E17" i="63" s="1" a="1"/>
  <c r="R4" i="61"/>
  <c r="R6" i="61"/>
  <c r="R5" i="61"/>
  <c r="C13" i="59"/>
  <c r="A11" i="59"/>
  <c r="E15" i="59"/>
  <c r="G13" i="59" s="1"/>
  <c r="C12" i="59"/>
  <c r="B11" i="59"/>
  <c r="A13" i="59"/>
  <c r="C11" i="59"/>
  <c r="B13" i="59"/>
  <c r="V8" i="58"/>
  <c r="X6" i="58"/>
  <c r="W5" i="58"/>
  <c r="V4" i="58"/>
  <c r="W8" i="58"/>
  <c r="W6" i="58"/>
  <c r="X4" i="58"/>
  <c r="X7" i="58"/>
  <c r="V6" i="58"/>
  <c r="W4" i="58"/>
  <c r="W7" i="58"/>
  <c r="V5" i="58"/>
  <c r="X8" i="58"/>
  <c r="E6" i="58"/>
  <c r="G4" i="58"/>
  <c r="G5" i="58"/>
  <c r="F4" i="58"/>
  <c r="F6" i="58"/>
  <c r="X5" i="58"/>
  <c r="V7" i="58"/>
  <c r="M8" i="58"/>
  <c r="I8" i="58"/>
  <c r="J7" i="58"/>
  <c r="K6" i="58"/>
  <c r="L5" i="58"/>
  <c r="M4" i="58"/>
  <c r="I4" i="58"/>
  <c r="I5" i="58"/>
  <c r="I6" i="58"/>
  <c r="I7" i="58"/>
  <c r="J8" i="58"/>
  <c r="J4" i="58"/>
  <c r="J5" i="58"/>
  <c r="J6" i="58"/>
  <c r="K7" i="58"/>
  <c r="K8" i="58"/>
  <c r="I32" i="58"/>
  <c r="H31" i="58"/>
  <c r="G30" i="58"/>
  <c r="I31" i="58"/>
  <c r="E49" i="58"/>
  <c r="G47" i="58"/>
  <c r="F48" i="58"/>
  <c r="L47" i="58"/>
  <c r="L48" i="58"/>
  <c r="L49" i="58"/>
  <c r="L50" i="58"/>
  <c r="I47" i="58"/>
  <c r="I48" i="58"/>
  <c r="I49" i="58"/>
  <c r="E4" i="56" a="1"/>
  <c r="E7" i="56" s="1"/>
  <c r="R37" i="132" l="1"/>
  <c r="Q30" i="132"/>
  <c r="Q31" i="132"/>
  <c r="R35" i="132"/>
  <c r="R30" i="132"/>
  <c r="R31" i="132"/>
  <c r="R29" i="132"/>
  <c r="C42" i="132" a="1"/>
  <c r="C50" i="132" s="1"/>
  <c r="A42" i="132" a="1"/>
  <c r="R35" i="131"/>
  <c r="R31" i="131"/>
  <c r="Q31" i="131"/>
  <c r="Q35" i="131"/>
  <c r="R34" i="131"/>
  <c r="R30" i="131"/>
  <c r="Q34" i="131"/>
  <c r="Q30" i="131"/>
  <c r="R37" i="131"/>
  <c r="R33" i="131"/>
  <c r="R29" i="131"/>
  <c r="Q36" i="131"/>
  <c r="Q37" i="131"/>
  <c r="Q33" i="131"/>
  <c r="Q29" i="131"/>
  <c r="Q32" i="131"/>
  <c r="R36" i="131"/>
  <c r="R32" i="131"/>
  <c r="L14" i="70" a="1"/>
  <c r="L15" i="70" s="1"/>
  <c r="I40" i="58" a="1"/>
  <c r="L18" i="58"/>
  <c r="M21" i="58"/>
  <c r="L21" i="58"/>
  <c r="M19" i="58"/>
  <c r="L22" i="58"/>
  <c r="L19" i="58"/>
  <c r="M22" i="58"/>
  <c r="M20" i="58"/>
  <c r="L20" i="58"/>
  <c r="M18" i="58"/>
  <c r="L22" i="70"/>
  <c r="M22" i="70"/>
  <c r="L23" i="70"/>
  <c r="G12" i="59"/>
  <c r="E19" i="63"/>
  <c r="G17" i="63"/>
  <c r="G18" i="63"/>
  <c r="F17" i="63"/>
  <c r="G19" i="63"/>
  <c r="F18" i="63"/>
  <c r="E17" i="63"/>
  <c r="F19" i="63"/>
  <c r="E18" i="63"/>
  <c r="G11" i="59"/>
  <c r="L59" i="58" a="1"/>
  <c r="E10" i="57" a="1"/>
  <c r="E12" i="57" s="1"/>
  <c r="E6" i="56"/>
  <c r="E5" i="56"/>
  <c r="E4" i="56"/>
  <c r="C44" i="132" l="1"/>
  <c r="C45" i="132"/>
  <c r="C48" i="132"/>
  <c r="C43" i="132"/>
  <c r="C46" i="132"/>
  <c r="C42" i="132"/>
  <c r="C49" i="132"/>
  <c r="C47" i="132"/>
  <c r="A42" i="131" a="1"/>
  <c r="C42" i="131" a="1"/>
  <c r="A45" i="132"/>
  <c r="F45" i="132" s="1"/>
  <c r="A44" i="132"/>
  <c r="F44" i="132" s="1"/>
  <c r="A50" i="132"/>
  <c r="F50" i="132" s="1"/>
  <c r="A42" i="132"/>
  <c r="A49" i="132"/>
  <c r="F49" i="132" s="1"/>
  <c r="A48" i="132"/>
  <c r="F48" i="132" s="1"/>
  <c r="A47" i="132"/>
  <c r="F47" i="132" s="1"/>
  <c r="A46" i="132"/>
  <c r="F46" i="132" s="1"/>
  <c r="A43" i="132"/>
  <c r="F43" i="132" s="1"/>
  <c r="D38" i="58" a="1"/>
  <c r="D38" i="58" s="1"/>
  <c r="M15" i="70"/>
  <c r="O2" i="70" s="1"/>
  <c r="O8" i="70" s="1"/>
  <c r="M27" i="70" s="1"/>
  <c r="G34" i="70" s="1"/>
  <c r="M14" i="70"/>
  <c r="M26" i="70" s="1"/>
  <c r="F33" i="70" s="1" a="1"/>
  <c r="F34" i="70" s="1"/>
  <c r="L14" i="70"/>
  <c r="G40" i="58" a="1"/>
  <c r="H42" i="58" s="1"/>
  <c r="K40" i="58" a="1"/>
  <c r="F23" i="70" a="1"/>
  <c r="F24" i="70" s="1"/>
  <c r="F33" i="70"/>
  <c r="G15" i="59"/>
  <c r="I11" i="59" s="1"/>
  <c r="I13" i="59" s="1"/>
  <c r="L30" i="70" a="1"/>
  <c r="L30" i="70" s="1"/>
  <c r="F32" i="70" a="1"/>
  <c r="G32" i="70" s="1"/>
  <c r="I4" i="56" a="1"/>
  <c r="F12" i="57"/>
  <c r="F10" i="57"/>
  <c r="E10" i="57"/>
  <c r="G11" i="57"/>
  <c r="F11" i="57"/>
  <c r="G10" i="57"/>
  <c r="E11" i="57"/>
  <c r="G12" i="57"/>
  <c r="L41" i="58"/>
  <c r="K41" i="58"/>
  <c r="L40" i="58"/>
  <c r="K40" i="58"/>
  <c r="I41" i="58"/>
  <c r="I42" i="58"/>
  <c r="I40" i="58"/>
  <c r="L61" i="58"/>
  <c r="L60" i="58"/>
  <c r="L59" i="58"/>
  <c r="L62" i="58"/>
  <c r="E16" i="58" a="1"/>
  <c r="I18" i="58" a="1"/>
  <c r="N59" i="58" a="1"/>
  <c r="O18" i="58" a="1"/>
  <c r="I59" i="58" a="1"/>
  <c r="E57" i="58" a="1"/>
  <c r="I15" i="57" a="1"/>
  <c r="C55" i="132" l="1" a="1"/>
  <c r="J47" i="132"/>
  <c r="I47" i="132"/>
  <c r="J48" i="132"/>
  <c r="I48" i="132"/>
  <c r="J49" i="132"/>
  <c r="I49" i="132"/>
  <c r="A50" i="131"/>
  <c r="F50" i="131" s="1"/>
  <c r="A42" i="131"/>
  <c r="A49" i="131"/>
  <c r="F49" i="131" s="1"/>
  <c r="A47" i="131"/>
  <c r="F47" i="131" s="1"/>
  <c r="A44" i="131"/>
  <c r="F44" i="131" s="1"/>
  <c r="A43" i="131"/>
  <c r="F43" i="131" s="1"/>
  <c r="A48" i="131"/>
  <c r="F48" i="131" s="1"/>
  <c r="A46" i="131"/>
  <c r="F46" i="131" s="1"/>
  <c r="A45" i="131"/>
  <c r="F45" i="131" s="1"/>
  <c r="B52" i="132"/>
  <c r="F42" i="132"/>
  <c r="I50" i="132"/>
  <c r="J50" i="132"/>
  <c r="J44" i="132"/>
  <c r="I44" i="132"/>
  <c r="C63" i="132"/>
  <c r="G63" i="132" s="1"/>
  <c r="C55" i="132"/>
  <c r="G55" i="132" s="1"/>
  <c r="C62" i="132"/>
  <c r="G62" i="132" s="1"/>
  <c r="C60" i="132"/>
  <c r="G60" i="132" s="1"/>
  <c r="C59" i="132"/>
  <c r="G59" i="132" s="1"/>
  <c r="C58" i="132"/>
  <c r="G58" i="132" s="1"/>
  <c r="C57" i="132"/>
  <c r="G57" i="132" s="1"/>
  <c r="C61" i="132"/>
  <c r="G61" i="132" s="1"/>
  <c r="C56" i="132"/>
  <c r="G56" i="132" s="1"/>
  <c r="I43" i="132"/>
  <c r="J43" i="132"/>
  <c r="J45" i="132"/>
  <c r="I45" i="132"/>
  <c r="J46" i="132"/>
  <c r="I46" i="132"/>
  <c r="C46" i="131"/>
  <c r="C45" i="131"/>
  <c r="C43" i="131"/>
  <c r="C49" i="131"/>
  <c r="C48" i="131"/>
  <c r="C47" i="131"/>
  <c r="C44" i="131"/>
  <c r="C42" i="131"/>
  <c r="C50" i="131"/>
  <c r="D39" i="58"/>
  <c r="L34" i="70" a="1"/>
  <c r="L35" i="70" s="1"/>
  <c r="G33" i="70"/>
  <c r="G41" i="58"/>
  <c r="G42" i="58"/>
  <c r="H41" i="58"/>
  <c r="G40" i="58"/>
  <c r="H40" i="58"/>
  <c r="G24" i="70"/>
  <c r="F23" i="70"/>
  <c r="G23" i="70"/>
  <c r="M31" i="70"/>
  <c r="M30" i="70"/>
  <c r="L31" i="70"/>
  <c r="F32" i="70"/>
  <c r="R2" i="70" s="1" a="1"/>
  <c r="S3" i="70" s="1"/>
  <c r="I12" i="59"/>
  <c r="M10" i="57" a="1"/>
  <c r="M12" i="57" s="1"/>
  <c r="I7" i="56"/>
  <c r="I5" i="56"/>
  <c r="I6" i="56"/>
  <c r="I4" i="56"/>
  <c r="K11" i="59" a="1"/>
  <c r="M12" i="59" s="1"/>
  <c r="K62" i="58"/>
  <c r="J61" i="58"/>
  <c r="I60" i="58"/>
  <c r="J62" i="58"/>
  <c r="I61" i="58"/>
  <c r="K59" i="58"/>
  <c r="J60" i="58"/>
  <c r="K60" i="58"/>
  <c r="J59" i="58"/>
  <c r="I62" i="58"/>
  <c r="I59" i="58"/>
  <c r="K61" i="58"/>
  <c r="E16" i="58"/>
  <c r="E18" i="58"/>
  <c r="E17" i="58"/>
  <c r="P20" i="58"/>
  <c r="O19" i="58"/>
  <c r="O20" i="58"/>
  <c r="P18" i="58"/>
  <c r="Q18" i="58"/>
  <c r="Q20" i="58"/>
  <c r="O18" i="58"/>
  <c r="Q19" i="58"/>
  <c r="P19" i="58"/>
  <c r="K30" i="58" a="1"/>
  <c r="P60" i="58"/>
  <c r="O59" i="58"/>
  <c r="P61" i="58"/>
  <c r="O60" i="58"/>
  <c r="N59" i="58"/>
  <c r="P59" i="58"/>
  <c r="N60" i="58"/>
  <c r="O61" i="58"/>
  <c r="N61" i="58"/>
  <c r="E57" i="58"/>
  <c r="E59" i="58"/>
  <c r="E58" i="58"/>
  <c r="J22" i="58"/>
  <c r="I21" i="58"/>
  <c r="K19" i="58"/>
  <c r="J18" i="58"/>
  <c r="K22" i="58"/>
  <c r="K20" i="58"/>
  <c r="I19" i="58"/>
  <c r="I22" i="58"/>
  <c r="I20" i="58"/>
  <c r="K21" i="58"/>
  <c r="J19" i="58"/>
  <c r="J21" i="58"/>
  <c r="K18" i="58"/>
  <c r="I18" i="58"/>
  <c r="J20" i="58"/>
  <c r="I17" i="57"/>
  <c r="K15" i="57"/>
  <c r="K16" i="57"/>
  <c r="J15" i="57"/>
  <c r="K17" i="57"/>
  <c r="J16" i="57"/>
  <c r="I15" i="57"/>
  <c r="J17" i="57"/>
  <c r="I16" i="57"/>
  <c r="I62" i="132" l="1"/>
  <c r="J62" i="132"/>
  <c r="F42" i="131"/>
  <c r="B52" i="131"/>
  <c r="J60" i="132"/>
  <c r="I60" i="132"/>
  <c r="L43" i="132"/>
  <c r="K43" i="132"/>
  <c r="I55" i="132"/>
  <c r="J55" i="132"/>
  <c r="J45" i="131"/>
  <c r="I45" i="131"/>
  <c r="J50" i="131"/>
  <c r="I50" i="131"/>
  <c r="J63" i="132"/>
  <c r="I63" i="132"/>
  <c r="L49" i="132"/>
  <c r="K49" i="132"/>
  <c r="I61" i="132"/>
  <c r="J61" i="132"/>
  <c r="K44" i="132"/>
  <c r="L44" i="132"/>
  <c r="J48" i="131"/>
  <c r="I48" i="131"/>
  <c r="J56" i="132"/>
  <c r="I56" i="132"/>
  <c r="C55" i="131" a="1"/>
  <c r="L46" i="132"/>
  <c r="K46" i="132"/>
  <c r="J57" i="132"/>
  <c r="I57" i="132"/>
  <c r="I43" i="131"/>
  <c r="J43" i="131"/>
  <c r="L48" i="132"/>
  <c r="K48" i="132"/>
  <c r="J46" i="131"/>
  <c r="I46" i="131"/>
  <c r="J58" i="132"/>
  <c r="I58" i="132"/>
  <c r="J44" i="131"/>
  <c r="I44" i="131"/>
  <c r="K45" i="132"/>
  <c r="L45" i="132"/>
  <c r="J59" i="132"/>
  <c r="I59" i="132"/>
  <c r="L50" i="132"/>
  <c r="K50" i="132"/>
  <c r="J47" i="131"/>
  <c r="I47" i="131"/>
  <c r="L47" i="132"/>
  <c r="K47" i="132"/>
  <c r="J42" i="132"/>
  <c r="J51" i="132" s="1"/>
  <c r="I42" i="132"/>
  <c r="I49" i="131"/>
  <c r="J49" i="131"/>
  <c r="M34" i="70"/>
  <c r="L34" i="70"/>
  <c r="M35" i="70"/>
  <c r="E27" i="70" a="1"/>
  <c r="F29" i="70" s="1"/>
  <c r="R4" i="70"/>
  <c r="T2" i="70"/>
  <c r="R3" i="70"/>
  <c r="S4" i="70"/>
  <c r="T3" i="70"/>
  <c r="R2" i="70"/>
  <c r="T9" i="70" s="1" a="1"/>
  <c r="T4" i="70"/>
  <c r="S2" i="70"/>
  <c r="N12" i="57"/>
  <c r="O11" i="57"/>
  <c r="M10" i="57"/>
  <c r="O10" i="57"/>
  <c r="N11" i="57"/>
  <c r="N10" i="57"/>
  <c r="M11" i="57"/>
  <c r="O12" i="57"/>
  <c r="F4" i="56" a="1"/>
  <c r="L13" i="59"/>
  <c r="K11" i="59"/>
  <c r="K12" i="59"/>
  <c r="L12" i="59"/>
  <c r="M11" i="59"/>
  <c r="L11" i="59"/>
  <c r="M13" i="59"/>
  <c r="K13" i="59"/>
  <c r="K32" i="58"/>
  <c r="M30" i="58"/>
  <c r="M31" i="58"/>
  <c r="K30" i="58"/>
  <c r="L32" i="58"/>
  <c r="L31" i="58"/>
  <c r="K31" i="58"/>
  <c r="M32" i="58"/>
  <c r="L30" i="58"/>
  <c r="O4" i="58" a="1"/>
  <c r="X52" i="58" a="1"/>
  <c r="N47" i="58" a="1"/>
  <c r="I20" i="57" a="1"/>
  <c r="J21" i="57" s="1"/>
  <c r="T10" i="70" l="1"/>
  <c r="T9" i="70"/>
  <c r="K43" i="131"/>
  <c r="L43" i="131"/>
  <c r="K48" i="131"/>
  <c r="L48" i="131"/>
  <c r="L63" i="132"/>
  <c r="K63" i="132"/>
  <c r="L49" i="131"/>
  <c r="K49" i="131"/>
  <c r="L58" i="132"/>
  <c r="K58" i="132"/>
  <c r="K57" i="132"/>
  <c r="L57" i="132"/>
  <c r="L46" i="131"/>
  <c r="K46" i="131"/>
  <c r="L45" i="131"/>
  <c r="K45" i="131"/>
  <c r="K42" i="132"/>
  <c r="K51" i="132" s="1"/>
  <c r="L42" i="132"/>
  <c r="L51" i="132" s="1"/>
  <c r="I51" i="132"/>
  <c r="K60" i="132"/>
  <c r="L60" i="132"/>
  <c r="K61" i="132"/>
  <c r="L61" i="132"/>
  <c r="I42" i="131"/>
  <c r="J42" i="131"/>
  <c r="J51" i="131" s="1"/>
  <c r="K50" i="131"/>
  <c r="L50" i="131"/>
  <c r="K59" i="132"/>
  <c r="L59" i="132"/>
  <c r="K56" i="132"/>
  <c r="L56" i="132"/>
  <c r="J64" i="132"/>
  <c r="C60" i="131"/>
  <c r="G60" i="131" s="1"/>
  <c r="C59" i="131"/>
  <c r="G59" i="131" s="1"/>
  <c r="C57" i="131"/>
  <c r="G57" i="131" s="1"/>
  <c r="C62" i="131"/>
  <c r="G62" i="131" s="1"/>
  <c r="C61" i="131"/>
  <c r="G61" i="131" s="1"/>
  <c r="C58" i="131"/>
  <c r="G58" i="131" s="1"/>
  <c r="C56" i="131"/>
  <c r="G56" i="131" s="1"/>
  <c r="C55" i="131"/>
  <c r="G55" i="131" s="1"/>
  <c r="C63" i="131"/>
  <c r="G63" i="131" s="1"/>
  <c r="L47" i="131"/>
  <c r="K47" i="131"/>
  <c r="L44" i="131"/>
  <c r="K44" i="131"/>
  <c r="L55" i="132"/>
  <c r="K55" i="132"/>
  <c r="I64" i="132"/>
  <c r="L62" i="132"/>
  <c r="K62" i="132"/>
  <c r="F28" i="70"/>
  <c r="E27" i="70"/>
  <c r="G29" i="70"/>
  <c r="F27" i="70"/>
  <c r="E28" i="70"/>
  <c r="E29" i="70"/>
  <c r="G28" i="70"/>
  <c r="G27" i="70"/>
  <c r="W8" i="70"/>
  <c r="V8" i="70"/>
  <c r="A18" i="59" a="1"/>
  <c r="C18" i="59" s="1"/>
  <c r="O11" i="59" a="1"/>
  <c r="Q11" i="59" s="1"/>
  <c r="Q10" i="57" a="1"/>
  <c r="Q10" i="57" s="1"/>
  <c r="F6" i="56"/>
  <c r="F4" i="56"/>
  <c r="F5" i="56"/>
  <c r="F7" i="56"/>
  <c r="K21" i="57"/>
  <c r="K20" i="57"/>
  <c r="K22" i="57"/>
  <c r="I21" i="57"/>
  <c r="J20" i="57"/>
  <c r="J22" i="57"/>
  <c r="I20" i="57"/>
  <c r="I22" i="57"/>
  <c r="O13" i="59"/>
  <c r="P11" i="59"/>
  <c r="Q12" i="59"/>
  <c r="P12" i="59"/>
  <c r="O11" i="59"/>
  <c r="X54" i="58"/>
  <c r="X53" i="58"/>
  <c r="X52" i="58"/>
  <c r="Q8" i="58"/>
  <c r="R7" i="58"/>
  <c r="S6" i="58"/>
  <c r="O6" i="58"/>
  <c r="P5" i="58"/>
  <c r="Q4" i="58"/>
  <c r="R8" i="58"/>
  <c r="Q7" i="58"/>
  <c r="Q6" i="58"/>
  <c r="Q5" i="58"/>
  <c r="P4" i="58"/>
  <c r="P8" i="58"/>
  <c r="P7" i="58"/>
  <c r="P6" i="58"/>
  <c r="O5" i="58"/>
  <c r="O4" i="58"/>
  <c r="S8" i="58"/>
  <c r="R6" i="58"/>
  <c r="R4" i="58"/>
  <c r="O8" i="58"/>
  <c r="S5" i="58"/>
  <c r="S7" i="58"/>
  <c r="R5" i="58"/>
  <c r="O7" i="58"/>
  <c r="S4" i="58"/>
  <c r="Q50" i="58"/>
  <c r="Q49" i="58"/>
  <c r="Q48" i="58"/>
  <c r="Q47" i="58"/>
  <c r="P50" i="58"/>
  <c r="P49" i="58"/>
  <c r="P48" i="58"/>
  <c r="P47" i="58"/>
  <c r="N50" i="58"/>
  <c r="N48" i="58"/>
  <c r="O50" i="58"/>
  <c r="O48" i="58"/>
  <c r="O47" i="58"/>
  <c r="N47" i="58"/>
  <c r="O49" i="58"/>
  <c r="N49" i="58"/>
  <c r="O30" i="58" a="1"/>
  <c r="K64" i="132" l="1"/>
  <c r="L64" i="132"/>
  <c r="J58" i="131"/>
  <c r="I58" i="131"/>
  <c r="I61" i="131"/>
  <c r="J61" i="131"/>
  <c r="J62" i="131"/>
  <c r="I62" i="131"/>
  <c r="I57" i="131"/>
  <c r="J57" i="131"/>
  <c r="J59" i="131"/>
  <c r="I59" i="131"/>
  <c r="I56" i="131"/>
  <c r="J56" i="131"/>
  <c r="J63" i="131"/>
  <c r="I63" i="131"/>
  <c r="I60" i="131"/>
  <c r="J60" i="131"/>
  <c r="O42" i="132"/>
  <c r="I51" i="131"/>
  <c r="L42" i="131"/>
  <c r="L51" i="131" s="1"/>
  <c r="K42" i="131"/>
  <c r="K51" i="131" s="1"/>
  <c r="I55" i="131"/>
  <c r="J55" i="131"/>
  <c r="O43" i="132"/>
  <c r="E42" i="70" a="1"/>
  <c r="E44" i="70" s="1"/>
  <c r="E37" i="70" a="1"/>
  <c r="F39" i="70" s="1"/>
  <c r="E47" i="70" a="1"/>
  <c r="F47" i="70" s="1"/>
  <c r="Q13" i="59"/>
  <c r="O12" i="59"/>
  <c r="P13" i="59"/>
  <c r="S9" i="70"/>
  <c r="S12" i="70" s="1"/>
  <c r="X8" i="70"/>
  <c r="B18" i="59"/>
  <c r="E18" i="59" s="1"/>
  <c r="C19" i="59"/>
  <c r="A18" i="59"/>
  <c r="B19" i="59"/>
  <c r="E19" i="59" s="1"/>
  <c r="C20" i="59"/>
  <c r="A19" i="59"/>
  <c r="A20" i="59"/>
  <c r="B20" i="59"/>
  <c r="E20" i="59" s="1"/>
  <c r="E22" i="59" s="1"/>
  <c r="G19" i="59" s="1"/>
  <c r="J4" i="56" a="1"/>
  <c r="J7" i="56" s="1"/>
  <c r="Q12" i="57"/>
  <c r="R11" i="57"/>
  <c r="R10" i="57"/>
  <c r="Q11" i="57"/>
  <c r="S12" i="57"/>
  <c r="S11" i="57"/>
  <c r="R12" i="57"/>
  <c r="S10" i="57"/>
  <c r="M20" i="57" a="1"/>
  <c r="O21" i="57" s="1"/>
  <c r="O32" i="58"/>
  <c r="O30" i="58"/>
  <c r="P30" i="58"/>
  <c r="P31" i="58"/>
  <c r="O31" i="58"/>
  <c r="P32" i="58"/>
  <c r="O23" i="58" a="1"/>
  <c r="AA4" i="58" a="1"/>
  <c r="N64" i="58" a="1"/>
  <c r="X47" i="58" a="1"/>
  <c r="O43" i="131" l="1"/>
  <c r="O42" i="131"/>
  <c r="O44" i="131" s="1"/>
  <c r="J64" i="131"/>
  <c r="K60" i="131"/>
  <c r="L60" i="131"/>
  <c r="L63" i="131"/>
  <c r="K63" i="131"/>
  <c r="L55" i="131"/>
  <c r="I64" i="131"/>
  <c r="K55" i="131"/>
  <c r="L56" i="131"/>
  <c r="K56" i="131"/>
  <c r="K61" i="131"/>
  <c r="L61" i="131"/>
  <c r="L57" i="131"/>
  <c r="K57" i="131"/>
  <c r="L62" i="131"/>
  <c r="K62" i="131"/>
  <c r="K59" i="131"/>
  <c r="L59" i="131"/>
  <c r="L58" i="131"/>
  <c r="K58" i="131"/>
  <c r="O44" i="132"/>
  <c r="G44" i="70"/>
  <c r="E42" i="70"/>
  <c r="G43" i="70"/>
  <c r="F42" i="70"/>
  <c r="F44" i="70"/>
  <c r="E43" i="70"/>
  <c r="E37" i="70"/>
  <c r="E38" i="70"/>
  <c r="F43" i="70"/>
  <c r="F38" i="70"/>
  <c r="G39" i="70"/>
  <c r="G42" i="70"/>
  <c r="F37" i="70"/>
  <c r="E39" i="70"/>
  <c r="G38" i="70"/>
  <c r="G37" i="70"/>
  <c r="E49" i="70"/>
  <c r="G48" i="70"/>
  <c r="E48" i="70"/>
  <c r="F49" i="70"/>
  <c r="E47" i="70"/>
  <c r="F48" i="70"/>
  <c r="G49" i="70"/>
  <c r="G47" i="70"/>
  <c r="J5" i="56"/>
  <c r="V9" i="70" a="1"/>
  <c r="W11" i="70" s="1"/>
  <c r="R15" i="70" a="1"/>
  <c r="T15" i="70" s="1"/>
  <c r="J6" i="56"/>
  <c r="J4" i="56"/>
  <c r="G4" i="56" s="1" a="1"/>
  <c r="R20" i="70" a="1"/>
  <c r="T22" i="70" s="1"/>
  <c r="T12" i="70"/>
  <c r="N22" i="57"/>
  <c r="N21" i="57"/>
  <c r="M22" i="57"/>
  <c r="O22" i="57"/>
  <c r="O20" i="57"/>
  <c r="M21" i="57"/>
  <c r="N20" i="57"/>
  <c r="M20" i="57"/>
  <c r="G20" i="59"/>
  <c r="G22" i="59" s="1"/>
  <c r="I19" i="59" s="1"/>
  <c r="G18" i="59"/>
  <c r="P27" i="58"/>
  <c r="O26" i="58"/>
  <c r="Q24" i="58"/>
  <c r="P23" i="58"/>
  <c r="P26" i="58"/>
  <c r="P24" i="58"/>
  <c r="O27" i="58"/>
  <c r="O25" i="58"/>
  <c r="Q26" i="58"/>
  <c r="O24" i="58"/>
  <c r="Q25" i="58"/>
  <c r="Q23" i="58"/>
  <c r="Q27" i="58"/>
  <c r="P25" i="58"/>
  <c r="O23" i="58"/>
  <c r="X49" i="58"/>
  <c r="X48" i="58"/>
  <c r="X50" i="58"/>
  <c r="X47" i="58"/>
  <c r="P67" i="58"/>
  <c r="O66" i="58"/>
  <c r="N65" i="58"/>
  <c r="O67" i="58"/>
  <c r="N66" i="58"/>
  <c r="P64" i="58"/>
  <c r="P66" i="58"/>
  <c r="N67" i="58"/>
  <c r="N64" i="58"/>
  <c r="O64" i="58"/>
  <c r="P65" i="58"/>
  <c r="O65" i="58"/>
  <c r="AA8" i="58"/>
  <c r="AA4" i="58"/>
  <c r="AA6" i="58"/>
  <c r="AA5" i="58"/>
  <c r="AA7" i="58"/>
  <c r="N46" i="131" l="1"/>
  <c r="N47" i="131"/>
  <c r="O46" i="131" s="1"/>
  <c r="N47" i="132"/>
  <c r="O46" i="132" s="1"/>
  <c r="N46" i="132"/>
  <c r="L64" i="131"/>
  <c r="K64" i="131"/>
  <c r="W9" i="70"/>
  <c r="X9" i="70"/>
  <c r="X11" i="70"/>
  <c r="V9" i="70"/>
  <c r="R27" i="70" a="1"/>
  <c r="T28" i="70" s="1"/>
  <c r="X10" i="70"/>
  <c r="V10" i="70"/>
  <c r="V11" i="70"/>
  <c r="W10" i="70"/>
  <c r="W12" i="70" s="1"/>
  <c r="R15" i="70"/>
  <c r="R16" i="70"/>
  <c r="T17" i="70"/>
  <c r="S17" i="70"/>
  <c r="S16" i="70"/>
  <c r="T16" i="70"/>
  <c r="R17" i="70"/>
  <c r="S15" i="70"/>
  <c r="S22" i="70"/>
  <c r="S21" i="70"/>
  <c r="R21" i="70"/>
  <c r="S20" i="70"/>
  <c r="R22" i="70"/>
  <c r="R20" i="70"/>
  <c r="T21" i="70"/>
  <c r="T20" i="70"/>
  <c r="X58" i="58" a="1"/>
  <c r="X60" i="58" s="1"/>
  <c r="G5" i="56"/>
  <c r="G4" i="56"/>
  <c r="G6" i="56"/>
  <c r="G7" i="56"/>
  <c r="AA17" i="58" a="1"/>
  <c r="AA19" i="58" s="1"/>
  <c r="I20" i="59"/>
  <c r="K18" i="59" s="1" a="1"/>
  <c r="O47" i="131" l="1"/>
  <c r="Q42" i="131" a="1"/>
  <c r="O47" i="132"/>
  <c r="Q42" i="132" s="1" a="1"/>
  <c r="X12" i="70"/>
  <c r="V26" i="70"/>
  <c r="X26" i="70"/>
  <c r="W26" i="70"/>
  <c r="V12" i="70"/>
  <c r="V20" i="70" a="1"/>
  <c r="W22" i="70" s="1"/>
  <c r="V27" i="70" a="1"/>
  <c r="W27" i="70" s="1"/>
  <c r="R29" i="70"/>
  <c r="T27" i="70"/>
  <c r="S27" i="70"/>
  <c r="S28" i="70"/>
  <c r="R27" i="70"/>
  <c r="S29" i="70"/>
  <c r="R28" i="70"/>
  <c r="V15" i="70" a="1"/>
  <c r="T29" i="70"/>
  <c r="K4" i="56" a="1"/>
  <c r="K7" i="56" s="1"/>
  <c r="X58" i="58"/>
  <c r="X59" i="58"/>
  <c r="T6" i="61"/>
  <c r="T5" i="61" s="1"/>
  <c r="T4" i="61" s="1"/>
  <c r="V4" i="61" s="1" a="1"/>
  <c r="AA18" i="58"/>
  <c r="AA17" i="58"/>
  <c r="K20" i="59"/>
  <c r="M18" i="59"/>
  <c r="L19" i="59"/>
  <c r="M19" i="59"/>
  <c r="K18" i="59"/>
  <c r="L20" i="59"/>
  <c r="L18" i="59"/>
  <c r="M20" i="59"/>
  <c r="K19" i="59"/>
  <c r="Q48" i="132" l="1"/>
  <c r="Q44" i="132"/>
  <c r="R47" i="132"/>
  <c r="R43" i="132"/>
  <c r="R50" i="132"/>
  <c r="R46" i="132"/>
  <c r="R42" i="132"/>
  <c r="D55" i="132" s="1" a="1"/>
  <c r="R49" i="132"/>
  <c r="Q43" i="132"/>
  <c r="Q49" i="132"/>
  <c r="Q42" i="132"/>
  <c r="R48" i="132"/>
  <c r="Q46" i="132"/>
  <c r="R45" i="132"/>
  <c r="Q45" i="132"/>
  <c r="R44" i="132"/>
  <c r="Q50" i="132"/>
  <c r="Q47" i="132"/>
  <c r="R50" i="131"/>
  <c r="R46" i="131"/>
  <c r="R42" i="131"/>
  <c r="Q50" i="131"/>
  <c r="Q46" i="131"/>
  <c r="Q42" i="131"/>
  <c r="Q49" i="131"/>
  <c r="Q45" i="131"/>
  <c r="R44" i="131"/>
  <c r="Q44" i="131"/>
  <c r="R49" i="131"/>
  <c r="R43" i="131"/>
  <c r="R48" i="131"/>
  <c r="Q43" i="131"/>
  <c r="Q48" i="131"/>
  <c r="R47" i="131"/>
  <c r="Q47" i="131"/>
  <c r="R45" i="131"/>
  <c r="V22" i="70"/>
  <c r="X22" i="70"/>
  <c r="V20" i="70"/>
  <c r="X20" i="70"/>
  <c r="W20" i="70"/>
  <c r="W21" i="70"/>
  <c r="V21" i="70"/>
  <c r="X21" i="70"/>
  <c r="V29" i="70"/>
  <c r="W28" i="70"/>
  <c r="X29" i="70"/>
  <c r="V27" i="70"/>
  <c r="X28" i="70"/>
  <c r="W29" i="70"/>
  <c r="V28" i="70"/>
  <c r="X27" i="70"/>
  <c r="X16" i="70"/>
  <c r="X15" i="70"/>
  <c r="W17" i="70"/>
  <c r="X17" i="70"/>
  <c r="V15" i="70"/>
  <c r="W15" i="70"/>
  <c r="V16" i="70"/>
  <c r="V17" i="70"/>
  <c r="W16" i="70"/>
  <c r="K6" i="56"/>
  <c r="K4" i="56"/>
  <c r="Z4" i="56" s="1" a="1"/>
  <c r="K5" i="56"/>
  <c r="I10" i="56" s="1" a="1"/>
  <c r="V6" i="61"/>
  <c r="V4" i="61"/>
  <c r="V7" i="61"/>
  <c r="V5" i="61"/>
  <c r="A25" i="59" a="1"/>
  <c r="O18" i="59" a="1"/>
  <c r="A55" i="131" l="1" a="1"/>
  <c r="A60" i="131" s="1"/>
  <c r="D55" i="131" a="1"/>
  <c r="D59" i="131" s="1"/>
  <c r="A55" i="132" a="1"/>
  <c r="A63" i="132" s="1"/>
  <c r="D61" i="132"/>
  <c r="D60" i="132"/>
  <c r="D58" i="132"/>
  <c r="D63" i="132"/>
  <c r="D62" i="132"/>
  <c r="D59" i="132"/>
  <c r="D57" i="132"/>
  <c r="D56" i="132"/>
  <c r="D55" i="132"/>
  <c r="M4" i="56" a="1"/>
  <c r="M6" i="56" s="1"/>
  <c r="Z4" i="56"/>
  <c r="Z6" i="56"/>
  <c r="Z5" i="56"/>
  <c r="K10" i="56"/>
  <c r="I12" i="56"/>
  <c r="I11" i="56"/>
  <c r="I10" i="56"/>
  <c r="J11" i="56"/>
  <c r="K12" i="56"/>
  <c r="J12" i="56"/>
  <c r="J10" i="56"/>
  <c r="K11" i="56"/>
  <c r="M5" i="56"/>
  <c r="N4" i="56"/>
  <c r="N6" i="56"/>
  <c r="O5" i="56"/>
  <c r="O4" i="56"/>
  <c r="N5" i="56"/>
  <c r="M4" i="56"/>
  <c r="Q20" i="59"/>
  <c r="P19" i="59"/>
  <c r="O18" i="59"/>
  <c r="Q19" i="59"/>
  <c r="O20" i="59"/>
  <c r="P18" i="59"/>
  <c r="P20" i="59"/>
  <c r="Q18" i="59"/>
  <c r="O19" i="59"/>
  <c r="B27" i="59"/>
  <c r="A26" i="59"/>
  <c r="C26" i="59"/>
  <c r="M26" i="59" s="1"/>
  <c r="A25" i="59"/>
  <c r="K25" i="59" s="1"/>
  <c r="A27" i="59"/>
  <c r="B25" i="59"/>
  <c r="L25" i="59" s="1"/>
  <c r="C25" i="59"/>
  <c r="M25" i="59" s="1"/>
  <c r="C27" i="59"/>
  <c r="M27" i="59" s="1"/>
  <c r="B26" i="59"/>
  <c r="L26" i="59" s="1"/>
  <c r="A59" i="131" l="1"/>
  <c r="A62" i="131"/>
  <c r="A57" i="131"/>
  <c r="A61" i="131"/>
  <c r="A55" i="131"/>
  <c r="A63" i="131"/>
  <c r="A58" i="131"/>
  <c r="A56" i="131"/>
  <c r="A68" i="131" s="1" a="1"/>
  <c r="A61" i="132"/>
  <c r="D62" i="131"/>
  <c r="A56" i="132"/>
  <c r="D55" i="131"/>
  <c r="A58" i="132"/>
  <c r="D57" i="131"/>
  <c r="D68" i="131" s="1" a="1"/>
  <c r="D60" i="131"/>
  <c r="D63" i="131"/>
  <c r="D56" i="131"/>
  <c r="D58" i="131"/>
  <c r="D61" i="131"/>
  <c r="D68" i="132" a="1"/>
  <c r="D72" i="132" s="1"/>
  <c r="G72" i="132" s="1"/>
  <c r="A57" i="132"/>
  <c r="A62" i="132"/>
  <c r="A59" i="132"/>
  <c r="A55" i="132"/>
  <c r="B65" i="132" s="1"/>
  <c r="A60" i="132"/>
  <c r="O6" i="56"/>
  <c r="AB6" i="56"/>
  <c r="M10" i="56" a="1"/>
  <c r="O13" i="56" s="1"/>
  <c r="AB5" i="56"/>
  <c r="AB4" i="56" s="1"/>
  <c r="AD4" i="56" s="1" a="1"/>
  <c r="O25" i="59" a="1"/>
  <c r="B65" i="131" l="1"/>
  <c r="D69" i="132"/>
  <c r="G69" i="132" s="1"/>
  <c r="D68" i="132"/>
  <c r="G68" i="132" s="1"/>
  <c r="D70" i="132"/>
  <c r="G70" i="132" s="1"/>
  <c r="D71" i="132"/>
  <c r="G71" i="132" s="1"/>
  <c r="D74" i="132"/>
  <c r="G74" i="132" s="1"/>
  <c r="A68" i="132" a="1"/>
  <c r="A69" i="132" s="1"/>
  <c r="D75" i="132"/>
  <c r="G75" i="132" s="1"/>
  <c r="D73" i="132"/>
  <c r="G73" i="132" s="1"/>
  <c r="D76" i="132"/>
  <c r="G76" i="132" s="1"/>
  <c r="O56" i="132"/>
  <c r="O55" i="132"/>
  <c r="A70" i="131"/>
  <c r="A69" i="131"/>
  <c r="A75" i="131"/>
  <c r="A71" i="131"/>
  <c r="A68" i="131"/>
  <c r="A76" i="131"/>
  <c r="A74" i="131"/>
  <c r="A73" i="131"/>
  <c r="A72" i="131"/>
  <c r="O55" i="131"/>
  <c r="O56" i="131"/>
  <c r="D72" i="131"/>
  <c r="G72" i="131" s="1"/>
  <c r="D71" i="131"/>
  <c r="G71" i="131" s="1"/>
  <c r="D69" i="131"/>
  <c r="G69" i="131" s="1"/>
  <c r="D76" i="131"/>
  <c r="G76" i="131" s="1"/>
  <c r="D75" i="131"/>
  <c r="G75" i="131" s="1"/>
  <c r="D74" i="131"/>
  <c r="G74" i="131" s="1"/>
  <c r="D73" i="131"/>
  <c r="G73" i="131" s="1"/>
  <c r="D70" i="131"/>
  <c r="G70" i="131" s="1"/>
  <c r="D68" i="131"/>
  <c r="G68" i="131" s="1"/>
  <c r="M11" i="56"/>
  <c r="M13" i="56"/>
  <c r="O12" i="56"/>
  <c r="M10" i="56"/>
  <c r="O10" i="56"/>
  <c r="N10" i="56"/>
  <c r="N13" i="56"/>
  <c r="N11" i="56"/>
  <c r="M12" i="56"/>
  <c r="O11" i="56"/>
  <c r="N12" i="56"/>
  <c r="AD5" i="56"/>
  <c r="AD4" i="56"/>
  <c r="AD7" i="56"/>
  <c r="AD6" i="56"/>
  <c r="O27" i="59"/>
  <c r="Q25" i="59"/>
  <c r="Q27" i="59"/>
  <c r="O26" i="59"/>
  <c r="P27" i="59"/>
  <c r="P25" i="59"/>
  <c r="P26" i="59"/>
  <c r="Q26" i="59"/>
  <c r="O25" i="59"/>
  <c r="A71" i="132" l="1"/>
  <c r="A74" i="132"/>
  <c r="A75" i="132"/>
  <c r="A76" i="132"/>
  <c r="A70" i="132"/>
  <c r="A72" i="132"/>
  <c r="A68" i="132"/>
  <c r="A73" i="132"/>
  <c r="O57" i="131"/>
  <c r="B78" i="131"/>
  <c r="A81" i="131" a="1"/>
  <c r="N59" i="131"/>
  <c r="N60" i="131"/>
  <c r="O59" i="131" s="1"/>
  <c r="O57" i="132"/>
  <c r="K32" i="59" a="1"/>
  <c r="W25" i="59" a="1"/>
  <c r="S25" i="59" a="1"/>
  <c r="A32" i="59" a="1"/>
  <c r="U29" i="59"/>
  <c r="B78" i="132" l="1"/>
  <c r="A81" i="132" a="1"/>
  <c r="A82" i="132" s="1"/>
  <c r="N60" i="132"/>
  <c r="O59" i="132" s="1"/>
  <c r="N59" i="132"/>
  <c r="O60" i="131"/>
  <c r="Q55" i="131" s="1" a="1"/>
  <c r="A84" i="131"/>
  <c r="A83" i="131"/>
  <c r="A89" i="131"/>
  <c r="A81" i="131"/>
  <c r="A85" i="131"/>
  <c r="A82" i="131"/>
  <c r="A88" i="131"/>
  <c r="A87" i="131"/>
  <c r="A86" i="131"/>
  <c r="K32" i="59"/>
  <c r="M32" i="59"/>
  <c r="L32" i="59"/>
  <c r="L34" i="59"/>
  <c r="M34" i="59"/>
  <c r="K33" i="59"/>
  <c r="L33" i="59"/>
  <c r="K34" i="59"/>
  <c r="M33" i="59"/>
  <c r="W27" i="59"/>
  <c r="Y25" i="59"/>
  <c r="X26" i="59"/>
  <c r="Y27" i="59"/>
  <c r="W26" i="59"/>
  <c r="Y26" i="59"/>
  <c r="W25" i="59"/>
  <c r="X27" i="59"/>
  <c r="X25" i="59"/>
  <c r="C34" i="59"/>
  <c r="B33" i="59"/>
  <c r="A32" i="59"/>
  <c r="A34" i="59"/>
  <c r="E39" i="59" s="1"/>
  <c r="B32" i="59"/>
  <c r="C33" i="59"/>
  <c r="B34" i="59"/>
  <c r="C32" i="59"/>
  <c r="A33" i="59"/>
  <c r="E38" i="59" s="1"/>
  <c r="U27" i="59"/>
  <c r="T26" i="59"/>
  <c r="S25" i="59"/>
  <c r="S26" i="59"/>
  <c r="T27" i="59"/>
  <c r="U25" i="59"/>
  <c r="U26" i="59"/>
  <c r="S27" i="59"/>
  <c r="T25" i="59"/>
  <c r="A84" i="132" l="1"/>
  <c r="A86" i="132"/>
  <c r="A89" i="132"/>
  <c r="A87" i="132"/>
  <c r="A85" i="132"/>
  <c r="A81" i="132"/>
  <c r="A83" i="132"/>
  <c r="A88" i="132"/>
  <c r="A94" i="132" s="1" a="1"/>
  <c r="B91" i="131"/>
  <c r="A94" i="131" a="1"/>
  <c r="Q60" i="131"/>
  <c r="Q56" i="131"/>
  <c r="R63" i="131"/>
  <c r="R59" i="131"/>
  <c r="R55" i="131"/>
  <c r="R62" i="131"/>
  <c r="R58" i="131"/>
  <c r="R57" i="131"/>
  <c r="Q63" i="131"/>
  <c r="Q57" i="131"/>
  <c r="Q62" i="131"/>
  <c r="R56" i="131"/>
  <c r="Q55" i="131"/>
  <c r="R61" i="131"/>
  <c r="Q61" i="131"/>
  <c r="R60" i="131"/>
  <c r="Q58" i="131"/>
  <c r="Q59" i="131"/>
  <c r="O60" i="132"/>
  <c r="Q55" i="132" s="1" a="1"/>
  <c r="E37" i="59"/>
  <c r="A37" i="59" a="1"/>
  <c r="B91" i="132" l="1"/>
  <c r="B68" i="131" a="1"/>
  <c r="C68" i="131" a="1"/>
  <c r="R61" i="132"/>
  <c r="R57" i="132"/>
  <c r="Q61" i="132"/>
  <c r="Q57" i="132"/>
  <c r="Q60" i="132"/>
  <c r="Q56" i="132"/>
  <c r="Q63" i="132"/>
  <c r="R56" i="132"/>
  <c r="R62" i="132"/>
  <c r="R55" i="132"/>
  <c r="Q62" i="132"/>
  <c r="Q55" i="132"/>
  <c r="R63" i="132"/>
  <c r="R60" i="132"/>
  <c r="R59" i="132"/>
  <c r="Q59" i="132"/>
  <c r="R58" i="132"/>
  <c r="Q58" i="132"/>
  <c r="A101" i="132"/>
  <c r="F101" i="132" s="1"/>
  <c r="A100" i="132"/>
  <c r="F100" i="132" s="1"/>
  <c r="A98" i="132"/>
  <c r="F98" i="132" s="1"/>
  <c r="A102" i="132"/>
  <c r="F102" i="132" s="1"/>
  <c r="A99" i="132"/>
  <c r="F99" i="132" s="1"/>
  <c r="A97" i="132"/>
  <c r="F97" i="132" s="1"/>
  <c r="A96" i="132"/>
  <c r="F96" i="132" s="1"/>
  <c r="A95" i="132"/>
  <c r="F95" i="132" s="1"/>
  <c r="A94" i="132"/>
  <c r="C74" i="131"/>
  <c r="C73" i="131"/>
  <c r="C71" i="131"/>
  <c r="C76" i="131"/>
  <c r="C75" i="131"/>
  <c r="C72" i="131"/>
  <c r="C70" i="131"/>
  <c r="C69" i="131"/>
  <c r="C68" i="131"/>
  <c r="A98" i="131"/>
  <c r="F98" i="131" s="1"/>
  <c r="A97" i="131"/>
  <c r="F97" i="131" s="1"/>
  <c r="A95" i="131"/>
  <c r="F95" i="131" s="1"/>
  <c r="A99" i="131"/>
  <c r="F99" i="131" s="1"/>
  <c r="A96" i="131"/>
  <c r="F96" i="131" s="1"/>
  <c r="A94" i="131"/>
  <c r="A102" i="131"/>
  <c r="F102" i="131" s="1"/>
  <c r="A101" i="131"/>
  <c r="F101" i="131" s="1"/>
  <c r="A100" i="131"/>
  <c r="F100" i="131" s="1"/>
  <c r="B76" i="131"/>
  <c r="F76" i="131" s="1"/>
  <c r="B68" i="131"/>
  <c r="F68" i="131" s="1"/>
  <c r="B75" i="131"/>
  <c r="F75" i="131" s="1"/>
  <c r="B73" i="131"/>
  <c r="F73" i="131" s="1"/>
  <c r="B72" i="131"/>
  <c r="F72" i="131" s="1"/>
  <c r="B71" i="131"/>
  <c r="F71" i="131" s="1"/>
  <c r="B70" i="131"/>
  <c r="F70" i="131" s="1"/>
  <c r="B69" i="131"/>
  <c r="F69" i="131" s="1"/>
  <c r="B74" i="131"/>
  <c r="F74" i="131" s="1"/>
  <c r="A39" i="59"/>
  <c r="C37" i="59"/>
  <c r="B39" i="59"/>
  <c r="B37" i="59"/>
  <c r="C38" i="59"/>
  <c r="C39" i="59"/>
  <c r="A38" i="59"/>
  <c r="A37" i="59"/>
  <c r="B38" i="59"/>
  <c r="E41" i="59"/>
  <c r="G37" i="59" s="1"/>
  <c r="J75" i="131" l="1"/>
  <c r="I75" i="131"/>
  <c r="J68" i="131"/>
  <c r="I68" i="131"/>
  <c r="J76" i="131"/>
  <c r="I76" i="131"/>
  <c r="I69" i="131"/>
  <c r="J69" i="131"/>
  <c r="I70" i="131"/>
  <c r="J70" i="131"/>
  <c r="C81" i="131" a="1"/>
  <c r="B68" i="132" a="1"/>
  <c r="I74" i="131"/>
  <c r="J74" i="131"/>
  <c r="J71" i="131"/>
  <c r="I71" i="131"/>
  <c r="F94" i="132"/>
  <c r="B104" i="132"/>
  <c r="C68" i="132" a="1"/>
  <c r="I72" i="131"/>
  <c r="J72" i="131"/>
  <c r="B104" i="131"/>
  <c r="F94" i="131"/>
  <c r="I73" i="131"/>
  <c r="J73" i="131"/>
  <c r="G39" i="59"/>
  <c r="G38" i="59"/>
  <c r="L74" i="131" l="1"/>
  <c r="K74" i="131"/>
  <c r="B71" i="132"/>
  <c r="F71" i="132" s="1"/>
  <c r="B70" i="132"/>
  <c r="F70" i="132" s="1"/>
  <c r="B76" i="132"/>
  <c r="F76" i="132" s="1"/>
  <c r="B68" i="132"/>
  <c r="F68" i="132" s="1"/>
  <c r="B69" i="132"/>
  <c r="F69" i="132" s="1"/>
  <c r="B74" i="132"/>
  <c r="F74" i="132" s="1"/>
  <c r="B73" i="132"/>
  <c r="F73" i="132" s="1"/>
  <c r="B72" i="132"/>
  <c r="F72" i="132" s="1"/>
  <c r="B75" i="132"/>
  <c r="F75" i="132" s="1"/>
  <c r="C69" i="132"/>
  <c r="C76" i="132"/>
  <c r="C68" i="132"/>
  <c r="C74" i="132"/>
  <c r="C72" i="132"/>
  <c r="C71" i="132"/>
  <c r="C70" i="132"/>
  <c r="C75" i="132"/>
  <c r="C73" i="132"/>
  <c r="L73" i="131"/>
  <c r="K73" i="131"/>
  <c r="K76" i="131"/>
  <c r="L76" i="131"/>
  <c r="C88" i="131"/>
  <c r="F88" i="131" s="1"/>
  <c r="C87" i="131"/>
  <c r="F87" i="131" s="1"/>
  <c r="C85" i="131"/>
  <c r="F85" i="131" s="1"/>
  <c r="C89" i="131"/>
  <c r="F89" i="131" s="1"/>
  <c r="C86" i="131"/>
  <c r="F86" i="131" s="1"/>
  <c r="C84" i="131"/>
  <c r="F84" i="131" s="1"/>
  <c r="C83" i="131"/>
  <c r="F83" i="131" s="1"/>
  <c r="C82" i="131"/>
  <c r="F82" i="131" s="1"/>
  <c r="C81" i="131"/>
  <c r="F81" i="131" s="1"/>
  <c r="I77" i="131"/>
  <c r="L68" i="131"/>
  <c r="K68" i="131"/>
  <c r="L71" i="131"/>
  <c r="K71" i="131"/>
  <c r="J77" i="131"/>
  <c r="L70" i="131"/>
  <c r="K70" i="131"/>
  <c r="L69" i="131"/>
  <c r="K69" i="131"/>
  <c r="K75" i="131"/>
  <c r="L75" i="131"/>
  <c r="L72" i="131"/>
  <c r="K72" i="131"/>
  <c r="G41" i="59"/>
  <c r="I37" i="59" s="1"/>
  <c r="J72" i="132" l="1"/>
  <c r="I72" i="132"/>
  <c r="J74" i="132"/>
  <c r="I74" i="132"/>
  <c r="K77" i="131"/>
  <c r="O69" i="131" s="1"/>
  <c r="J69" i="132"/>
  <c r="I69" i="132"/>
  <c r="J73" i="132"/>
  <c r="I73" i="132"/>
  <c r="L77" i="131"/>
  <c r="O68" i="131" s="1"/>
  <c r="C81" i="132" a="1"/>
  <c r="J68" i="132"/>
  <c r="I68" i="132"/>
  <c r="J76" i="132"/>
  <c r="I76" i="132"/>
  <c r="I70" i="132"/>
  <c r="J70" i="132"/>
  <c r="I75" i="132"/>
  <c r="J75" i="132"/>
  <c r="J71" i="132"/>
  <c r="I71" i="132"/>
  <c r="I39" i="59"/>
  <c r="I38" i="59"/>
  <c r="K37" i="59" s="1" a="1"/>
  <c r="J77" i="132" l="1"/>
  <c r="O70" i="131"/>
  <c r="C83" i="132"/>
  <c r="F83" i="132" s="1"/>
  <c r="C82" i="132"/>
  <c r="F82" i="132" s="1"/>
  <c r="C88" i="132"/>
  <c r="F88" i="132" s="1"/>
  <c r="C84" i="132"/>
  <c r="F84" i="132" s="1"/>
  <c r="C81" i="132"/>
  <c r="F81" i="132" s="1"/>
  <c r="C86" i="132"/>
  <c r="F86" i="132" s="1"/>
  <c r="C85" i="132"/>
  <c r="F85" i="132" s="1"/>
  <c r="C89" i="132"/>
  <c r="F89" i="132" s="1"/>
  <c r="C87" i="132"/>
  <c r="F87" i="132" s="1"/>
  <c r="L75" i="132"/>
  <c r="K75" i="132"/>
  <c r="N72" i="131"/>
  <c r="N73" i="131"/>
  <c r="O72" i="131" s="1"/>
  <c r="L74" i="132"/>
  <c r="K74" i="132"/>
  <c r="K76" i="132"/>
  <c r="L76" i="132"/>
  <c r="L73" i="132"/>
  <c r="K73" i="132"/>
  <c r="L70" i="132"/>
  <c r="K70" i="132"/>
  <c r="L68" i="132"/>
  <c r="I77" i="132"/>
  <c r="K68" i="132"/>
  <c r="L72" i="132"/>
  <c r="K72" i="132"/>
  <c r="L71" i="132"/>
  <c r="K71" i="132"/>
  <c r="K69" i="132"/>
  <c r="L69" i="132"/>
  <c r="M38" i="59"/>
  <c r="L37" i="59"/>
  <c r="L38" i="59"/>
  <c r="M39" i="59"/>
  <c r="K38" i="59"/>
  <c r="K39" i="59"/>
  <c r="K37" i="59"/>
  <c r="M37" i="59"/>
  <c r="L39" i="59"/>
  <c r="K77" i="132" l="1"/>
  <c r="O69" i="132" s="1"/>
  <c r="L77" i="132"/>
  <c r="O68" i="132" s="1"/>
  <c r="O70" i="132" s="1"/>
  <c r="O73" i="131"/>
  <c r="Q68" i="131" a="1"/>
  <c r="O37" i="59" a="1"/>
  <c r="A44" i="59" a="1"/>
  <c r="N73" i="132" l="1"/>
  <c r="O72" i="132" s="1"/>
  <c r="N72" i="132"/>
  <c r="R73" i="131"/>
  <c r="R69" i="131"/>
  <c r="Q73" i="131"/>
  <c r="Q69" i="131"/>
  <c r="Q76" i="131"/>
  <c r="Q72" i="131"/>
  <c r="Q68" i="131"/>
  <c r="Q71" i="131"/>
  <c r="R76" i="131"/>
  <c r="R70" i="131"/>
  <c r="R75" i="131"/>
  <c r="Q70" i="131"/>
  <c r="Q75" i="131"/>
  <c r="R68" i="131"/>
  <c r="D81" i="131" s="1" a="1"/>
  <c r="R74" i="131"/>
  <c r="Q74" i="131"/>
  <c r="R71" i="131"/>
  <c r="R72" i="131"/>
  <c r="C45" i="59"/>
  <c r="B44" i="59"/>
  <c r="E44" i="59" s="1"/>
  <c r="C46" i="59"/>
  <c r="A45" i="59"/>
  <c r="B46" i="59"/>
  <c r="E46" i="59" s="1"/>
  <c r="C44" i="59"/>
  <c r="B45" i="59"/>
  <c r="E45" i="59" s="1"/>
  <c r="A46" i="59"/>
  <c r="A44" i="59"/>
  <c r="P39" i="59"/>
  <c r="O38" i="59"/>
  <c r="Q38" i="59"/>
  <c r="O37" i="59"/>
  <c r="P38" i="59"/>
  <c r="O39" i="59"/>
  <c r="P37" i="59"/>
  <c r="Q37" i="59"/>
  <c r="Q39" i="59"/>
  <c r="D86" i="131" l="1"/>
  <c r="G86" i="131" s="1"/>
  <c r="D85" i="131"/>
  <c r="G85" i="131" s="1"/>
  <c r="D83" i="131"/>
  <c r="G83" i="131" s="1"/>
  <c r="D89" i="131"/>
  <c r="G89" i="131" s="1"/>
  <c r="D88" i="131"/>
  <c r="G88" i="131" s="1"/>
  <c r="D87" i="131"/>
  <c r="G87" i="131" s="1"/>
  <c r="D84" i="131"/>
  <c r="G84" i="131" s="1"/>
  <c r="D82" i="131"/>
  <c r="G82" i="131" s="1"/>
  <c r="D81" i="131"/>
  <c r="G81" i="131" s="1"/>
  <c r="O73" i="132"/>
  <c r="Q68" i="132" a="1"/>
  <c r="B81" i="131" a="1"/>
  <c r="E48" i="59"/>
  <c r="G44" i="59" s="1"/>
  <c r="I82" i="131" l="1"/>
  <c r="J82" i="131"/>
  <c r="J84" i="131"/>
  <c r="I84" i="131"/>
  <c r="B82" i="131"/>
  <c r="B89" i="131"/>
  <c r="B81" i="131"/>
  <c r="B87" i="131"/>
  <c r="B86" i="131"/>
  <c r="B85" i="131"/>
  <c r="B84" i="131"/>
  <c r="B83" i="131"/>
  <c r="B88" i="131"/>
  <c r="I89" i="131"/>
  <c r="J89" i="131"/>
  <c r="I83" i="131"/>
  <c r="J83" i="131"/>
  <c r="J87" i="131"/>
  <c r="I87" i="131"/>
  <c r="I88" i="131"/>
  <c r="J88" i="131"/>
  <c r="J85" i="131"/>
  <c r="I85" i="131"/>
  <c r="Q75" i="132"/>
  <c r="Q71" i="132"/>
  <c r="R74" i="132"/>
  <c r="R70" i="132"/>
  <c r="R73" i="132"/>
  <c r="R69" i="132"/>
  <c r="Q76" i="132"/>
  <c r="Q69" i="132"/>
  <c r="R75" i="132"/>
  <c r="R68" i="132"/>
  <c r="Q74" i="132"/>
  <c r="Q68" i="132"/>
  <c r="R72" i="132"/>
  <c r="Q72" i="132"/>
  <c r="R71" i="132"/>
  <c r="Q70" i="132"/>
  <c r="R76" i="132"/>
  <c r="Q73" i="132"/>
  <c r="J81" i="131"/>
  <c r="I81" i="131"/>
  <c r="J86" i="131"/>
  <c r="I86" i="131"/>
  <c r="G46" i="59"/>
  <c r="G45" i="59"/>
  <c r="B94" i="131" l="1" a="1"/>
  <c r="B97" i="131" s="1"/>
  <c r="G97" i="131" s="1"/>
  <c r="L83" i="131"/>
  <c r="K83" i="131"/>
  <c r="L86" i="131"/>
  <c r="K86" i="131"/>
  <c r="L89" i="131"/>
  <c r="K89" i="131"/>
  <c r="L88" i="131"/>
  <c r="K88" i="131"/>
  <c r="K84" i="131"/>
  <c r="L84" i="131"/>
  <c r="B81" i="132" a="1"/>
  <c r="L87" i="131"/>
  <c r="K87" i="131"/>
  <c r="J90" i="131"/>
  <c r="L85" i="131"/>
  <c r="K85" i="131"/>
  <c r="K81" i="131"/>
  <c r="I90" i="131"/>
  <c r="L81" i="131"/>
  <c r="D81" i="132" a="1"/>
  <c r="K82" i="131"/>
  <c r="L82" i="131"/>
  <c r="G48" i="59"/>
  <c r="I45" i="59" s="1"/>
  <c r="B98" i="131" l="1"/>
  <c r="G98" i="131" s="1"/>
  <c r="B99" i="131"/>
  <c r="G99" i="131" s="1"/>
  <c r="J99" i="131" s="1"/>
  <c r="B100" i="131"/>
  <c r="G100" i="131" s="1"/>
  <c r="I100" i="131" s="1"/>
  <c r="B101" i="131"/>
  <c r="G101" i="131" s="1"/>
  <c r="B95" i="131"/>
  <c r="G95" i="131" s="1"/>
  <c r="J95" i="131" s="1"/>
  <c r="B102" i="131"/>
  <c r="G102" i="131" s="1"/>
  <c r="J102" i="131" s="1"/>
  <c r="B96" i="131"/>
  <c r="G96" i="131" s="1"/>
  <c r="I96" i="131" s="1"/>
  <c r="B94" i="131"/>
  <c r="G94" i="131" s="1"/>
  <c r="J94" i="131" s="1"/>
  <c r="J98" i="131"/>
  <c r="I98" i="131"/>
  <c r="D89" i="132"/>
  <c r="G89" i="132" s="1"/>
  <c r="D81" i="132"/>
  <c r="G81" i="132" s="1"/>
  <c r="D88" i="132"/>
  <c r="G88" i="132" s="1"/>
  <c r="D86" i="132"/>
  <c r="G86" i="132" s="1"/>
  <c r="D85" i="132"/>
  <c r="G85" i="132" s="1"/>
  <c r="D84" i="132"/>
  <c r="G84" i="132" s="1"/>
  <c r="D83" i="132"/>
  <c r="G83" i="132" s="1"/>
  <c r="D87" i="132"/>
  <c r="G87" i="132" s="1"/>
  <c r="D82" i="132"/>
  <c r="G82" i="132" s="1"/>
  <c r="B85" i="132"/>
  <c r="B84" i="132"/>
  <c r="B82" i="132"/>
  <c r="B89" i="132"/>
  <c r="B88" i="132"/>
  <c r="B87" i="132"/>
  <c r="B86" i="132"/>
  <c r="B83" i="132"/>
  <c r="B81" i="132"/>
  <c r="I101" i="131"/>
  <c r="J101" i="131"/>
  <c r="J96" i="131"/>
  <c r="J100" i="131"/>
  <c r="L90" i="131"/>
  <c r="O81" i="131" s="1"/>
  <c r="K90" i="131"/>
  <c r="O82" i="131" s="1"/>
  <c r="I97" i="131"/>
  <c r="J97" i="131"/>
  <c r="I46" i="59"/>
  <c r="K44" i="59" s="1" a="1"/>
  <c r="O83" i="131" l="1"/>
  <c r="I94" i="131"/>
  <c r="I102" i="131"/>
  <c r="B94" i="132" a="1"/>
  <c r="B100" i="132" s="1"/>
  <c r="G100" i="132" s="1"/>
  <c r="I95" i="131"/>
  <c r="I99" i="131"/>
  <c r="K95" i="131"/>
  <c r="L95" i="131"/>
  <c r="J86" i="132"/>
  <c r="I86" i="132"/>
  <c r="J88" i="132"/>
  <c r="I88" i="132"/>
  <c r="K100" i="131"/>
  <c r="L100" i="131"/>
  <c r="I81" i="132"/>
  <c r="J81" i="132"/>
  <c r="I89" i="132"/>
  <c r="J89" i="132"/>
  <c r="L102" i="131"/>
  <c r="K102" i="131"/>
  <c r="J87" i="132"/>
  <c r="I87" i="132"/>
  <c r="K99" i="131"/>
  <c r="L99" i="131"/>
  <c r="K96" i="131"/>
  <c r="L96" i="131"/>
  <c r="J82" i="132"/>
  <c r="I82" i="132"/>
  <c r="J83" i="132"/>
  <c r="I83" i="132"/>
  <c r="B97" i="132"/>
  <c r="G97" i="132" s="1"/>
  <c r="L97" i="131"/>
  <c r="K97" i="131"/>
  <c r="J84" i="132"/>
  <c r="I84" i="132"/>
  <c r="K98" i="131"/>
  <c r="L98" i="131"/>
  <c r="N86" i="131"/>
  <c r="O85" i="131" s="1"/>
  <c r="N85" i="131"/>
  <c r="L94" i="131"/>
  <c r="K94" i="131"/>
  <c r="J103" i="131"/>
  <c r="L101" i="131"/>
  <c r="K101" i="131"/>
  <c r="I85" i="132"/>
  <c r="J85" i="132"/>
  <c r="M45" i="59"/>
  <c r="L44" i="59"/>
  <c r="L46" i="59"/>
  <c r="M44" i="59"/>
  <c r="K46" i="59"/>
  <c r="K44" i="59"/>
  <c r="M46" i="59"/>
  <c r="K45" i="59"/>
  <c r="L45" i="59"/>
  <c r="I103" i="131" l="1"/>
  <c r="B102" i="132"/>
  <c r="G102" i="132" s="1"/>
  <c r="B96" i="132"/>
  <c r="G96" i="132" s="1"/>
  <c r="J96" i="132" s="1"/>
  <c r="B98" i="132"/>
  <c r="G98" i="132" s="1"/>
  <c r="I98" i="132" s="1"/>
  <c r="B101" i="132"/>
  <c r="G101" i="132" s="1"/>
  <c r="B99" i="132"/>
  <c r="G99" i="132" s="1"/>
  <c r="B94" i="132"/>
  <c r="G94" i="132" s="1"/>
  <c r="I94" i="132" s="1"/>
  <c r="B95" i="132"/>
  <c r="G95" i="132" s="1"/>
  <c r="I95" i="132" s="1"/>
  <c r="L85" i="132"/>
  <c r="K85" i="132"/>
  <c r="L83" i="132"/>
  <c r="K83" i="132"/>
  <c r="K87" i="132"/>
  <c r="L87" i="132"/>
  <c r="L88" i="132"/>
  <c r="K88" i="132"/>
  <c r="K84" i="132"/>
  <c r="L84" i="132"/>
  <c r="I100" i="132"/>
  <c r="J100" i="132"/>
  <c r="L82" i="132"/>
  <c r="K82" i="132"/>
  <c r="I102" i="132"/>
  <c r="J102" i="132"/>
  <c r="L86" i="132"/>
  <c r="K86" i="132"/>
  <c r="K103" i="131"/>
  <c r="O95" i="131" s="1"/>
  <c r="L89" i="132"/>
  <c r="K89" i="132"/>
  <c r="J97" i="132"/>
  <c r="I97" i="132"/>
  <c r="J98" i="132"/>
  <c r="J90" i="132"/>
  <c r="L103" i="131"/>
  <c r="O94" i="131" s="1"/>
  <c r="O86" i="131"/>
  <c r="Q81" i="131" s="1" a="1"/>
  <c r="I101" i="132"/>
  <c r="J101" i="132"/>
  <c r="J99" i="132"/>
  <c r="I99" i="132"/>
  <c r="K81" i="132"/>
  <c r="L81" i="132"/>
  <c r="I90" i="132"/>
  <c r="O44" i="59" a="1"/>
  <c r="A51" i="59" a="1"/>
  <c r="J94" i="132" l="1"/>
  <c r="I96" i="132"/>
  <c r="J95" i="132"/>
  <c r="J103" i="132" s="1"/>
  <c r="K90" i="132"/>
  <c r="O82" i="132" s="1"/>
  <c r="L100" i="132"/>
  <c r="K100" i="132"/>
  <c r="L98" i="132"/>
  <c r="K98" i="132"/>
  <c r="L97" i="132"/>
  <c r="K97" i="132"/>
  <c r="K101" i="132"/>
  <c r="L101" i="132"/>
  <c r="I103" i="132"/>
  <c r="L94" i="132"/>
  <c r="K94" i="132"/>
  <c r="Q87" i="131"/>
  <c r="Q83" i="131"/>
  <c r="R86" i="131"/>
  <c r="R82" i="131"/>
  <c r="R89" i="131"/>
  <c r="R85" i="131"/>
  <c r="R81" i="131"/>
  <c r="R84" i="131"/>
  <c r="Q84" i="131"/>
  <c r="Q89" i="131"/>
  <c r="R83" i="131"/>
  <c r="Q82" i="131"/>
  <c r="R88" i="131"/>
  <c r="Q88" i="131"/>
  <c r="Q81" i="131"/>
  <c r="R87" i="131"/>
  <c r="Q85" i="131"/>
  <c r="Q86" i="131"/>
  <c r="L102" i="132"/>
  <c r="K102" i="132"/>
  <c r="L95" i="132"/>
  <c r="K95" i="132"/>
  <c r="L99" i="132"/>
  <c r="K99" i="132"/>
  <c r="L90" i="132"/>
  <c r="O81" i="132" s="1"/>
  <c r="O83" i="132" s="1"/>
  <c r="O96" i="131"/>
  <c r="K96" i="132"/>
  <c r="L96" i="132"/>
  <c r="P46" i="59"/>
  <c r="O45" i="59"/>
  <c r="Q46" i="59"/>
  <c r="Q44" i="59"/>
  <c r="O46" i="59"/>
  <c r="P44" i="59"/>
  <c r="P45" i="59"/>
  <c r="Q45" i="59"/>
  <c r="O44" i="59"/>
  <c r="C52" i="59"/>
  <c r="M52" i="59" s="1"/>
  <c r="B51" i="59"/>
  <c r="L51" i="59" s="1"/>
  <c r="A53" i="59"/>
  <c r="A51" i="59"/>
  <c r="K51" i="59" s="1"/>
  <c r="B53" i="59"/>
  <c r="C51" i="59"/>
  <c r="M51" i="59" s="1"/>
  <c r="B52" i="59"/>
  <c r="L52" i="59" s="1"/>
  <c r="C53" i="59"/>
  <c r="M53" i="59" s="1"/>
  <c r="A52" i="59"/>
  <c r="N86" i="132" l="1"/>
  <c r="O85" i="132" s="1"/>
  <c r="N85" i="132"/>
  <c r="N99" i="131"/>
  <c r="O98" i="131" s="1"/>
  <c r="N98" i="131"/>
  <c r="K103" i="132"/>
  <c r="O95" i="132" s="1"/>
  <c r="C94" i="131" a="1"/>
  <c r="L103" i="132"/>
  <c r="O94" i="132" s="1"/>
  <c r="O96" i="132" s="1"/>
  <c r="D94" i="131" a="1"/>
  <c r="O51" i="59" a="1"/>
  <c r="C102" i="131" l="1"/>
  <c r="C94" i="131"/>
  <c r="C101" i="131"/>
  <c r="C99" i="131"/>
  <c r="C100" i="131"/>
  <c r="C98" i="131"/>
  <c r="C97" i="131"/>
  <c r="C96" i="131"/>
  <c r="C95" i="131"/>
  <c r="D100" i="131"/>
  <c r="D99" i="131"/>
  <c r="D97" i="131"/>
  <c r="D94" i="131"/>
  <c r="D102" i="131"/>
  <c r="D101" i="131"/>
  <c r="D98" i="131"/>
  <c r="D95" i="131"/>
  <c r="D96" i="131"/>
  <c r="N99" i="132"/>
  <c r="O98" i="132" s="1"/>
  <c r="N98" i="132"/>
  <c r="O86" i="132"/>
  <c r="Q81" i="132" a="1"/>
  <c r="O99" i="131"/>
  <c r="Q94" i="131" a="1"/>
  <c r="Q53" i="59"/>
  <c r="P52" i="59"/>
  <c r="O51" i="59"/>
  <c r="O52" i="59"/>
  <c r="P53" i="59"/>
  <c r="Q52" i="59"/>
  <c r="Q51" i="59"/>
  <c r="O53" i="59"/>
  <c r="P51" i="59"/>
  <c r="R100" i="131" l="1"/>
  <c r="R96" i="131"/>
  <c r="Q100" i="131"/>
  <c r="Q96" i="131"/>
  <c r="Q99" i="131"/>
  <c r="Q95" i="131"/>
  <c r="Q98" i="131"/>
  <c r="R97" i="131"/>
  <c r="R102" i="131"/>
  <c r="Q97" i="131"/>
  <c r="Q102" i="131"/>
  <c r="R95" i="131"/>
  <c r="R101" i="131"/>
  <c r="R94" i="131"/>
  <c r="Q101" i="131"/>
  <c r="Q94" i="131"/>
  <c r="A107" i="131" s="1" a="1"/>
  <c r="R99" i="131"/>
  <c r="R98" i="131"/>
  <c r="O99" i="132"/>
  <c r="Q94" i="132" a="1"/>
  <c r="D107" i="131" a="1"/>
  <c r="R88" i="132"/>
  <c r="R84" i="132"/>
  <c r="Q88" i="132"/>
  <c r="Q84" i="132"/>
  <c r="Q87" i="132"/>
  <c r="Q83" i="132"/>
  <c r="R87" i="132"/>
  <c r="R81" i="132"/>
  <c r="R86" i="132"/>
  <c r="Q81" i="132"/>
  <c r="Q86" i="132"/>
  <c r="R89" i="132"/>
  <c r="Q89" i="132"/>
  <c r="R85" i="132"/>
  <c r="Q85" i="132"/>
  <c r="R83" i="132"/>
  <c r="R82" i="132"/>
  <c r="Q82" i="132"/>
  <c r="C107" i="131" a="1"/>
  <c r="K58" i="59" a="1"/>
  <c r="U55" i="59"/>
  <c r="S51" i="59" a="1"/>
  <c r="A58" i="59" a="1"/>
  <c r="B107" i="131" l="1" a="1"/>
  <c r="B108" i="131" s="1"/>
  <c r="C94" i="132" a="1"/>
  <c r="C100" i="132" s="1"/>
  <c r="C108" i="131"/>
  <c r="G108" i="131" s="1"/>
  <c r="C115" i="131"/>
  <c r="G115" i="131" s="1"/>
  <c r="C107" i="131"/>
  <c r="G107" i="131" s="1"/>
  <c r="C113" i="131"/>
  <c r="G113" i="131" s="1"/>
  <c r="C114" i="131"/>
  <c r="G114" i="131" s="1"/>
  <c r="C112" i="131"/>
  <c r="G112" i="131" s="1"/>
  <c r="C111" i="131"/>
  <c r="G111" i="131" s="1"/>
  <c r="C110" i="131"/>
  <c r="G110" i="131" s="1"/>
  <c r="C109" i="131"/>
  <c r="G109" i="131" s="1"/>
  <c r="B113" i="131"/>
  <c r="B112" i="131"/>
  <c r="B111" i="131"/>
  <c r="D114" i="131"/>
  <c r="D113" i="131"/>
  <c r="D111" i="131"/>
  <c r="D107" i="131"/>
  <c r="D115" i="131"/>
  <c r="D112" i="131"/>
  <c r="D110" i="131"/>
  <c r="D108" i="131"/>
  <c r="D109" i="131"/>
  <c r="A112" i="131"/>
  <c r="F112" i="131" s="1"/>
  <c r="A111" i="131"/>
  <c r="F111" i="131" s="1"/>
  <c r="A109" i="131"/>
  <c r="F109" i="131" s="1"/>
  <c r="A110" i="131"/>
  <c r="F110" i="131" s="1"/>
  <c r="A108" i="131"/>
  <c r="F108" i="131" s="1"/>
  <c r="A107" i="131"/>
  <c r="A115" i="131"/>
  <c r="F115" i="131" s="1"/>
  <c r="A114" i="131"/>
  <c r="F114" i="131" s="1"/>
  <c r="A113" i="131"/>
  <c r="F113" i="131" s="1"/>
  <c r="D94" i="132" a="1"/>
  <c r="Q102" i="132"/>
  <c r="Q98" i="132"/>
  <c r="Q94" i="132"/>
  <c r="R101" i="132"/>
  <c r="R97" i="132"/>
  <c r="R100" i="132"/>
  <c r="R96" i="132"/>
  <c r="Q100" i="132"/>
  <c r="R94" i="132"/>
  <c r="R99" i="132"/>
  <c r="Q99" i="132"/>
  <c r="R98" i="132"/>
  <c r="Q97" i="132"/>
  <c r="Q96" i="132"/>
  <c r="R95" i="132"/>
  <c r="Q95" i="132"/>
  <c r="R102" i="132"/>
  <c r="Q101" i="132"/>
  <c r="K58" i="59"/>
  <c r="K59" i="59"/>
  <c r="L58" i="59"/>
  <c r="K60" i="59"/>
  <c r="M60" i="59"/>
  <c r="M58" i="59"/>
  <c r="L59" i="59"/>
  <c r="L60" i="59"/>
  <c r="M59" i="59"/>
  <c r="A60" i="59"/>
  <c r="E65" i="59" s="1"/>
  <c r="C58" i="59"/>
  <c r="B60" i="59"/>
  <c r="B58" i="59"/>
  <c r="C60" i="59"/>
  <c r="A59" i="59"/>
  <c r="E64" i="59" s="1"/>
  <c r="C59" i="59"/>
  <c r="A58" i="59"/>
  <c r="B59" i="59"/>
  <c r="S53" i="59"/>
  <c r="U51" i="59"/>
  <c r="T52" i="59"/>
  <c r="U52" i="59"/>
  <c r="S51" i="59"/>
  <c r="U53" i="59"/>
  <c r="S52" i="59"/>
  <c r="T53" i="59"/>
  <c r="T51" i="59"/>
  <c r="C98" i="132" l="1"/>
  <c r="C97" i="132"/>
  <c r="B107" i="131"/>
  <c r="C101" i="132"/>
  <c r="B115" i="131"/>
  <c r="C95" i="132"/>
  <c r="C99" i="132"/>
  <c r="B109" i="131"/>
  <c r="C94" i="132"/>
  <c r="B107" i="132" a="1"/>
  <c r="B110" i="132" s="1"/>
  <c r="C102" i="132"/>
  <c r="B114" i="131"/>
  <c r="B110" i="131"/>
  <c r="C96" i="132"/>
  <c r="J110" i="131"/>
  <c r="I110" i="131"/>
  <c r="I109" i="131"/>
  <c r="J109" i="131"/>
  <c r="D120" i="131" a="1"/>
  <c r="J111" i="131"/>
  <c r="I111" i="131"/>
  <c r="J113" i="131"/>
  <c r="I113" i="131"/>
  <c r="I114" i="131"/>
  <c r="J114" i="131"/>
  <c r="J115" i="131"/>
  <c r="I115" i="131"/>
  <c r="D95" i="132"/>
  <c r="D102" i="132"/>
  <c r="D94" i="132"/>
  <c r="D100" i="132"/>
  <c r="D98" i="132"/>
  <c r="D97" i="132"/>
  <c r="D96" i="132"/>
  <c r="D101" i="132"/>
  <c r="D99" i="132"/>
  <c r="F107" i="131"/>
  <c r="B117" i="131"/>
  <c r="J112" i="131"/>
  <c r="I112" i="131"/>
  <c r="A107" i="132" a="1"/>
  <c r="J108" i="131"/>
  <c r="I108" i="131"/>
  <c r="E63" i="59"/>
  <c r="A63" i="59" a="1"/>
  <c r="C107" i="132" l="1" a="1"/>
  <c r="B120" i="131" a="1"/>
  <c r="B125" i="131" s="1"/>
  <c r="B114" i="132"/>
  <c r="B115" i="132"/>
  <c r="B108" i="132"/>
  <c r="B107" i="132"/>
  <c r="B122" i="131"/>
  <c r="B121" i="131"/>
  <c r="B109" i="132"/>
  <c r="B112" i="132"/>
  <c r="B113" i="132"/>
  <c r="B120" i="131"/>
  <c r="B111" i="132"/>
  <c r="L111" i="131"/>
  <c r="K111" i="131"/>
  <c r="K115" i="131"/>
  <c r="L115" i="131"/>
  <c r="D128" i="131"/>
  <c r="G128" i="131" s="1"/>
  <c r="D120" i="131"/>
  <c r="G120" i="131" s="1"/>
  <c r="D127" i="131"/>
  <c r="G127" i="131" s="1"/>
  <c r="D125" i="131"/>
  <c r="G125" i="131" s="1"/>
  <c r="D126" i="131"/>
  <c r="G126" i="131" s="1"/>
  <c r="D124" i="131"/>
  <c r="G124" i="131" s="1"/>
  <c r="D123" i="131"/>
  <c r="G123" i="131" s="1"/>
  <c r="D122" i="131"/>
  <c r="G122" i="131" s="1"/>
  <c r="D121" i="131"/>
  <c r="G121" i="131" s="1"/>
  <c r="A110" i="132"/>
  <c r="F110" i="132" s="1"/>
  <c r="A115" i="132"/>
  <c r="F115" i="132" s="1"/>
  <c r="A107" i="132"/>
  <c r="A114" i="132"/>
  <c r="F114" i="132" s="1"/>
  <c r="A112" i="132"/>
  <c r="F112" i="132" s="1"/>
  <c r="A108" i="132"/>
  <c r="F108" i="132" s="1"/>
  <c r="A113" i="132"/>
  <c r="F113" i="132" s="1"/>
  <c r="A111" i="132"/>
  <c r="F111" i="132" s="1"/>
  <c r="A109" i="132"/>
  <c r="F109" i="132" s="1"/>
  <c r="L112" i="131"/>
  <c r="K112" i="131"/>
  <c r="L109" i="131"/>
  <c r="K109" i="131"/>
  <c r="K108" i="131"/>
  <c r="L108" i="131"/>
  <c r="C114" i="132"/>
  <c r="G114" i="132" s="1"/>
  <c r="C111" i="132"/>
  <c r="G111" i="132" s="1"/>
  <c r="C110" i="132"/>
  <c r="G110" i="132" s="1"/>
  <c r="C108" i="132"/>
  <c r="G108" i="132" s="1"/>
  <c r="C115" i="132"/>
  <c r="G115" i="132" s="1"/>
  <c r="C113" i="132"/>
  <c r="G113" i="132" s="1"/>
  <c r="C112" i="132"/>
  <c r="G112" i="132" s="1"/>
  <c r="C109" i="132"/>
  <c r="G109" i="132" s="1"/>
  <c r="C107" i="132"/>
  <c r="G107" i="132" s="1"/>
  <c r="L114" i="131"/>
  <c r="K114" i="131"/>
  <c r="D107" i="132" a="1"/>
  <c r="B120" i="132" a="1"/>
  <c r="L110" i="131"/>
  <c r="K110" i="131"/>
  <c r="L113" i="131"/>
  <c r="K113" i="131"/>
  <c r="J107" i="131"/>
  <c r="J116" i="131" s="1"/>
  <c r="I107" i="131"/>
  <c r="C65" i="59"/>
  <c r="B64" i="59"/>
  <c r="A63" i="59"/>
  <c r="B65" i="59"/>
  <c r="C63" i="59"/>
  <c r="A64" i="59"/>
  <c r="A65" i="59"/>
  <c r="B63" i="59"/>
  <c r="C64" i="59"/>
  <c r="E67" i="59"/>
  <c r="G63" i="59" s="1"/>
  <c r="B128" i="131" l="1"/>
  <c r="B127" i="131"/>
  <c r="B123" i="131"/>
  <c r="B124" i="131"/>
  <c r="B133" i="131" a="1"/>
  <c r="B137" i="131" s="1"/>
  <c r="F137" i="131" s="1"/>
  <c r="B126" i="131"/>
  <c r="L107" i="131"/>
  <c r="L116" i="131" s="1"/>
  <c r="I116" i="131"/>
  <c r="K107" i="131"/>
  <c r="K116" i="131" s="1"/>
  <c r="I115" i="132"/>
  <c r="J115" i="132"/>
  <c r="J109" i="132"/>
  <c r="I109" i="132"/>
  <c r="J110" i="132"/>
  <c r="I110" i="132"/>
  <c r="J113" i="132"/>
  <c r="I113" i="132"/>
  <c r="J111" i="132"/>
  <c r="I111" i="132"/>
  <c r="I108" i="132"/>
  <c r="J108" i="132"/>
  <c r="J112" i="132"/>
  <c r="I112" i="132"/>
  <c r="B122" i="132"/>
  <c r="B127" i="132"/>
  <c r="B126" i="132"/>
  <c r="B125" i="132"/>
  <c r="B124" i="132"/>
  <c r="B121" i="132"/>
  <c r="B120" i="132"/>
  <c r="B128" i="132"/>
  <c r="B123" i="132"/>
  <c r="J114" i="132"/>
  <c r="I114" i="132"/>
  <c r="D112" i="132"/>
  <c r="D109" i="132"/>
  <c r="D108" i="132"/>
  <c r="D114" i="132"/>
  <c r="D110" i="132"/>
  <c r="D107" i="132"/>
  <c r="D115" i="132"/>
  <c r="D113" i="132"/>
  <c r="D111" i="132"/>
  <c r="B117" i="132"/>
  <c r="F107" i="132"/>
  <c r="G64" i="59"/>
  <c r="G65" i="59"/>
  <c r="B136" i="131" l="1"/>
  <c r="F136" i="131" s="1"/>
  <c r="B134" i="131"/>
  <c r="F134" i="131" s="1"/>
  <c r="B133" i="131"/>
  <c r="F133" i="131" s="1"/>
  <c r="B141" i="131"/>
  <c r="F141" i="131" s="1"/>
  <c r="B138" i="131"/>
  <c r="F138" i="131" s="1"/>
  <c r="O108" i="131"/>
  <c r="B139" i="131"/>
  <c r="F139" i="131" s="1"/>
  <c r="B140" i="131"/>
  <c r="F140" i="131" s="1"/>
  <c r="B135" i="131"/>
  <c r="F135" i="131" s="1"/>
  <c r="L108" i="132"/>
  <c r="K108" i="132"/>
  <c r="K113" i="132"/>
  <c r="L113" i="132"/>
  <c r="B133" i="132" a="1"/>
  <c r="L115" i="132"/>
  <c r="K115" i="132"/>
  <c r="J107" i="132"/>
  <c r="J116" i="132" s="1"/>
  <c r="I107" i="132"/>
  <c r="L111" i="132"/>
  <c r="K111" i="132"/>
  <c r="K110" i="132"/>
  <c r="L110" i="132"/>
  <c r="L112" i="132"/>
  <c r="K112" i="132"/>
  <c r="D120" i="132" a="1"/>
  <c r="L114" i="132"/>
  <c r="K114" i="132"/>
  <c r="L109" i="132"/>
  <c r="K109" i="132"/>
  <c r="O107" i="131"/>
  <c r="O109" i="131" s="1"/>
  <c r="G67" i="59"/>
  <c r="I63" i="59" s="1"/>
  <c r="B136" i="132" l="1"/>
  <c r="F136" i="132" s="1"/>
  <c r="B141" i="132"/>
  <c r="F141" i="132" s="1"/>
  <c r="B133" i="132"/>
  <c r="F133" i="132" s="1"/>
  <c r="B140" i="132"/>
  <c r="F140" i="132" s="1"/>
  <c r="B139" i="132"/>
  <c r="F139" i="132" s="1"/>
  <c r="B138" i="132"/>
  <c r="F138" i="132" s="1"/>
  <c r="B137" i="132"/>
  <c r="F137" i="132" s="1"/>
  <c r="B135" i="132"/>
  <c r="F135" i="132" s="1"/>
  <c r="B134" i="132"/>
  <c r="F134" i="132" s="1"/>
  <c r="N111" i="131"/>
  <c r="N112" i="131"/>
  <c r="O111" i="131" s="1"/>
  <c r="K107" i="132"/>
  <c r="K116" i="132" s="1"/>
  <c r="I116" i="132"/>
  <c r="L107" i="132"/>
  <c r="L116" i="132" s="1"/>
  <c r="O107" i="132" s="1"/>
  <c r="D126" i="132"/>
  <c r="G126" i="132" s="1"/>
  <c r="D123" i="132"/>
  <c r="G123" i="132" s="1"/>
  <c r="D122" i="132"/>
  <c r="G122" i="132" s="1"/>
  <c r="D121" i="132"/>
  <c r="G121" i="132" s="1"/>
  <c r="D128" i="132"/>
  <c r="G128" i="132" s="1"/>
  <c r="D120" i="132"/>
  <c r="G120" i="132" s="1"/>
  <c r="D127" i="132"/>
  <c r="G127" i="132" s="1"/>
  <c r="D125" i="132"/>
  <c r="G125" i="132" s="1"/>
  <c r="D124" i="132"/>
  <c r="G124" i="132" s="1"/>
  <c r="I65" i="59"/>
  <c r="I64" i="59"/>
  <c r="K63" i="59" s="1" a="1"/>
  <c r="O108" i="132" l="1"/>
  <c r="O109" i="132" s="1"/>
  <c r="O112" i="131"/>
  <c r="Q107" i="131" s="1" a="1"/>
  <c r="K65" i="59"/>
  <c r="M63" i="59"/>
  <c r="L64" i="59"/>
  <c r="L65" i="59"/>
  <c r="K63" i="59"/>
  <c r="M65" i="59"/>
  <c r="L63" i="59"/>
  <c r="M64" i="59"/>
  <c r="K64" i="59"/>
  <c r="N111" i="132" l="1"/>
  <c r="O112" i="132" s="1"/>
  <c r="N112" i="132"/>
  <c r="O111" i="132" s="1"/>
  <c r="Q107" i="132" s="1" a="1"/>
  <c r="Q114" i="131"/>
  <c r="Q110" i="131"/>
  <c r="R113" i="131"/>
  <c r="R109" i="131"/>
  <c r="R112" i="131"/>
  <c r="R108" i="131"/>
  <c r="Q111" i="131"/>
  <c r="R110" i="131"/>
  <c r="R115" i="131"/>
  <c r="Q109" i="131"/>
  <c r="Q115" i="131"/>
  <c r="Q108" i="131"/>
  <c r="R114" i="131"/>
  <c r="R107" i="131"/>
  <c r="C120" i="131" s="1" a="1"/>
  <c r="Q113" i="131"/>
  <c r="Q107" i="131"/>
  <c r="Q112" i="131"/>
  <c r="R111" i="131"/>
  <c r="O63" i="59" a="1"/>
  <c r="A70" i="59" a="1"/>
  <c r="A120" i="131" l="1" a="1"/>
  <c r="A128" i="131" s="1"/>
  <c r="F128" i="131" s="1"/>
  <c r="C122" i="131"/>
  <c r="C121" i="131"/>
  <c r="C127" i="131"/>
  <c r="C126" i="131"/>
  <c r="C125" i="131"/>
  <c r="C124" i="131"/>
  <c r="C123" i="131"/>
  <c r="C120" i="131"/>
  <c r="C128" i="131"/>
  <c r="Q113" i="132"/>
  <c r="Q109" i="132"/>
  <c r="R115" i="132"/>
  <c r="R111" i="132"/>
  <c r="R107" i="132"/>
  <c r="Q115" i="132"/>
  <c r="Q111" i="132"/>
  <c r="Q107" i="132"/>
  <c r="R114" i="132"/>
  <c r="R110" i="132"/>
  <c r="Q114" i="132"/>
  <c r="Q110" i="132"/>
  <c r="R108" i="132"/>
  <c r="Q108" i="132"/>
  <c r="R113" i="132"/>
  <c r="R112" i="132"/>
  <c r="Q112" i="132"/>
  <c r="R109" i="132"/>
  <c r="A126" i="131"/>
  <c r="F126" i="131" s="1"/>
  <c r="A125" i="131"/>
  <c r="F125" i="131" s="1"/>
  <c r="A123" i="131"/>
  <c r="F123" i="131" s="1"/>
  <c r="A121" i="131"/>
  <c r="F121" i="131" s="1"/>
  <c r="A120" i="131"/>
  <c r="A72" i="59"/>
  <c r="C70" i="59"/>
  <c r="C72" i="59"/>
  <c r="A71" i="59"/>
  <c r="B72" i="59"/>
  <c r="E72" i="59" s="1"/>
  <c r="A70" i="59"/>
  <c r="B70" i="59"/>
  <c r="E70" i="59" s="1"/>
  <c r="C71" i="59"/>
  <c r="B71" i="59"/>
  <c r="E71" i="59" s="1"/>
  <c r="Q65" i="59"/>
  <c r="P64" i="59"/>
  <c r="O63" i="59"/>
  <c r="Q64" i="59"/>
  <c r="O64" i="59"/>
  <c r="O65" i="59"/>
  <c r="Q63" i="59"/>
  <c r="P65" i="59"/>
  <c r="P63" i="59"/>
  <c r="A124" i="131" l="1"/>
  <c r="F124" i="131" s="1"/>
  <c r="A122" i="131"/>
  <c r="F122" i="131" s="1"/>
  <c r="I122" i="131" s="1"/>
  <c r="A127" i="131"/>
  <c r="F127" i="131" s="1"/>
  <c r="J127" i="131" s="1"/>
  <c r="C133" i="131" a="1"/>
  <c r="C136" i="131" s="1"/>
  <c r="G136" i="131" s="1"/>
  <c r="I121" i="131"/>
  <c r="J121" i="131"/>
  <c r="C120" i="132" a="1"/>
  <c r="J125" i="131"/>
  <c r="I125" i="131"/>
  <c r="B130" i="131"/>
  <c r="F120" i="131"/>
  <c r="J126" i="131"/>
  <c r="I126" i="131"/>
  <c r="J124" i="131"/>
  <c r="I124" i="131"/>
  <c r="J122" i="131"/>
  <c r="J123" i="131"/>
  <c r="I123" i="131"/>
  <c r="I128" i="131"/>
  <c r="J128" i="131"/>
  <c r="A120" i="132" a="1"/>
  <c r="E74" i="59"/>
  <c r="G70" i="59" s="1"/>
  <c r="I127" i="131" l="1"/>
  <c r="C134" i="131"/>
  <c r="G134" i="131" s="1"/>
  <c r="C137" i="131"/>
  <c r="G137" i="131" s="1"/>
  <c r="C138" i="131"/>
  <c r="G138" i="131" s="1"/>
  <c r="C139" i="131"/>
  <c r="G139" i="131" s="1"/>
  <c r="J139" i="131" s="1"/>
  <c r="C133" i="131"/>
  <c r="G133" i="131" s="1"/>
  <c r="J133" i="131" s="1"/>
  <c r="C141" i="131"/>
  <c r="G141" i="131" s="1"/>
  <c r="C135" i="131"/>
  <c r="G135" i="131" s="1"/>
  <c r="I135" i="131" s="1"/>
  <c r="C140" i="131"/>
  <c r="G140" i="131" s="1"/>
  <c r="J140" i="131" s="1"/>
  <c r="I120" i="131"/>
  <c r="J120" i="131"/>
  <c r="J129" i="131" s="1"/>
  <c r="I137" i="131"/>
  <c r="J137" i="131"/>
  <c r="I138" i="131"/>
  <c r="J138" i="131"/>
  <c r="I139" i="131"/>
  <c r="C128" i="132"/>
  <c r="C120" i="132"/>
  <c r="C125" i="132"/>
  <c r="C124" i="132"/>
  <c r="C123" i="132"/>
  <c r="C122" i="132"/>
  <c r="C127" i="132"/>
  <c r="C126" i="132"/>
  <c r="C121" i="132"/>
  <c r="I134" i="131"/>
  <c r="J134" i="131"/>
  <c r="L125" i="131"/>
  <c r="K125" i="131"/>
  <c r="J141" i="131"/>
  <c r="I141" i="131"/>
  <c r="L127" i="131"/>
  <c r="K127" i="131"/>
  <c r="L122" i="131"/>
  <c r="K122" i="131"/>
  <c r="L124" i="131"/>
  <c r="K124" i="131"/>
  <c r="K123" i="131"/>
  <c r="L123" i="131"/>
  <c r="L126" i="131"/>
  <c r="K126" i="131"/>
  <c r="L121" i="131"/>
  <c r="K121" i="131"/>
  <c r="A124" i="132"/>
  <c r="F124" i="132" s="1"/>
  <c r="A121" i="132"/>
  <c r="F121" i="132" s="1"/>
  <c r="A128" i="132"/>
  <c r="F128" i="132" s="1"/>
  <c r="A120" i="132"/>
  <c r="A127" i="132"/>
  <c r="F127" i="132" s="1"/>
  <c r="A126" i="132"/>
  <c r="F126" i="132" s="1"/>
  <c r="A125" i="132"/>
  <c r="F125" i="132" s="1"/>
  <c r="A123" i="132"/>
  <c r="F123" i="132" s="1"/>
  <c r="A122" i="132"/>
  <c r="F122" i="132" s="1"/>
  <c r="L128" i="131"/>
  <c r="K128" i="131"/>
  <c r="J136" i="131"/>
  <c r="I136" i="131"/>
  <c r="G72" i="59"/>
  <c r="G71" i="59"/>
  <c r="J135" i="131" l="1"/>
  <c r="I133" i="131"/>
  <c r="I140" i="131"/>
  <c r="I123" i="132"/>
  <c r="J123" i="132"/>
  <c r="K139" i="131"/>
  <c r="L139" i="131"/>
  <c r="L136" i="131"/>
  <c r="K136" i="131"/>
  <c r="J125" i="132"/>
  <c r="I125" i="132"/>
  <c r="K135" i="131"/>
  <c r="L135" i="131"/>
  <c r="J127" i="132"/>
  <c r="I127" i="132"/>
  <c r="L134" i="131"/>
  <c r="K134" i="131"/>
  <c r="L138" i="131"/>
  <c r="K138" i="131"/>
  <c r="L140" i="131"/>
  <c r="K140" i="131"/>
  <c r="F120" i="132"/>
  <c r="B130" i="132"/>
  <c r="J142" i="131"/>
  <c r="L137" i="131"/>
  <c r="K137" i="131"/>
  <c r="J128" i="132"/>
  <c r="I128" i="132"/>
  <c r="I142" i="131"/>
  <c r="L133" i="131"/>
  <c r="K133" i="131"/>
  <c r="C133" i="132" a="1"/>
  <c r="J121" i="132"/>
  <c r="I121" i="132"/>
  <c r="L141" i="131"/>
  <c r="K141" i="131"/>
  <c r="K120" i="131"/>
  <c r="K129" i="131" s="1"/>
  <c r="L120" i="131"/>
  <c r="L129" i="131" s="1"/>
  <c r="I129" i="131"/>
  <c r="J126" i="132"/>
  <c r="I126" i="132"/>
  <c r="J122" i="132"/>
  <c r="I122" i="132"/>
  <c r="J124" i="132"/>
  <c r="I124" i="132"/>
  <c r="G74" i="59"/>
  <c r="I71" i="59" s="1"/>
  <c r="O120" i="131" l="1"/>
  <c r="K122" i="132"/>
  <c r="L122" i="132"/>
  <c r="K125" i="132"/>
  <c r="L125" i="132"/>
  <c r="L121" i="132"/>
  <c r="K121" i="132"/>
  <c r="C134" i="132"/>
  <c r="G134" i="132" s="1"/>
  <c r="C139" i="132"/>
  <c r="G139" i="132" s="1"/>
  <c r="C138" i="132"/>
  <c r="G138" i="132" s="1"/>
  <c r="C137" i="132"/>
  <c r="G137" i="132" s="1"/>
  <c r="C136" i="132"/>
  <c r="G136" i="132" s="1"/>
  <c r="C140" i="132"/>
  <c r="G140" i="132" s="1"/>
  <c r="C135" i="132"/>
  <c r="G135" i="132" s="1"/>
  <c r="C133" i="132"/>
  <c r="G133" i="132" s="1"/>
  <c r="C141" i="132"/>
  <c r="G141" i="132" s="1"/>
  <c r="K142" i="131"/>
  <c r="L127" i="132"/>
  <c r="K127" i="132"/>
  <c r="I120" i="132"/>
  <c r="J120" i="132"/>
  <c r="J129" i="132" s="1"/>
  <c r="L142" i="131"/>
  <c r="K124" i="132"/>
  <c r="L124" i="132"/>
  <c r="K126" i="132"/>
  <c r="L126" i="132"/>
  <c r="O121" i="131"/>
  <c r="O122" i="131" s="1"/>
  <c r="L128" i="132"/>
  <c r="K128" i="132"/>
  <c r="L123" i="132"/>
  <c r="K123" i="132"/>
  <c r="I72" i="59"/>
  <c r="K70" i="59" s="1" a="1"/>
  <c r="K72" i="59" s="1"/>
  <c r="N125" i="131" l="1"/>
  <c r="O124" i="131" s="1"/>
  <c r="N124" i="131"/>
  <c r="J139" i="132"/>
  <c r="I139" i="132"/>
  <c r="J141" i="132"/>
  <c r="I141" i="132"/>
  <c r="I134" i="132"/>
  <c r="J134" i="132"/>
  <c r="I135" i="132"/>
  <c r="J135" i="132"/>
  <c r="J133" i="132"/>
  <c r="I133" i="132"/>
  <c r="I140" i="132"/>
  <c r="J140" i="132"/>
  <c r="J136" i="132"/>
  <c r="I136" i="132"/>
  <c r="J137" i="132"/>
  <c r="I137" i="132"/>
  <c r="L120" i="132"/>
  <c r="L129" i="132" s="1"/>
  <c r="I129" i="132"/>
  <c r="K120" i="132"/>
  <c r="K129" i="132" s="1"/>
  <c r="O121" i="132" s="1"/>
  <c r="J138" i="132"/>
  <c r="I138" i="132"/>
  <c r="K70" i="59"/>
  <c r="M70" i="59"/>
  <c r="M72" i="59"/>
  <c r="L71" i="59"/>
  <c r="K71" i="59"/>
  <c r="L70" i="59"/>
  <c r="O70" i="59" s="1" a="1"/>
  <c r="L72" i="59"/>
  <c r="M71" i="59"/>
  <c r="A77" i="59" s="1" a="1"/>
  <c r="O120" i="132" l="1"/>
  <c r="K141" i="132"/>
  <c r="L141" i="132"/>
  <c r="K134" i="132"/>
  <c r="L134" i="132"/>
  <c r="I142" i="132"/>
  <c r="L133" i="132"/>
  <c r="K133" i="132"/>
  <c r="L139" i="132"/>
  <c r="K139" i="132"/>
  <c r="J142" i="132"/>
  <c r="L137" i="132"/>
  <c r="K137" i="132"/>
  <c r="L140" i="132"/>
  <c r="K140" i="132"/>
  <c r="L135" i="132"/>
  <c r="K135" i="132"/>
  <c r="O125" i="131"/>
  <c r="Q120" i="131" s="1" a="1"/>
  <c r="O122" i="132"/>
  <c r="L138" i="132"/>
  <c r="K138" i="132"/>
  <c r="L136" i="132"/>
  <c r="K136" i="132"/>
  <c r="A79" i="59"/>
  <c r="C77" i="59"/>
  <c r="M77" i="59" s="1"/>
  <c r="C78" i="59"/>
  <c r="M78" i="59" s="1"/>
  <c r="A77" i="59"/>
  <c r="K77" i="59" s="1"/>
  <c r="A78" i="59"/>
  <c r="B78" i="59"/>
  <c r="L78" i="59" s="1"/>
  <c r="C79" i="59"/>
  <c r="M79" i="59" s="1"/>
  <c r="B77" i="59"/>
  <c r="L77" i="59" s="1"/>
  <c r="B79" i="59"/>
  <c r="Q72" i="59"/>
  <c r="P71" i="59"/>
  <c r="O70" i="59"/>
  <c r="P72" i="59"/>
  <c r="Q70" i="59"/>
  <c r="O72" i="59"/>
  <c r="Q71" i="59"/>
  <c r="P70" i="59"/>
  <c r="O71" i="59"/>
  <c r="K142" i="132" l="1"/>
  <c r="L142" i="132"/>
  <c r="N124" i="132"/>
  <c r="N125" i="132"/>
  <c r="O124" i="132" s="1"/>
  <c r="R127" i="131"/>
  <c r="R123" i="131"/>
  <c r="Q127" i="131"/>
  <c r="Q123" i="131"/>
  <c r="Q126" i="131"/>
  <c r="Q122" i="131"/>
  <c r="R122" i="131"/>
  <c r="R128" i="131"/>
  <c r="R121" i="131"/>
  <c r="Q128" i="131"/>
  <c r="Q121" i="131"/>
  <c r="R126" i="131"/>
  <c r="R120" i="131"/>
  <c r="R125" i="131"/>
  <c r="Q120" i="131"/>
  <c r="Q125" i="131"/>
  <c r="Q124" i="131"/>
  <c r="R124" i="131"/>
  <c r="O77" i="59" a="1"/>
  <c r="Q78" i="59" s="1"/>
  <c r="A133" i="131" l="1" a="1"/>
  <c r="O125" i="132"/>
  <c r="Q120" i="132" a="1"/>
  <c r="D133" i="131" a="1"/>
  <c r="P79" i="59"/>
  <c r="O79" i="59"/>
  <c r="O78" i="59"/>
  <c r="Q79" i="59"/>
  <c r="P77" i="59"/>
  <c r="Q77" i="59"/>
  <c r="P78" i="59"/>
  <c r="O77" i="59"/>
  <c r="S77" i="59" s="1" a="1"/>
  <c r="A84" i="59" a="1"/>
  <c r="U81" i="59"/>
  <c r="K84" i="59" a="1"/>
  <c r="D134" i="131" l="1"/>
  <c r="D141" i="131"/>
  <c r="D133" i="131"/>
  <c r="D139" i="131"/>
  <c r="D140" i="131"/>
  <c r="D138" i="131"/>
  <c r="D137" i="131"/>
  <c r="D136" i="131"/>
  <c r="D135" i="131"/>
  <c r="R126" i="132"/>
  <c r="R122" i="132"/>
  <c r="Q125" i="132"/>
  <c r="Q121" i="132"/>
  <c r="R128" i="132"/>
  <c r="R124" i="132"/>
  <c r="R120" i="132"/>
  <c r="Q128" i="132"/>
  <c r="Q124" i="132"/>
  <c r="Q120" i="132"/>
  <c r="R127" i="132"/>
  <c r="R123" i="132"/>
  <c r="R121" i="132"/>
  <c r="Q127" i="132"/>
  <c r="Q126" i="132"/>
  <c r="R125" i="132"/>
  <c r="Q123" i="132"/>
  <c r="Q122" i="132"/>
  <c r="A140" i="131"/>
  <c r="A139" i="131"/>
  <c r="A137" i="131"/>
  <c r="A134" i="131"/>
  <c r="A133" i="131"/>
  <c r="A141" i="131"/>
  <c r="A138" i="131"/>
  <c r="A136" i="131"/>
  <c r="A135" i="131"/>
  <c r="M85" i="59"/>
  <c r="L84" i="59"/>
  <c r="L85" i="59"/>
  <c r="K86" i="59"/>
  <c r="L86" i="59"/>
  <c r="K84" i="59"/>
  <c r="K85" i="59"/>
  <c r="M84" i="59"/>
  <c r="M86" i="59"/>
  <c r="T79" i="59"/>
  <c r="S78" i="59"/>
  <c r="T78" i="59"/>
  <c r="U79" i="59"/>
  <c r="T77" i="59"/>
  <c r="U77" i="59"/>
  <c r="S79" i="59"/>
  <c r="S77" i="59"/>
  <c r="U78" i="59"/>
  <c r="B86" i="59"/>
  <c r="A85" i="59"/>
  <c r="E90" i="59" s="1"/>
  <c r="A86" i="59"/>
  <c r="E91" i="59" s="1"/>
  <c r="B84" i="59"/>
  <c r="C85" i="59"/>
  <c r="C86" i="59"/>
  <c r="A84" i="59"/>
  <c r="B85" i="59"/>
  <c r="C84" i="59"/>
  <c r="D133" i="132" l="1" a="1"/>
  <c r="D140" i="132" s="1"/>
  <c r="D146" i="131" a="1"/>
  <c r="D154" i="131" s="1"/>
  <c r="G154" i="131" s="1"/>
  <c r="B143" i="131"/>
  <c r="A146" i="131" a="1"/>
  <c r="A133" i="132" a="1"/>
  <c r="E89" i="59"/>
  <c r="A89" i="59" a="1"/>
  <c r="D153" i="131" l="1"/>
  <c r="G153" i="131" s="1"/>
  <c r="D133" i="132"/>
  <c r="D148" i="131"/>
  <c r="G148" i="131" s="1"/>
  <c r="D139" i="132"/>
  <c r="D147" i="131"/>
  <c r="G147" i="131" s="1"/>
  <c r="D149" i="131"/>
  <c r="G149" i="131" s="1"/>
  <c r="D134" i="132"/>
  <c r="D146" i="131"/>
  <c r="G146" i="131" s="1"/>
  <c r="D150" i="131"/>
  <c r="G150" i="131" s="1"/>
  <c r="D135" i="132"/>
  <c r="D136" i="132"/>
  <c r="D151" i="131"/>
  <c r="G151" i="131" s="1"/>
  <c r="D152" i="131"/>
  <c r="G152" i="131" s="1"/>
  <c r="D141" i="132"/>
  <c r="D137" i="132"/>
  <c r="D138" i="132"/>
  <c r="A138" i="132"/>
  <c r="A135" i="132"/>
  <c r="A134" i="132"/>
  <c r="A141" i="132"/>
  <c r="A133" i="132"/>
  <c r="A140" i="132"/>
  <c r="A137" i="132"/>
  <c r="A136" i="132"/>
  <c r="A139" i="132"/>
  <c r="A148" i="131"/>
  <c r="A147" i="131"/>
  <c r="A154" i="131"/>
  <c r="A146" i="131"/>
  <c r="A153" i="131"/>
  <c r="A151" i="131"/>
  <c r="A152" i="131"/>
  <c r="A150" i="131"/>
  <c r="A149" i="131"/>
  <c r="O134" i="131"/>
  <c r="O133" i="131"/>
  <c r="O135" i="131" s="1"/>
  <c r="E93" i="59"/>
  <c r="C90" i="59"/>
  <c r="B89" i="59"/>
  <c r="B91" i="59"/>
  <c r="C89" i="59"/>
  <c r="A90" i="59"/>
  <c r="B90" i="59"/>
  <c r="C91" i="59"/>
  <c r="A89" i="59"/>
  <c r="A91" i="59"/>
  <c r="D146" i="132" l="1" a="1"/>
  <c r="B156" i="131"/>
  <c r="A159" i="131" a="1"/>
  <c r="B143" i="132"/>
  <c r="A146" i="132" a="1"/>
  <c r="N138" i="131"/>
  <c r="O137" i="131" s="1"/>
  <c r="N137" i="131"/>
  <c r="G91" i="59"/>
  <c r="G90" i="59"/>
  <c r="G89" i="59"/>
  <c r="D154" i="132" l="1"/>
  <c r="G154" i="132" s="1"/>
  <c r="D147" i="132"/>
  <c r="G147" i="132" s="1"/>
  <c r="D146" i="132"/>
  <c r="G146" i="132" s="1"/>
  <c r="D151" i="132"/>
  <c r="G151" i="132" s="1"/>
  <c r="D150" i="132"/>
  <c r="G150" i="132" s="1"/>
  <c r="D149" i="132"/>
  <c r="G149" i="132" s="1"/>
  <c r="D148" i="132"/>
  <c r="G148" i="132" s="1"/>
  <c r="D153" i="132"/>
  <c r="G153" i="132" s="1"/>
  <c r="D152" i="132"/>
  <c r="G152" i="132" s="1"/>
  <c r="A152" i="132"/>
  <c r="A149" i="132"/>
  <c r="A148" i="132"/>
  <c r="A147" i="132"/>
  <c r="A154" i="132"/>
  <c r="A146" i="132"/>
  <c r="A150" i="132"/>
  <c r="A153" i="132"/>
  <c r="A151" i="132"/>
  <c r="O134" i="132"/>
  <c r="O133" i="132"/>
  <c r="O135" i="132" s="1"/>
  <c r="O138" i="131"/>
  <c r="Q133" i="131" a="1"/>
  <c r="A162" i="131"/>
  <c r="A161" i="131"/>
  <c r="A160" i="131"/>
  <c r="A167" i="131"/>
  <c r="A159" i="131"/>
  <c r="A165" i="131"/>
  <c r="A164" i="131"/>
  <c r="A163" i="131"/>
  <c r="A166" i="131"/>
  <c r="G93" i="59"/>
  <c r="Q141" i="131" l="1"/>
  <c r="Q137" i="131"/>
  <c r="Q133" i="131"/>
  <c r="R140" i="131"/>
  <c r="R136" i="131"/>
  <c r="R139" i="131"/>
  <c r="R135" i="131"/>
  <c r="Q135" i="131"/>
  <c r="R141" i="131"/>
  <c r="R134" i="131"/>
  <c r="Q140" i="131"/>
  <c r="Q134" i="131"/>
  <c r="Q139" i="131"/>
  <c r="R133" i="131"/>
  <c r="C146" i="131" s="1" a="1"/>
  <c r="R138" i="131"/>
  <c r="Q138" i="131"/>
  <c r="Q136" i="131"/>
  <c r="R137" i="131"/>
  <c r="B156" i="132"/>
  <c r="A159" i="132" a="1"/>
  <c r="N137" i="132"/>
  <c r="N138" i="132"/>
  <c r="O137" i="132" s="1"/>
  <c r="B169" i="131"/>
  <c r="A172" i="131" a="1"/>
  <c r="I89" i="59"/>
  <c r="I90" i="59" s="1"/>
  <c r="A176" i="131" l="1"/>
  <c r="F176" i="131" s="1"/>
  <c r="A175" i="131"/>
  <c r="F175" i="131" s="1"/>
  <c r="A174" i="131"/>
  <c r="F174" i="131" s="1"/>
  <c r="A173" i="131"/>
  <c r="F173" i="131" s="1"/>
  <c r="A179" i="131"/>
  <c r="F179" i="131" s="1"/>
  <c r="A178" i="131"/>
  <c r="F178" i="131" s="1"/>
  <c r="A177" i="131"/>
  <c r="F177" i="131" s="1"/>
  <c r="A172" i="131"/>
  <c r="A180" i="131"/>
  <c r="F180" i="131" s="1"/>
  <c r="O138" i="132"/>
  <c r="Q133" i="132" a="1"/>
  <c r="B146" i="131" a="1"/>
  <c r="A166" i="132"/>
  <c r="A163" i="132"/>
  <c r="A162" i="132"/>
  <c r="A161" i="132"/>
  <c r="A160" i="132"/>
  <c r="A167" i="132"/>
  <c r="A164" i="132"/>
  <c r="A159" i="132"/>
  <c r="A165" i="132"/>
  <c r="C152" i="131"/>
  <c r="C151" i="131"/>
  <c r="C150" i="131"/>
  <c r="C149" i="131"/>
  <c r="C147" i="131"/>
  <c r="C154" i="131"/>
  <c r="C153" i="131"/>
  <c r="C148" i="131"/>
  <c r="C146" i="131"/>
  <c r="I91" i="59"/>
  <c r="K89" i="59" s="1" a="1"/>
  <c r="M91" i="59" s="1"/>
  <c r="C159" i="131" l="1" a="1"/>
  <c r="B182" i="131"/>
  <c r="F172" i="131"/>
  <c r="B154" i="131"/>
  <c r="F154" i="131" s="1"/>
  <c r="B146" i="131"/>
  <c r="F146" i="131" s="1"/>
  <c r="B153" i="131"/>
  <c r="F153" i="131" s="1"/>
  <c r="B152" i="131"/>
  <c r="F152" i="131" s="1"/>
  <c r="B151" i="131"/>
  <c r="F151" i="131" s="1"/>
  <c r="B149" i="131"/>
  <c r="F149" i="131" s="1"/>
  <c r="B150" i="131"/>
  <c r="F150" i="131" s="1"/>
  <c r="B148" i="131"/>
  <c r="F148" i="131" s="1"/>
  <c r="B147" i="131"/>
  <c r="F147" i="131" s="1"/>
  <c r="Q140" i="132"/>
  <c r="Q136" i="132"/>
  <c r="R138" i="132"/>
  <c r="R134" i="132"/>
  <c r="Q138" i="132"/>
  <c r="Q134" i="132"/>
  <c r="R141" i="132"/>
  <c r="R137" i="132"/>
  <c r="R133" i="132"/>
  <c r="Q141" i="132"/>
  <c r="Q137" i="132"/>
  <c r="Q133" i="132"/>
  <c r="Q139" i="132"/>
  <c r="R140" i="132"/>
  <c r="R139" i="132"/>
  <c r="R136" i="132"/>
  <c r="R135" i="132"/>
  <c r="Q135" i="132"/>
  <c r="C166" i="131"/>
  <c r="F166" i="131" s="1"/>
  <c r="C165" i="131"/>
  <c r="F165" i="131" s="1"/>
  <c r="C164" i="131"/>
  <c r="F164" i="131" s="1"/>
  <c r="C163" i="131"/>
  <c r="F163" i="131" s="1"/>
  <c r="C161" i="131"/>
  <c r="F161" i="131" s="1"/>
  <c r="C167" i="131"/>
  <c r="F167" i="131" s="1"/>
  <c r="C162" i="131"/>
  <c r="F162" i="131" s="1"/>
  <c r="C160" i="131"/>
  <c r="F160" i="131" s="1"/>
  <c r="C159" i="131"/>
  <c r="F159" i="131" s="1"/>
  <c r="B169" i="132"/>
  <c r="A172" i="132" a="1"/>
  <c r="L91" i="59"/>
  <c r="M90" i="59"/>
  <c r="M89" i="59"/>
  <c r="K89" i="59"/>
  <c r="K91" i="59"/>
  <c r="L90" i="59"/>
  <c r="L89" i="59"/>
  <c r="K90" i="59"/>
  <c r="J146" i="131" l="1"/>
  <c r="I146" i="131"/>
  <c r="J147" i="131"/>
  <c r="I147" i="131"/>
  <c r="I154" i="131"/>
  <c r="J154" i="131"/>
  <c r="I148" i="131"/>
  <c r="J148" i="131"/>
  <c r="B146" i="132" a="1"/>
  <c r="J150" i="131"/>
  <c r="I150" i="131"/>
  <c r="J149" i="131"/>
  <c r="I149" i="131"/>
  <c r="A180" i="132"/>
  <c r="F180" i="132" s="1"/>
  <c r="A172" i="132"/>
  <c r="A177" i="132"/>
  <c r="F177" i="132" s="1"/>
  <c r="A176" i="132"/>
  <c r="F176" i="132" s="1"/>
  <c r="A175" i="132"/>
  <c r="F175" i="132" s="1"/>
  <c r="A174" i="132"/>
  <c r="F174" i="132" s="1"/>
  <c r="A179" i="132"/>
  <c r="F179" i="132" s="1"/>
  <c r="A173" i="132"/>
  <c r="F173" i="132" s="1"/>
  <c r="A178" i="132"/>
  <c r="F178" i="132" s="1"/>
  <c r="J151" i="131"/>
  <c r="I151" i="131"/>
  <c r="C146" i="132" a="1"/>
  <c r="J152" i="131"/>
  <c r="I152" i="131"/>
  <c r="I153" i="131"/>
  <c r="J153" i="131"/>
  <c r="O89" i="59" a="1"/>
  <c r="O91" i="59" s="1"/>
  <c r="A96" i="59" a="1"/>
  <c r="C98" i="59" s="1"/>
  <c r="L150" i="131" l="1"/>
  <c r="K150" i="131"/>
  <c r="L148" i="131"/>
  <c r="K148" i="131"/>
  <c r="I155" i="131"/>
  <c r="L146" i="131"/>
  <c r="K146" i="131"/>
  <c r="L151" i="131"/>
  <c r="K151" i="131"/>
  <c r="L153" i="131"/>
  <c r="K153" i="131"/>
  <c r="B182" i="132"/>
  <c r="F172" i="132"/>
  <c r="J155" i="131"/>
  <c r="B150" i="132"/>
  <c r="F150" i="132" s="1"/>
  <c r="B147" i="132"/>
  <c r="F147" i="132" s="1"/>
  <c r="B154" i="132"/>
  <c r="F154" i="132" s="1"/>
  <c r="B146" i="132"/>
  <c r="F146" i="132" s="1"/>
  <c r="B153" i="132"/>
  <c r="F153" i="132" s="1"/>
  <c r="B152" i="132"/>
  <c r="F152" i="132" s="1"/>
  <c r="B149" i="132"/>
  <c r="F149" i="132" s="1"/>
  <c r="B151" i="132"/>
  <c r="F151" i="132" s="1"/>
  <c r="B148" i="132"/>
  <c r="F148" i="132" s="1"/>
  <c r="K154" i="131"/>
  <c r="L154" i="131"/>
  <c r="L152" i="131"/>
  <c r="K152" i="131"/>
  <c r="C148" i="132"/>
  <c r="C153" i="132"/>
  <c r="C152" i="132"/>
  <c r="C151" i="132"/>
  <c r="C150" i="132"/>
  <c r="C149" i="132"/>
  <c r="C147" i="132"/>
  <c r="C146" i="132"/>
  <c r="C154" i="132"/>
  <c r="L149" i="131"/>
  <c r="K149" i="131"/>
  <c r="K147" i="131"/>
  <c r="L147" i="131"/>
  <c r="P91" i="59"/>
  <c r="O90" i="59"/>
  <c r="P89" i="59"/>
  <c r="Q91" i="59"/>
  <c r="O89" i="59"/>
  <c r="Q90" i="59"/>
  <c r="Q89" i="59"/>
  <c r="P90" i="59"/>
  <c r="A97" i="59"/>
  <c r="B98" i="59"/>
  <c r="E98" i="59" s="1"/>
  <c r="C96" i="59"/>
  <c r="A96" i="59"/>
  <c r="A98" i="59"/>
  <c r="B97" i="59"/>
  <c r="E97" i="59" s="1"/>
  <c r="B96" i="59"/>
  <c r="E96" i="59" s="1"/>
  <c r="C97" i="59"/>
  <c r="J148" i="132" l="1"/>
  <c r="I148" i="132"/>
  <c r="J150" i="132"/>
  <c r="I150" i="132"/>
  <c r="K155" i="131"/>
  <c r="O147" i="131" s="1"/>
  <c r="I147" i="132"/>
  <c r="J147" i="132"/>
  <c r="J151" i="132"/>
  <c r="I151" i="132"/>
  <c r="L155" i="131"/>
  <c r="O146" i="131" s="1"/>
  <c r="J149" i="132"/>
  <c r="I149" i="132"/>
  <c r="J152" i="132"/>
  <c r="I152" i="132"/>
  <c r="J153" i="132"/>
  <c r="I153" i="132"/>
  <c r="J146" i="132"/>
  <c r="I146" i="132"/>
  <c r="C159" i="132" a="1"/>
  <c r="I154" i="132"/>
  <c r="J154" i="132"/>
  <c r="E100" i="59"/>
  <c r="G96" i="59" s="1"/>
  <c r="O148" i="131" l="1"/>
  <c r="L154" i="132"/>
  <c r="K154" i="132"/>
  <c r="C162" i="132"/>
  <c r="F162" i="132" s="1"/>
  <c r="C167" i="132"/>
  <c r="F167" i="132" s="1"/>
  <c r="C159" i="132"/>
  <c r="F159" i="132" s="1"/>
  <c r="C166" i="132"/>
  <c r="F166" i="132" s="1"/>
  <c r="C165" i="132"/>
  <c r="F165" i="132" s="1"/>
  <c r="C164" i="132"/>
  <c r="F164" i="132" s="1"/>
  <c r="C163" i="132"/>
  <c r="F163" i="132" s="1"/>
  <c r="C161" i="132"/>
  <c r="F161" i="132" s="1"/>
  <c r="C160" i="132"/>
  <c r="F160" i="132" s="1"/>
  <c r="K146" i="132"/>
  <c r="I155" i="132"/>
  <c r="L146" i="132"/>
  <c r="L150" i="132"/>
  <c r="K150" i="132"/>
  <c r="L147" i="132"/>
  <c r="K147" i="132"/>
  <c r="K149" i="132"/>
  <c r="L149" i="132"/>
  <c r="L153" i="132"/>
  <c r="K153" i="132"/>
  <c r="N150" i="131"/>
  <c r="N151" i="131"/>
  <c r="O150" i="131" s="1"/>
  <c r="L148" i="132"/>
  <c r="K148" i="132"/>
  <c r="J155" i="132"/>
  <c r="L152" i="132"/>
  <c r="K152" i="132"/>
  <c r="L151" i="132"/>
  <c r="K151" i="132"/>
  <c r="G97" i="59"/>
  <c r="G98" i="59"/>
  <c r="L155" i="132" l="1"/>
  <c r="O146" i="132" s="1"/>
  <c r="O151" i="131"/>
  <c r="Q146" i="131" a="1"/>
  <c r="K155" i="132"/>
  <c r="O147" i="132" s="1"/>
  <c r="G100" i="59"/>
  <c r="I97" i="59" s="1"/>
  <c r="O148" i="132" l="1"/>
  <c r="N151" i="132" s="1"/>
  <c r="O150" i="132" s="1"/>
  <c r="N150" i="132"/>
  <c r="R151" i="131"/>
  <c r="R147" i="131"/>
  <c r="Q151" i="131"/>
  <c r="Q147" i="131"/>
  <c r="R154" i="131"/>
  <c r="R150" i="131"/>
  <c r="R146" i="131"/>
  <c r="Q154" i="131"/>
  <c r="Q150" i="131"/>
  <c r="Q146" i="131"/>
  <c r="Q153" i="131"/>
  <c r="Q149" i="131"/>
  <c r="Q148" i="131"/>
  <c r="R153" i="131"/>
  <c r="R152" i="131"/>
  <c r="Q152" i="131"/>
  <c r="R149" i="131"/>
  <c r="R148" i="131"/>
  <c r="I98" i="59"/>
  <c r="K96" i="59" s="1" a="1"/>
  <c r="B159" i="131" l="1" a="1"/>
  <c r="O151" i="132"/>
  <c r="Q146" i="132" a="1"/>
  <c r="D159" i="131" a="1"/>
  <c r="M98" i="59"/>
  <c r="L97" i="59"/>
  <c r="K96" i="59"/>
  <c r="L98" i="59"/>
  <c r="M96" i="59"/>
  <c r="K98" i="59"/>
  <c r="L96" i="59"/>
  <c r="M97" i="59"/>
  <c r="K97" i="59"/>
  <c r="D164" i="131" l="1"/>
  <c r="G164" i="131" s="1"/>
  <c r="D163" i="131"/>
  <c r="G163" i="131" s="1"/>
  <c r="D162" i="131"/>
  <c r="G162" i="131" s="1"/>
  <c r="D161" i="131"/>
  <c r="G161" i="131" s="1"/>
  <c r="D167" i="131"/>
  <c r="G167" i="131" s="1"/>
  <c r="D159" i="131"/>
  <c r="G159" i="131" s="1"/>
  <c r="D166" i="131"/>
  <c r="G166" i="131" s="1"/>
  <c r="D165" i="131"/>
  <c r="G165" i="131" s="1"/>
  <c r="D160" i="131"/>
  <c r="G160" i="131" s="1"/>
  <c r="R153" i="132"/>
  <c r="R149" i="132"/>
  <c r="Q152" i="132"/>
  <c r="Q148" i="132"/>
  <c r="R151" i="132"/>
  <c r="R147" i="132"/>
  <c r="Q151" i="132"/>
  <c r="Q147" i="132"/>
  <c r="R154" i="132"/>
  <c r="R150" i="132"/>
  <c r="R146" i="132"/>
  <c r="Q150" i="132"/>
  <c r="R148" i="132"/>
  <c r="Q154" i="132"/>
  <c r="Q153" i="132"/>
  <c r="R152" i="132"/>
  <c r="Q149" i="132"/>
  <c r="Q146" i="132"/>
  <c r="B160" i="131"/>
  <c r="B167" i="131"/>
  <c r="B159" i="131"/>
  <c r="B172" i="131" s="1" a="1"/>
  <c r="B166" i="131"/>
  <c r="B165" i="131"/>
  <c r="B163" i="131"/>
  <c r="B164" i="131"/>
  <c r="B162" i="131"/>
  <c r="B161" i="131"/>
  <c r="O96" i="59" a="1"/>
  <c r="A103" i="59" a="1"/>
  <c r="D159" i="132" l="1" a="1"/>
  <c r="J166" i="131"/>
  <c r="I166" i="131"/>
  <c r="B174" i="131"/>
  <c r="G174" i="131" s="1"/>
  <c r="B173" i="131"/>
  <c r="G173" i="131" s="1"/>
  <c r="B180" i="131"/>
  <c r="G180" i="131" s="1"/>
  <c r="B172" i="131"/>
  <c r="G172" i="131" s="1"/>
  <c r="B179" i="131"/>
  <c r="G179" i="131" s="1"/>
  <c r="B177" i="131"/>
  <c r="G177" i="131" s="1"/>
  <c r="B178" i="131"/>
  <c r="G178" i="131" s="1"/>
  <c r="B176" i="131"/>
  <c r="G176" i="131" s="1"/>
  <c r="B175" i="131"/>
  <c r="G175" i="131" s="1"/>
  <c r="J159" i="131"/>
  <c r="I159" i="131"/>
  <c r="I167" i="131"/>
  <c r="J167" i="131"/>
  <c r="D160" i="132"/>
  <c r="G160" i="132" s="1"/>
  <c r="D165" i="132"/>
  <c r="G165" i="132" s="1"/>
  <c r="D164" i="132"/>
  <c r="G164" i="132" s="1"/>
  <c r="D163" i="132"/>
  <c r="G163" i="132" s="1"/>
  <c r="D162" i="132"/>
  <c r="G162" i="132" s="1"/>
  <c r="D166" i="132"/>
  <c r="G166" i="132" s="1"/>
  <c r="D159" i="132"/>
  <c r="G159" i="132" s="1"/>
  <c r="D167" i="132"/>
  <c r="G167" i="132" s="1"/>
  <c r="D161" i="132"/>
  <c r="G161" i="132" s="1"/>
  <c r="J161" i="131"/>
  <c r="I161" i="131"/>
  <c r="B159" i="132" a="1"/>
  <c r="J162" i="131"/>
  <c r="I162" i="131"/>
  <c r="J163" i="131"/>
  <c r="I163" i="131"/>
  <c r="J165" i="131"/>
  <c r="I165" i="131"/>
  <c r="J160" i="131"/>
  <c r="I160" i="131"/>
  <c r="J164" i="131"/>
  <c r="I164" i="131"/>
  <c r="C105" i="59"/>
  <c r="M105" i="59" s="1"/>
  <c r="B104" i="59"/>
  <c r="L104" i="59" s="1"/>
  <c r="A103" i="59"/>
  <c r="K103" i="59" s="1"/>
  <c r="B105" i="59"/>
  <c r="C103" i="59"/>
  <c r="M103" i="59" s="1"/>
  <c r="A105" i="59"/>
  <c r="B103" i="59"/>
  <c r="L103" i="59" s="1"/>
  <c r="C104" i="59"/>
  <c r="M104" i="59" s="1"/>
  <c r="A104" i="59"/>
  <c r="O98" i="59"/>
  <c r="Q96" i="59"/>
  <c r="Q98" i="59"/>
  <c r="O97" i="59"/>
  <c r="P97" i="59"/>
  <c r="Q97" i="59"/>
  <c r="P96" i="59"/>
  <c r="O96" i="59"/>
  <c r="P98" i="59"/>
  <c r="L163" i="131" l="1"/>
  <c r="K163" i="131"/>
  <c r="J167" i="132"/>
  <c r="I167" i="132"/>
  <c r="I179" i="131"/>
  <c r="J179" i="131"/>
  <c r="J159" i="132"/>
  <c r="I159" i="132"/>
  <c r="L167" i="131"/>
  <c r="K167" i="131"/>
  <c r="I172" i="131"/>
  <c r="J172" i="131"/>
  <c r="J177" i="131"/>
  <c r="I177" i="131"/>
  <c r="L164" i="131"/>
  <c r="K164" i="131"/>
  <c r="J166" i="132"/>
  <c r="I166" i="132"/>
  <c r="K159" i="131"/>
  <c r="L159" i="131"/>
  <c r="I168" i="131"/>
  <c r="J180" i="131"/>
  <c r="I180" i="131"/>
  <c r="J168" i="131"/>
  <c r="I173" i="131"/>
  <c r="J173" i="131"/>
  <c r="K162" i="131"/>
  <c r="L162" i="131"/>
  <c r="I163" i="132"/>
  <c r="J163" i="132"/>
  <c r="J175" i="131"/>
  <c r="I175" i="131"/>
  <c r="I174" i="131"/>
  <c r="J174" i="131"/>
  <c r="I160" i="132"/>
  <c r="J160" i="132"/>
  <c r="J162" i="132"/>
  <c r="I162" i="132"/>
  <c r="L160" i="131"/>
  <c r="K160" i="131"/>
  <c r="L161" i="131"/>
  <c r="K161" i="131"/>
  <c r="I164" i="132"/>
  <c r="J164" i="132"/>
  <c r="J176" i="131"/>
  <c r="I176" i="131"/>
  <c r="L166" i="131"/>
  <c r="K166" i="131"/>
  <c r="J161" i="132"/>
  <c r="I161" i="132"/>
  <c r="B164" i="132"/>
  <c r="B161" i="132"/>
  <c r="B160" i="132"/>
  <c r="B167" i="132"/>
  <c r="B159" i="132"/>
  <c r="B172" i="132" s="1" a="1"/>
  <c r="B166" i="132"/>
  <c r="B163" i="132"/>
  <c r="B165" i="132"/>
  <c r="B162" i="132"/>
  <c r="L165" i="131"/>
  <c r="K165" i="131"/>
  <c r="J165" i="132"/>
  <c r="I165" i="132"/>
  <c r="J178" i="131"/>
  <c r="I178" i="131"/>
  <c r="O103" i="59" a="1"/>
  <c r="L180" i="131" l="1"/>
  <c r="K180" i="131"/>
  <c r="J168" i="132"/>
  <c r="L175" i="131"/>
  <c r="K175" i="131"/>
  <c r="L176" i="131"/>
  <c r="K176" i="131"/>
  <c r="L177" i="131"/>
  <c r="K177" i="131"/>
  <c r="B178" i="132"/>
  <c r="G178" i="132" s="1"/>
  <c r="B175" i="132"/>
  <c r="G175" i="132" s="1"/>
  <c r="B174" i="132"/>
  <c r="G174" i="132" s="1"/>
  <c r="B173" i="132"/>
  <c r="G173" i="132" s="1"/>
  <c r="B180" i="132"/>
  <c r="G180" i="132" s="1"/>
  <c r="B172" i="132"/>
  <c r="G172" i="132" s="1"/>
  <c r="B176" i="132"/>
  <c r="G176" i="132" s="1"/>
  <c r="B179" i="132"/>
  <c r="G179" i="132" s="1"/>
  <c r="B177" i="132"/>
  <c r="G177" i="132" s="1"/>
  <c r="L163" i="132"/>
  <c r="K163" i="132"/>
  <c r="L179" i="131"/>
  <c r="K179" i="131"/>
  <c r="L165" i="132"/>
  <c r="K165" i="132"/>
  <c r="L168" i="131"/>
  <c r="O159" i="131" s="1"/>
  <c r="J181" i="131"/>
  <c r="K167" i="132"/>
  <c r="L167" i="132"/>
  <c r="L164" i="132"/>
  <c r="K164" i="132"/>
  <c r="K168" i="131"/>
  <c r="O160" i="131" s="1"/>
  <c r="L172" i="131"/>
  <c r="L181" i="131" s="1"/>
  <c r="O172" i="131" s="1"/>
  <c r="K172" i="131"/>
  <c r="I181" i="131"/>
  <c r="I168" i="132"/>
  <c r="L159" i="132"/>
  <c r="K159" i="132"/>
  <c r="L162" i="132"/>
  <c r="K162" i="132"/>
  <c r="K160" i="132"/>
  <c r="L160" i="132"/>
  <c r="K161" i="132"/>
  <c r="L161" i="132"/>
  <c r="K166" i="132"/>
  <c r="L166" i="132"/>
  <c r="L178" i="131"/>
  <c r="K178" i="131"/>
  <c r="K174" i="131"/>
  <c r="L174" i="131"/>
  <c r="L173" i="131"/>
  <c r="K173" i="131"/>
  <c r="P105" i="59"/>
  <c r="O104" i="59"/>
  <c r="Q104" i="59"/>
  <c r="O103" i="59"/>
  <c r="P104" i="59"/>
  <c r="Q103" i="59"/>
  <c r="O105" i="59"/>
  <c r="P103" i="59"/>
  <c r="Q105" i="59"/>
  <c r="J172" i="132" l="1"/>
  <c r="I172" i="132"/>
  <c r="I176" i="132"/>
  <c r="J176" i="132"/>
  <c r="J180" i="132"/>
  <c r="I180" i="132"/>
  <c r="J173" i="132"/>
  <c r="I173" i="132"/>
  <c r="J174" i="132"/>
  <c r="I174" i="132"/>
  <c r="L168" i="132"/>
  <c r="O159" i="132" s="1"/>
  <c r="I175" i="132"/>
  <c r="J175" i="132"/>
  <c r="K168" i="132"/>
  <c r="O160" i="132" s="1"/>
  <c r="J177" i="132"/>
  <c r="I177" i="132"/>
  <c r="I178" i="132"/>
  <c r="J178" i="132"/>
  <c r="K181" i="131"/>
  <c r="O173" i="131" s="1"/>
  <c r="O174" i="131" s="1"/>
  <c r="O161" i="131"/>
  <c r="J179" i="132"/>
  <c r="I179" i="132"/>
  <c r="U107" i="59"/>
  <c r="S103" i="59" a="1"/>
  <c r="A110" i="59" a="1"/>
  <c r="K110" i="59" a="1"/>
  <c r="N177" i="131" l="1"/>
  <c r="O176" i="131" s="1"/>
  <c r="N176" i="131"/>
  <c r="L180" i="132"/>
  <c r="K180" i="132"/>
  <c r="L175" i="132"/>
  <c r="K175" i="132"/>
  <c r="L176" i="132"/>
  <c r="K176" i="132"/>
  <c r="L179" i="132"/>
  <c r="K179" i="132"/>
  <c r="O161" i="132"/>
  <c r="I181" i="132"/>
  <c r="L172" i="132"/>
  <c r="K172" i="132"/>
  <c r="N164" i="131"/>
  <c r="O163" i="131" s="1"/>
  <c r="N163" i="131"/>
  <c r="L174" i="132"/>
  <c r="K174" i="132"/>
  <c r="L178" i="132"/>
  <c r="K178" i="132"/>
  <c r="L177" i="132"/>
  <c r="K177" i="132"/>
  <c r="K173" i="132"/>
  <c r="L173" i="132"/>
  <c r="J181" i="132"/>
  <c r="C111" i="59"/>
  <c r="B110" i="59"/>
  <c r="C112" i="59"/>
  <c r="A111" i="59"/>
  <c r="E116" i="59" s="1"/>
  <c r="B112" i="59"/>
  <c r="C110" i="59"/>
  <c r="A110" i="59"/>
  <c r="B111" i="59"/>
  <c r="A112" i="59"/>
  <c r="E117" i="59" s="1"/>
  <c r="U104" i="59"/>
  <c r="T103" i="59"/>
  <c r="S105" i="59"/>
  <c r="S103" i="59"/>
  <c r="T104" i="59"/>
  <c r="S104" i="59"/>
  <c r="T105" i="59"/>
  <c r="U103" i="59"/>
  <c r="U105" i="59"/>
  <c r="L112" i="59"/>
  <c r="K111" i="59"/>
  <c r="K112" i="59"/>
  <c r="L110" i="59"/>
  <c r="M111" i="59"/>
  <c r="K110" i="59"/>
  <c r="L111" i="59"/>
  <c r="M112" i="59"/>
  <c r="M110" i="59"/>
  <c r="O164" i="131" l="1"/>
  <c r="Q159" i="131" s="1" a="1"/>
  <c r="L181" i="132"/>
  <c r="O172" i="132" s="1"/>
  <c r="K181" i="132"/>
  <c r="O173" i="132" s="1"/>
  <c r="N164" i="132"/>
  <c r="O163" i="132" s="1"/>
  <c r="N163" i="132"/>
  <c r="O177" i="131"/>
  <c r="Q172" i="131" a="1"/>
  <c r="A115" i="59" a="1"/>
  <c r="E115" i="59"/>
  <c r="O174" i="132" l="1"/>
  <c r="N176" i="132" s="1"/>
  <c r="R178" i="131"/>
  <c r="R174" i="131"/>
  <c r="Q178" i="131"/>
  <c r="Q174" i="131"/>
  <c r="R177" i="131"/>
  <c r="R173" i="131"/>
  <c r="Q177" i="131"/>
  <c r="Q173" i="131"/>
  <c r="Q180" i="131"/>
  <c r="Q176" i="131"/>
  <c r="Q172" i="131"/>
  <c r="R172" i="131"/>
  <c r="R180" i="131"/>
  <c r="R179" i="131"/>
  <c r="Q179" i="131"/>
  <c r="R176" i="131"/>
  <c r="R175" i="131"/>
  <c r="Q175" i="131"/>
  <c r="O164" i="132"/>
  <c r="Q159" i="132" a="1"/>
  <c r="Q165" i="131"/>
  <c r="Q161" i="131"/>
  <c r="R164" i="131"/>
  <c r="R160" i="131"/>
  <c r="Q164" i="131"/>
  <c r="Q160" i="131"/>
  <c r="R167" i="131"/>
  <c r="R163" i="131"/>
  <c r="R159" i="131"/>
  <c r="D172" i="131" s="1" a="1"/>
  <c r="R166" i="131"/>
  <c r="R162" i="131"/>
  <c r="Q159" i="131"/>
  <c r="Q167" i="131"/>
  <c r="Q166" i="131"/>
  <c r="R165" i="131"/>
  <c r="Q163" i="131"/>
  <c r="R161" i="131"/>
  <c r="Q162" i="131"/>
  <c r="E119" i="59"/>
  <c r="B117" i="59"/>
  <c r="A116" i="59"/>
  <c r="B116" i="59"/>
  <c r="C117" i="59"/>
  <c r="C115" i="59"/>
  <c r="B115" i="59"/>
  <c r="C116" i="59"/>
  <c r="A115" i="59"/>
  <c r="A117" i="59"/>
  <c r="N177" i="132" l="1"/>
  <c r="O176" i="132" s="1"/>
  <c r="D178" i="131"/>
  <c r="D177" i="131"/>
  <c r="D176" i="131"/>
  <c r="D175" i="131"/>
  <c r="D173" i="131"/>
  <c r="D180" i="131"/>
  <c r="D179" i="131"/>
  <c r="D174" i="131"/>
  <c r="D172" i="131"/>
  <c r="O177" i="132"/>
  <c r="Q172" i="132" a="1"/>
  <c r="B185" i="131" a="1"/>
  <c r="A185" i="131" a="1"/>
  <c r="Q167" i="132"/>
  <c r="Q163" i="132"/>
  <c r="Q159" i="132"/>
  <c r="R165" i="132"/>
  <c r="R161" i="132"/>
  <c r="Q165" i="132"/>
  <c r="Q161" i="132"/>
  <c r="R164" i="132"/>
  <c r="R160" i="132"/>
  <c r="Q164" i="132"/>
  <c r="Q160" i="132"/>
  <c r="R163" i="132"/>
  <c r="Q162" i="132"/>
  <c r="R167" i="132"/>
  <c r="R166" i="132"/>
  <c r="Q166" i="132"/>
  <c r="R162" i="132"/>
  <c r="R159" i="132"/>
  <c r="D172" i="132" s="1" a="1"/>
  <c r="C172" i="131" a="1"/>
  <c r="G117" i="59"/>
  <c r="G116" i="59"/>
  <c r="G115" i="59"/>
  <c r="C172" i="132" l="1" a="1"/>
  <c r="C176" i="132" s="1"/>
  <c r="D174" i="132"/>
  <c r="D179" i="132"/>
  <c r="D178" i="132"/>
  <c r="D177" i="132"/>
  <c r="D176" i="132"/>
  <c r="D175" i="132"/>
  <c r="D172" i="132"/>
  <c r="D180" i="132"/>
  <c r="D173" i="132"/>
  <c r="A190" i="131"/>
  <c r="F190" i="131" s="1"/>
  <c r="A189" i="131"/>
  <c r="F189" i="131" s="1"/>
  <c r="A188" i="131"/>
  <c r="F188" i="131" s="1"/>
  <c r="A187" i="131"/>
  <c r="F187" i="131" s="1"/>
  <c r="A186" i="131"/>
  <c r="F186" i="131" s="1"/>
  <c r="A193" i="131"/>
  <c r="F193" i="131" s="1"/>
  <c r="A185" i="131"/>
  <c r="A192" i="131"/>
  <c r="F192" i="131" s="1"/>
  <c r="A191" i="131"/>
  <c r="F191" i="131" s="1"/>
  <c r="B188" i="131"/>
  <c r="B187" i="131"/>
  <c r="B186" i="131"/>
  <c r="B193" i="131"/>
  <c r="B185" i="131"/>
  <c r="B192" i="131"/>
  <c r="B191" i="131"/>
  <c r="B190" i="131"/>
  <c r="B189" i="131"/>
  <c r="R180" i="132"/>
  <c r="R176" i="132"/>
  <c r="R172" i="132"/>
  <c r="B185" i="132" s="1" a="1"/>
  <c r="Q179" i="132"/>
  <c r="Q175" i="132"/>
  <c r="R178" i="132"/>
  <c r="R174" i="132"/>
  <c r="Q178" i="132"/>
  <c r="Q174" i="132"/>
  <c r="R177" i="132"/>
  <c r="R173" i="132"/>
  <c r="Q176" i="132"/>
  <c r="Q173" i="132"/>
  <c r="Q180" i="132"/>
  <c r="R179" i="132"/>
  <c r="Q177" i="132"/>
  <c r="R175" i="132"/>
  <c r="Q172" i="132"/>
  <c r="C180" i="131"/>
  <c r="C172" i="131"/>
  <c r="C185" i="131" s="1" a="1"/>
  <c r="C179" i="131"/>
  <c r="C178" i="131"/>
  <c r="C177" i="131"/>
  <c r="C175" i="131"/>
  <c r="C176" i="131"/>
  <c r="C174" i="131"/>
  <c r="C173" i="131"/>
  <c r="D185" i="131" a="1"/>
  <c r="G119" i="59"/>
  <c r="I115" i="59" s="1"/>
  <c r="C174" i="132" l="1"/>
  <c r="B198" i="131" a="1"/>
  <c r="B198" i="131" s="1"/>
  <c r="C175" i="132"/>
  <c r="C178" i="132"/>
  <c r="C179" i="132"/>
  <c r="C172" i="132"/>
  <c r="C180" i="132"/>
  <c r="C173" i="132"/>
  <c r="C185" i="132" s="1" a="1"/>
  <c r="C177" i="132"/>
  <c r="D185" i="132" a="1"/>
  <c r="C186" i="131"/>
  <c r="G186" i="131" s="1"/>
  <c r="J186" i="131" s="1"/>
  <c r="C193" i="131"/>
  <c r="G193" i="131" s="1"/>
  <c r="J193" i="131" s="1"/>
  <c r="C185" i="131"/>
  <c r="G185" i="131" s="1"/>
  <c r="C192" i="131"/>
  <c r="G192" i="131" s="1"/>
  <c r="I192" i="131" s="1"/>
  <c r="C191" i="131"/>
  <c r="G191" i="131" s="1"/>
  <c r="J191" i="131" s="1"/>
  <c r="C190" i="131"/>
  <c r="G190" i="131" s="1"/>
  <c r="J190" i="131" s="1"/>
  <c r="C189" i="131"/>
  <c r="G189" i="131" s="1"/>
  <c r="J189" i="131" s="1"/>
  <c r="C188" i="131"/>
  <c r="G188" i="131" s="1"/>
  <c r="J188" i="131" s="1"/>
  <c r="C187" i="131"/>
  <c r="G187" i="131" s="1"/>
  <c r="J187" i="131" s="1"/>
  <c r="A185" i="132" a="1"/>
  <c r="I189" i="131"/>
  <c r="B192" i="132"/>
  <c r="B191" i="132"/>
  <c r="B190" i="132"/>
  <c r="B189" i="132"/>
  <c r="B188" i="132"/>
  <c r="B187" i="132"/>
  <c r="B186" i="132"/>
  <c r="B193" i="132"/>
  <c r="B185" i="132"/>
  <c r="D192" i="131"/>
  <c r="D191" i="131"/>
  <c r="D190" i="131"/>
  <c r="D189" i="131"/>
  <c r="D188" i="131"/>
  <c r="D187" i="131"/>
  <c r="D185" i="131"/>
  <c r="D193" i="131"/>
  <c r="D186" i="131"/>
  <c r="B195" i="131"/>
  <c r="F185" i="131"/>
  <c r="I117" i="59"/>
  <c r="I116" i="59"/>
  <c r="K115" i="59" s="1" a="1"/>
  <c r="B205" i="131" l="1"/>
  <c r="B206" i="131"/>
  <c r="I187" i="131"/>
  <c r="K187" i="131" s="1"/>
  <c r="B199" i="131"/>
  <c r="B200" i="131"/>
  <c r="B201" i="131"/>
  <c r="B211" i="131" s="1" a="1"/>
  <c r="B202" i="131"/>
  <c r="J192" i="131"/>
  <c r="K192" i="131" s="1"/>
  <c r="B204" i="131"/>
  <c r="B203" i="131"/>
  <c r="I191" i="131"/>
  <c r="K191" i="131" s="1"/>
  <c r="I186" i="131"/>
  <c r="K186" i="131" s="1"/>
  <c r="I188" i="131"/>
  <c r="B198" i="132" a="1"/>
  <c r="I190" i="131"/>
  <c r="L187" i="131"/>
  <c r="L189" i="131"/>
  <c r="K189" i="131"/>
  <c r="A186" i="132"/>
  <c r="F186" i="132" s="1"/>
  <c r="A193" i="132"/>
  <c r="F193" i="132" s="1"/>
  <c r="A185" i="132"/>
  <c r="A192" i="132"/>
  <c r="F192" i="132" s="1"/>
  <c r="A191" i="132"/>
  <c r="F191" i="132" s="1"/>
  <c r="A190" i="132"/>
  <c r="F190" i="132" s="1"/>
  <c r="A189" i="132"/>
  <c r="F189" i="132" s="1"/>
  <c r="A188" i="132"/>
  <c r="F188" i="132" s="1"/>
  <c r="A187" i="132"/>
  <c r="F187" i="132" s="1"/>
  <c r="D188" i="132"/>
  <c r="D187" i="132"/>
  <c r="D186" i="132"/>
  <c r="D193" i="132"/>
  <c r="D185" i="132"/>
  <c r="D192" i="132"/>
  <c r="D191" i="132"/>
  <c r="D190" i="132"/>
  <c r="D189" i="132"/>
  <c r="C190" i="132"/>
  <c r="G190" i="132" s="1"/>
  <c r="C189" i="132"/>
  <c r="G189" i="132" s="1"/>
  <c r="C188" i="132"/>
  <c r="G188" i="132" s="1"/>
  <c r="C187" i="132"/>
  <c r="G187" i="132" s="1"/>
  <c r="C186" i="132"/>
  <c r="G186" i="132" s="1"/>
  <c r="C193" i="132"/>
  <c r="G193" i="132" s="1"/>
  <c r="C185" i="132"/>
  <c r="G185" i="132" s="1"/>
  <c r="C192" i="132"/>
  <c r="G192" i="132" s="1"/>
  <c r="C191" i="132"/>
  <c r="G191" i="132" s="1"/>
  <c r="I193" i="131"/>
  <c r="L191" i="131"/>
  <c r="J185" i="131"/>
  <c r="I185" i="131"/>
  <c r="D198" i="131" a="1"/>
  <c r="K117" i="59"/>
  <c r="M115" i="59"/>
  <c r="L117" i="59"/>
  <c r="L115" i="59"/>
  <c r="M116" i="59"/>
  <c r="K115" i="59"/>
  <c r="K116" i="59"/>
  <c r="M117" i="59"/>
  <c r="L116" i="59"/>
  <c r="J194" i="131" l="1"/>
  <c r="L192" i="131"/>
  <c r="L186" i="131"/>
  <c r="L193" i="131"/>
  <c r="K193" i="131"/>
  <c r="J192" i="132"/>
  <c r="I192" i="132"/>
  <c r="F185" i="132"/>
  <c r="B195" i="132"/>
  <c r="J187" i="132"/>
  <c r="I187" i="132"/>
  <c r="I186" i="132"/>
  <c r="J186" i="132"/>
  <c r="L190" i="131"/>
  <c r="K190" i="131"/>
  <c r="B216" i="131"/>
  <c r="F216" i="131" s="1"/>
  <c r="B215" i="131"/>
  <c r="F215" i="131" s="1"/>
  <c r="B214" i="131"/>
  <c r="F214" i="131" s="1"/>
  <c r="B219" i="131"/>
  <c r="F219" i="131" s="1"/>
  <c r="B218" i="131"/>
  <c r="F218" i="131" s="1"/>
  <c r="B217" i="131"/>
  <c r="F217" i="131" s="1"/>
  <c r="B213" i="131"/>
  <c r="F213" i="131" s="1"/>
  <c r="B212" i="131"/>
  <c r="F212" i="131" s="1"/>
  <c r="B211" i="131"/>
  <c r="F211" i="131" s="1"/>
  <c r="B199" i="132"/>
  <c r="B206" i="132"/>
  <c r="B198" i="132"/>
  <c r="B204" i="132"/>
  <c r="B203" i="132"/>
  <c r="B205" i="132"/>
  <c r="B202" i="132"/>
  <c r="B201" i="132"/>
  <c r="B200" i="132"/>
  <c r="I188" i="132"/>
  <c r="J188" i="132"/>
  <c r="J189" i="132"/>
  <c r="I189" i="132"/>
  <c r="L188" i="131"/>
  <c r="K188" i="131"/>
  <c r="J193" i="132"/>
  <c r="I193" i="132"/>
  <c r="D198" i="132" a="1"/>
  <c r="I190" i="132"/>
  <c r="J190" i="132"/>
  <c r="D199" i="131"/>
  <c r="G199" i="131" s="1"/>
  <c r="D206" i="131"/>
  <c r="G206" i="131" s="1"/>
  <c r="D198" i="131"/>
  <c r="G198" i="131" s="1"/>
  <c r="D205" i="131"/>
  <c r="G205" i="131" s="1"/>
  <c r="D204" i="131"/>
  <c r="G204" i="131" s="1"/>
  <c r="D203" i="131"/>
  <c r="G203" i="131" s="1"/>
  <c r="D202" i="131"/>
  <c r="G202" i="131" s="1"/>
  <c r="D201" i="131"/>
  <c r="G201" i="131" s="1"/>
  <c r="D200" i="131"/>
  <c r="G200" i="131" s="1"/>
  <c r="L185" i="131"/>
  <c r="L194" i="131" s="1"/>
  <c r="K185" i="131"/>
  <c r="K194" i="131" s="1"/>
  <c r="I194" i="131"/>
  <c r="I191" i="132"/>
  <c r="J191" i="132"/>
  <c r="A122" i="59" a="1"/>
  <c r="O115" i="59" a="1"/>
  <c r="B211" i="132" l="1" a="1"/>
  <c r="D203" i="132"/>
  <c r="G203" i="132" s="1"/>
  <c r="D202" i="132"/>
  <c r="G202" i="132" s="1"/>
  <c r="D200" i="132"/>
  <c r="G200" i="132" s="1"/>
  <c r="D199" i="132"/>
  <c r="G199" i="132" s="1"/>
  <c r="D206" i="132"/>
  <c r="G206" i="132" s="1"/>
  <c r="D205" i="132"/>
  <c r="G205" i="132" s="1"/>
  <c r="D204" i="132"/>
  <c r="G204" i="132" s="1"/>
  <c r="D201" i="132"/>
  <c r="G201" i="132" s="1"/>
  <c r="D198" i="132"/>
  <c r="G198" i="132" s="1"/>
  <c r="L188" i="132"/>
  <c r="K188" i="132"/>
  <c r="L191" i="132"/>
  <c r="K191" i="132"/>
  <c r="L193" i="132"/>
  <c r="K193" i="132"/>
  <c r="B213" i="132"/>
  <c r="F213" i="132" s="1"/>
  <c r="B212" i="132"/>
  <c r="F212" i="132" s="1"/>
  <c r="B218" i="132"/>
  <c r="F218" i="132" s="1"/>
  <c r="B217" i="132"/>
  <c r="F217" i="132" s="1"/>
  <c r="B219" i="132"/>
  <c r="F219" i="132" s="1"/>
  <c r="B216" i="132"/>
  <c r="F216" i="132" s="1"/>
  <c r="B215" i="132"/>
  <c r="F215" i="132" s="1"/>
  <c r="B214" i="132"/>
  <c r="F214" i="132" s="1"/>
  <c r="B211" i="132"/>
  <c r="F211" i="132" s="1"/>
  <c r="I185" i="132"/>
  <c r="J185" i="132"/>
  <c r="J194" i="132" s="1"/>
  <c r="K192" i="132"/>
  <c r="L192" i="132"/>
  <c r="O186" i="131"/>
  <c r="O185" i="131"/>
  <c r="L190" i="132"/>
  <c r="K190" i="132"/>
  <c r="K189" i="132"/>
  <c r="L189" i="132"/>
  <c r="L187" i="132"/>
  <c r="K187" i="132"/>
  <c r="L186" i="132"/>
  <c r="K186" i="132"/>
  <c r="Q117" i="59"/>
  <c r="P116" i="59"/>
  <c r="O115" i="59"/>
  <c r="P117" i="59"/>
  <c r="Q115" i="59"/>
  <c r="O117" i="59"/>
  <c r="P115" i="59"/>
  <c r="O116" i="59"/>
  <c r="Q116" i="59"/>
  <c r="A124" i="59"/>
  <c r="C122" i="59"/>
  <c r="C123" i="59"/>
  <c r="A122" i="59"/>
  <c r="B123" i="59"/>
  <c r="E123" i="59" s="1"/>
  <c r="A123" i="59"/>
  <c r="B124" i="59"/>
  <c r="E124" i="59" s="1"/>
  <c r="B122" i="59"/>
  <c r="E122" i="59" s="1"/>
  <c r="C124" i="59"/>
  <c r="O187" i="131" l="1"/>
  <c r="N189" i="131" s="1"/>
  <c r="I194" i="132"/>
  <c r="L185" i="132"/>
  <c r="L194" i="132" s="1"/>
  <c r="O185" i="132" s="1"/>
  <c r="K185" i="132"/>
  <c r="K194" i="132" s="1"/>
  <c r="O186" i="132" s="1"/>
  <c r="E126" i="59"/>
  <c r="G123" i="59" s="1"/>
  <c r="N190" i="131" l="1"/>
  <c r="O189" i="131" s="1"/>
  <c r="Q185" i="131" s="1" a="1"/>
  <c r="O190" i="131"/>
  <c r="O187" i="132"/>
  <c r="G122" i="59"/>
  <c r="G124" i="59"/>
  <c r="G126" i="59" s="1"/>
  <c r="I123" i="59" s="1"/>
  <c r="Q192" i="131" l="1"/>
  <c r="Q188" i="131"/>
  <c r="R191" i="131"/>
  <c r="R187" i="131"/>
  <c r="Q191" i="131"/>
  <c r="Q187" i="131"/>
  <c r="R190" i="131"/>
  <c r="R186" i="131"/>
  <c r="Q190" i="131"/>
  <c r="Q186" i="131"/>
  <c r="R193" i="131"/>
  <c r="R189" i="131"/>
  <c r="R185" i="131"/>
  <c r="C198" i="131" s="1" a="1"/>
  <c r="R192" i="131"/>
  <c r="Q189" i="131"/>
  <c r="R188" i="131"/>
  <c r="Q185" i="131"/>
  <c r="Q193" i="131"/>
  <c r="N190" i="132"/>
  <c r="O189" i="132" s="1"/>
  <c r="N189" i="132"/>
  <c r="I124" i="59"/>
  <c r="K122" i="59" s="1" a="1"/>
  <c r="A198" i="131" l="1" a="1"/>
  <c r="A205" i="131" s="1"/>
  <c r="F205" i="131" s="1"/>
  <c r="C201" i="131"/>
  <c r="C200" i="131"/>
  <c r="C199" i="131"/>
  <c r="C206" i="131"/>
  <c r="C198" i="131"/>
  <c r="C205" i="131"/>
  <c r="C204" i="131"/>
  <c r="C203" i="131"/>
  <c r="C202" i="131"/>
  <c r="O190" i="132"/>
  <c r="Q185" i="132" a="1"/>
  <c r="K124" i="59"/>
  <c r="M122" i="59"/>
  <c r="L123" i="59"/>
  <c r="M124" i="59"/>
  <c r="K123" i="59"/>
  <c r="L122" i="59"/>
  <c r="M123" i="59"/>
  <c r="K122" i="59"/>
  <c r="L124" i="59"/>
  <c r="C211" i="131" l="1" a="1"/>
  <c r="A206" i="131"/>
  <c r="F206" i="131" s="1"/>
  <c r="A199" i="131"/>
  <c r="F199" i="131" s="1"/>
  <c r="A200" i="131"/>
  <c r="F200" i="131" s="1"/>
  <c r="J200" i="131" s="1"/>
  <c r="A202" i="131"/>
  <c r="F202" i="131" s="1"/>
  <c r="J202" i="131" s="1"/>
  <c r="A204" i="131"/>
  <c r="F204" i="131" s="1"/>
  <c r="J204" i="131" s="1"/>
  <c r="A201" i="131"/>
  <c r="F201" i="131" s="1"/>
  <c r="I201" i="131" s="1"/>
  <c r="A203" i="131"/>
  <c r="F203" i="131" s="1"/>
  <c r="J203" i="131" s="1"/>
  <c r="A198" i="131"/>
  <c r="J206" i="131"/>
  <c r="I206" i="131"/>
  <c r="J199" i="131"/>
  <c r="I199" i="131"/>
  <c r="C214" i="131"/>
  <c r="G214" i="131" s="1"/>
  <c r="C213" i="131"/>
  <c r="G213" i="131" s="1"/>
  <c r="C212" i="131"/>
  <c r="G212" i="131" s="1"/>
  <c r="C219" i="131"/>
  <c r="G219" i="131" s="1"/>
  <c r="C218" i="131"/>
  <c r="G218" i="131" s="1"/>
  <c r="C217" i="131"/>
  <c r="G217" i="131" s="1"/>
  <c r="C216" i="131"/>
  <c r="G216" i="131" s="1"/>
  <c r="C215" i="131"/>
  <c r="G215" i="131" s="1"/>
  <c r="C211" i="131"/>
  <c r="G211" i="131" s="1"/>
  <c r="I202" i="131"/>
  <c r="R192" i="132"/>
  <c r="Q190" i="132"/>
  <c r="Q186" i="132"/>
  <c r="R189" i="132"/>
  <c r="R185" i="132"/>
  <c r="R193" i="132"/>
  <c r="Q189" i="132"/>
  <c r="Q185" i="132"/>
  <c r="Q193" i="132"/>
  <c r="R188" i="132"/>
  <c r="Q192" i="132"/>
  <c r="Q188" i="132"/>
  <c r="R191" i="132"/>
  <c r="R187" i="132"/>
  <c r="Q191" i="132"/>
  <c r="Q187" i="132"/>
  <c r="R186" i="132"/>
  <c r="R190" i="132"/>
  <c r="F198" i="131"/>
  <c r="J205" i="131"/>
  <c r="I205" i="131"/>
  <c r="O122" i="59" a="1"/>
  <c r="A129" i="59" a="1"/>
  <c r="J201" i="131" l="1"/>
  <c r="I204" i="131"/>
  <c r="I200" i="131"/>
  <c r="I203" i="131"/>
  <c r="L203" i="131" s="1"/>
  <c r="B208" i="131"/>
  <c r="A198" i="132" a="1"/>
  <c r="A205" i="132" s="1"/>
  <c r="F205" i="132" s="1"/>
  <c r="L202" i="131"/>
  <c r="K202" i="131"/>
  <c r="J219" i="131"/>
  <c r="I219" i="131"/>
  <c r="L204" i="131"/>
  <c r="K204" i="131"/>
  <c r="L201" i="131"/>
  <c r="K201" i="131"/>
  <c r="J212" i="131"/>
  <c r="I212" i="131"/>
  <c r="I213" i="131"/>
  <c r="J213" i="131"/>
  <c r="L205" i="131"/>
  <c r="K205" i="131"/>
  <c r="L200" i="131"/>
  <c r="K200" i="131"/>
  <c r="I211" i="131"/>
  <c r="J211" i="131"/>
  <c r="J214" i="131"/>
  <c r="I214" i="131"/>
  <c r="C198" i="132" a="1"/>
  <c r="I215" i="131"/>
  <c r="J215" i="131"/>
  <c r="L199" i="131"/>
  <c r="K199" i="131"/>
  <c r="J198" i="131"/>
  <c r="J207" i="131" s="1"/>
  <c r="I198" i="131"/>
  <c r="K203" i="131"/>
  <c r="I216" i="131"/>
  <c r="J216" i="131"/>
  <c r="I217" i="131"/>
  <c r="J217" i="131"/>
  <c r="L206" i="131"/>
  <c r="K206" i="131"/>
  <c r="J218" i="131"/>
  <c r="I218" i="131"/>
  <c r="C130" i="59"/>
  <c r="M130" i="59" s="1"/>
  <c r="B129" i="59"/>
  <c r="L129" i="59" s="1"/>
  <c r="A131" i="59"/>
  <c r="C129" i="59"/>
  <c r="M129" i="59" s="1"/>
  <c r="C131" i="59"/>
  <c r="M131" i="59" s="1"/>
  <c r="A129" i="59"/>
  <c r="K129" i="59" s="1"/>
  <c r="B131" i="59"/>
  <c r="A130" i="59"/>
  <c r="B130" i="59"/>
  <c r="L130" i="59" s="1"/>
  <c r="Q124" i="59"/>
  <c r="P123" i="59"/>
  <c r="O122" i="59"/>
  <c r="Q123" i="59"/>
  <c r="O123" i="59"/>
  <c r="Q122" i="59"/>
  <c r="O124" i="59"/>
  <c r="P122" i="59"/>
  <c r="P124" i="59"/>
  <c r="A200" i="132" l="1"/>
  <c r="F200" i="132" s="1"/>
  <c r="A202" i="132"/>
  <c r="F202" i="132" s="1"/>
  <c r="A199" i="132"/>
  <c r="F199" i="132" s="1"/>
  <c r="I199" i="132" s="1"/>
  <c r="A198" i="132"/>
  <c r="A206" i="132"/>
  <c r="F206" i="132" s="1"/>
  <c r="A201" i="132"/>
  <c r="F201" i="132" s="1"/>
  <c r="J201" i="132" s="1"/>
  <c r="A203" i="132"/>
  <c r="F203" i="132" s="1"/>
  <c r="J203" i="132" s="1"/>
  <c r="A204" i="132"/>
  <c r="F204" i="132" s="1"/>
  <c r="J204" i="132" s="1"/>
  <c r="K216" i="131"/>
  <c r="L216" i="131"/>
  <c r="F198" i="132"/>
  <c r="L215" i="131"/>
  <c r="K215" i="131"/>
  <c r="I206" i="132"/>
  <c r="J206" i="132"/>
  <c r="C205" i="132"/>
  <c r="C204" i="132"/>
  <c r="C202" i="132"/>
  <c r="C201" i="132"/>
  <c r="C200" i="132"/>
  <c r="C199" i="132"/>
  <c r="C198" i="132"/>
  <c r="C206" i="132"/>
  <c r="C203" i="132"/>
  <c r="J200" i="132"/>
  <c r="I200" i="132"/>
  <c r="K218" i="131"/>
  <c r="L218" i="131"/>
  <c r="L198" i="131"/>
  <c r="L207" i="131" s="1"/>
  <c r="I207" i="131"/>
  <c r="K198" i="131"/>
  <c r="K207" i="131" s="1"/>
  <c r="O199" i="131" s="1"/>
  <c r="K214" i="131"/>
  <c r="L214" i="131"/>
  <c r="J199" i="132"/>
  <c r="L213" i="131"/>
  <c r="K213" i="131"/>
  <c r="J202" i="132"/>
  <c r="I202" i="132"/>
  <c r="L219" i="131"/>
  <c r="K219" i="131"/>
  <c r="J220" i="131"/>
  <c r="L212" i="131"/>
  <c r="K212" i="131"/>
  <c r="I220" i="131"/>
  <c r="L211" i="131"/>
  <c r="K211" i="131"/>
  <c r="L217" i="131"/>
  <c r="K217" i="131"/>
  <c r="J205" i="132"/>
  <c r="I205" i="132"/>
  <c r="O129" i="59" a="1"/>
  <c r="Q131" i="59" s="1"/>
  <c r="I203" i="132" l="1"/>
  <c r="I201" i="132"/>
  <c r="I204" i="132"/>
  <c r="K204" i="132" s="1"/>
  <c r="B208" i="132"/>
  <c r="C211" i="132" a="1"/>
  <c r="L206" i="132"/>
  <c r="K206" i="132"/>
  <c r="O198" i="131"/>
  <c r="O200" i="131" s="1"/>
  <c r="K220" i="131"/>
  <c r="J198" i="132"/>
  <c r="J207" i="132" s="1"/>
  <c r="I198" i="132"/>
  <c r="L220" i="131"/>
  <c r="L199" i="132"/>
  <c r="K199" i="132"/>
  <c r="L200" i="132"/>
  <c r="K200" i="132"/>
  <c r="K201" i="132"/>
  <c r="L201" i="132"/>
  <c r="L205" i="132"/>
  <c r="K205" i="132"/>
  <c r="L202" i="132"/>
  <c r="K202" i="132"/>
  <c r="L203" i="132"/>
  <c r="K203" i="132"/>
  <c r="O131" i="59"/>
  <c r="Q129" i="59"/>
  <c r="O130" i="59"/>
  <c r="P129" i="59"/>
  <c r="Q130" i="59"/>
  <c r="O129" i="59"/>
  <c r="A136" i="59" s="1" a="1"/>
  <c r="P130" i="59"/>
  <c r="P131" i="59"/>
  <c r="S129" i="59" a="1"/>
  <c r="L204" i="132" l="1"/>
  <c r="N202" i="131"/>
  <c r="N203" i="131"/>
  <c r="O202" i="131" s="1"/>
  <c r="K198" i="132"/>
  <c r="K207" i="132" s="1"/>
  <c r="I207" i="132"/>
  <c r="L198" i="132"/>
  <c r="L207" i="132" s="1"/>
  <c r="O198" i="132" s="1"/>
  <c r="C219" i="132"/>
  <c r="G219" i="132" s="1"/>
  <c r="C211" i="132"/>
  <c r="G211" i="132" s="1"/>
  <c r="C218" i="132"/>
  <c r="G218" i="132" s="1"/>
  <c r="C216" i="132"/>
  <c r="G216" i="132" s="1"/>
  <c r="C215" i="132"/>
  <c r="G215" i="132" s="1"/>
  <c r="C214" i="132"/>
  <c r="G214" i="132" s="1"/>
  <c r="C213" i="132"/>
  <c r="G213" i="132" s="1"/>
  <c r="C212" i="132"/>
  <c r="G212" i="132" s="1"/>
  <c r="C217" i="132"/>
  <c r="G217" i="132" s="1"/>
  <c r="K136" i="59" a="1"/>
  <c r="M138" i="59" s="1"/>
  <c r="U133" i="59"/>
  <c r="M137" i="59"/>
  <c r="L136" i="59"/>
  <c r="L138" i="59"/>
  <c r="K138" i="59"/>
  <c r="M136" i="59"/>
  <c r="A138" i="59"/>
  <c r="E143" i="59" s="1"/>
  <c r="C136" i="59"/>
  <c r="B138" i="59"/>
  <c r="A137" i="59"/>
  <c r="E142" i="59" s="1"/>
  <c r="B136" i="59"/>
  <c r="C138" i="59"/>
  <c r="A136" i="59"/>
  <c r="B137" i="59"/>
  <c r="C137" i="59"/>
  <c r="S131" i="59"/>
  <c r="U129" i="59"/>
  <c r="T131" i="59"/>
  <c r="S130" i="59"/>
  <c r="T129" i="59"/>
  <c r="U131" i="59"/>
  <c r="S129" i="59"/>
  <c r="U130" i="59"/>
  <c r="T130" i="59"/>
  <c r="I219" i="132" l="1"/>
  <c r="J219" i="132"/>
  <c r="J212" i="132"/>
  <c r="I212" i="132"/>
  <c r="I214" i="132"/>
  <c r="J214" i="132"/>
  <c r="J215" i="132"/>
  <c r="I215" i="132"/>
  <c r="O199" i="132"/>
  <c r="O200" i="132" s="1"/>
  <c r="J216" i="132"/>
  <c r="I216" i="132"/>
  <c r="J218" i="132"/>
  <c r="I218" i="132"/>
  <c r="O203" i="131"/>
  <c r="Q198" i="131" a="1"/>
  <c r="I217" i="132"/>
  <c r="J217" i="132"/>
  <c r="I213" i="132"/>
  <c r="J213" i="132"/>
  <c r="I211" i="132"/>
  <c r="J211" i="132"/>
  <c r="K136" i="59"/>
  <c r="L137" i="59"/>
  <c r="K137" i="59"/>
  <c r="E141" i="59"/>
  <c r="A141" i="59" a="1"/>
  <c r="N203" i="132" l="1"/>
  <c r="O202" i="132" s="1"/>
  <c r="N202" i="132"/>
  <c r="Q206" i="131"/>
  <c r="Q202" i="131"/>
  <c r="Q198" i="131"/>
  <c r="R205" i="131"/>
  <c r="R201" i="131"/>
  <c r="Q205" i="131"/>
  <c r="Q201" i="131"/>
  <c r="R204" i="131"/>
  <c r="R200" i="131"/>
  <c r="Q204" i="131"/>
  <c r="Q200" i="131"/>
  <c r="R203" i="131"/>
  <c r="R199" i="131"/>
  <c r="Q203" i="131"/>
  <c r="Q199" i="131"/>
  <c r="R206" i="131"/>
  <c r="R202" i="131"/>
  <c r="R198" i="131"/>
  <c r="K217" i="132"/>
  <c r="L217" i="132"/>
  <c r="J220" i="132"/>
  <c r="L218" i="132"/>
  <c r="K218" i="132"/>
  <c r="L214" i="132"/>
  <c r="K214" i="132"/>
  <c r="L211" i="132"/>
  <c r="K211" i="132"/>
  <c r="I220" i="132"/>
  <c r="L219" i="132"/>
  <c r="K219" i="132"/>
  <c r="K216" i="132"/>
  <c r="L216" i="132"/>
  <c r="L212" i="132"/>
  <c r="K212" i="132"/>
  <c r="K213" i="132"/>
  <c r="L213" i="132"/>
  <c r="K215" i="132"/>
  <c r="L215" i="132"/>
  <c r="C143" i="59"/>
  <c r="B142" i="59"/>
  <c r="A141" i="59"/>
  <c r="C142" i="59"/>
  <c r="B141" i="59"/>
  <c r="B143" i="59"/>
  <c r="A143" i="59"/>
  <c r="A142" i="59"/>
  <c r="C141" i="59"/>
  <c r="E145" i="59"/>
  <c r="G141" i="59"/>
  <c r="D211" i="131" l="1" a="1"/>
  <c r="D212" i="131" s="1"/>
  <c r="A211" i="131" a="1"/>
  <c r="L220" i="132"/>
  <c r="K220" i="132"/>
  <c r="O203" i="132"/>
  <c r="Q198" i="132" s="1" a="1"/>
  <c r="G142" i="59"/>
  <c r="G143" i="59"/>
  <c r="D217" i="131" l="1"/>
  <c r="D216" i="131"/>
  <c r="D213" i="131"/>
  <c r="D214" i="131"/>
  <c r="D218" i="131"/>
  <c r="D211" i="131"/>
  <c r="D219" i="131"/>
  <c r="D215" i="131"/>
  <c r="D224" i="131" s="1" a="1"/>
  <c r="Q204" i="132"/>
  <c r="Q200" i="132"/>
  <c r="R203" i="132"/>
  <c r="R199" i="132"/>
  <c r="R206" i="132"/>
  <c r="R202" i="132"/>
  <c r="R198" i="132"/>
  <c r="Q206" i="132"/>
  <c r="Q202" i="132"/>
  <c r="Q198" i="132"/>
  <c r="R201" i="132"/>
  <c r="Q201" i="132"/>
  <c r="R200" i="132"/>
  <c r="Q199" i="132"/>
  <c r="R205" i="132"/>
  <c r="Q205" i="132"/>
  <c r="R204" i="132"/>
  <c r="Q203" i="132"/>
  <c r="A218" i="131"/>
  <c r="A217" i="131"/>
  <c r="A216" i="131"/>
  <c r="A219" i="131"/>
  <c r="A215" i="131"/>
  <c r="A214" i="131"/>
  <c r="A213" i="131"/>
  <c r="A212" i="131"/>
  <c r="A211" i="131"/>
  <c r="G145" i="59"/>
  <c r="I141" i="59" s="1"/>
  <c r="D211" i="132" l="1" a="1"/>
  <c r="D217" i="132" s="1"/>
  <c r="A211" i="132" a="1"/>
  <c r="D218" i="132"/>
  <c r="D215" i="132"/>
  <c r="D212" i="132"/>
  <c r="D211" i="132"/>
  <c r="D226" i="131"/>
  <c r="G226" i="131" s="1"/>
  <c r="D225" i="131"/>
  <c r="G225" i="131" s="1"/>
  <c r="D232" i="131"/>
  <c r="G232" i="131" s="1"/>
  <c r="D224" i="131"/>
  <c r="G224" i="131" s="1"/>
  <c r="D227" i="131"/>
  <c r="G227" i="131" s="1"/>
  <c r="D231" i="131"/>
  <c r="G231" i="131" s="1"/>
  <c r="D230" i="131"/>
  <c r="G230" i="131" s="1"/>
  <c r="D229" i="131"/>
  <c r="G229" i="131" s="1"/>
  <c r="D228" i="131"/>
  <c r="G228" i="131" s="1"/>
  <c r="B221" i="131"/>
  <c r="A224" i="131" a="1"/>
  <c r="A215" i="132"/>
  <c r="A214" i="132"/>
  <c r="A212" i="132"/>
  <c r="A219" i="132"/>
  <c r="A211" i="132"/>
  <c r="A218" i="132"/>
  <c r="A217" i="132"/>
  <c r="A216" i="132"/>
  <c r="A213" i="132"/>
  <c r="I142" i="59"/>
  <c r="I143" i="59"/>
  <c r="D219" i="132" l="1"/>
  <c r="D213" i="132"/>
  <c r="D214" i="132"/>
  <c r="D216" i="132"/>
  <c r="D224" i="132" s="1" a="1"/>
  <c r="A232" i="131"/>
  <c r="A224" i="131"/>
  <c r="A231" i="131"/>
  <c r="A230" i="131"/>
  <c r="A229" i="131"/>
  <c r="A228" i="131"/>
  <c r="A227" i="131"/>
  <c r="A226" i="131"/>
  <c r="A225" i="131"/>
  <c r="O212" i="131"/>
  <c r="O211" i="131"/>
  <c r="B221" i="132"/>
  <c r="A224" i="132" a="1"/>
  <c r="K141" i="59" a="1"/>
  <c r="L143" i="59" s="1"/>
  <c r="O213" i="131" l="1"/>
  <c r="D231" i="132"/>
  <c r="G231" i="132" s="1"/>
  <c r="D230" i="132"/>
  <c r="G230" i="132" s="1"/>
  <c r="D228" i="132"/>
  <c r="G228" i="132" s="1"/>
  <c r="D227" i="132"/>
  <c r="G227" i="132" s="1"/>
  <c r="D232" i="132"/>
  <c r="G232" i="132" s="1"/>
  <c r="D229" i="132"/>
  <c r="G229" i="132" s="1"/>
  <c r="D226" i="132"/>
  <c r="G226" i="132" s="1"/>
  <c r="D225" i="132"/>
  <c r="G225" i="132" s="1"/>
  <c r="D224" i="132"/>
  <c r="G224" i="132" s="1"/>
  <c r="N215" i="131"/>
  <c r="N216" i="131"/>
  <c r="O215" i="131" s="1"/>
  <c r="O212" i="132"/>
  <c r="O211" i="132"/>
  <c r="A229" i="132"/>
  <c r="A228" i="132"/>
  <c r="A226" i="132"/>
  <c r="A225" i="132"/>
  <c r="A231" i="132"/>
  <c r="A230" i="132"/>
  <c r="A227" i="132"/>
  <c r="A224" i="132"/>
  <c r="A232" i="132"/>
  <c r="B234" i="131"/>
  <c r="A237" i="131" a="1"/>
  <c r="K143" i="59"/>
  <c r="L142" i="59"/>
  <c r="L141" i="59"/>
  <c r="M143" i="59"/>
  <c r="M141" i="59"/>
  <c r="K142" i="59"/>
  <c r="M142" i="59"/>
  <c r="K141" i="59"/>
  <c r="A148" i="59" s="1" a="1"/>
  <c r="O213" i="132" l="1"/>
  <c r="B234" i="132"/>
  <c r="A237" i="132" a="1"/>
  <c r="A238" i="131"/>
  <c r="A245" i="131"/>
  <c r="A237" i="131"/>
  <c r="A244" i="131"/>
  <c r="A243" i="131"/>
  <c r="A242" i="131"/>
  <c r="A241" i="131"/>
  <c r="A240" i="131"/>
  <c r="A239" i="131"/>
  <c r="O216" i="131"/>
  <c r="Q211" i="131" a="1"/>
  <c r="N216" i="132"/>
  <c r="O215" i="132" s="1"/>
  <c r="N215" i="132"/>
  <c r="O141" i="59" a="1"/>
  <c r="P143" i="59" s="1"/>
  <c r="C149" i="59"/>
  <c r="B148" i="59"/>
  <c r="E148" i="59" s="1"/>
  <c r="C150" i="59"/>
  <c r="A149" i="59"/>
  <c r="B149" i="59"/>
  <c r="E149" i="59" s="1"/>
  <c r="C148" i="59"/>
  <c r="A148" i="59"/>
  <c r="A150" i="59"/>
  <c r="B150" i="59"/>
  <c r="E150" i="59" s="1"/>
  <c r="O216" i="132" l="1"/>
  <c r="Q211" i="132" s="1" a="1"/>
  <c r="A243" i="132"/>
  <c r="A242" i="132"/>
  <c r="A240" i="132"/>
  <c r="A239" i="132"/>
  <c r="A241" i="132"/>
  <c r="A238" i="132"/>
  <c r="A237" i="132"/>
  <c r="A245" i="132"/>
  <c r="A244" i="132"/>
  <c r="Q219" i="131"/>
  <c r="Q215" i="131"/>
  <c r="Q211" i="131"/>
  <c r="R218" i="131"/>
  <c r="R214" i="131"/>
  <c r="Q218" i="131"/>
  <c r="Q214" i="131"/>
  <c r="R216" i="131"/>
  <c r="Q216" i="131"/>
  <c r="R215" i="131"/>
  <c r="R213" i="131"/>
  <c r="Q213" i="131"/>
  <c r="R219" i="131"/>
  <c r="R212" i="131"/>
  <c r="R217" i="131"/>
  <c r="Q212" i="131"/>
  <c r="R211" i="131"/>
  <c r="Q217" i="131"/>
  <c r="B247" i="131"/>
  <c r="A250" i="131" a="1"/>
  <c r="O142" i="59"/>
  <c r="Q143" i="59"/>
  <c r="O143" i="59"/>
  <c r="P141" i="59"/>
  <c r="O141" i="59"/>
  <c r="Q142" i="59"/>
  <c r="P142" i="59"/>
  <c r="Q141" i="59"/>
  <c r="E152" i="59"/>
  <c r="G149" i="59" s="1"/>
  <c r="A254" i="131" l="1"/>
  <c r="F254" i="131" s="1"/>
  <c r="A252" i="131"/>
  <c r="F252" i="131" s="1"/>
  <c r="A251" i="131"/>
  <c r="F251" i="131" s="1"/>
  <c r="A258" i="131"/>
  <c r="F258" i="131" s="1"/>
  <c r="A250" i="131"/>
  <c r="A253" i="131"/>
  <c r="F253" i="131" s="1"/>
  <c r="A257" i="131"/>
  <c r="F257" i="131" s="1"/>
  <c r="A256" i="131"/>
  <c r="F256" i="131" s="1"/>
  <c r="A255" i="131"/>
  <c r="F255" i="131" s="1"/>
  <c r="C224" i="131" a="1"/>
  <c r="R217" i="132"/>
  <c r="R213" i="132"/>
  <c r="Q217" i="132"/>
  <c r="Q213" i="132"/>
  <c r="Q216" i="132"/>
  <c r="Q212" i="132"/>
  <c r="R219" i="132"/>
  <c r="R215" i="132"/>
  <c r="R211" i="132"/>
  <c r="Q215" i="132"/>
  <c r="R214" i="132"/>
  <c r="Q214" i="132"/>
  <c r="R212" i="132"/>
  <c r="Q219" i="132"/>
  <c r="Q211" i="132"/>
  <c r="R218" i="132"/>
  <c r="Q218" i="132"/>
  <c r="R216" i="132"/>
  <c r="B224" i="131" a="1"/>
  <c r="B247" i="132"/>
  <c r="A250" i="132" a="1"/>
  <c r="G150" i="59"/>
  <c r="G152" i="59" s="1"/>
  <c r="I149" i="59" s="1"/>
  <c r="G148" i="59"/>
  <c r="A257" i="132" l="1"/>
  <c r="F257" i="132" s="1"/>
  <c r="A256" i="132"/>
  <c r="F256" i="132" s="1"/>
  <c r="A254" i="132"/>
  <c r="F254" i="132" s="1"/>
  <c r="A253" i="132"/>
  <c r="F253" i="132" s="1"/>
  <c r="A252" i="132"/>
  <c r="F252" i="132" s="1"/>
  <c r="A251" i="132"/>
  <c r="F251" i="132" s="1"/>
  <c r="A250" i="132"/>
  <c r="A258" i="132"/>
  <c r="F258" i="132" s="1"/>
  <c r="A255" i="132"/>
  <c r="F255" i="132" s="1"/>
  <c r="B230" i="131"/>
  <c r="F230" i="131" s="1"/>
  <c r="B229" i="131"/>
  <c r="F229" i="131" s="1"/>
  <c r="B228" i="131"/>
  <c r="F228" i="131" s="1"/>
  <c r="B232" i="131"/>
  <c r="F232" i="131" s="1"/>
  <c r="B231" i="131"/>
  <c r="F231" i="131" s="1"/>
  <c r="B227" i="131"/>
  <c r="F227" i="131" s="1"/>
  <c r="B226" i="131"/>
  <c r="F226" i="131" s="1"/>
  <c r="B225" i="131"/>
  <c r="F225" i="131" s="1"/>
  <c r="B224" i="131"/>
  <c r="F224" i="131" s="1"/>
  <c r="F250" i="131"/>
  <c r="B260" i="131"/>
  <c r="C224" i="132" a="1"/>
  <c r="C228" i="131"/>
  <c r="C227" i="131"/>
  <c r="C226" i="131"/>
  <c r="C232" i="131"/>
  <c r="C231" i="131"/>
  <c r="C230" i="131"/>
  <c r="C229" i="131"/>
  <c r="C225" i="131"/>
  <c r="C224" i="131"/>
  <c r="C237" i="131" s="1" a="1"/>
  <c r="B224" i="132" a="1"/>
  <c r="I150" i="59"/>
  <c r="K148" i="59" s="1" a="1"/>
  <c r="C242" i="131" l="1"/>
  <c r="F242" i="131" s="1"/>
  <c r="C241" i="131"/>
  <c r="F241" i="131" s="1"/>
  <c r="C240" i="131"/>
  <c r="F240" i="131" s="1"/>
  <c r="C237" i="131"/>
  <c r="F237" i="131" s="1"/>
  <c r="C245" i="131"/>
  <c r="F245" i="131" s="1"/>
  <c r="C244" i="131"/>
  <c r="F244" i="131" s="1"/>
  <c r="C243" i="131"/>
  <c r="F243" i="131" s="1"/>
  <c r="C239" i="131"/>
  <c r="F239" i="131" s="1"/>
  <c r="C238" i="131"/>
  <c r="F238" i="131" s="1"/>
  <c r="J229" i="131"/>
  <c r="I229" i="131"/>
  <c r="F250" i="132"/>
  <c r="B260" i="132"/>
  <c r="J230" i="131"/>
  <c r="I230" i="131"/>
  <c r="C225" i="132"/>
  <c r="C232" i="132"/>
  <c r="C224" i="132"/>
  <c r="C230" i="132"/>
  <c r="C229" i="132"/>
  <c r="C227" i="132"/>
  <c r="C226" i="132"/>
  <c r="C231" i="132"/>
  <c r="C228" i="132"/>
  <c r="J224" i="131"/>
  <c r="I224" i="131"/>
  <c r="J226" i="131"/>
  <c r="I226" i="131"/>
  <c r="J228" i="131"/>
  <c r="I228" i="131"/>
  <c r="B227" i="132"/>
  <c r="F227" i="132" s="1"/>
  <c r="B226" i="132"/>
  <c r="F226" i="132" s="1"/>
  <c r="B232" i="132"/>
  <c r="F232" i="132" s="1"/>
  <c r="B224" i="132"/>
  <c r="F224" i="132" s="1"/>
  <c r="B231" i="132"/>
  <c r="F231" i="132" s="1"/>
  <c r="B230" i="132"/>
  <c r="F230" i="132" s="1"/>
  <c r="B229" i="132"/>
  <c r="F229" i="132" s="1"/>
  <c r="B228" i="132"/>
  <c r="F228" i="132" s="1"/>
  <c r="B225" i="132"/>
  <c r="F225" i="132" s="1"/>
  <c r="J227" i="131"/>
  <c r="I227" i="131"/>
  <c r="J231" i="131"/>
  <c r="I231" i="131"/>
  <c r="J225" i="131"/>
  <c r="I225" i="131"/>
  <c r="J232" i="131"/>
  <c r="I232" i="131"/>
  <c r="M149" i="59"/>
  <c r="L148" i="59"/>
  <c r="L150" i="59"/>
  <c r="M148" i="59"/>
  <c r="M150" i="59"/>
  <c r="K149" i="59"/>
  <c r="K148" i="59"/>
  <c r="K150" i="59"/>
  <c r="L149" i="59"/>
  <c r="C237" i="132" l="1" a="1"/>
  <c r="C237" i="132" s="1"/>
  <c r="F237" i="132" s="1"/>
  <c r="L228" i="131"/>
  <c r="K228" i="131"/>
  <c r="J229" i="132"/>
  <c r="I229" i="132"/>
  <c r="I230" i="132"/>
  <c r="J230" i="132"/>
  <c r="K229" i="131"/>
  <c r="L229" i="131"/>
  <c r="I228" i="132"/>
  <c r="J228" i="132"/>
  <c r="I231" i="132"/>
  <c r="J231" i="132"/>
  <c r="C239" i="132"/>
  <c r="F239" i="132" s="1"/>
  <c r="C238" i="132"/>
  <c r="F238" i="132" s="1"/>
  <c r="C244" i="132"/>
  <c r="F244" i="132" s="1"/>
  <c r="C243" i="132"/>
  <c r="F243" i="132" s="1"/>
  <c r="J224" i="132"/>
  <c r="I224" i="132"/>
  <c r="L226" i="131"/>
  <c r="K226" i="131"/>
  <c r="L225" i="131"/>
  <c r="K225" i="131"/>
  <c r="K227" i="131"/>
  <c r="L227" i="131"/>
  <c r="J232" i="132"/>
  <c r="I232" i="132"/>
  <c r="L232" i="131"/>
  <c r="K232" i="131"/>
  <c r="I226" i="132"/>
  <c r="J226" i="132"/>
  <c r="I233" i="131"/>
  <c r="L224" i="131"/>
  <c r="K224" i="131"/>
  <c r="L230" i="131"/>
  <c r="K230" i="131"/>
  <c r="L231" i="131"/>
  <c r="K231" i="131"/>
  <c r="J225" i="132"/>
  <c r="I225" i="132"/>
  <c r="J227" i="132"/>
  <c r="I227" i="132"/>
  <c r="J233" i="131"/>
  <c r="O148" i="59" a="1"/>
  <c r="A155" i="59" a="1"/>
  <c r="C240" i="132" l="1"/>
  <c r="F240" i="132" s="1"/>
  <c r="C241" i="132"/>
  <c r="F241" i="132" s="1"/>
  <c r="C242" i="132"/>
  <c r="F242" i="132" s="1"/>
  <c r="C245" i="132"/>
  <c r="F245" i="132" s="1"/>
  <c r="K225" i="132"/>
  <c r="L225" i="132"/>
  <c r="K233" i="131"/>
  <c r="O225" i="131" s="1"/>
  <c r="L231" i="132"/>
  <c r="K231" i="132"/>
  <c r="L224" i="132"/>
  <c r="I233" i="132"/>
  <c r="K224" i="132"/>
  <c r="L230" i="132"/>
  <c r="K230" i="132"/>
  <c r="J233" i="132"/>
  <c r="L229" i="132"/>
  <c r="K229" i="132"/>
  <c r="L228" i="132"/>
  <c r="K228" i="132"/>
  <c r="L233" i="131"/>
  <c r="O224" i="131" s="1"/>
  <c r="L226" i="132"/>
  <c r="K226" i="132"/>
  <c r="K232" i="132"/>
  <c r="L232" i="132"/>
  <c r="L227" i="132"/>
  <c r="K227" i="132"/>
  <c r="C156" i="59"/>
  <c r="M156" i="59" s="1"/>
  <c r="B155" i="59"/>
  <c r="L155" i="59" s="1"/>
  <c r="A157" i="59"/>
  <c r="A155" i="59"/>
  <c r="K155" i="59" s="1"/>
  <c r="B157" i="59"/>
  <c r="C155" i="59"/>
  <c r="M155" i="59" s="1"/>
  <c r="B156" i="59"/>
  <c r="L156" i="59" s="1"/>
  <c r="A156" i="59"/>
  <c r="C157" i="59"/>
  <c r="M157" i="59" s="1"/>
  <c r="P150" i="59"/>
  <c r="O149" i="59"/>
  <c r="Q150" i="59"/>
  <c r="Q148" i="59"/>
  <c r="P149" i="59"/>
  <c r="P148" i="59"/>
  <c r="O148" i="59"/>
  <c r="Q149" i="59"/>
  <c r="O150" i="59"/>
  <c r="O226" i="131" l="1"/>
  <c r="N228" i="131"/>
  <c r="N229" i="131"/>
  <c r="O228" i="131" s="1"/>
  <c r="K233" i="132"/>
  <c r="O225" i="132" s="1"/>
  <c r="L233" i="132"/>
  <c r="O224" i="132" s="1"/>
  <c r="O226" i="132" s="1"/>
  <c r="O155" i="59" a="1"/>
  <c r="N229" i="132" l="1"/>
  <c r="O228" i="132" s="1"/>
  <c r="N228" i="132"/>
  <c r="O229" i="131"/>
  <c r="Q224" i="131" a="1"/>
  <c r="Q157" i="59"/>
  <c r="P156" i="59"/>
  <c r="O155" i="59"/>
  <c r="O156" i="59"/>
  <c r="Q156" i="59"/>
  <c r="Q155" i="59"/>
  <c r="P155" i="59"/>
  <c r="P157" i="59"/>
  <c r="O157" i="59"/>
  <c r="O229" i="132" l="1"/>
  <c r="Q224" i="132" a="1"/>
  <c r="R232" i="131"/>
  <c r="R228" i="131"/>
  <c r="R224" i="131"/>
  <c r="Q232" i="131"/>
  <c r="Q228" i="131"/>
  <c r="Q224" i="131"/>
  <c r="R231" i="131"/>
  <c r="R227" i="131"/>
  <c r="R229" i="131"/>
  <c r="Q229" i="131"/>
  <c r="Q227" i="131"/>
  <c r="R226" i="131"/>
  <c r="Q226" i="131"/>
  <c r="Q231" i="131"/>
  <c r="R225" i="131"/>
  <c r="R230" i="131"/>
  <c r="Q225" i="131"/>
  <c r="Q230" i="131"/>
  <c r="U159" i="59"/>
  <c r="S155" i="59" a="1"/>
  <c r="A162" i="59" a="1"/>
  <c r="K162" i="59" a="1"/>
  <c r="B237" i="131" l="1" a="1"/>
  <c r="D237" i="131" a="1"/>
  <c r="Q231" i="132"/>
  <c r="Q227" i="132"/>
  <c r="R230" i="132"/>
  <c r="R226" i="132"/>
  <c r="R229" i="132"/>
  <c r="R225" i="132"/>
  <c r="Q229" i="132"/>
  <c r="Q225" i="132"/>
  <c r="Q228" i="132"/>
  <c r="R227" i="132"/>
  <c r="Q226" i="132"/>
  <c r="R232" i="132"/>
  <c r="R224" i="132"/>
  <c r="Q232" i="132"/>
  <c r="Q224" i="132"/>
  <c r="R231" i="132"/>
  <c r="Q230" i="132"/>
  <c r="R228" i="132"/>
  <c r="M164" i="59"/>
  <c r="L163" i="59"/>
  <c r="K162" i="59"/>
  <c r="M163" i="59"/>
  <c r="K164" i="59"/>
  <c r="L162" i="59"/>
  <c r="K163" i="59"/>
  <c r="M162" i="59"/>
  <c r="L164" i="59"/>
  <c r="S157" i="59"/>
  <c r="U155" i="59"/>
  <c r="T156" i="59"/>
  <c r="U156" i="59"/>
  <c r="S155" i="59"/>
  <c r="S156" i="59"/>
  <c r="T155" i="59"/>
  <c r="T157" i="59"/>
  <c r="U157" i="59"/>
  <c r="B164" i="59"/>
  <c r="A163" i="59"/>
  <c r="E168" i="59" s="1"/>
  <c r="C164" i="59"/>
  <c r="C162" i="59"/>
  <c r="B162" i="59"/>
  <c r="B163" i="59"/>
  <c r="A162" i="59"/>
  <c r="C163" i="59"/>
  <c r="A164" i="59"/>
  <c r="E169" i="59" s="1"/>
  <c r="B237" i="132" l="1" a="1"/>
  <c r="B241" i="132" s="1"/>
  <c r="D237" i="132" a="1"/>
  <c r="B244" i="131"/>
  <c r="B243" i="131"/>
  <c r="B242" i="131"/>
  <c r="B245" i="131"/>
  <c r="B241" i="131"/>
  <c r="B240" i="131"/>
  <c r="B239" i="131"/>
  <c r="B238" i="131"/>
  <c r="B237" i="131"/>
  <c r="D240" i="131"/>
  <c r="G240" i="131" s="1"/>
  <c r="D239" i="131"/>
  <c r="G239" i="131" s="1"/>
  <c r="D238" i="131"/>
  <c r="G238" i="131" s="1"/>
  <c r="D241" i="131"/>
  <c r="G241" i="131" s="1"/>
  <c r="D237" i="131"/>
  <c r="G237" i="131" s="1"/>
  <c r="D245" i="131"/>
  <c r="G245" i="131" s="1"/>
  <c r="D244" i="131"/>
  <c r="G244" i="131" s="1"/>
  <c r="D243" i="131"/>
  <c r="G243" i="131" s="1"/>
  <c r="D242" i="131"/>
  <c r="G242" i="131" s="1"/>
  <c r="E167" i="59"/>
  <c r="A167" i="59" a="1"/>
  <c r="B242" i="132" l="1"/>
  <c r="B243" i="132"/>
  <c r="B244" i="132"/>
  <c r="B237" i="132"/>
  <c r="B245" i="132"/>
  <c r="B238" i="132"/>
  <c r="B240" i="132"/>
  <c r="B239" i="132"/>
  <c r="J244" i="131"/>
  <c r="I244" i="131"/>
  <c r="I237" i="131"/>
  <c r="J237" i="131"/>
  <c r="J241" i="131"/>
  <c r="I241" i="131"/>
  <c r="I238" i="131"/>
  <c r="J238" i="131"/>
  <c r="I239" i="131"/>
  <c r="J239" i="131"/>
  <c r="J240" i="131"/>
  <c r="I240" i="131"/>
  <c r="J242" i="131"/>
  <c r="I242" i="131"/>
  <c r="J243" i="131"/>
  <c r="I243" i="131"/>
  <c r="B250" i="131" a="1"/>
  <c r="D245" i="132"/>
  <c r="G245" i="132" s="1"/>
  <c r="D237" i="132"/>
  <c r="G237" i="132" s="1"/>
  <c r="D244" i="132"/>
  <c r="G244" i="132" s="1"/>
  <c r="D242" i="132"/>
  <c r="G242" i="132" s="1"/>
  <c r="D241" i="132"/>
  <c r="G241" i="132" s="1"/>
  <c r="D243" i="132"/>
  <c r="G243" i="132" s="1"/>
  <c r="D240" i="132"/>
  <c r="G240" i="132" s="1"/>
  <c r="D239" i="132"/>
  <c r="G239" i="132" s="1"/>
  <c r="D238" i="132"/>
  <c r="G238" i="132" s="1"/>
  <c r="I245" i="131"/>
  <c r="J245" i="131"/>
  <c r="E171" i="59"/>
  <c r="C168" i="59"/>
  <c r="B167" i="59"/>
  <c r="C169" i="59"/>
  <c r="A168" i="59"/>
  <c r="A169" i="59"/>
  <c r="B169" i="59"/>
  <c r="A167" i="59"/>
  <c r="B168" i="59"/>
  <c r="C167" i="59"/>
  <c r="B250" i="132" l="1" a="1"/>
  <c r="L239" i="131"/>
  <c r="K239" i="131"/>
  <c r="J243" i="132"/>
  <c r="I243" i="132"/>
  <c r="L244" i="131"/>
  <c r="K244" i="131"/>
  <c r="J241" i="132"/>
  <c r="I241" i="132"/>
  <c r="K242" i="131"/>
  <c r="L242" i="131"/>
  <c r="L238" i="131"/>
  <c r="K238" i="131"/>
  <c r="B252" i="131"/>
  <c r="G252" i="131" s="1"/>
  <c r="B258" i="131"/>
  <c r="G258" i="131" s="1"/>
  <c r="B250" i="131"/>
  <c r="G250" i="131" s="1"/>
  <c r="B257" i="131"/>
  <c r="G257" i="131" s="1"/>
  <c r="B256" i="131"/>
  <c r="G256" i="131" s="1"/>
  <c r="B255" i="131"/>
  <c r="G255" i="131" s="1"/>
  <c r="B254" i="131"/>
  <c r="G254" i="131" s="1"/>
  <c r="B253" i="131"/>
  <c r="G253" i="131" s="1"/>
  <c r="B251" i="131"/>
  <c r="G251" i="131" s="1"/>
  <c r="K243" i="131"/>
  <c r="L243" i="131"/>
  <c r="I242" i="132"/>
  <c r="J242" i="132"/>
  <c r="K241" i="131"/>
  <c r="L241" i="131"/>
  <c r="I239" i="132"/>
  <c r="J239" i="132"/>
  <c r="J244" i="132"/>
  <c r="I244" i="132"/>
  <c r="L240" i="131"/>
  <c r="K240" i="131"/>
  <c r="J240" i="132"/>
  <c r="I240" i="132"/>
  <c r="J237" i="132"/>
  <c r="I237" i="132"/>
  <c r="J246" i="131"/>
  <c r="L245" i="131"/>
  <c r="K245" i="131"/>
  <c r="J238" i="132"/>
  <c r="I238" i="132"/>
  <c r="J245" i="132"/>
  <c r="I245" i="132"/>
  <c r="I246" i="131"/>
  <c r="L237" i="131"/>
  <c r="K237" i="131"/>
  <c r="G169" i="59"/>
  <c r="G168" i="59"/>
  <c r="G167" i="59"/>
  <c r="B254" i="132" l="1"/>
  <c r="G254" i="132" s="1"/>
  <c r="B252" i="132"/>
  <c r="G252" i="132" s="1"/>
  <c r="B251" i="132"/>
  <c r="G251" i="132" s="1"/>
  <c r="B255" i="132"/>
  <c r="G255" i="132" s="1"/>
  <c r="B250" i="132"/>
  <c r="G250" i="132" s="1"/>
  <c r="B258" i="132"/>
  <c r="G258" i="132" s="1"/>
  <c r="B257" i="132"/>
  <c r="G257" i="132" s="1"/>
  <c r="B256" i="132"/>
  <c r="G256" i="132" s="1"/>
  <c r="B253" i="132"/>
  <c r="G253" i="132" s="1"/>
  <c r="L238" i="132"/>
  <c r="K238" i="132"/>
  <c r="J255" i="131"/>
  <c r="I255" i="131"/>
  <c r="L245" i="132"/>
  <c r="K245" i="132"/>
  <c r="K237" i="132"/>
  <c r="L237" i="132"/>
  <c r="I246" i="132"/>
  <c r="L244" i="132"/>
  <c r="K244" i="132"/>
  <c r="J256" i="131"/>
  <c r="I256" i="131"/>
  <c r="J246" i="132"/>
  <c r="L242" i="132"/>
  <c r="K242" i="132"/>
  <c r="J257" i="131"/>
  <c r="I257" i="131"/>
  <c r="L243" i="132"/>
  <c r="K243" i="132"/>
  <c r="J253" i="131"/>
  <c r="I253" i="131"/>
  <c r="J254" i="131"/>
  <c r="I254" i="131"/>
  <c r="L246" i="131"/>
  <c r="O237" i="131" s="1"/>
  <c r="K240" i="132"/>
  <c r="L240" i="132"/>
  <c r="J250" i="131"/>
  <c r="I250" i="131"/>
  <c r="L239" i="132"/>
  <c r="K239" i="132"/>
  <c r="J258" i="131"/>
  <c r="I258" i="131"/>
  <c r="L241" i="132"/>
  <c r="K241" i="132"/>
  <c r="K246" i="131"/>
  <c r="O238" i="131" s="1"/>
  <c r="J251" i="131"/>
  <c r="I251" i="131"/>
  <c r="I252" i="131"/>
  <c r="J252" i="131"/>
  <c r="G171" i="59"/>
  <c r="I167" i="59" s="1"/>
  <c r="O239" i="131" l="1"/>
  <c r="J256" i="132"/>
  <c r="I256" i="132"/>
  <c r="I257" i="132"/>
  <c r="J257" i="132"/>
  <c r="I258" i="132"/>
  <c r="J258" i="132"/>
  <c r="I250" i="132"/>
  <c r="J250" i="132"/>
  <c r="J255" i="132"/>
  <c r="I255" i="132"/>
  <c r="J251" i="132"/>
  <c r="I251" i="132"/>
  <c r="I252" i="132"/>
  <c r="J252" i="132"/>
  <c r="J253" i="132"/>
  <c r="I253" i="132"/>
  <c r="I254" i="132"/>
  <c r="J254" i="132"/>
  <c r="L246" i="132"/>
  <c r="O237" i="132" s="1"/>
  <c r="L251" i="131"/>
  <c r="K251" i="131"/>
  <c r="L255" i="131"/>
  <c r="K255" i="131"/>
  <c r="L258" i="131"/>
  <c r="K258" i="131"/>
  <c r="J259" i="131"/>
  <c r="L256" i="131"/>
  <c r="K256" i="131"/>
  <c r="L257" i="131"/>
  <c r="K257" i="131"/>
  <c r="L250" i="131"/>
  <c r="K250" i="131"/>
  <c r="I259" i="131"/>
  <c r="N242" i="131"/>
  <c r="O241" i="131" s="1"/>
  <c r="N241" i="131"/>
  <c r="L254" i="131"/>
  <c r="K254" i="131"/>
  <c r="L253" i="131"/>
  <c r="K253" i="131"/>
  <c r="K246" i="132"/>
  <c r="O238" i="132" s="1"/>
  <c r="K252" i="131"/>
  <c r="L252" i="131"/>
  <c r="I168" i="59"/>
  <c r="I169" i="59"/>
  <c r="K167" i="59" s="1" a="1"/>
  <c r="J259" i="132" l="1"/>
  <c r="K250" i="132"/>
  <c r="I259" i="132"/>
  <c r="L250" i="132"/>
  <c r="K252" i="132"/>
  <c r="L252" i="132"/>
  <c r="L258" i="132"/>
  <c r="K258" i="132"/>
  <c r="L251" i="132"/>
  <c r="K251" i="132"/>
  <c r="O239" i="132"/>
  <c r="K257" i="132"/>
  <c r="L257" i="132"/>
  <c r="L255" i="132"/>
  <c r="K255" i="132"/>
  <c r="L256" i="132"/>
  <c r="K256" i="132"/>
  <c r="L253" i="132"/>
  <c r="K253" i="132"/>
  <c r="K254" i="132"/>
  <c r="L254" i="132"/>
  <c r="N242" i="132"/>
  <c r="O241" i="132" s="1"/>
  <c r="N241" i="132"/>
  <c r="L259" i="131"/>
  <c r="O250" i="131" s="1"/>
  <c r="K259" i="131"/>
  <c r="O251" i="131" s="1"/>
  <c r="O242" i="131"/>
  <c r="Q237" i="131" a="1"/>
  <c r="M169" i="59"/>
  <c r="L168" i="59"/>
  <c r="K167" i="59"/>
  <c r="K169" i="59"/>
  <c r="L167" i="59"/>
  <c r="L169" i="59"/>
  <c r="M167" i="59"/>
  <c r="M168" i="59"/>
  <c r="K168" i="59"/>
  <c r="L259" i="132" l="1"/>
  <c r="O250" i="132" s="1"/>
  <c r="K259" i="132"/>
  <c r="O251" i="132" s="1"/>
  <c r="O252" i="131"/>
  <c r="Q242" i="131"/>
  <c r="Q238" i="131"/>
  <c r="R245" i="131"/>
  <c r="R241" i="131"/>
  <c r="R237" i="131"/>
  <c r="Q245" i="131"/>
  <c r="Q241" i="131"/>
  <c r="Q237" i="131"/>
  <c r="Q243" i="131"/>
  <c r="R242" i="131"/>
  <c r="R240" i="131"/>
  <c r="Q240" i="131"/>
  <c r="R239" i="131"/>
  <c r="R244" i="131"/>
  <c r="Q239" i="131"/>
  <c r="Q244" i="131"/>
  <c r="R238" i="131"/>
  <c r="R243" i="131"/>
  <c r="O242" i="132"/>
  <c r="Q237" i="132" s="1" a="1"/>
  <c r="A174" i="59" a="1"/>
  <c r="O167" i="59" a="1"/>
  <c r="D250" i="131" l="1" a="1"/>
  <c r="D258" i="131" s="1"/>
  <c r="O252" i="132"/>
  <c r="C250" i="131" a="1"/>
  <c r="C258" i="131" s="1"/>
  <c r="R244" i="132"/>
  <c r="R240" i="132"/>
  <c r="Q244" i="132"/>
  <c r="Q240" i="132"/>
  <c r="Q243" i="132"/>
  <c r="Q239" i="132"/>
  <c r="R242" i="132"/>
  <c r="R238" i="132"/>
  <c r="R239" i="132"/>
  <c r="Q238" i="132"/>
  <c r="R245" i="132"/>
  <c r="R237" i="132"/>
  <c r="Q245" i="132"/>
  <c r="Q237" i="132"/>
  <c r="R243" i="132"/>
  <c r="Q242" i="132"/>
  <c r="R241" i="132"/>
  <c r="Q241" i="132"/>
  <c r="D252" i="131"/>
  <c r="D255" i="131"/>
  <c r="D251" i="131"/>
  <c r="D250" i="131"/>
  <c r="N254" i="131"/>
  <c r="N255" i="131"/>
  <c r="O254" i="131" s="1"/>
  <c r="O169" i="59"/>
  <c r="Q167" i="59"/>
  <c r="P169" i="59"/>
  <c r="P167" i="59"/>
  <c r="P168" i="59"/>
  <c r="Q168" i="59"/>
  <c r="Q169" i="59"/>
  <c r="O167" i="59"/>
  <c r="O168" i="59"/>
  <c r="C176" i="59"/>
  <c r="B175" i="59"/>
  <c r="E175" i="59" s="1"/>
  <c r="A174" i="59"/>
  <c r="C175" i="59"/>
  <c r="B176" i="59"/>
  <c r="E176" i="59" s="1"/>
  <c r="B174" i="59"/>
  <c r="E174" i="59" s="1"/>
  <c r="C174" i="59"/>
  <c r="A176" i="59"/>
  <c r="A175" i="59"/>
  <c r="D257" i="131" l="1"/>
  <c r="C253" i="131"/>
  <c r="C257" i="131"/>
  <c r="C252" i="131"/>
  <c r="D253" i="131"/>
  <c r="C254" i="131"/>
  <c r="D254" i="131"/>
  <c r="D263" i="131" s="1" a="1"/>
  <c r="C255" i="131"/>
  <c r="D256" i="131"/>
  <c r="N254" i="132"/>
  <c r="N255" i="132"/>
  <c r="O254" i="132" s="1"/>
  <c r="C256" i="131"/>
  <c r="C250" i="131"/>
  <c r="C251" i="131"/>
  <c r="C250" i="132" a="1"/>
  <c r="O255" i="131"/>
  <c r="Q250" i="131" s="1" a="1"/>
  <c r="D250" i="132" a="1"/>
  <c r="E178" i="59"/>
  <c r="G174" i="59" s="1"/>
  <c r="D267" i="131" l="1"/>
  <c r="D268" i="131"/>
  <c r="D271" i="131"/>
  <c r="D265" i="131"/>
  <c r="O255" i="132"/>
  <c r="Q250" i="132" a="1"/>
  <c r="D270" i="131"/>
  <c r="D264" i="131"/>
  <c r="D269" i="131"/>
  <c r="D263" i="131"/>
  <c r="C263" i="131" a="1"/>
  <c r="D266" i="131"/>
  <c r="D251" i="132"/>
  <c r="D258" i="132"/>
  <c r="D250" i="132"/>
  <c r="D256" i="132"/>
  <c r="D255" i="132"/>
  <c r="D254" i="132"/>
  <c r="D253" i="132"/>
  <c r="D252" i="132"/>
  <c r="D257" i="132"/>
  <c r="C253" i="132"/>
  <c r="C252" i="132"/>
  <c r="C258" i="132"/>
  <c r="C250" i="132"/>
  <c r="C257" i="132"/>
  <c r="C256" i="132"/>
  <c r="C255" i="132"/>
  <c r="C254" i="132"/>
  <c r="C251" i="132"/>
  <c r="R257" i="131"/>
  <c r="R253" i="131"/>
  <c r="R256" i="131"/>
  <c r="R252" i="131"/>
  <c r="R255" i="131"/>
  <c r="R251" i="131"/>
  <c r="Q255" i="131"/>
  <c r="Q251" i="131"/>
  <c r="R258" i="131"/>
  <c r="R254" i="131"/>
  <c r="R250" i="131"/>
  <c r="Q253" i="131"/>
  <c r="Q252" i="131"/>
  <c r="Q250" i="131"/>
  <c r="Q258" i="131"/>
  <c r="Q257" i="131"/>
  <c r="Q256" i="131"/>
  <c r="Q254" i="131"/>
  <c r="G175" i="59"/>
  <c r="G176" i="59"/>
  <c r="G178" i="59" s="1"/>
  <c r="I175" i="59" s="1"/>
  <c r="I176" i="59" s="1"/>
  <c r="A263" i="131" l="1" a="1"/>
  <c r="D276" i="131" a="1"/>
  <c r="D284" i="131" s="1"/>
  <c r="G284" i="131" s="1"/>
  <c r="R256" i="132"/>
  <c r="R252" i="132"/>
  <c r="R255" i="132"/>
  <c r="Q256" i="132"/>
  <c r="Q251" i="132"/>
  <c r="R257" i="132"/>
  <c r="Q255" i="132"/>
  <c r="Q258" i="132"/>
  <c r="Q252" i="132"/>
  <c r="R254" i="132"/>
  <c r="Q254" i="132"/>
  <c r="R251" i="132"/>
  <c r="Q250" i="132"/>
  <c r="R258" i="132"/>
  <c r="Q253" i="132"/>
  <c r="R253" i="132"/>
  <c r="R250" i="132"/>
  <c r="Q257" i="132"/>
  <c r="D279" i="131"/>
  <c r="G279" i="131" s="1"/>
  <c r="D277" i="131"/>
  <c r="G277" i="131" s="1"/>
  <c r="D283" i="131"/>
  <c r="G283" i="131" s="1"/>
  <c r="B263" i="131" a="1"/>
  <c r="B270" i="131" s="1"/>
  <c r="C263" i="132" a="1"/>
  <c r="C267" i="132" s="1"/>
  <c r="G267" i="132" s="1"/>
  <c r="C264" i="131"/>
  <c r="G264" i="131" s="1"/>
  <c r="C270" i="131"/>
  <c r="G270" i="131" s="1"/>
  <c r="C268" i="131"/>
  <c r="G268" i="131" s="1"/>
  <c r="C266" i="131"/>
  <c r="G266" i="131" s="1"/>
  <c r="C269" i="131"/>
  <c r="G269" i="131" s="1"/>
  <c r="C263" i="131"/>
  <c r="G263" i="131" s="1"/>
  <c r="C271" i="131"/>
  <c r="G271" i="131" s="1"/>
  <c r="C267" i="131"/>
  <c r="G267" i="131" s="1"/>
  <c r="C265" i="131"/>
  <c r="G265" i="131" s="1"/>
  <c r="A270" i="131"/>
  <c r="F270" i="131" s="1"/>
  <c r="A268" i="131"/>
  <c r="F268" i="131" s="1"/>
  <c r="A266" i="131"/>
  <c r="F266" i="131" s="1"/>
  <c r="A265" i="131"/>
  <c r="F265" i="131" s="1"/>
  <c r="A264" i="131"/>
  <c r="F264" i="131" s="1"/>
  <c r="A271" i="131"/>
  <c r="F271" i="131" s="1"/>
  <c r="A269" i="131"/>
  <c r="F269" i="131" s="1"/>
  <c r="A267" i="131"/>
  <c r="F267" i="131" s="1"/>
  <c r="A263" i="131"/>
  <c r="D263" i="132" a="1"/>
  <c r="K174" i="59" a="1"/>
  <c r="B264" i="131" l="1"/>
  <c r="D276" i="131"/>
  <c r="G276" i="131" s="1"/>
  <c r="D278" i="131"/>
  <c r="G278" i="131" s="1"/>
  <c r="D282" i="131"/>
  <c r="G282" i="131" s="1"/>
  <c r="D281" i="131"/>
  <c r="G281" i="131" s="1"/>
  <c r="B263" i="131"/>
  <c r="D280" i="131"/>
  <c r="G280" i="131" s="1"/>
  <c r="B271" i="131"/>
  <c r="A263" i="132" a="1"/>
  <c r="B266" i="131"/>
  <c r="C270" i="132"/>
  <c r="G270" i="132" s="1"/>
  <c r="B263" i="132" a="1"/>
  <c r="C268" i="132"/>
  <c r="G268" i="132" s="1"/>
  <c r="C263" i="132"/>
  <c r="G263" i="132" s="1"/>
  <c r="B265" i="131"/>
  <c r="B276" i="131" s="1" a="1"/>
  <c r="B268" i="131"/>
  <c r="C264" i="132"/>
  <c r="G264" i="132" s="1"/>
  <c r="C271" i="132"/>
  <c r="G271" i="132" s="1"/>
  <c r="B267" i="131"/>
  <c r="C265" i="132"/>
  <c r="G265" i="132" s="1"/>
  <c r="B269" i="131"/>
  <c r="C266" i="132"/>
  <c r="G266" i="132" s="1"/>
  <c r="C269" i="132"/>
  <c r="G269" i="132" s="1"/>
  <c r="D265" i="132"/>
  <c r="D264" i="132"/>
  <c r="D271" i="132"/>
  <c r="D263" i="132"/>
  <c r="D270" i="132"/>
  <c r="D269" i="132"/>
  <c r="D268" i="132"/>
  <c r="D267" i="132"/>
  <c r="D266" i="132"/>
  <c r="I268" i="131"/>
  <c r="J268" i="131"/>
  <c r="F263" i="131"/>
  <c r="B273" i="131"/>
  <c r="I270" i="131"/>
  <c r="J270" i="131"/>
  <c r="I267" i="131"/>
  <c r="J267" i="131"/>
  <c r="I269" i="131"/>
  <c r="J269" i="131"/>
  <c r="I271" i="131"/>
  <c r="J271" i="131"/>
  <c r="J265" i="131"/>
  <c r="I265" i="131"/>
  <c r="I264" i="131"/>
  <c r="J264" i="131"/>
  <c r="J266" i="131"/>
  <c r="I266" i="131"/>
  <c r="M176" i="59"/>
  <c r="L175" i="59"/>
  <c r="K174" i="59"/>
  <c r="K175" i="59"/>
  <c r="M174" i="59"/>
  <c r="M175" i="59"/>
  <c r="L176" i="59"/>
  <c r="K176" i="59"/>
  <c r="L174" i="59"/>
  <c r="B271" i="132" l="1"/>
  <c r="B265" i="132"/>
  <c r="B267" i="132"/>
  <c r="B264" i="132"/>
  <c r="B270" i="132"/>
  <c r="B268" i="132"/>
  <c r="B263" i="132"/>
  <c r="B276" i="132" s="1" a="1"/>
  <c r="B266" i="132"/>
  <c r="B269" i="132"/>
  <c r="A263" i="132"/>
  <c r="A270" i="132"/>
  <c r="F270" i="132" s="1"/>
  <c r="I270" i="132" s="1"/>
  <c r="A267" i="132"/>
  <c r="F267" i="132" s="1"/>
  <c r="A264" i="132"/>
  <c r="F264" i="132" s="1"/>
  <c r="J264" i="132" s="1"/>
  <c r="A269" i="132"/>
  <c r="F269" i="132" s="1"/>
  <c r="I269" i="132" s="1"/>
  <c r="A265" i="132"/>
  <c r="F265" i="132" s="1"/>
  <c r="I265" i="132" s="1"/>
  <c r="A268" i="132"/>
  <c r="F268" i="132" s="1"/>
  <c r="I268" i="132" s="1"/>
  <c r="A271" i="132"/>
  <c r="F271" i="132" s="1"/>
  <c r="A266" i="132"/>
  <c r="F266" i="132" s="1"/>
  <c r="J266" i="132" s="1"/>
  <c r="I271" i="132"/>
  <c r="J271" i="132"/>
  <c r="L269" i="131"/>
  <c r="K269" i="131"/>
  <c r="K266" i="131"/>
  <c r="L266" i="131"/>
  <c r="K271" i="131"/>
  <c r="L271" i="131"/>
  <c r="J263" i="131"/>
  <c r="J272" i="131" s="1"/>
  <c r="I263" i="131"/>
  <c r="B282" i="131"/>
  <c r="B280" i="131"/>
  <c r="B278" i="131"/>
  <c r="B277" i="131"/>
  <c r="B284" i="131"/>
  <c r="B276" i="131"/>
  <c r="B283" i="131"/>
  <c r="B281" i="131"/>
  <c r="B279" i="131"/>
  <c r="K264" i="131"/>
  <c r="L264" i="131"/>
  <c r="L267" i="131"/>
  <c r="K267" i="131"/>
  <c r="D276" i="132" a="1"/>
  <c r="L265" i="131"/>
  <c r="K265" i="131"/>
  <c r="K270" i="131"/>
  <c r="L270" i="131"/>
  <c r="L268" i="131"/>
  <c r="K268" i="131"/>
  <c r="O174" i="59" a="1"/>
  <c r="A181" i="59" a="1"/>
  <c r="J265" i="132" l="1"/>
  <c r="B282" i="132"/>
  <c r="B276" i="132"/>
  <c r="B283" i="132"/>
  <c r="B278" i="132"/>
  <c r="B284" i="132"/>
  <c r="B281" i="132"/>
  <c r="B279" i="132"/>
  <c r="B277" i="132"/>
  <c r="B280" i="132"/>
  <c r="J269" i="132"/>
  <c r="K269" i="132" s="1"/>
  <c r="I264" i="132"/>
  <c r="I267" i="132"/>
  <c r="J267" i="132"/>
  <c r="L270" i="132"/>
  <c r="K270" i="132"/>
  <c r="F263" i="132"/>
  <c r="B273" i="132"/>
  <c r="J270" i="132"/>
  <c r="I266" i="132"/>
  <c r="J268" i="132"/>
  <c r="K266" i="132"/>
  <c r="L266" i="132"/>
  <c r="L269" i="132"/>
  <c r="K265" i="132"/>
  <c r="L265" i="132"/>
  <c r="B289" i="131" a="1"/>
  <c r="B293" i="131" s="1"/>
  <c r="F293" i="131" s="1"/>
  <c r="L264" i="132"/>
  <c r="K264" i="132"/>
  <c r="K271" i="132"/>
  <c r="L271" i="132"/>
  <c r="I272" i="131"/>
  <c r="K263" i="131"/>
  <c r="K272" i="131" s="1"/>
  <c r="L263" i="131"/>
  <c r="L272" i="131" s="1"/>
  <c r="D282" i="132"/>
  <c r="G282" i="132" s="1"/>
  <c r="D283" i="132"/>
  <c r="G283" i="132" s="1"/>
  <c r="D279" i="132"/>
  <c r="G279" i="132" s="1"/>
  <c r="D278" i="132"/>
  <c r="G278" i="132" s="1"/>
  <c r="D277" i="132"/>
  <c r="G277" i="132" s="1"/>
  <c r="D276" i="132"/>
  <c r="G276" i="132" s="1"/>
  <c r="D284" i="132"/>
  <c r="G284" i="132" s="1"/>
  <c r="D281" i="132"/>
  <c r="G281" i="132" s="1"/>
  <c r="D280" i="132"/>
  <c r="G280" i="132" s="1"/>
  <c r="C183" i="59"/>
  <c r="M183" i="59" s="1"/>
  <c r="B182" i="59"/>
  <c r="L182" i="59" s="1"/>
  <c r="A181" i="59"/>
  <c r="K181" i="59" s="1"/>
  <c r="B183" i="59"/>
  <c r="C181" i="59"/>
  <c r="M181" i="59" s="1"/>
  <c r="A182" i="59"/>
  <c r="C182" i="59"/>
  <c r="M182" i="59" s="1"/>
  <c r="A183" i="59"/>
  <c r="B181" i="59"/>
  <c r="L181" i="59" s="1"/>
  <c r="O176" i="59"/>
  <c r="Q174" i="59"/>
  <c r="P175" i="59"/>
  <c r="P176" i="59"/>
  <c r="O174" i="59"/>
  <c r="Q176" i="59"/>
  <c r="P174" i="59"/>
  <c r="Q175" i="59"/>
  <c r="O175" i="59"/>
  <c r="B295" i="131" l="1"/>
  <c r="F295" i="131" s="1"/>
  <c r="B297" i="131"/>
  <c r="F297" i="131" s="1"/>
  <c r="B290" i="131"/>
  <c r="F290" i="131" s="1"/>
  <c r="K268" i="132"/>
  <c r="L268" i="132"/>
  <c r="K267" i="132"/>
  <c r="L267" i="132"/>
  <c r="B289" i="132" a="1"/>
  <c r="J263" i="132"/>
  <c r="J272" i="132" s="1"/>
  <c r="I263" i="132"/>
  <c r="O264" i="131"/>
  <c r="B291" i="131"/>
  <c r="F291" i="131" s="1"/>
  <c r="B292" i="131"/>
  <c r="F292" i="131" s="1"/>
  <c r="B294" i="131"/>
  <c r="F294" i="131" s="1"/>
  <c r="B289" i="131"/>
  <c r="F289" i="131" s="1"/>
  <c r="B296" i="131"/>
  <c r="F296" i="131" s="1"/>
  <c r="O263" i="131"/>
  <c r="O181" i="59" a="1"/>
  <c r="L263" i="132" l="1"/>
  <c r="L272" i="132" s="1"/>
  <c r="K263" i="132"/>
  <c r="K272" i="132" s="1"/>
  <c r="I272" i="132"/>
  <c r="O265" i="131"/>
  <c r="N267" i="131" s="1"/>
  <c r="B296" i="132"/>
  <c r="F296" i="132" s="1"/>
  <c r="B294" i="132"/>
  <c r="F294" i="132" s="1"/>
  <c r="B292" i="132"/>
  <c r="F292" i="132" s="1"/>
  <c r="B295" i="132"/>
  <c r="F295" i="132" s="1"/>
  <c r="B293" i="132"/>
  <c r="F293" i="132" s="1"/>
  <c r="B291" i="132"/>
  <c r="F291" i="132" s="1"/>
  <c r="B290" i="132"/>
  <c r="F290" i="132" s="1"/>
  <c r="B297" i="132"/>
  <c r="F297" i="132" s="1"/>
  <c r="B289" i="132"/>
  <c r="F289" i="132" s="1"/>
  <c r="N268" i="131"/>
  <c r="O267" i="131" s="1"/>
  <c r="O268" i="131"/>
  <c r="Q263" i="131" a="1"/>
  <c r="P183" i="59"/>
  <c r="O182" i="59"/>
  <c r="Q182" i="59"/>
  <c r="O181" i="59"/>
  <c r="P182" i="59"/>
  <c r="O183" i="59"/>
  <c r="Q183" i="59"/>
  <c r="Q181" i="59"/>
  <c r="P181" i="59"/>
  <c r="O264" i="132" l="1"/>
  <c r="O263" i="132"/>
  <c r="O265" i="132" s="1"/>
  <c r="Q271" i="131"/>
  <c r="Q267" i="131"/>
  <c r="Q263" i="131"/>
  <c r="Q270" i="131"/>
  <c r="Q266" i="131"/>
  <c r="Q269" i="131"/>
  <c r="Q265" i="131"/>
  <c r="R268" i="131"/>
  <c r="R264" i="131"/>
  <c r="Q268" i="131"/>
  <c r="Q264" i="131"/>
  <c r="R265" i="131"/>
  <c r="R263" i="131"/>
  <c r="R271" i="131"/>
  <c r="R270" i="131"/>
  <c r="R269" i="131"/>
  <c r="R267" i="131"/>
  <c r="R266" i="131"/>
  <c r="A188" i="59" a="1"/>
  <c r="S181" i="59" a="1"/>
  <c r="U185" i="59"/>
  <c r="K188" i="59" a="1"/>
  <c r="N268" i="132" l="1"/>
  <c r="O267" i="132" s="1"/>
  <c r="N267" i="132"/>
  <c r="A276" i="131" a="1"/>
  <c r="A283" i="131" s="1"/>
  <c r="F283" i="131" s="1"/>
  <c r="C276" i="131" a="1"/>
  <c r="C282" i="131" s="1"/>
  <c r="U182" i="59"/>
  <c r="T181" i="59"/>
  <c r="S183" i="59"/>
  <c r="S181" i="59"/>
  <c r="U183" i="59"/>
  <c r="U181" i="59"/>
  <c r="S182" i="59"/>
  <c r="T182" i="59"/>
  <c r="T183" i="59"/>
  <c r="K190" i="59"/>
  <c r="M190" i="59"/>
  <c r="K189" i="59"/>
  <c r="L190" i="59"/>
  <c r="L188" i="59"/>
  <c r="M189" i="59"/>
  <c r="K188" i="59"/>
  <c r="L189" i="59"/>
  <c r="M188" i="59"/>
  <c r="C190" i="59"/>
  <c r="B189" i="59"/>
  <c r="A188" i="59"/>
  <c r="C189" i="59"/>
  <c r="B190" i="59"/>
  <c r="B188" i="59"/>
  <c r="C188" i="59"/>
  <c r="A189" i="59"/>
  <c r="E194" i="59" s="1"/>
  <c r="A190" i="59"/>
  <c r="E195" i="59" s="1"/>
  <c r="A280" i="131" l="1"/>
  <c r="F280" i="131" s="1"/>
  <c r="A282" i="131"/>
  <c r="F282" i="131" s="1"/>
  <c r="A278" i="131"/>
  <c r="F278" i="131" s="1"/>
  <c r="A276" i="131"/>
  <c r="C284" i="131"/>
  <c r="A279" i="131"/>
  <c r="F279" i="131" s="1"/>
  <c r="J279" i="131" s="1"/>
  <c r="C276" i="131"/>
  <c r="C278" i="131"/>
  <c r="A284" i="131"/>
  <c r="F284" i="131" s="1"/>
  <c r="J284" i="131" s="1"/>
  <c r="A277" i="131"/>
  <c r="F277" i="131" s="1"/>
  <c r="C281" i="131"/>
  <c r="O268" i="132"/>
  <c r="Q263" i="132" s="1" a="1"/>
  <c r="A281" i="131"/>
  <c r="F281" i="131" s="1"/>
  <c r="J281" i="131" s="1"/>
  <c r="C283" i="131"/>
  <c r="C277" i="131"/>
  <c r="C280" i="131"/>
  <c r="C279" i="131"/>
  <c r="J278" i="131"/>
  <c r="I278" i="131"/>
  <c r="J280" i="131"/>
  <c r="I280" i="131"/>
  <c r="J282" i="131"/>
  <c r="I282" i="131"/>
  <c r="F276" i="131"/>
  <c r="J277" i="131"/>
  <c r="I277" i="131"/>
  <c r="J283" i="131"/>
  <c r="I283" i="131"/>
  <c r="E193" i="59"/>
  <c r="A193" i="59" a="1"/>
  <c r="I279" i="131" l="1"/>
  <c r="I284" i="131"/>
  <c r="B286" i="131"/>
  <c r="C289" i="131" a="1"/>
  <c r="C292" i="131" s="1"/>
  <c r="G292" i="131" s="1"/>
  <c r="J292" i="131" s="1"/>
  <c r="Q263" i="132"/>
  <c r="R268" i="132"/>
  <c r="Q264" i="132"/>
  <c r="R269" i="132"/>
  <c r="R265" i="132"/>
  <c r="R270" i="132"/>
  <c r="Q268" i="132"/>
  <c r="Q265" i="132"/>
  <c r="Q270" i="132"/>
  <c r="Q267" i="132"/>
  <c r="R266" i="132"/>
  <c r="R264" i="132"/>
  <c r="Q266" i="132"/>
  <c r="R263" i="132"/>
  <c r="Q269" i="132"/>
  <c r="R271" i="132"/>
  <c r="R267" i="132"/>
  <c r="Q271" i="132"/>
  <c r="I281" i="131"/>
  <c r="L281" i="131" s="1"/>
  <c r="L279" i="131"/>
  <c r="K279" i="131"/>
  <c r="L282" i="131"/>
  <c r="K282" i="131"/>
  <c r="L280" i="131"/>
  <c r="K280" i="131"/>
  <c r="K278" i="131"/>
  <c r="L278" i="131"/>
  <c r="J276" i="131"/>
  <c r="J285" i="131" s="1"/>
  <c r="I276" i="131"/>
  <c r="L283" i="131"/>
  <c r="K283" i="131"/>
  <c r="L284" i="131"/>
  <c r="K284" i="131"/>
  <c r="L277" i="131"/>
  <c r="K277" i="131"/>
  <c r="E197" i="59"/>
  <c r="G193" i="59" s="1"/>
  <c r="A195" i="59"/>
  <c r="C193" i="59"/>
  <c r="C194" i="59"/>
  <c r="A193" i="59"/>
  <c r="B194" i="59"/>
  <c r="B193" i="59"/>
  <c r="A194" i="59"/>
  <c r="B195" i="59"/>
  <c r="C195" i="59"/>
  <c r="C294" i="131" l="1"/>
  <c r="G294" i="131" s="1"/>
  <c r="J294" i="131" s="1"/>
  <c r="C295" i="131"/>
  <c r="G295" i="131" s="1"/>
  <c r="I295" i="131" s="1"/>
  <c r="C293" i="131"/>
  <c r="G293" i="131" s="1"/>
  <c r="J293" i="131" s="1"/>
  <c r="C296" i="131"/>
  <c r="G296" i="131" s="1"/>
  <c r="J296" i="131" s="1"/>
  <c r="C291" i="131"/>
  <c r="G291" i="131" s="1"/>
  <c r="K281" i="131"/>
  <c r="C289" i="131"/>
  <c r="G289" i="131" s="1"/>
  <c r="C297" i="131"/>
  <c r="G297" i="131" s="1"/>
  <c r="I294" i="131"/>
  <c r="K294" i="131" s="1"/>
  <c r="C290" i="131"/>
  <c r="G290" i="131" s="1"/>
  <c r="J290" i="131" s="1"/>
  <c r="C276" i="132" a="1"/>
  <c r="C277" i="132" s="1"/>
  <c r="I292" i="131"/>
  <c r="L292" i="131" s="1"/>
  <c r="I293" i="131"/>
  <c r="L293" i="131" s="1"/>
  <c r="A276" i="132" a="1"/>
  <c r="I296" i="131"/>
  <c r="K296" i="131" s="1"/>
  <c r="L276" i="131"/>
  <c r="L285" i="131" s="1"/>
  <c r="K276" i="131"/>
  <c r="I285" i="131"/>
  <c r="L294" i="131"/>
  <c r="G195" i="59"/>
  <c r="G194" i="59"/>
  <c r="K293" i="131" l="1"/>
  <c r="K292" i="131"/>
  <c r="K285" i="131"/>
  <c r="J295" i="131"/>
  <c r="I291" i="131"/>
  <c r="J291" i="131"/>
  <c r="C280" i="132"/>
  <c r="C279" i="132"/>
  <c r="C281" i="132"/>
  <c r="C282" i="132"/>
  <c r="C284" i="132"/>
  <c r="C276" i="132"/>
  <c r="C278" i="132"/>
  <c r="J297" i="131"/>
  <c r="I297" i="131"/>
  <c r="C283" i="132"/>
  <c r="I289" i="131"/>
  <c r="J289" i="131"/>
  <c r="I290" i="131"/>
  <c r="A281" i="132"/>
  <c r="F281" i="132" s="1"/>
  <c r="A279" i="132"/>
  <c r="F279" i="132" s="1"/>
  <c r="A280" i="132"/>
  <c r="F280" i="132" s="1"/>
  <c r="A278" i="132"/>
  <c r="F278" i="132" s="1"/>
  <c r="A277" i="132"/>
  <c r="F277" i="132" s="1"/>
  <c r="A282" i="132"/>
  <c r="F282" i="132" s="1"/>
  <c r="A284" i="132"/>
  <c r="F284" i="132" s="1"/>
  <c r="A276" i="132"/>
  <c r="A283" i="132"/>
  <c r="F283" i="132" s="1"/>
  <c r="L296" i="131"/>
  <c r="O277" i="131"/>
  <c r="O276" i="131"/>
  <c r="O278" i="131" s="1"/>
  <c r="G197" i="59"/>
  <c r="I193" i="59" s="1"/>
  <c r="C289" i="132" l="1" a="1"/>
  <c r="C289" i="132" s="1"/>
  <c r="G289" i="132" s="1"/>
  <c r="I289" i="132" s="1"/>
  <c r="L295" i="131"/>
  <c r="K295" i="131"/>
  <c r="L291" i="131"/>
  <c r="K291" i="131"/>
  <c r="C294" i="132"/>
  <c r="G294" i="132" s="1"/>
  <c r="I294" i="132" s="1"/>
  <c r="C291" i="132"/>
  <c r="G291" i="132" s="1"/>
  <c r="I291" i="132" s="1"/>
  <c r="L290" i="131"/>
  <c r="K290" i="131"/>
  <c r="J298" i="131"/>
  <c r="C296" i="132"/>
  <c r="G296" i="132" s="1"/>
  <c r="I296" i="132" s="1"/>
  <c r="C292" i="132"/>
  <c r="G292" i="132" s="1"/>
  <c r="I292" i="132" s="1"/>
  <c r="K289" i="131"/>
  <c r="I298" i="131"/>
  <c r="L289" i="131"/>
  <c r="C290" i="132"/>
  <c r="G290" i="132" s="1"/>
  <c r="I290" i="132" s="1"/>
  <c r="C295" i="132"/>
  <c r="G295" i="132" s="1"/>
  <c r="I295" i="132" s="1"/>
  <c r="L297" i="131"/>
  <c r="K297" i="131"/>
  <c r="J284" i="132"/>
  <c r="I284" i="132"/>
  <c r="I282" i="132"/>
  <c r="J282" i="132"/>
  <c r="J277" i="132"/>
  <c r="I277" i="132"/>
  <c r="I278" i="132"/>
  <c r="J278" i="132"/>
  <c r="I280" i="132"/>
  <c r="J280" i="132"/>
  <c r="J289" i="132"/>
  <c r="J279" i="132"/>
  <c r="I279" i="132"/>
  <c r="J294" i="132"/>
  <c r="I283" i="132"/>
  <c r="J283" i="132"/>
  <c r="J281" i="132"/>
  <c r="I281" i="132"/>
  <c r="F276" i="132"/>
  <c r="B286" i="132"/>
  <c r="N281" i="131"/>
  <c r="O280" i="131" s="1"/>
  <c r="N280" i="131"/>
  <c r="I195" i="59"/>
  <c r="I194" i="59"/>
  <c r="K193" i="59" s="1" a="1"/>
  <c r="J291" i="132" l="1"/>
  <c r="C293" i="132"/>
  <c r="G293" i="132" s="1"/>
  <c r="C297" i="132"/>
  <c r="G297" i="132" s="1"/>
  <c r="J297" i="132" s="1"/>
  <c r="J295" i="132"/>
  <c r="J290" i="132"/>
  <c r="L290" i="132" s="1"/>
  <c r="J292" i="132"/>
  <c r="K292" i="132" s="1"/>
  <c r="J296" i="132"/>
  <c r="K296" i="132" s="1"/>
  <c r="L298" i="131"/>
  <c r="K298" i="131"/>
  <c r="K282" i="132"/>
  <c r="L282" i="132"/>
  <c r="L294" i="132"/>
  <c r="K294" i="132"/>
  <c r="K281" i="132"/>
  <c r="L281" i="132"/>
  <c r="L278" i="132"/>
  <c r="K278" i="132"/>
  <c r="L289" i="132"/>
  <c r="K289" i="132"/>
  <c r="L291" i="132"/>
  <c r="K291" i="132"/>
  <c r="I276" i="132"/>
  <c r="J276" i="132"/>
  <c r="J285" i="132" s="1"/>
  <c r="L277" i="132"/>
  <c r="K277" i="132"/>
  <c r="L284" i="132"/>
  <c r="K284" i="132"/>
  <c r="K279" i="132"/>
  <c r="L279" i="132"/>
  <c r="L295" i="132"/>
  <c r="K295" i="132"/>
  <c r="K290" i="132"/>
  <c r="K283" i="132"/>
  <c r="L283" i="132"/>
  <c r="L280" i="132"/>
  <c r="K280" i="132"/>
  <c r="O281" i="131"/>
  <c r="Q276" i="131" a="1"/>
  <c r="M194" i="59"/>
  <c r="L193" i="59"/>
  <c r="M195" i="59"/>
  <c r="K194" i="59"/>
  <c r="K195" i="59"/>
  <c r="L195" i="59"/>
  <c r="K193" i="59"/>
  <c r="L194" i="59"/>
  <c r="M193" i="59"/>
  <c r="L292" i="132" l="1"/>
  <c r="I297" i="132"/>
  <c r="J293" i="132"/>
  <c r="J298" i="132" s="1"/>
  <c r="I293" i="132"/>
  <c r="L296" i="132"/>
  <c r="L276" i="132"/>
  <c r="L285" i="132" s="1"/>
  <c r="I285" i="132"/>
  <c r="K276" i="132"/>
  <c r="K285" i="132" s="1"/>
  <c r="R284" i="131"/>
  <c r="R280" i="131"/>
  <c r="R276" i="131"/>
  <c r="R283" i="131"/>
  <c r="R279" i="131"/>
  <c r="R282" i="131"/>
  <c r="R278" i="131"/>
  <c r="Q282" i="131"/>
  <c r="Q278" i="131"/>
  <c r="R281" i="131"/>
  <c r="R277" i="131"/>
  <c r="Q277" i="131"/>
  <c r="Q276" i="131"/>
  <c r="Q284" i="131"/>
  <c r="Q283" i="131"/>
  <c r="Q281" i="131"/>
  <c r="Q280" i="131"/>
  <c r="Q279" i="131"/>
  <c r="O193" i="59" a="1"/>
  <c r="A200" i="59" a="1"/>
  <c r="I298" i="132" l="1"/>
  <c r="L293" i="132"/>
  <c r="K293" i="132"/>
  <c r="O277" i="132"/>
  <c r="L297" i="132"/>
  <c r="K297" i="132"/>
  <c r="O276" i="132"/>
  <c r="O278" i="132" s="1"/>
  <c r="A289" i="131" a="1"/>
  <c r="A289" i="131" s="1"/>
  <c r="D289" i="131" a="1"/>
  <c r="C201" i="59"/>
  <c r="B200" i="59"/>
  <c r="E200" i="59" s="1"/>
  <c r="B202" i="59"/>
  <c r="E202" i="59" s="1"/>
  <c r="C200" i="59"/>
  <c r="A202" i="59"/>
  <c r="C202" i="59"/>
  <c r="A200" i="59"/>
  <c r="A201" i="59"/>
  <c r="B201" i="59"/>
  <c r="E201" i="59" s="1"/>
  <c r="P195" i="59"/>
  <c r="O194" i="59"/>
  <c r="P194" i="59"/>
  <c r="Q193" i="59"/>
  <c r="O195" i="59"/>
  <c r="Q195" i="59"/>
  <c r="O193" i="59"/>
  <c r="Q194" i="59"/>
  <c r="P193" i="59"/>
  <c r="K298" i="132" l="1"/>
  <c r="L298" i="132"/>
  <c r="A295" i="131"/>
  <c r="A293" i="131"/>
  <c r="A294" i="131"/>
  <c r="A292" i="131"/>
  <c r="A296" i="131"/>
  <c r="A291" i="131"/>
  <c r="N280" i="132"/>
  <c r="N281" i="132"/>
  <c r="O280" i="132" s="1"/>
  <c r="A297" i="131"/>
  <c r="A290" i="131"/>
  <c r="D292" i="131"/>
  <c r="D290" i="131"/>
  <c r="D296" i="131"/>
  <c r="D295" i="131"/>
  <c r="D294" i="131"/>
  <c r="D297" i="131"/>
  <c r="D293" i="131"/>
  <c r="D291" i="131"/>
  <c r="D289" i="131"/>
  <c r="A302" i="131" a="1"/>
  <c r="E204" i="59"/>
  <c r="G202" i="59" s="1"/>
  <c r="B299" i="131" l="1"/>
  <c r="O281" i="132"/>
  <c r="Q276" i="132" a="1"/>
  <c r="A304" i="131"/>
  <c r="A310" i="131"/>
  <c r="A302" i="131"/>
  <c r="A308" i="131"/>
  <c r="A307" i="131"/>
  <c r="A306" i="131"/>
  <c r="A303" i="131"/>
  <c r="A309" i="131"/>
  <c r="A305" i="131"/>
  <c r="O289" i="131"/>
  <c r="O290" i="131"/>
  <c r="D302" i="131" a="1"/>
  <c r="G201" i="59"/>
  <c r="G204" i="59" s="1"/>
  <c r="G200" i="59"/>
  <c r="R278" i="132" l="1"/>
  <c r="Q277" i="132"/>
  <c r="Q279" i="132"/>
  <c r="Q281" i="132"/>
  <c r="Q280" i="132"/>
  <c r="Q283" i="132"/>
  <c r="Q276" i="132"/>
  <c r="A289" i="132" s="1" a="1"/>
  <c r="R277" i="132"/>
  <c r="R284" i="132"/>
  <c r="R276" i="132"/>
  <c r="R280" i="132"/>
  <c r="Q282" i="132"/>
  <c r="R279" i="132"/>
  <c r="Q278" i="132"/>
  <c r="R283" i="132"/>
  <c r="R282" i="132"/>
  <c r="Q284" i="132"/>
  <c r="R281" i="132"/>
  <c r="O291" i="131"/>
  <c r="N293" i="131" s="1"/>
  <c r="D306" i="131"/>
  <c r="G306" i="131" s="1"/>
  <c r="D304" i="131"/>
  <c r="G304" i="131" s="1"/>
  <c r="D310" i="131"/>
  <c r="G310" i="131" s="1"/>
  <c r="D302" i="131"/>
  <c r="G302" i="131" s="1"/>
  <c r="D309" i="131"/>
  <c r="G309" i="131" s="1"/>
  <c r="D308" i="131"/>
  <c r="G308" i="131" s="1"/>
  <c r="D307" i="131"/>
  <c r="G307" i="131" s="1"/>
  <c r="D305" i="131"/>
  <c r="G305" i="131" s="1"/>
  <c r="D303" i="131"/>
  <c r="G303" i="131" s="1"/>
  <c r="B312" i="131"/>
  <c r="A315" i="131" a="1"/>
  <c r="N294" i="131"/>
  <c r="O293" i="131" s="1"/>
  <c r="I201" i="59"/>
  <c r="A289" i="132" l="1"/>
  <c r="A297" i="132"/>
  <c r="A291" i="132"/>
  <c r="A295" i="132"/>
  <c r="A296" i="132"/>
  <c r="A294" i="132"/>
  <c r="A293" i="132"/>
  <c r="A292" i="132"/>
  <c r="A290" i="132"/>
  <c r="D289" i="132" a="1"/>
  <c r="A318" i="131"/>
  <c r="A316" i="131"/>
  <c r="A322" i="131"/>
  <c r="A321" i="131"/>
  <c r="A320" i="131"/>
  <c r="A323" i="131"/>
  <c r="A319" i="131"/>
  <c r="A317" i="131"/>
  <c r="A315" i="131"/>
  <c r="O294" i="131"/>
  <c r="Q289" i="131" a="1"/>
  <c r="I202" i="59"/>
  <c r="K200" i="59" s="1" a="1"/>
  <c r="D291" i="132" l="1"/>
  <c r="D290" i="132"/>
  <c r="D294" i="132"/>
  <c r="D292" i="132"/>
  <c r="D297" i="132"/>
  <c r="D289" i="132"/>
  <c r="D302" i="132" s="1" a="1"/>
  <c r="D296" i="132"/>
  <c r="D293" i="132"/>
  <c r="D295" i="132"/>
  <c r="A302" i="132" a="1"/>
  <c r="B299" i="132"/>
  <c r="Q294" i="131"/>
  <c r="Q290" i="131"/>
  <c r="Q297" i="131"/>
  <c r="Q293" i="131"/>
  <c r="Q289" i="131"/>
  <c r="Q296" i="131"/>
  <c r="Q292" i="131"/>
  <c r="R295" i="131"/>
  <c r="R291" i="131"/>
  <c r="Q295" i="131"/>
  <c r="Q291" i="131"/>
  <c r="R289" i="131"/>
  <c r="R297" i="131"/>
  <c r="R296" i="131"/>
  <c r="R294" i="131"/>
  <c r="R293" i="131"/>
  <c r="R292" i="131"/>
  <c r="R290" i="131"/>
  <c r="B325" i="131"/>
  <c r="A328" i="131" a="1"/>
  <c r="M201" i="59"/>
  <c r="L200" i="59"/>
  <c r="K202" i="59"/>
  <c r="K200" i="59"/>
  <c r="M202" i="59"/>
  <c r="M200" i="59"/>
  <c r="L201" i="59"/>
  <c r="L202" i="59"/>
  <c r="K201" i="59"/>
  <c r="D303" i="132" l="1"/>
  <c r="G303" i="132" s="1"/>
  <c r="D309" i="132"/>
  <c r="G309" i="132" s="1"/>
  <c r="D302" i="132"/>
  <c r="G302" i="132" s="1"/>
  <c r="D306" i="132"/>
  <c r="G306" i="132" s="1"/>
  <c r="D304" i="132"/>
  <c r="G304" i="132" s="1"/>
  <c r="D310" i="132"/>
  <c r="G310" i="132" s="1"/>
  <c r="D307" i="132"/>
  <c r="G307" i="132" s="1"/>
  <c r="D308" i="132"/>
  <c r="G308" i="132" s="1"/>
  <c r="D305" i="132"/>
  <c r="G305" i="132" s="1"/>
  <c r="O290" i="132"/>
  <c r="O289" i="132"/>
  <c r="O291" i="132" s="1"/>
  <c r="B302" i="131" a="1"/>
  <c r="B302" i="131" s="1"/>
  <c r="F302" i="131" s="1"/>
  <c r="A305" i="132"/>
  <c r="A304" i="132"/>
  <c r="A302" i="132"/>
  <c r="A310" i="132"/>
  <c r="A309" i="132"/>
  <c r="A307" i="132"/>
  <c r="A308" i="132"/>
  <c r="A303" i="132"/>
  <c r="A306" i="132"/>
  <c r="C302" i="131" a="1"/>
  <c r="C308" i="131" s="1"/>
  <c r="A332" i="131"/>
  <c r="A330" i="131"/>
  <c r="A336" i="131"/>
  <c r="A328" i="131"/>
  <c r="A335" i="131"/>
  <c r="A334" i="131"/>
  <c r="A333" i="131"/>
  <c r="A331" i="131"/>
  <c r="A329" i="131"/>
  <c r="O200" i="59" a="1"/>
  <c r="A207" i="59" a="1"/>
  <c r="B307" i="131" l="1"/>
  <c r="F307" i="131" s="1"/>
  <c r="C309" i="131"/>
  <c r="B303" i="131"/>
  <c r="F303" i="131" s="1"/>
  <c r="B310" i="131"/>
  <c r="F310" i="131" s="1"/>
  <c r="C305" i="131"/>
  <c r="B312" i="132"/>
  <c r="A315" i="132" a="1"/>
  <c r="C310" i="131"/>
  <c r="B304" i="131"/>
  <c r="F304" i="131" s="1"/>
  <c r="I304" i="131" s="1"/>
  <c r="B309" i="131"/>
  <c r="F309" i="131" s="1"/>
  <c r="B305" i="131"/>
  <c r="F305" i="131" s="1"/>
  <c r="N293" i="132"/>
  <c r="N294" i="132"/>
  <c r="O293" i="132" s="1"/>
  <c r="C304" i="131"/>
  <c r="C306" i="131"/>
  <c r="B308" i="131"/>
  <c r="F308" i="131" s="1"/>
  <c r="I308" i="131" s="1"/>
  <c r="C302" i="131"/>
  <c r="C303" i="131"/>
  <c r="B306" i="131"/>
  <c r="F306" i="131" s="1"/>
  <c r="C307" i="131"/>
  <c r="J309" i="131"/>
  <c r="I309" i="131"/>
  <c r="F330" i="131"/>
  <c r="L6" i="131"/>
  <c r="Q6" i="131" s="1"/>
  <c r="Z6" i="131" s="1"/>
  <c r="F332" i="131"/>
  <c r="L8" i="131"/>
  <c r="Q8" i="131" s="1"/>
  <c r="Z8" i="131" s="1"/>
  <c r="J305" i="131"/>
  <c r="I305" i="131"/>
  <c r="J306" i="131"/>
  <c r="I306" i="131"/>
  <c r="F336" i="131"/>
  <c r="L12" i="131"/>
  <c r="Q12" i="131" s="1"/>
  <c r="Z12" i="131" s="1"/>
  <c r="F333" i="131"/>
  <c r="L9" i="131"/>
  <c r="Q9" i="131" s="1"/>
  <c r="Z9" i="131" s="1"/>
  <c r="F331" i="131"/>
  <c r="L7" i="131"/>
  <c r="Q7" i="131" s="1"/>
  <c r="Z7" i="131" s="1"/>
  <c r="F334" i="131"/>
  <c r="L10" i="131"/>
  <c r="Q10" i="131" s="1"/>
  <c r="Z10" i="131" s="1"/>
  <c r="J302" i="131"/>
  <c r="I302" i="131"/>
  <c r="F329" i="131"/>
  <c r="L5" i="131"/>
  <c r="Q5" i="131" s="1"/>
  <c r="Z5" i="131" s="1"/>
  <c r="F335" i="131"/>
  <c r="L11" i="131"/>
  <c r="Q11" i="131" s="1"/>
  <c r="Z11" i="131" s="1"/>
  <c r="J303" i="131"/>
  <c r="I303" i="131"/>
  <c r="J310" i="131"/>
  <c r="I310" i="131"/>
  <c r="F328" i="131"/>
  <c r="B338" i="131"/>
  <c r="L4" i="131"/>
  <c r="Q4" i="131" s="1"/>
  <c r="Z4" i="131" s="1"/>
  <c r="J307" i="131"/>
  <c r="I307" i="131"/>
  <c r="C208" i="59"/>
  <c r="M208" i="59" s="1"/>
  <c r="B207" i="59"/>
  <c r="L207" i="59" s="1"/>
  <c r="B208" i="59"/>
  <c r="L208" i="59" s="1"/>
  <c r="C209" i="59"/>
  <c r="M209" i="59" s="1"/>
  <c r="C207" i="59"/>
  <c r="M207" i="59" s="1"/>
  <c r="A209" i="59"/>
  <c r="B209" i="59"/>
  <c r="A207" i="59"/>
  <c r="K207" i="59" s="1"/>
  <c r="A208" i="59"/>
  <c r="P202" i="59"/>
  <c r="O201" i="59"/>
  <c r="O202" i="59"/>
  <c r="P200" i="59"/>
  <c r="Q201" i="59"/>
  <c r="P201" i="59"/>
  <c r="Q202" i="59"/>
  <c r="Q200" i="59"/>
  <c r="O200" i="59"/>
  <c r="J308" i="131" l="1"/>
  <c r="C315" i="131" a="1"/>
  <c r="C317" i="131" s="1"/>
  <c r="F317" i="131" s="1"/>
  <c r="A316" i="132"/>
  <c r="A321" i="132"/>
  <c r="A323" i="132"/>
  <c r="A320" i="132"/>
  <c r="A318" i="132"/>
  <c r="A322" i="132"/>
  <c r="A315" i="132"/>
  <c r="A319" i="132"/>
  <c r="A317" i="132"/>
  <c r="J304" i="131"/>
  <c r="K304" i="131" s="1"/>
  <c r="C322" i="131"/>
  <c r="F322" i="131" s="1"/>
  <c r="C319" i="131"/>
  <c r="F319" i="131" s="1"/>
  <c r="O294" i="132"/>
  <c r="Q289" i="132" s="1" a="1"/>
  <c r="L307" i="131"/>
  <c r="K307" i="131"/>
  <c r="L310" i="131"/>
  <c r="K310" i="131"/>
  <c r="L305" i="131"/>
  <c r="K305" i="131"/>
  <c r="L303" i="131"/>
  <c r="K303" i="131"/>
  <c r="L302" i="131"/>
  <c r="K302" i="131"/>
  <c r="I311" i="131"/>
  <c r="L308" i="131"/>
  <c r="K308" i="131"/>
  <c r="L306" i="131"/>
  <c r="K306" i="131"/>
  <c r="L309" i="131"/>
  <c r="K309" i="131"/>
  <c r="O207" i="59" a="1"/>
  <c r="C315" i="131" l="1"/>
  <c r="F315" i="131" s="1"/>
  <c r="C320" i="131"/>
  <c r="F320" i="131" s="1"/>
  <c r="J311" i="131"/>
  <c r="C321" i="131"/>
  <c r="F321" i="131" s="1"/>
  <c r="C318" i="131"/>
  <c r="F318" i="131" s="1"/>
  <c r="L304" i="131"/>
  <c r="C323" i="131"/>
  <c r="F323" i="131" s="1"/>
  <c r="C316" i="131"/>
  <c r="F316" i="131" s="1"/>
  <c r="R290" i="132"/>
  <c r="R295" i="132"/>
  <c r="R292" i="132"/>
  <c r="Q290" i="132"/>
  <c r="R296" i="132"/>
  <c r="Q294" i="132"/>
  <c r="R293" i="132"/>
  <c r="Q293" i="132"/>
  <c r="Q296" i="132"/>
  <c r="Q295" i="132"/>
  <c r="R291" i="132"/>
  <c r="Q297" i="132"/>
  <c r="Q292" i="132"/>
  <c r="R297" i="132"/>
  <c r="R289" i="132"/>
  <c r="Q291" i="132"/>
  <c r="R294" i="132"/>
  <c r="Q289" i="132"/>
  <c r="B325" i="132"/>
  <c r="A328" i="132" a="1"/>
  <c r="K311" i="131"/>
  <c r="O303" i="131" s="1"/>
  <c r="L311" i="131"/>
  <c r="O302" i="131" s="1"/>
  <c r="Q209" i="59"/>
  <c r="P208" i="59"/>
  <c r="O207" i="59"/>
  <c r="P209" i="59"/>
  <c r="Q207" i="59"/>
  <c r="O208" i="59"/>
  <c r="P207" i="59"/>
  <c r="Q208" i="59"/>
  <c r="O209" i="59"/>
  <c r="C302" i="132" l="1" a="1"/>
  <c r="C310" i="132" s="1"/>
  <c r="A328" i="132"/>
  <c r="A332" i="132"/>
  <c r="A334" i="132"/>
  <c r="A329" i="132"/>
  <c r="A333" i="132"/>
  <c r="A330" i="132"/>
  <c r="A335" i="132"/>
  <c r="A331" i="132"/>
  <c r="A336" i="132"/>
  <c r="B302" i="132" a="1"/>
  <c r="C305" i="132"/>
  <c r="C303" i="132"/>
  <c r="C307" i="132"/>
  <c r="C304" i="132"/>
  <c r="C308" i="132"/>
  <c r="O304" i="131"/>
  <c r="N307" i="131" s="1"/>
  <c r="O306" i="131" s="1"/>
  <c r="N306" i="131"/>
  <c r="U211" i="59"/>
  <c r="A214" i="59" a="1"/>
  <c r="S207" i="59" a="1"/>
  <c r="K214" i="59" a="1"/>
  <c r="C306" i="132" l="1"/>
  <c r="C309" i="132"/>
  <c r="C302" i="132"/>
  <c r="F331" i="132"/>
  <c r="L7" i="132"/>
  <c r="Q7" i="132" s="1"/>
  <c r="Z7" i="132" s="1"/>
  <c r="F330" i="132"/>
  <c r="L6" i="132"/>
  <c r="Q6" i="132" s="1"/>
  <c r="Z6" i="132" s="1"/>
  <c r="F333" i="132"/>
  <c r="L9" i="132"/>
  <c r="Q9" i="132" s="1"/>
  <c r="Z9" i="132" s="1"/>
  <c r="F335" i="132"/>
  <c r="L11" i="132"/>
  <c r="Q11" i="132" s="1"/>
  <c r="Z11" i="132" s="1"/>
  <c r="L5" i="132"/>
  <c r="Q5" i="132" s="1"/>
  <c r="Z5" i="132" s="1"/>
  <c r="F329" i="132"/>
  <c r="F334" i="132"/>
  <c r="L10" i="132"/>
  <c r="Q10" i="132" s="1"/>
  <c r="Z10" i="132" s="1"/>
  <c r="B307" i="132"/>
  <c r="F307" i="132" s="1"/>
  <c r="B302" i="132"/>
  <c r="F302" i="132" s="1"/>
  <c r="B306" i="132"/>
  <c r="F306" i="132" s="1"/>
  <c r="B304" i="132"/>
  <c r="F304" i="132" s="1"/>
  <c r="B303" i="132"/>
  <c r="F303" i="132" s="1"/>
  <c r="B309" i="132"/>
  <c r="F309" i="132" s="1"/>
  <c r="B310" i="132"/>
  <c r="F310" i="132" s="1"/>
  <c r="B308" i="132"/>
  <c r="F308" i="132" s="1"/>
  <c r="B305" i="132"/>
  <c r="F305" i="132" s="1"/>
  <c r="F332" i="132"/>
  <c r="L8" i="132"/>
  <c r="Q8" i="132" s="1"/>
  <c r="Z8" i="132" s="1"/>
  <c r="C315" i="132" a="1"/>
  <c r="F336" i="132"/>
  <c r="L12" i="132"/>
  <c r="Q12" i="132" s="1"/>
  <c r="Z12" i="132" s="1"/>
  <c r="L4" i="132"/>
  <c r="Q4" i="132" s="1"/>
  <c r="Z4" i="132" s="1"/>
  <c r="B338" i="132"/>
  <c r="F328" i="132"/>
  <c r="O307" i="131"/>
  <c r="Q302" i="131" s="1" a="1"/>
  <c r="M216" i="59"/>
  <c r="L215" i="59"/>
  <c r="K214" i="59"/>
  <c r="K215" i="59"/>
  <c r="M215" i="59"/>
  <c r="L214" i="59"/>
  <c r="M214" i="59"/>
  <c r="K216" i="59"/>
  <c r="L216" i="59"/>
  <c r="S209" i="59"/>
  <c r="U207" i="59"/>
  <c r="U209" i="59"/>
  <c r="S208" i="59"/>
  <c r="T209" i="59"/>
  <c r="S207" i="59"/>
  <c r="T207" i="59"/>
  <c r="T208" i="59"/>
  <c r="U208" i="59"/>
  <c r="A216" i="59"/>
  <c r="E221" i="59" s="1"/>
  <c r="C214" i="59"/>
  <c r="C215" i="59"/>
  <c r="A214" i="59"/>
  <c r="B215" i="59"/>
  <c r="B216" i="59"/>
  <c r="C216" i="59"/>
  <c r="A215" i="59"/>
  <c r="E220" i="59" s="1"/>
  <c r="B214" i="59"/>
  <c r="C322" i="132" l="1"/>
  <c r="F322" i="132" s="1"/>
  <c r="C316" i="132"/>
  <c r="F316" i="132" s="1"/>
  <c r="C323" i="132"/>
  <c r="F323" i="132" s="1"/>
  <c r="C321" i="132"/>
  <c r="F321" i="132" s="1"/>
  <c r="C315" i="132"/>
  <c r="F315" i="132" s="1"/>
  <c r="C319" i="132"/>
  <c r="F319" i="132" s="1"/>
  <c r="C317" i="132"/>
  <c r="F317" i="132" s="1"/>
  <c r="C318" i="132"/>
  <c r="F318" i="132" s="1"/>
  <c r="C320" i="132"/>
  <c r="F320" i="132" s="1"/>
  <c r="J304" i="132"/>
  <c r="I304" i="132"/>
  <c r="I306" i="132"/>
  <c r="J306" i="132"/>
  <c r="I302" i="132"/>
  <c r="J302" i="132"/>
  <c r="J311" i="132" s="1"/>
  <c r="I305" i="132"/>
  <c r="J305" i="132"/>
  <c r="I307" i="132"/>
  <c r="J307" i="132"/>
  <c r="J308" i="132"/>
  <c r="I308" i="132"/>
  <c r="J310" i="132"/>
  <c r="I310" i="132"/>
  <c r="I309" i="132"/>
  <c r="J309" i="132"/>
  <c r="I303" i="132"/>
  <c r="J303" i="132"/>
  <c r="R307" i="131"/>
  <c r="R303" i="131"/>
  <c r="R310" i="131"/>
  <c r="R306" i="131"/>
  <c r="R302" i="131"/>
  <c r="D315" i="131" s="1" a="1"/>
  <c r="R309" i="131"/>
  <c r="R305" i="131"/>
  <c r="Q309" i="131"/>
  <c r="Q305" i="131"/>
  <c r="R308" i="131"/>
  <c r="R304" i="131"/>
  <c r="Q310" i="131"/>
  <c r="Q308" i="131"/>
  <c r="Q307" i="131"/>
  <c r="Q306" i="131"/>
  <c r="Q304" i="131"/>
  <c r="Q303" i="131"/>
  <c r="Q302" i="131"/>
  <c r="E219" i="59"/>
  <c r="A219" i="59" a="1"/>
  <c r="K309" i="132" l="1"/>
  <c r="L309" i="132"/>
  <c r="L305" i="132"/>
  <c r="K305" i="132"/>
  <c r="L306" i="132"/>
  <c r="K306" i="132"/>
  <c r="K308" i="132"/>
  <c r="L308" i="132"/>
  <c r="K304" i="132"/>
  <c r="L304" i="132"/>
  <c r="L310" i="132"/>
  <c r="K310" i="132"/>
  <c r="L303" i="132"/>
  <c r="K303" i="132"/>
  <c r="L307" i="132"/>
  <c r="K307" i="132"/>
  <c r="I311" i="132"/>
  <c r="L302" i="132"/>
  <c r="K302" i="132"/>
  <c r="D320" i="131"/>
  <c r="G320" i="131" s="1"/>
  <c r="D318" i="131"/>
  <c r="G318" i="131" s="1"/>
  <c r="D316" i="131"/>
  <c r="G316" i="131" s="1"/>
  <c r="D323" i="131"/>
  <c r="G323" i="131" s="1"/>
  <c r="D315" i="131"/>
  <c r="G315" i="131" s="1"/>
  <c r="D322" i="131"/>
  <c r="G322" i="131" s="1"/>
  <c r="D321" i="131"/>
  <c r="G321" i="131" s="1"/>
  <c r="D319" i="131"/>
  <c r="G319" i="131" s="1"/>
  <c r="D317" i="131"/>
  <c r="G317" i="131" s="1"/>
  <c r="B315" i="131" a="1"/>
  <c r="E223" i="59"/>
  <c r="G219" i="59" s="1"/>
  <c r="C221" i="59"/>
  <c r="B220" i="59"/>
  <c r="A219" i="59"/>
  <c r="A221" i="59"/>
  <c r="B219" i="59"/>
  <c r="C219" i="59"/>
  <c r="C220" i="59"/>
  <c r="B221" i="59"/>
  <c r="A220" i="59"/>
  <c r="K311" i="132" l="1"/>
  <c r="O303" i="132" s="1"/>
  <c r="L311" i="132"/>
  <c r="O302" i="132" s="1"/>
  <c r="O304" i="132" s="1"/>
  <c r="I321" i="131"/>
  <c r="J321" i="131"/>
  <c r="I322" i="131"/>
  <c r="J322" i="131"/>
  <c r="I315" i="131"/>
  <c r="J315" i="131"/>
  <c r="I319" i="131"/>
  <c r="J319" i="131"/>
  <c r="I323" i="131"/>
  <c r="J323" i="131"/>
  <c r="I316" i="131"/>
  <c r="J316" i="131"/>
  <c r="J318" i="131"/>
  <c r="I318" i="131"/>
  <c r="B316" i="131"/>
  <c r="B322" i="131"/>
  <c r="B320" i="131"/>
  <c r="B319" i="131"/>
  <c r="B318" i="131"/>
  <c r="B323" i="131"/>
  <c r="B321" i="131"/>
  <c r="B317" i="131"/>
  <c r="B315" i="131"/>
  <c r="J317" i="131"/>
  <c r="I317" i="131"/>
  <c r="I320" i="131"/>
  <c r="J320" i="131"/>
  <c r="G221" i="59"/>
  <c r="G220" i="59"/>
  <c r="N307" i="132" l="1"/>
  <c r="O306" i="132" s="1"/>
  <c r="N306" i="132"/>
  <c r="K319" i="131"/>
  <c r="L319" i="131"/>
  <c r="J324" i="131"/>
  <c r="K315" i="131"/>
  <c r="I324" i="131"/>
  <c r="L315" i="131"/>
  <c r="L317" i="131"/>
  <c r="K317" i="131"/>
  <c r="K322" i="131"/>
  <c r="L322" i="131"/>
  <c r="L316" i="131"/>
  <c r="K316" i="131"/>
  <c r="K320" i="131"/>
  <c r="L320" i="131"/>
  <c r="K318" i="131"/>
  <c r="L318" i="131"/>
  <c r="B328" i="131" a="1"/>
  <c r="L323" i="131"/>
  <c r="K323" i="131"/>
  <c r="K321" i="131"/>
  <c r="L321" i="131"/>
  <c r="G223" i="59"/>
  <c r="I219" i="59" s="1"/>
  <c r="I220" i="59" s="1"/>
  <c r="K219" i="59" s="1" a="1"/>
  <c r="I221" i="59"/>
  <c r="O307" i="132" l="1"/>
  <c r="Q302" i="132" a="1"/>
  <c r="L324" i="131"/>
  <c r="O315" i="131" s="1"/>
  <c r="K324" i="131"/>
  <c r="O316" i="131" s="1"/>
  <c r="B330" i="131"/>
  <c r="B336" i="131"/>
  <c r="B328" i="131"/>
  <c r="B334" i="131"/>
  <c r="B333" i="131"/>
  <c r="B332" i="131"/>
  <c r="B335" i="131"/>
  <c r="B331" i="131"/>
  <c r="B329" i="131"/>
  <c r="L221" i="59"/>
  <c r="K220" i="59"/>
  <c r="L220" i="59"/>
  <c r="M219" i="59"/>
  <c r="L219" i="59"/>
  <c r="M220" i="59"/>
  <c r="K219" i="59"/>
  <c r="K221" i="59"/>
  <c r="M221" i="59"/>
  <c r="O317" i="131" l="1"/>
  <c r="R305" i="132"/>
  <c r="R310" i="132"/>
  <c r="R308" i="132"/>
  <c r="R302" i="132"/>
  <c r="Q310" i="132"/>
  <c r="Q306" i="132"/>
  <c r="R304" i="132"/>
  <c r="Q309" i="132"/>
  <c r="Q308" i="132"/>
  <c r="R306" i="132"/>
  <c r="Q307" i="132"/>
  <c r="R307" i="132"/>
  <c r="Q302" i="132"/>
  <c r="Q304" i="132"/>
  <c r="Q305" i="132"/>
  <c r="R303" i="132"/>
  <c r="R309" i="132"/>
  <c r="Q303" i="132"/>
  <c r="G334" i="131"/>
  <c r="M10" i="131"/>
  <c r="R10" i="131" s="1"/>
  <c r="AA10" i="131" s="1"/>
  <c r="G328" i="131"/>
  <c r="M4" i="131"/>
  <c r="R4" i="131" s="1"/>
  <c r="AA4" i="131" s="1"/>
  <c r="G333" i="131"/>
  <c r="M9" i="131"/>
  <c r="R9" i="131" s="1"/>
  <c r="AA9" i="131" s="1"/>
  <c r="G336" i="131"/>
  <c r="M12" i="131"/>
  <c r="R12" i="131" s="1"/>
  <c r="AA12" i="131" s="1"/>
  <c r="N320" i="131"/>
  <c r="O319" i="131" s="1"/>
  <c r="N319" i="131"/>
  <c r="G329" i="131"/>
  <c r="M5" i="131"/>
  <c r="R5" i="131" s="1"/>
  <c r="AA5" i="131" s="1"/>
  <c r="G331" i="131"/>
  <c r="M7" i="131"/>
  <c r="R7" i="131" s="1"/>
  <c r="AA7" i="131" s="1"/>
  <c r="G330" i="131"/>
  <c r="M6" i="131"/>
  <c r="R6" i="131" s="1"/>
  <c r="AA6" i="131" s="1"/>
  <c r="G335" i="131"/>
  <c r="M11" i="131"/>
  <c r="R11" i="131" s="1"/>
  <c r="AA11" i="131" s="1"/>
  <c r="G332" i="131"/>
  <c r="M8" i="131"/>
  <c r="R8" i="131" s="1"/>
  <c r="AA8" i="131" s="1"/>
  <c r="A226" i="59" a="1"/>
  <c r="O219" i="59" a="1"/>
  <c r="B315" i="132" l="1" a="1"/>
  <c r="D315" i="132" a="1"/>
  <c r="J332" i="131"/>
  <c r="I332" i="131"/>
  <c r="J330" i="131"/>
  <c r="I330" i="131"/>
  <c r="J328" i="131"/>
  <c r="I328" i="131"/>
  <c r="J331" i="131"/>
  <c r="I331" i="131"/>
  <c r="J335" i="131"/>
  <c r="I335" i="131"/>
  <c r="J336" i="131"/>
  <c r="I336" i="131"/>
  <c r="J334" i="131"/>
  <c r="I334" i="131"/>
  <c r="J329" i="131"/>
  <c r="I329" i="131"/>
  <c r="J333" i="131"/>
  <c r="I333" i="131"/>
  <c r="O320" i="131"/>
  <c r="Q315" i="131" s="1" a="1"/>
  <c r="O221" i="59"/>
  <c r="Q219" i="59"/>
  <c r="Q220" i="59"/>
  <c r="P219" i="59"/>
  <c r="P221" i="59"/>
  <c r="O219" i="59"/>
  <c r="O220" i="59"/>
  <c r="P220" i="59"/>
  <c r="Q221" i="59"/>
  <c r="C228" i="59"/>
  <c r="B227" i="59"/>
  <c r="E227" i="59" s="1"/>
  <c r="A226" i="59"/>
  <c r="B228" i="59"/>
  <c r="E228" i="59" s="1"/>
  <c r="A227" i="59"/>
  <c r="C226" i="59"/>
  <c r="C227" i="59"/>
  <c r="B226" i="59"/>
  <c r="E226" i="59" s="1"/>
  <c r="A228" i="59"/>
  <c r="D321" i="132" l="1"/>
  <c r="G321" i="132" s="1"/>
  <c r="D319" i="132"/>
  <c r="G319" i="132" s="1"/>
  <c r="D315" i="132"/>
  <c r="G315" i="132" s="1"/>
  <c r="D318" i="132"/>
  <c r="G318" i="132" s="1"/>
  <c r="D317" i="132"/>
  <c r="G317" i="132" s="1"/>
  <c r="D320" i="132"/>
  <c r="G320" i="132" s="1"/>
  <c r="D316" i="132"/>
  <c r="G316" i="132" s="1"/>
  <c r="D323" i="132"/>
  <c r="G323" i="132" s="1"/>
  <c r="D322" i="132"/>
  <c r="G322" i="132" s="1"/>
  <c r="B319" i="132"/>
  <c r="B316" i="132"/>
  <c r="B317" i="132"/>
  <c r="B321" i="132"/>
  <c r="B315" i="132"/>
  <c r="B323" i="132"/>
  <c r="B320" i="132"/>
  <c r="B318" i="132"/>
  <c r="B322" i="132"/>
  <c r="L328" i="131"/>
  <c r="I337" i="131"/>
  <c r="K328" i="131"/>
  <c r="L331" i="131"/>
  <c r="K331" i="131"/>
  <c r="J337" i="131"/>
  <c r="L333" i="131"/>
  <c r="K333" i="131"/>
  <c r="L336" i="131"/>
  <c r="K336" i="131"/>
  <c r="K330" i="131"/>
  <c r="L330" i="131"/>
  <c r="Q321" i="131"/>
  <c r="Q317" i="131"/>
  <c r="Q320" i="131"/>
  <c r="Q316" i="131"/>
  <c r="Q323" i="131"/>
  <c r="Q319" i="131"/>
  <c r="Q315" i="131"/>
  <c r="R322" i="131"/>
  <c r="R318" i="131"/>
  <c r="Q322" i="131"/>
  <c r="Q318" i="131"/>
  <c r="R321" i="131"/>
  <c r="R320" i="131"/>
  <c r="R319" i="131"/>
  <c r="R317" i="131"/>
  <c r="R316" i="131"/>
  <c r="R315" i="131"/>
  <c r="R323" i="131"/>
  <c r="L334" i="131"/>
  <c r="K334" i="131"/>
  <c r="L335" i="131"/>
  <c r="K335" i="131"/>
  <c r="L332" i="131"/>
  <c r="K332" i="131"/>
  <c r="L329" i="131"/>
  <c r="K329" i="131"/>
  <c r="E230" i="59"/>
  <c r="G227" i="59" s="1"/>
  <c r="B328" i="132" l="1" a="1"/>
  <c r="B330" i="132" s="1"/>
  <c r="I323" i="132"/>
  <c r="J323" i="132"/>
  <c r="I316" i="132"/>
  <c r="J316" i="132"/>
  <c r="B332" i="132"/>
  <c r="B331" i="132"/>
  <c r="B335" i="132"/>
  <c r="B333" i="132"/>
  <c r="I320" i="132"/>
  <c r="J320" i="132"/>
  <c r="J317" i="132"/>
  <c r="I317" i="132"/>
  <c r="I318" i="132"/>
  <c r="J318" i="132"/>
  <c r="J315" i="132"/>
  <c r="I315" i="132"/>
  <c r="I319" i="132"/>
  <c r="J319" i="132"/>
  <c r="J322" i="132"/>
  <c r="I322" i="132"/>
  <c r="I321" i="132"/>
  <c r="J321" i="132"/>
  <c r="D328" i="131" a="1"/>
  <c r="C328" i="131" a="1"/>
  <c r="K337" i="131"/>
  <c r="O329" i="131" s="1"/>
  <c r="L337" i="131"/>
  <c r="O328" i="131" s="1"/>
  <c r="O330" i="131" s="1"/>
  <c r="G228" i="59"/>
  <c r="G226" i="59"/>
  <c r="B334" i="132" l="1"/>
  <c r="B336" i="132"/>
  <c r="B328" i="132"/>
  <c r="B329" i="132"/>
  <c r="G333" i="132"/>
  <c r="M9" i="132"/>
  <c r="R9" i="132" s="1"/>
  <c r="AA9" i="132" s="1"/>
  <c r="G335" i="132"/>
  <c r="M11" i="132"/>
  <c r="R11" i="132" s="1"/>
  <c r="AA11" i="132" s="1"/>
  <c r="K319" i="132"/>
  <c r="L319" i="132"/>
  <c r="L320" i="132"/>
  <c r="K320" i="132"/>
  <c r="G331" i="132"/>
  <c r="M7" i="132"/>
  <c r="R7" i="132" s="1"/>
  <c r="AA7" i="132" s="1"/>
  <c r="K315" i="132"/>
  <c r="I324" i="132"/>
  <c r="L315" i="132"/>
  <c r="G334" i="132"/>
  <c r="M10" i="132"/>
  <c r="R10" i="132" s="1"/>
  <c r="AA10" i="132" s="1"/>
  <c r="G332" i="132"/>
  <c r="M8" i="132"/>
  <c r="R8" i="132" s="1"/>
  <c r="AA8" i="132" s="1"/>
  <c r="J324" i="132"/>
  <c r="G336" i="132"/>
  <c r="M12" i="132"/>
  <c r="R12" i="132" s="1"/>
  <c r="AA12" i="132" s="1"/>
  <c r="G328" i="132"/>
  <c r="M4" i="132"/>
  <c r="R4" i="132" s="1"/>
  <c r="AA4" i="132" s="1"/>
  <c r="L316" i="132"/>
  <c r="K316" i="132"/>
  <c r="K321" i="132"/>
  <c r="L321" i="132"/>
  <c r="K318" i="132"/>
  <c r="L318" i="132"/>
  <c r="M5" i="132"/>
  <c r="R5" i="132" s="1"/>
  <c r="AA5" i="132" s="1"/>
  <c r="G329" i="132"/>
  <c r="L322" i="132"/>
  <c r="K322" i="132"/>
  <c r="K317" i="132"/>
  <c r="L317" i="132"/>
  <c r="G330" i="132"/>
  <c r="M6" i="132"/>
  <c r="R6" i="132" s="1"/>
  <c r="AA6" i="132" s="1"/>
  <c r="K323" i="132"/>
  <c r="L323" i="132"/>
  <c r="N333" i="131"/>
  <c r="O332" i="131" s="1"/>
  <c r="N332" i="131"/>
  <c r="C336" i="131"/>
  <c r="N12" i="131" s="1"/>
  <c r="S12" i="131" s="1"/>
  <c r="AB12" i="131" s="1"/>
  <c r="C328" i="131"/>
  <c r="N4" i="131" s="1"/>
  <c r="S4" i="131" s="1"/>
  <c r="AB4" i="131" s="1"/>
  <c r="C334" i="131"/>
  <c r="N10" i="131" s="1"/>
  <c r="S10" i="131" s="1"/>
  <c r="AB10" i="131" s="1"/>
  <c r="C332" i="131"/>
  <c r="N8" i="131" s="1"/>
  <c r="S8" i="131" s="1"/>
  <c r="AB8" i="131" s="1"/>
  <c r="C331" i="131"/>
  <c r="N7" i="131" s="1"/>
  <c r="S7" i="131" s="1"/>
  <c r="AB7" i="131" s="1"/>
  <c r="C330" i="131"/>
  <c r="N6" i="131" s="1"/>
  <c r="S6" i="131" s="1"/>
  <c r="AB6" i="131" s="1"/>
  <c r="C335" i="131"/>
  <c r="N11" i="131" s="1"/>
  <c r="S11" i="131" s="1"/>
  <c r="AB11" i="131" s="1"/>
  <c r="C333" i="131"/>
  <c r="N9" i="131" s="1"/>
  <c r="S9" i="131" s="1"/>
  <c r="AB9" i="131" s="1"/>
  <c r="C329" i="131"/>
  <c r="N5" i="131" s="1"/>
  <c r="S5" i="131" s="1"/>
  <c r="AB5" i="131" s="1"/>
  <c r="D334" i="131"/>
  <c r="O10" i="131" s="1"/>
  <c r="T10" i="131" s="1"/>
  <c r="AC10" i="131" s="1"/>
  <c r="D332" i="131"/>
  <c r="O8" i="131" s="1"/>
  <c r="T8" i="131" s="1"/>
  <c r="AC8" i="131" s="1"/>
  <c r="D330" i="131"/>
  <c r="O6" i="131" s="1"/>
  <c r="T6" i="131" s="1"/>
  <c r="AC6" i="131" s="1"/>
  <c r="D329" i="131"/>
  <c r="O5" i="131" s="1"/>
  <c r="T5" i="131" s="1"/>
  <c r="AC5" i="131" s="1"/>
  <c r="D336" i="131"/>
  <c r="O12" i="131" s="1"/>
  <c r="T12" i="131" s="1"/>
  <c r="AC12" i="131" s="1"/>
  <c r="D328" i="131"/>
  <c r="O4" i="131" s="1"/>
  <c r="T4" i="131" s="1"/>
  <c r="AC4" i="131" s="1"/>
  <c r="D335" i="131"/>
  <c r="O11" i="131" s="1"/>
  <c r="T11" i="131" s="1"/>
  <c r="AC11" i="131" s="1"/>
  <c r="D333" i="131"/>
  <c r="O9" i="131" s="1"/>
  <c r="T9" i="131" s="1"/>
  <c r="AC9" i="131" s="1"/>
  <c r="D331" i="131"/>
  <c r="O7" i="131" s="1"/>
  <c r="T7" i="131" s="1"/>
  <c r="AC7" i="131" s="1"/>
  <c r="G230" i="59"/>
  <c r="I227" i="59" s="1"/>
  <c r="J332" i="132" l="1"/>
  <c r="I332" i="132"/>
  <c r="I329" i="132"/>
  <c r="J329" i="132"/>
  <c r="I334" i="132"/>
  <c r="J334" i="132"/>
  <c r="I328" i="132"/>
  <c r="J328" i="132"/>
  <c r="L324" i="132"/>
  <c r="O315" i="132" s="1"/>
  <c r="J330" i="132"/>
  <c r="I330" i="132"/>
  <c r="I336" i="132"/>
  <c r="J336" i="132"/>
  <c r="K324" i="132"/>
  <c r="O316" i="132" s="1"/>
  <c r="I335" i="132"/>
  <c r="J335" i="132"/>
  <c r="I331" i="132"/>
  <c r="J331" i="132"/>
  <c r="I333" i="132"/>
  <c r="J333" i="132"/>
  <c r="O333" i="131"/>
  <c r="Q328" i="131" a="1"/>
  <c r="I228" i="59"/>
  <c r="K226" i="59" s="1" a="1"/>
  <c r="J337" i="132" l="1"/>
  <c r="L335" i="132"/>
  <c r="K335" i="132"/>
  <c r="L328" i="132"/>
  <c r="K328" i="132"/>
  <c r="I337" i="132"/>
  <c r="K334" i="132"/>
  <c r="L334" i="132"/>
  <c r="L336" i="132"/>
  <c r="K336" i="132"/>
  <c r="K333" i="132"/>
  <c r="L333" i="132"/>
  <c r="L330" i="132"/>
  <c r="K330" i="132"/>
  <c r="L329" i="132"/>
  <c r="K329" i="132"/>
  <c r="K332" i="132"/>
  <c r="L332" i="132"/>
  <c r="L331" i="132"/>
  <c r="K331" i="132"/>
  <c r="O317" i="132"/>
  <c r="R334" i="131"/>
  <c r="R330" i="131"/>
  <c r="R333" i="131"/>
  <c r="R329" i="131"/>
  <c r="R336" i="131"/>
  <c r="R332" i="131"/>
  <c r="R328" i="131"/>
  <c r="Q336" i="131"/>
  <c r="Q332" i="131"/>
  <c r="Q328" i="131"/>
  <c r="R335" i="131"/>
  <c r="R331" i="131"/>
  <c r="Q334" i="131"/>
  <c r="Q333" i="131"/>
  <c r="Q331" i="131"/>
  <c r="Q330" i="131"/>
  <c r="Q329" i="131"/>
  <c r="Q335" i="131"/>
  <c r="Z26" i="131" a="1"/>
  <c r="M228" i="59"/>
  <c r="L227" i="59"/>
  <c r="K226" i="59"/>
  <c r="L228" i="59"/>
  <c r="K227" i="59"/>
  <c r="K228" i="59"/>
  <c r="L226" i="59"/>
  <c r="M227" i="59"/>
  <c r="M226" i="59"/>
  <c r="K337" i="132" l="1"/>
  <c r="O329" i="132" s="1"/>
  <c r="L337" i="132"/>
  <c r="O328" i="132" s="1"/>
  <c r="O330" i="132" s="1"/>
  <c r="N319" i="132"/>
  <c r="O320" i="132" s="1"/>
  <c r="N320" i="132"/>
  <c r="O319" i="132" s="1"/>
  <c r="AC29" i="131"/>
  <c r="AC27" i="131"/>
  <c r="AB29" i="131"/>
  <c r="AB27" i="131"/>
  <c r="AA29" i="131"/>
  <c r="AA27" i="131"/>
  <c r="Z29" i="131"/>
  <c r="Z27" i="131"/>
  <c r="AC28" i="131"/>
  <c r="AC26" i="131"/>
  <c r="AB28" i="131"/>
  <c r="AB26" i="131"/>
  <c r="Z28" i="131"/>
  <c r="Z26" i="131"/>
  <c r="AA28" i="131"/>
  <c r="AA26" i="131"/>
  <c r="A233" i="59" a="1"/>
  <c r="O226" i="59" a="1"/>
  <c r="Q315" i="132" l="1" a="1"/>
  <c r="N332" i="132"/>
  <c r="N333" i="132"/>
  <c r="O332" i="132" s="1"/>
  <c r="Z32" i="131" a="1"/>
  <c r="AB35" i="131" s="1"/>
  <c r="O228" i="59"/>
  <c r="Q226" i="59"/>
  <c r="Q227" i="59"/>
  <c r="P226" i="59"/>
  <c r="P227" i="59"/>
  <c r="P228" i="59"/>
  <c r="O227" i="59"/>
  <c r="O226" i="59"/>
  <c r="O233" i="59" s="1" a="1"/>
  <c r="Q228" i="59"/>
  <c r="C235" i="59"/>
  <c r="M235" i="59" s="1"/>
  <c r="B234" i="59"/>
  <c r="L234" i="59" s="1"/>
  <c r="A233" i="59"/>
  <c r="K233" i="59" s="1"/>
  <c r="B235" i="59"/>
  <c r="A234" i="59"/>
  <c r="C233" i="59"/>
  <c r="M233" i="59" s="1"/>
  <c r="C234" i="59"/>
  <c r="M234" i="59" s="1"/>
  <c r="B233" i="59"/>
  <c r="L233" i="59" s="1"/>
  <c r="A235" i="59"/>
  <c r="Z32" i="131" l="1"/>
  <c r="AC39" i="131"/>
  <c r="AB36" i="131"/>
  <c r="Z33" i="131"/>
  <c r="AB37" i="131"/>
  <c r="Z34" i="131"/>
  <c r="AA32" i="131"/>
  <c r="AB38" i="131"/>
  <c r="Z35" i="131"/>
  <c r="AB39" i="131"/>
  <c r="Z36" i="131"/>
  <c r="AA34" i="131"/>
  <c r="AB40" i="131"/>
  <c r="Z37" i="131"/>
  <c r="Z38" i="131"/>
  <c r="Z39" i="131"/>
  <c r="AA36" i="131"/>
  <c r="Z40" i="131"/>
  <c r="AC38" i="131"/>
  <c r="AA39" i="131"/>
  <c r="AA40" i="131"/>
  <c r="AC40" i="131"/>
  <c r="AA35" i="131"/>
  <c r="AC34" i="131"/>
  <c r="AA38" i="131"/>
  <c r="AA33" i="131"/>
  <c r="AA37" i="131"/>
  <c r="AC33" i="131"/>
  <c r="AB32" i="131"/>
  <c r="AC32" i="131"/>
  <c r="AB33" i="131"/>
  <c r="O333" i="132"/>
  <c r="Q328" i="132" s="1" a="1"/>
  <c r="AC35" i="131"/>
  <c r="AC37" i="131"/>
  <c r="AB34" i="131"/>
  <c r="AC36" i="131"/>
  <c r="Q323" i="132"/>
  <c r="R316" i="132"/>
  <c r="Q321" i="132"/>
  <c r="Q319" i="132"/>
  <c r="Q316" i="132"/>
  <c r="Q315" i="132"/>
  <c r="R322" i="132"/>
  <c r="R318" i="132"/>
  <c r="Q322" i="132"/>
  <c r="Q318" i="132"/>
  <c r="R320" i="132"/>
  <c r="R321" i="132"/>
  <c r="R323" i="132"/>
  <c r="R319" i="132"/>
  <c r="R317" i="132"/>
  <c r="Q317" i="132"/>
  <c r="R315" i="132"/>
  <c r="Q320" i="132"/>
  <c r="P235" i="59"/>
  <c r="O234" i="59"/>
  <c r="O235" i="59"/>
  <c r="Q233" i="59"/>
  <c r="Q234" i="59"/>
  <c r="Q235" i="59"/>
  <c r="O233" i="59"/>
  <c r="P234" i="59"/>
  <c r="P233" i="59"/>
  <c r="D328" i="132" l="1" a="1"/>
  <c r="D328" i="132" s="1"/>
  <c r="R331" i="132"/>
  <c r="R333" i="132"/>
  <c r="Q335" i="132"/>
  <c r="Q332" i="132"/>
  <c r="Q329" i="132"/>
  <c r="R329" i="132"/>
  <c r="Q333" i="132"/>
  <c r="Q331" i="132"/>
  <c r="Q330" i="132"/>
  <c r="R330" i="132"/>
  <c r="Q336" i="132"/>
  <c r="R336" i="132"/>
  <c r="R332" i="132"/>
  <c r="Q328" i="132"/>
  <c r="R328" i="132"/>
  <c r="B341" i="132" s="1" a="1"/>
  <c r="B345" i="132" s="1"/>
  <c r="R334" i="132"/>
  <c r="R335" i="132"/>
  <c r="Q334" i="132"/>
  <c r="D335" i="132"/>
  <c r="O11" i="132" s="1"/>
  <c r="T11" i="132" s="1"/>
  <c r="AC11" i="132" s="1"/>
  <c r="D333" i="132"/>
  <c r="O9" i="132" s="1"/>
  <c r="T9" i="132" s="1"/>
  <c r="AC9" i="132" s="1"/>
  <c r="C328" i="132" a="1"/>
  <c r="A240" i="59" a="1"/>
  <c r="U237" i="59"/>
  <c r="S233" i="59" a="1"/>
  <c r="K240" i="59" a="1"/>
  <c r="D336" i="132" l="1"/>
  <c r="O12" i="132" s="1"/>
  <c r="T12" i="132" s="1"/>
  <c r="AC12" i="132" s="1"/>
  <c r="D330" i="132"/>
  <c r="O6" i="132" s="1"/>
  <c r="T6" i="132" s="1"/>
  <c r="AC6" i="132" s="1"/>
  <c r="D332" i="132"/>
  <c r="O8" i="132" s="1"/>
  <c r="T8" i="132" s="1"/>
  <c r="AC8" i="132" s="1"/>
  <c r="D331" i="132"/>
  <c r="O7" i="132" s="1"/>
  <c r="T7" i="132" s="1"/>
  <c r="AC7" i="132" s="1"/>
  <c r="D334" i="132"/>
  <c r="O10" i="132" s="1"/>
  <c r="T10" i="132" s="1"/>
  <c r="AC10" i="132" s="1"/>
  <c r="D329" i="132"/>
  <c r="O5" i="132" s="1"/>
  <c r="T5" i="132" s="1"/>
  <c r="AC5" i="132" s="1"/>
  <c r="A341" i="132" a="1"/>
  <c r="A348" i="132" s="1"/>
  <c r="F348" i="132" s="1"/>
  <c r="B346" i="132"/>
  <c r="B347" i="132"/>
  <c r="B342" i="132"/>
  <c r="B343" i="132"/>
  <c r="C329" i="132"/>
  <c r="N5" i="132" s="1"/>
  <c r="S5" i="132" s="1"/>
  <c r="AB5" i="132" s="1"/>
  <c r="C332" i="132"/>
  <c r="N8" i="132" s="1"/>
  <c r="S8" i="132" s="1"/>
  <c r="AB8" i="132" s="1"/>
  <c r="C328" i="132"/>
  <c r="C336" i="132"/>
  <c r="N12" i="132" s="1"/>
  <c r="S12" i="132" s="1"/>
  <c r="AB12" i="132" s="1"/>
  <c r="C335" i="132"/>
  <c r="N11" i="132" s="1"/>
  <c r="S11" i="132" s="1"/>
  <c r="AB11" i="132" s="1"/>
  <c r="C331" i="132"/>
  <c r="N7" i="132" s="1"/>
  <c r="S7" i="132" s="1"/>
  <c r="AB7" i="132" s="1"/>
  <c r="C334" i="132"/>
  <c r="N10" i="132" s="1"/>
  <c r="S10" i="132" s="1"/>
  <c r="AB10" i="132" s="1"/>
  <c r="C333" i="132"/>
  <c r="N9" i="132" s="1"/>
  <c r="S9" i="132" s="1"/>
  <c r="AB9" i="132" s="1"/>
  <c r="C330" i="132"/>
  <c r="N6" i="132" s="1"/>
  <c r="S6" i="132" s="1"/>
  <c r="AB6" i="132" s="1"/>
  <c r="B348" i="132"/>
  <c r="B341" i="132"/>
  <c r="B354" i="132" s="1" a="1"/>
  <c r="B349" i="132"/>
  <c r="B344" i="132"/>
  <c r="D341" i="132" a="1"/>
  <c r="O4" i="132"/>
  <c r="T4" i="132" s="1"/>
  <c r="AC4" i="132" s="1"/>
  <c r="U234" i="59"/>
  <c r="T233" i="59"/>
  <c r="U235" i="59"/>
  <c r="T234" i="59"/>
  <c r="S233" i="59"/>
  <c r="S234" i="59"/>
  <c r="S235" i="59"/>
  <c r="U233" i="59"/>
  <c r="T235" i="59"/>
  <c r="L242" i="59"/>
  <c r="K241" i="59"/>
  <c r="K242" i="59"/>
  <c r="M240" i="59"/>
  <c r="L240" i="59"/>
  <c r="L241" i="59"/>
  <c r="K240" i="59"/>
  <c r="M242" i="59"/>
  <c r="M241" i="59"/>
  <c r="C242" i="59"/>
  <c r="B241" i="59"/>
  <c r="A240" i="59"/>
  <c r="B242" i="59"/>
  <c r="A241" i="59"/>
  <c r="A242" i="59"/>
  <c r="B240" i="59"/>
  <c r="C241" i="59"/>
  <c r="C240" i="59"/>
  <c r="A346" i="132" l="1"/>
  <c r="F346" i="132" s="1"/>
  <c r="A349" i="132"/>
  <c r="F349" i="132" s="1"/>
  <c r="A344" i="132"/>
  <c r="F344" i="132" s="1"/>
  <c r="A347" i="132"/>
  <c r="F347" i="132" s="1"/>
  <c r="A345" i="132"/>
  <c r="F345" i="132" s="1"/>
  <c r="A343" i="132"/>
  <c r="F343" i="132" s="1"/>
  <c r="A341" i="132"/>
  <c r="F341" i="132" s="1"/>
  <c r="A342" i="132"/>
  <c r="C341" i="132" a="1"/>
  <c r="N4" i="132"/>
  <c r="S4" i="132" s="1"/>
  <c r="AB4" i="132" s="1"/>
  <c r="D345" i="132"/>
  <c r="D343" i="132"/>
  <c r="D344" i="132"/>
  <c r="D341" i="132"/>
  <c r="D342" i="132"/>
  <c r="D349" i="132"/>
  <c r="D347" i="132"/>
  <c r="D348" i="132"/>
  <c r="D346" i="132"/>
  <c r="B355" i="132"/>
  <c r="B362" i="132"/>
  <c r="B354" i="132"/>
  <c r="B360" i="132"/>
  <c r="B359" i="132"/>
  <c r="B358" i="132"/>
  <c r="B357" i="132"/>
  <c r="B356" i="132"/>
  <c r="B361" i="132"/>
  <c r="W251" i="59" a="1"/>
  <c r="W246" i="59" a="1"/>
  <c r="W256" i="59" a="1"/>
  <c r="X256" i="59" a="1"/>
  <c r="Y256" i="59" a="1"/>
  <c r="B367" i="132" l="1" a="1"/>
  <c r="D354" i="132" a="1"/>
  <c r="F342" i="132"/>
  <c r="B351" i="132"/>
  <c r="D354" i="132"/>
  <c r="G354" i="132" s="1"/>
  <c r="D362" i="132"/>
  <c r="G362" i="132" s="1"/>
  <c r="D359" i="132"/>
  <c r="G359" i="132" s="1"/>
  <c r="D361" i="132"/>
  <c r="G361" i="132" s="1"/>
  <c r="D360" i="132"/>
  <c r="G360" i="132" s="1"/>
  <c r="D355" i="132"/>
  <c r="G355" i="132" s="1"/>
  <c r="D357" i="132"/>
  <c r="G357" i="132" s="1"/>
  <c r="D356" i="132"/>
  <c r="G356" i="132" s="1"/>
  <c r="D358" i="132"/>
  <c r="G358" i="132" s="1"/>
  <c r="C341" i="132"/>
  <c r="G341" i="132" s="1"/>
  <c r="C349" i="132"/>
  <c r="G349" i="132" s="1"/>
  <c r="C347" i="132"/>
  <c r="G347" i="132" s="1"/>
  <c r="C348" i="132"/>
  <c r="G348" i="132" s="1"/>
  <c r="C345" i="132"/>
  <c r="G345" i="132" s="1"/>
  <c r="C342" i="132"/>
  <c r="G342" i="132" s="1"/>
  <c r="C346" i="132"/>
  <c r="G346" i="132" s="1"/>
  <c r="C344" i="132"/>
  <c r="G344" i="132" s="1"/>
  <c r="C343" i="132"/>
  <c r="G343" i="132" s="1"/>
  <c r="B373" i="132"/>
  <c r="F373" i="132" s="1"/>
  <c r="B372" i="132"/>
  <c r="F372" i="132" s="1"/>
  <c r="B369" i="132"/>
  <c r="F369" i="132" s="1"/>
  <c r="B368" i="132"/>
  <c r="F368" i="132" s="1"/>
  <c r="B370" i="132"/>
  <c r="F370" i="132" s="1"/>
  <c r="B367" i="132"/>
  <c r="F367" i="132" s="1"/>
  <c r="B371" i="132"/>
  <c r="F371" i="132" s="1"/>
  <c r="B375" i="132"/>
  <c r="F375" i="132" s="1"/>
  <c r="B374" i="132"/>
  <c r="F374" i="132" s="1"/>
  <c r="W248" i="59"/>
  <c r="Y246" i="59"/>
  <c r="Y247" i="59"/>
  <c r="X246" i="59"/>
  <c r="X247" i="59"/>
  <c r="X248" i="59"/>
  <c r="W246" i="59"/>
  <c r="W247" i="59"/>
  <c r="Y248" i="59"/>
  <c r="X258" i="59"/>
  <c r="X257" i="59"/>
  <c r="X256" i="59"/>
  <c r="W258" i="59"/>
  <c r="W257" i="59"/>
  <c r="W256" i="59"/>
  <c r="Y258" i="59"/>
  <c r="Y257" i="59"/>
  <c r="Y256" i="59"/>
  <c r="Y253" i="59"/>
  <c r="X252" i="59"/>
  <c r="W251" i="59"/>
  <c r="X253" i="59"/>
  <c r="W252" i="59"/>
  <c r="Y251" i="59"/>
  <c r="Y252" i="59"/>
  <c r="X251" i="59"/>
  <c r="W253" i="59"/>
  <c r="I346" i="132" l="1"/>
  <c r="J346" i="132"/>
  <c r="I342" i="132"/>
  <c r="J342" i="132"/>
  <c r="I345" i="132"/>
  <c r="J345" i="132"/>
  <c r="J348" i="132"/>
  <c r="I348" i="132"/>
  <c r="I347" i="132"/>
  <c r="J347" i="132"/>
  <c r="J349" i="132"/>
  <c r="I349" i="132"/>
  <c r="Z25" i="132" a="1"/>
  <c r="I343" i="132"/>
  <c r="J343" i="132"/>
  <c r="J341" i="132"/>
  <c r="J350" i="132" s="1"/>
  <c r="I341" i="132"/>
  <c r="J344" i="132"/>
  <c r="I344" i="132"/>
  <c r="K348" i="132" l="1"/>
  <c r="L348" i="132"/>
  <c r="L345" i="132"/>
  <c r="K345" i="132"/>
  <c r="L342" i="132"/>
  <c r="K342" i="132"/>
  <c r="AA26" i="132"/>
  <c r="AC26" i="132"/>
  <c r="AC27" i="132"/>
  <c r="Z25" i="132"/>
  <c r="AC25" i="132"/>
  <c r="Z28" i="132"/>
  <c r="Z26" i="132"/>
  <c r="AB27" i="132"/>
  <c r="AB25" i="132"/>
  <c r="AA27" i="132"/>
  <c r="AB28" i="132"/>
  <c r="AC28" i="132"/>
  <c r="AB26" i="132"/>
  <c r="AA25" i="132"/>
  <c r="AA28" i="132"/>
  <c r="Z27" i="132"/>
  <c r="L344" i="132"/>
  <c r="K344" i="132"/>
  <c r="L343" i="132"/>
  <c r="K343" i="132"/>
  <c r="K349" i="132"/>
  <c r="L349" i="132"/>
  <c r="I350" i="132"/>
  <c r="L341" i="132"/>
  <c r="K341" i="132"/>
  <c r="L347" i="132"/>
  <c r="K347" i="132"/>
  <c r="L346" i="132"/>
  <c r="K346" i="132"/>
  <c r="K350" i="132" l="1"/>
  <c r="O342" i="132" s="1"/>
  <c r="L350" i="132"/>
  <c r="O341" i="132" s="1"/>
  <c r="O343" i="132" s="1"/>
  <c r="N345" i="132" l="1"/>
  <c r="N346" i="132"/>
  <c r="O345" i="132" s="1"/>
  <c r="O346" i="132" l="1"/>
  <c r="Q341" i="132" a="1"/>
  <c r="C8" i="47"/>
  <c r="B8" i="47"/>
  <c r="B7" i="47"/>
  <c r="R348" i="132" l="1"/>
  <c r="R349" i="132"/>
  <c r="R346" i="132"/>
  <c r="R344" i="132"/>
  <c r="Q343" i="132"/>
  <c r="R342" i="132"/>
  <c r="R341" i="132"/>
  <c r="C354" i="132" s="1" a="1"/>
  <c r="Q346" i="132"/>
  <c r="Q348" i="132"/>
  <c r="R347" i="132"/>
  <c r="R345" i="132"/>
  <c r="Q341" i="132"/>
  <c r="R343" i="132"/>
  <c r="Q342" i="132"/>
  <c r="Q349" i="132"/>
  <c r="Q347" i="132"/>
  <c r="Q344" i="132"/>
  <c r="Q345" i="132"/>
  <c r="B13" i="47" a="1"/>
  <c r="B15" i="47" s="1"/>
  <c r="C14" i="47"/>
  <c r="D13" i="47"/>
  <c r="C362" i="132" l="1"/>
  <c r="C357" i="132"/>
  <c r="C361" i="132"/>
  <c r="C360" i="132"/>
  <c r="C354" i="132"/>
  <c r="C358" i="132"/>
  <c r="C355" i="132"/>
  <c r="C359" i="132"/>
  <c r="C356" i="132"/>
  <c r="A354" i="132" a="1"/>
  <c r="B13" i="47"/>
  <c r="C15" i="47"/>
  <c r="B14" i="47"/>
  <c r="D14" i="47"/>
  <c r="C13" i="47"/>
  <c r="D15" i="47"/>
  <c r="F10" i="49" a="1"/>
  <c r="E4" i="48" a="1"/>
  <c r="C367" i="132" l="1" a="1"/>
  <c r="A359" i="132"/>
  <c r="F359" i="132" s="1"/>
  <c r="A360" i="132"/>
  <c r="F360" i="132" s="1"/>
  <c r="A358" i="132"/>
  <c r="F358" i="132" s="1"/>
  <c r="A357" i="132"/>
  <c r="F357" i="132" s="1"/>
  <c r="A355" i="132"/>
  <c r="F355" i="132" s="1"/>
  <c r="A362" i="132"/>
  <c r="F362" i="132" s="1"/>
  <c r="A356" i="132"/>
  <c r="F356" i="132" s="1"/>
  <c r="A354" i="132"/>
  <c r="A361" i="132"/>
  <c r="F361" i="132" s="1"/>
  <c r="G15" i="49"/>
  <c r="G14" i="49"/>
  <c r="G13" i="49"/>
  <c r="G12" i="49"/>
  <c r="G11" i="49"/>
  <c r="G10" i="49"/>
  <c r="H15" i="49"/>
  <c r="H14" i="49"/>
  <c r="H13" i="49"/>
  <c r="H12" i="49"/>
  <c r="H11" i="49"/>
  <c r="H10" i="49"/>
  <c r="F15" i="49"/>
  <c r="F14" i="49"/>
  <c r="F13" i="49"/>
  <c r="F12" i="49"/>
  <c r="F11" i="49"/>
  <c r="F10" i="49"/>
  <c r="I15" i="49"/>
  <c r="I14" i="49"/>
  <c r="I13" i="49"/>
  <c r="I12" i="49"/>
  <c r="I11" i="49"/>
  <c r="I10" i="49"/>
  <c r="F6" i="48"/>
  <c r="E5" i="48"/>
  <c r="G5" i="48"/>
  <c r="F4" i="48"/>
  <c r="F5" i="48"/>
  <c r="E6" i="48"/>
  <c r="G4" i="48"/>
  <c r="G6" i="48"/>
  <c r="E4" i="48"/>
  <c r="I356" i="132" l="1"/>
  <c r="J356" i="132"/>
  <c r="J362" i="132"/>
  <c r="I362" i="132"/>
  <c r="J355" i="132"/>
  <c r="I355" i="132"/>
  <c r="J357" i="132"/>
  <c r="I357" i="132"/>
  <c r="I358" i="132"/>
  <c r="J358" i="132"/>
  <c r="I360" i="132"/>
  <c r="J360" i="132"/>
  <c r="J361" i="132"/>
  <c r="I361" i="132"/>
  <c r="J359" i="132"/>
  <c r="I359" i="132"/>
  <c r="F354" i="132"/>
  <c r="B364" i="132"/>
  <c r="C371" i="132"/>
  <c r="G371" i="132" s="1"/>
  <c r="C372" i="132"/>
  <c r="G372" i="132" s="1"/>
  <c r="C370" i="132"/>
  <c r="G370" i="132" s="1"/>
  <c r="C375" i="132"/>
  <c r="G375" i="132" s="1"/>
  <c r="C367" i="132"/>
  <c r="G367" i="132" s="1"/>
  <c r="C369" i="132"/>
  <c r="G369" i="132" s="1"/>
  <c r="C374" i="132"/>
  <c r="G374" i="132" s="1"/>
  <c r="C373" i="132"/>
  <c r="G373" i="132" s="1"/>
  <c r="C368" i="132"/>
  <c r="G368" i="132" s="1"/>
  <c r="K24" i="49" a="1"/>
  <c r="K18" i="49" a="1"/>
  <c r="F18" i="49" a="1"/>
  <c r="E14" i="48" a="1"/>
  <c r="J369" i="132" l="1"/>
  <c r="I369" i="132"/>
  <c r="L359" i="132"/>
  <c r="K359" i="132"/>
  <c r="L357" i="132"/>
  <c r="K357" i="132"/>
  <c r="I367" i="132"/>
  <c r="J367" i="132"/>
  <c r="J375" i="132"/>
  <c r="I375" i="132"/>
  <c r="K361" i="132"/>
  <c r="L361" i="132"/>
  <c r="L355" i="132"/>
  <c r="K355" i="132"/>
  <c r="I370" i="132"/>
  <c r="J370" i="132"/>
  <c r="J372" i="132"/>
  <c r="I372" i="132"/>
  <c r="L362" i="132"/>
  <c r="K362" i="132"/>
  <c r="J368" i="132"/>
  <c r="I368" i="132"/>
  <c r="J371" i="132"/>
  <c r="I371" i="132"/>
  <c r="K360" i="132"/>
  <c r="L360" i="132"/>
  <c r="J373" i="132"/>
  <c r="I373" i="132"/>
  <c r="I374" i="132"/>
  <c r="J374" i="132"/>
  <c r="J354" i="132"/>
  <c r="J363" i="132" s="1"/>
  <c r="I354" i="132"/>
  <c r="L358" i="132"/>
  <c r="K358" i="132"/>
  <c r="K356" i="132"/>
  <c r="L356" i="132"/>
  <c r="M24" i="49"/>
  <c r="K29" i="49"/>
  <c r="L24" i="49"/>
  <c r="N26" i="49"/>
  <c r="K26" i="49"/>
  <c r="M28" i="49"/>
  <c r="K24" i="49"/>
  <c r="O27" i="49"/>
  <c r="M29" i="49"/>
  <c r="L25" i="49"/>
  <c r="O24" i="49"/>
  <c r="K27" i="49"/>
  <c r="P24" i="49"/>
  <c r="M26" i="49"/>
  <c r="K28" i="49"/>
  <c r="P28" i="49"/>
  <c r="P29" i="49"/>
  <c r="O25" i="49"/>
  <c r="L28" i="49"/>
  <c r="K25" i="49"/>
  <c r="O26" i="49"/>
  <c r="N27" i="49"/>
  <c r="N28" i="49"/>
  <c r="P25" i="49"/>
  <c r="N29" i="49"/>
  <c r="M25" i="49"/>
  <c r="L26" i="49"/>
  <c r="L27" i="49"/>
  <c r="P26" i="49"/>
  <c r="L29" i="49"/>
  <c r="O28" i="49"/>
  <c r="N24" i="49"/>
  <c r="N25" i="49"/>
  <c r="P27" i="49"/>
  <c r="M27" i="49"/>
  <c r="O29" i="49"/>
  <c r="F23" i="49"/>
  <c r="F22" i="49"/>
  <c r="F21" i="49"/>
  <c r="F20" i="49"/>
  <c r="F19" i="49"/>
  <c r="F18" i="49"/>
  <c r="G23" i="49"/>
  <c r="G22" i="49"/>
  <c r="G21" i="49"/>
  <c r="G20" i="49"/>
  <c r="G19" i="49"/>
  <c r="G18" i="49"/>
  <c r="I23" i="49"/>
  <c r="I22" i="49"/>
  <c r="I21" i="49"/>
  <c r="I20" i="49"/>
  <c r="I19" i="49"/>
  <c r="I18" i="49"/>
  <c r="H23" i="49"/>
  <c r="H22" i="49"/>
  <c r="H21" i="49"/>
  <c r="H20" i="49"/>
  <c r="H19" i="49"/>
  <c r="H18" i="49"/>
  <c r="N21" i="49"/>
  <c r="N20" i="49"/>
  <c r="N19" i="49"/>
  <c r="N18" i="49"/>
  <c r="L21" i="49"/>
  <c r="K21" i="49"/>
  <c r="K19" i="49"/>
  <c r="K18" i="49"/>
  <c r="M21" i="49"/>
  <c r="M20" i="49"/>
  <c r="M19" i="49"/>
  <c r="M18" i="49"/>
  <c r="L20" i="49"/>
  <c r="L19" i="49"/>
  <c r="L18" i="49"/>
  <c r="K20" i="49"/>
  <c r="E16" i="48"/>
  <c r="G14" i="48"/>
  <c r="F16" i="48"/>
  <c r="E15" i="48"/>
  <c r="G15" i="48"/>
  <c r="F14" i="48"/>
  <c r="G16" i="48"/>
  <c r="F15" i="48"/>
  <c r="E14" i="48"/>
  <c r="I14" i="48" s="1" a="1"/>
  <c r="I15" i="48" l="1"/>
  <c r="K16" i="48"/>
  <c r="I14" i="48"/>
  <c r="J16" i="48"/>
  <c r="I16" i="48"/>
  <c r="K15" i="48"/>
  <c r="J15" i="48"/>
  <c r="K14" i="48"/>
  <c r="J14" i="48"/>
  <c r="I363" i="132"/>
  <c r="K354" i="132"/>
  <c r="K363" i="132" s="1"/>
  <c r="O355" i="132" s="1"/>
  <c r="L354" i="132"/>
  <c r="L363" i="132" s="1"/>
  <c r="O354" i="132" s="1"/>
  <c r="K371" i="132"/>
  <c r="L371" i="132"/>
  <c r="J376" i="132"/>
  <c r="L370" i="132"/>
  <c r="K370" i="132"/>
  <c r="L367" i="132"/>
  <c r="K367" i="132"/>
  <c r="I376" i="132"/>
  <c r="K368" i="132"/>
  <c r="L368" i="132"/>
  <c r="L374" i="132"/>
  <c r="K374" i="132"/>
  <c r="L373" i="132"/>
  <c r="K373" i="132"/>
  <c r="L372" i="132"/>
  <c r="K372" i="132"/>
  <c r="L375" i="132"/>
  <c r="K375" i="132"/>
  <c r="L369" i="132"/>
  <c r="K369" i="132"/>
  <c r="I4" i="48" a="1"/>
  <c r="K5" i="48" s="1"/>
  <c r="O356" i="132" l="1"/>
  <c r="N359" i="132" s="1"/>
  <c r="O358" i="132" s="1"/>
  <c r="K376" i="132"/>
  <c r="L376" i="132"/>
  <c r="K6" i="48"/>
  <c r="I5" i="48"/>
  <c r="I4" i="48"/>
  <c r="J4" i="48"/>
  <c r="J6" i="48"/>
  <c r="K4" i="48"/>
  <c r="I6" i="48"/>
  <c r="J5" i="48"/>
  <c r="N358" i="132" l="1"/>
  <c r="O359" i="132"/>
  <c r="Q354" i="132" s="1" a="1"/>
  <c r="R357" i="132" l="1"/>
  <c r="R356" i="132"/>
  <c r="Q360" i="132"/>
  <c r="Q356" i="132"/>
  <c r="R359" i="132"/>
  <c r="R355" i="132"/>
  <c r="Q355" i="132"/>
  <c r="R361" i="132"/>
  <c r="R354" i="132"/>
  <c r="Q361" i="132"/>
  <c r="Q362" i="132"/>
  <c r="R360" i="132"/>
  <c r="Q359" i="132"/>
  <c r="R362" i="132"/>
  <c r="R358" i="132"/>
  <c r="Q358" i="132"/>
  <c r="Q354" i="132"/>
  <c r="Q357" i="132"/>
  <c r="A367" i="132" l="1" a="1"/>
  <c r="D367" i="132" a="1"/>
  <c r="D369" i="132" l="1"/>
  <c r="D370" i="132"/>
  <c r="D375" i="132"/>
  <c r="D374" i="132"/>
  <c r="D371" i="132"/>
  <c r="D373" i="132"/>
  <c r="D372" i="132"/>
  <c r="D368" i="132"/>
  <c r="D367" i="132"/>
  <c r="A373" i="132"/>
  <c r="A375" i="132"/>
  <c r="A372" i="132"/>
  <c r="A369" i="132"/>
  <c r="A368" i="132"/>
  <c r="A367" i="132"/>
  <c r="A374" i="132"/>
  <c r="A371" i="132"/>
  <c r="A370" i="132"/>
  <c r="A380" i="132" l="1" a="1"/>
  <c r="B377" i="132"/>
  <c r="D380" i="132" a="1"/>
  <c r="D381" i="132" l="1"/>
  <c r="G381" i="132" s="1"/>
  <c r="D380" i="132"/>
  <c r="G380" i="132" s="1"/>
  <c r="D383" i="132"/>
  <c r="G383" i="132" s="1"/>
  <c r="D384" i="132"/>
  <c r="G384" i="132" s="1"/>
  <c r="D382" i="132"/>
  <c r="G382" i="132" s="1"/>
  <c r="D387" i="132"/>
  <c r="G387" i="132" s="1"/>
  <c r="D386" i="132"/>
  <c r="G386" i="132" s="1"/>
  <c r="D388" i="132"/>
  <c r="G388" i="132" s="1"/>
  <c r="D385" i="132"/>
  <c r="G385" i="132" s="1"/>
  <c r="O368" i="132"/>
  <c r="O367" i="132"/>
  <c r="O369" i="132" s="1"/>
  <c r="N372" i="132" s="1"/>
  <c r="O371" i="132" s="1"/>
  <c r="A383" i="132"/>
  <c r="A384" i="132"/>
  <c r="A387" i="132"/>
  <c r="A381" i="132"/>
  <c r="A388" i="132"/>
  <c r="A380" i="132"/>
  <c r="A385" i="132"/>
  <c r="A382" i="132"/>
  <c r="A386" i="132"/>
  <c r="N371" i="132" l="1"/>
  <c r="B390" i="132"/>
  <c r="A393" i="132" a="1"/>
  <c r="O372" i="132"/>
  <c r="Q367" i="132" a="1"/>
  <c r="A399" i="132" l="1"/>
  <c r="A401" i="132"/>
  <c r="A397" i="132"/>
  <c r="A398" i="132"/>
  <c r="A400" i="132"/>
  <c r="A396" i="132"/>
  <c r="A395" i="132"/>
  <c r="A393" i="132"/>
  <c r="A394" i="132"/>
  <c r="R375" i="132"/>
  <c r="R371" i="132"/>
  <c r="R367" i="132"/>
  <c r="Q375" i="132"/>
  <c r="Q371" i="132"/>
  <c r="Q367" i="132"/>
  <c r="B380" i="132" s="1" a="1"/>
  <c r="R373" i="132"/>
  <c r="R369" i="132"/>
  <c r="Q373" i="132"/>
  <c r="Q369" i="132"/>
  <c r="Q374" i="132"/>
  <c r="R372" i="132"/>
  <c r="R370" i="132"/>
  <c r="Q370" i="132"/>
  <c r="R374" i="132"/>
  <c r="Q372" i="132"/>
  <c r="R368" i="132"/>
  <c r="Q368" i="132"/>
  <c r="B403" i="132" l="1"/>
  <c r="A406" i="132" a="1"/>
  <c r="C380" i="132" a="1"/>
  <c r="C385" i="132" s="1"/>
  <c r="B387" i="132"/>
  <c r="F387" i="132" s="1"/>
  <c r="B386" i="132"/>
  <c r="F386" i="132" s="1"/>
  <c r="B383" i="132"/>
  <c r="F383" i="132" s="1"/>
  <c r="B382" i="132"/>
  <c r="F382" i="132" s="1"/>
  <c r="B381" i="132"/>
  <c r="F381" i="132" s="1"/>
  <c r="B380" i="132"/>
  <c r="F380" i="132" s="1"/>
  <c r="B388" i="132"/>
  <c r="F388" i="132" s="1"/>
  <c r="B385" i="132"/>
  <c r="F385" i="132" s="1"/>
  <c r="B384" i="132"/>
  <c r="F384" i="132" s="1"/>
  <c r="C384" i="132"/>
  <c r="C381" i="132"/>
  <c r="C388" i="132"/>
  <c r="C380" i="132"/>
  <c r="C383" i="132" l="1"/>
  <c r="C382" i="132"/>
  <c r="A411" i="132"/>
  <c r="F411" i="132" s="1"/>
  <c r="A410" i="132"/>
  <c r="F410" i="132" s="1"/>
  <c r="A407" i="132"/>
  <c r="F407" i="132" s="1"/>
  <c r="A409" i="132"/>
  <c r="F409" i="132" s="1"/>
  <c r="A406" i="132"/>
  <c r="A408" i="132"/>
  <c r="F408" i="132" s="1"/>
  <c r="A413" i="132"/>
  <c r="F413" i="132" s="1"/>
  <c r="A412" i="132"/>
  <c r="F412" i="132" s="1"/>
  <c r="A414" i="132"/>
  <c r="F414" i="132" s="1"/>
  <c r="C386" i="132"/>
  <c r="C387" i="132"/>
  <c r="C393" i="132" a="1"/>
  <c r="C399" i="132" s="1"/>
  <c r="F399" i="132" s="1"/>
  <c r="J382" i="132"/>
  <c r="I382" i="132"/>
  <c r="I383" i="132"/>
  <c r="J383" i="132"/>
  <c r="J384" i="132"/>
  <c r="I384" i="132"/>
  <c r="I387" i="132"/>
  <c r="J387" i="132"/>
  <c r="J385" i="132"/>
  <c r="I385" i="132"/>
  <c r="J388" i="132"/>
  <c r="I388" i="132"/>
  <c r="I380" i="132"/>
  <c r="J380" i="132"/>
  <c r="J386" i="132"/>
  <c r="I386" i="132"/>
  <c r="J381" i="132"/>
  <c r="I381" i="132"/>
  <c r="C397" i="132" l="1"/>
  <c r="F397" i="132" s="1"/>
  <c r="B416" i="132"/>
  <c r="F406" i="132"/>
  <c r="C396" i="132"/>
  <c r="F396" i="132" s="1"/>
  <c r="C401" i="132"/>
  <c r="F401" i="132" s="1"/>
  <c r="C393" i="132"/>
  <c r="F393" i="132" s="1"/>
  <c r="C394" i="132"/>
  <c r="F394" i="132" s="1"/>
  <c r="C395" i="132"/>
  <c r="F395" i="132" s="1"/>
  <c r="C398" i="132"/>
  <c r="F398" i="132" s="1"/>
  <c r="C400" i="132"/>
  <c r="F400" i="132" s="1"/>
  <c r="L387" i="132"/>
  <c r="K387" i="132"/>
  <c r="K388" i="132"/>
  <c r="L388" i="132"/>
  <c r="K381" i="132"/>
  <c r="L381" i="132"/>
  <c r="K384" i="132"/>
  <c r="L384" i="132"/>
  <c r="K385" i="132"/>
  <c r="L385" i="132"/>
  <c r="K386" i="132"/>
  <c r="L386" i="132"/>
  <c r="L382" i="132"/>
  <c r="K382" i="132"/>
  <c r="L383" i="132"/>
  <c r="K383" i="132"/>
  <c r="J389" i="132"/>
  <c r="L380" i="132"/>
  <c r="K380" i="132"/>
  <c r="I389" i="132"/>
  <c r="K389" i="132" l="1"/>
  <c r="O381" i="132" s="1"/>
  <c r="L389" i="132"/>
  <c r="O380" i="132" s="1"/>
  <c r="O382" i="132" s="1"/>
  <c r="N384" i="132" l="1"/>
  <c r="N385" i="132"/>
  <c r="O384" i="132" s="1"/>
  <c r="O385" i="132" l="1"/>
  <c r="Q380" i="132" a="1"/>
  <c r="Q385" i="132" l="1"/>
  <c r="Q381" i="132"/>
  <c r="R388" i="132"/>
  <c r="R384" i="132"/>
  <c r="R380" i="132"/>
  <c r="D393" i="132" s="1" a="1"/>
  <c r="Q387" i="132"/>
  <c r="Q383" i="132"/>
  <c r="R386" i="132"/>
  <c r="R382" i="132"/>
  <c r="Q386" i="132"/>
  <c r="R385" i="132"/>
  <c r="Q384" i="132"/>
  <c r="R383" i="132"/>
  <c r="Q382" i="132"/>
  <c r="Q388" i="132"/>
  <c r="R387" i="132"/>
  <c r="R381" i="132"/>
  <c r="Q380" i="132"/>
  <c r="D397" i="132" l="1"/>
  <c r="G397" i="132" s="1"/>
  <c r="D396" i="132"/>
  <c r="G396" i="132" s="1"/>
  <c r="D401" i="132"/>
  <c r="G401" i="132" s="1"/>
  <c r="D393" i="132"/>
  <c r="G393" i="132" s="1"/>
  <c r="D400" i="132"/>
  <c r="G400" i="132" s="1"/>
  <c r="D399" i="132"/>
  <c r="G399" i="132" s="1"/>
  <c r="D398" i="132"/>
  <c r="G398" i="132" s="1"/>
  <c r="D395" i="132"/>
  <c r="G395" i="132" s="1"/>
  <c r="D394" i="132"/>
  <c r="G394" i="132" s="1"/>
  <c r="B393" i="132" a="1"/>
  <c r="J395" i="132" l="1"/>
  <c r="I395" i="132"/>
  <c r="J398" i="132"/>
  <c r="I398" i="132"/>
  <c r="J400" i="132"/>
  <c r="I400" i="132"/>
  <c r="J393" i="132"/>
  <c r="J402" i="132" s="1"/>
  <c r="I393" i="132"/>
  <c r="J401" i="132"/>
  <c r="I401" i="132"/>
  <c r="J399" i="132"/>
  <c r="I399" i="132"/>
  <c r="I396" i="132"/>
  <c r="J396" i="132"/>
  <c r="B401" i="132"/>
  <c r="B393" i="132"/>
  <c r="B406" i="132" s="1" a="1"/>
  <c r="B400" i="132"/>
  <c r="B397" i="132"/>
  <c r="B396" i="132"/>
  <c r="B399" i="132"/>
  <c r="B398" i="132"/>
  <c r="B395" i="132"/>
  <c r="B394" i="132"/>
  <c r="I394" i="132"/>
  <c r="J394" i="132"/>
  <c r="J397" i="132"/>
  <c r="I397" i="132"/>
  <c r="I402" i="132" l="1"/>
  <c r="K393" i="132"/>
  <c r="L393" i="132"/>
  <c r="L396" i="132"/>
  <c r="K396" i="132"/>
  <c r="B407" i="132"/>
  <c r="G407" i="132" s="1"/>
  <c r="B414" i="132"/>
  <c r="G414" i="132" s="1"/>
  <c r="B406" i="132"/>
  <c r="G406" i="132" s="1"/>
  <c r="B411" i="132"/>
  <c r="G411" i="132" s="1"/>
  <c r="B410" i="132"/>
  <c r="G410" i="132" s="1"/>
  <c r="B413" i="132"/>
  <c r="G413" i="132" s="1"/>
  <c r="B412" i="132"/>
  <c r="G412" i="132" s="1"/>
  <c r="B409" i="132"/>
  <c r="G409" i="132" s="1"/>
  <c r="B408" i="132"/>
  <c r="G408" i="132" s="1"/>
  <c r="L399" i="132"/>
  <c r="K399" i="132"/>
  <c r="L398" i="132"/>
  <c r="K398" i="132"/>
  <c r="L394" i="132"/>
  <c r="K394" i="132"/>
  <c r="L397" i="132"/>
  <c r="K397" i="132"/>
  <c r="L401" i="132"/>
  <c r="K401" i="132"/>
  <c r="L395" i="132"/>
  <c r="K395" i="132"/>
  <c r="L400" i="132"/>
  <c r="K400" i="132"/>
  <c r="J406" i="132" l="1"/>
  <c r="I406" i="132"/>
  <c r="I414" i="132"/>
  <c r="J414" i="132"/>
  <c r="J409" i="132"/>
  <c r="I409" i="132"/>
  <c r="J407" i="132"/>
  <c r="I407" i="132"/>
  <c r="J412" i="132"/>
  <c r="I412" i="132"/>
  <c r="J408" i="132"/>
  <c r="I408" i="132"/>
  <c r="J413" i="132"/>
  <c r="I413" i="132"/>
  <c r="L402" i="132"/>
  <c r="O393" i="132" s="1"/>
  <c r="O395" i="132" s="1"/>
  <c r="I410" i="132"/>
  <c r="J410" i="132"/>
  <c r="K402" i="132"/>
  <c r="O394" i="132" s="1"/>
  <c r="I411" i="132"/>
  <c r="J411" i="132"/>
  <c r="K409" i="132" l="1"/>
  <c r="L409" i="132"/>
  <c r="L408" i="132"/>
  <c r="K408" i="132"/>
  <c r="N398" i="132"/>
  <c r="O397" i="132" s="1"/>
  <c r="N397" i="132"/>
  <c r="L411" i="132"/>
  <c r="K411" i="132"/>
  <c r="L414" i="132"/>
  <c r="K414" i="132"/>
  <c r="L410" i="132"/>
  <c r="K410" i="132"/>
  <c r="L412" i="132"/>
  <c r="K412" i="132"/>
  <c r="K406" i="132"/>
  <c r="I415" i="132"/>
  <c r="L406" i="132"/>
  <c r="L407" i="132"/>
  <c r="K407" i="132"/>
  <c r="K413" i="132"/>
  <c r="L413" i="132"/>
  <c r="J415" i="132"/>
  <c r="K415" i="132" l="1"/>
  <c r="O407" i="132" s="1"/>
  <c r="O398" i="132"/>
  <c r="Q393" i="132" a="1"/>
  <c r="L415" i="132"/>
  <c r="O406" i="132" s="1"/>
  <c r="O408" i="132" s="1"/>
  <c r="R398" i="132" l="1"/>
  <c r="R394" i="132"/>
  <c r="Q398" i="132"/>
  <c r="Q394" i="132"/>
  <c r="R400" i="132"/>
  <c r="R396" i="132"/>
  <c r="Q400" i="132"/>
  <c r="Q396" i="132"/>
  <c r="R397" i="132"/>
  <c r="Q397" i="132"/>
  <c r="R395" i="132"/>
  <c r="Q395" i="132"/>
  <c r="R401" i="132"/>
  <c r="R393" i="132"/>
  <c r="D406" i="132" s="1" a="1"/>
  <c r="Q401" i="132"/>
  <c r="R399" i="132"/>
  <c r="Q399" i="132"/>
  <c r="Q393" i="132"/>
  <c r="N411" i="132"/>
  <c r="O410" i="132" s="1"/>
  <c r="N410" i="132"/>
  <c r="D411" i="132" l="1"/>
  <c r="D410" i="132"/>
  <c r="D407" i="132"/>
  <c r="D414" i="132"/>
  <c r="D406" i="132"/>
  <c r="D413" i="132"/>
  <c r="D412" i="132"/>
  <c r="D409" i="132"/>
  <c r="D408" i="132"/>
  <c r="C406" i="132" a="1"/>
  <c r="O411" i="132"/>
  <c r="Q406" i="132" a="1"/>
  <c r="D419" i="132" l="1" a="1"/>
  <c r="D425" i="132" s="1"/>
  <c r="Q412" i="132"/>
  <c r="Q408" i="132"/>
  <c r="R411" i="132"/>
  <c r="R407" i="132"/>
  <c r="Q414" i="132"/>
  <c r="Q410" i="132"/>
  <c r="Q406" i="132"/>
  <c r="R413" i="132"/>
  <c r="R409" i="132"/>
  <c r="Q413" i="132"/>
  <c r="R410" i="132"/>
  <c r="Q409" i="132"/>
  <c r="R408" i="132"/>
  <c r="Q407" i="132"/>
  <c r="R414" i="132"/>
  <c r="R406" i="132"/>
  <c r="R412" i="132"/>
  <c r="Q411" i="132"/>
  <c r="C413" i="132"/>
  <c r="C412" i="132"/>
  <c r="C409" i="132"/>
  <c r="C408" i="132"/>
  <c r="C410" i="132"/>
  <c r="C407" i="132"/>
  <c r="C406" i="132"/>
  <c r="C414" i="132"/>
  <c r="C411" i="132"/>
  <c r="D426" i="132" l="1"/>
  <c r="D423" i="132"/>
  <c r="D427" i="132"/>
  <c r="D419" i="132"/>
  <c r="D420" i="132"/>
  <c r="D421" i="132"/>
  <c r="D424" i="132"/>
  <c r="D432" i="132" a="1"/>
  <c r="D432" i="132" s="1"/>
  <c r="G432" i="132" s="1"/>
  <c r="D422" i="132"/>
  <c r="A419" i="132" a="1"/>
  <c r="A419" i="132" s="1"/>
  <c r="C419" i="132" a="1"/>
  <c r="B419" i="132" a="1"/>
  <c r="A427" i="132" l="1"/>
  <c r="F427" i="132" s="1"/>
  <c r="A422" i="132"/>
  <c r="F422" i="132" s="1"/>
  <c r="A423" i="132"/>
  <c r="F423" i="132" s="1"/>
  <c r="D434" i="132"/>
  <c r="G434" i="132" s="1"/>
  <c r="D435" i="132"/>
  <c r="G435" i="132" s="1"/>
  <c r="D438" i="132"/>
  <c r="G438" i="132" s="1"/>
  <c r="A420" i="132"/>
  <c r="F420" i="132" s="1"/>
  <c r="D433" i="132"/>
  <c r="G433" i="132" s="1"/>
  <c r="A421" i="132"/>
  <c r="F421" i="132" s="1"/>
  <c r="D439" i="132"/>
  <c r="G439" i="132" s="1"/>
  <c r="A424" i="132"/>
  <c r="F424" i="132" s="1"/>
  <c r="D436" i="132"/>
  <c r="G436" i="132" s="1"/>
  <c r="A425" i="132"/>
  <c r="F425" i="132" s="1"/>
  <c r="D437" i="132"/>
  <c r="G437" i="132" s="1"/>
  <c r="A426" i="132"/>
  <c r="F426" i="132" s="1"/>
  <c r="I426" i="132" s="1"/>
  <c r="D440" i="132"/>
  <c r="G440" i="132" s="1"/>
  <c r="F419" i="132"/>
  <c r="C427" i="132"/>
  <c r="G427" i="132" s="1"/>
  <c r="J427" i="132" s="1"/>
  <c r="C419" i="132"/>
  <c r="G419" i="132" s="1"/>
  <c r="C426" i="132"/>
  <c r="G426" i="132" s="1"/>
  <c r="C423" i="132"/>
  <c r="G423" i="132" s="1"/>
  <c r="I423" i="132" s="1"/>
  <c r="C422" i="132"/>
  <c r="G422" i="132" s="1"/>
  <c r="J422" i="132" s="1"/>
  <c r="C424" i="132"/>
  <c r="G424" i="132" s="1"/>
  <c r="C421" i="132"/>
  <c r="G421" i="132" s="1"/>
  <c r="J421" i="132" s="1"/>
  <c r="C420" i="132"/>
  <c r="G420" i="132" s="1"/>
  <c r="C425" i="132"/>
  <c r="G425" i="132" s="1"/>
  <c r="B421" i="132"/>
  <c r="B420" i="132"/>
  <c r="B425" i="132"/>
  <c r="B424" i="132"/>
  <c r="B423" i="132"/>
  <c r="B427" i="132"/>
  <c r="B426" i="132"/>
  <c r="B422" i="132"/>
  <c r="B419" i="132"/>
  <c r="J420" i="132" l="1"/>
  <c r="J426" i="132"/>
  <c r="L426" i="132" s="1"/>
  <c r="B429" i="132"/>
  <c r="J425" i="132"/>
  <c r="J424" i="132"/>
  <c r="I427" i="132"/>
  <c r="K427" i="132" s="1"/>
  <c r="I425" i="132"/>
  <c r="K425" i="132" s="1"/>
  <c r="J423" i="132"/>
  <c r="L423" i="132" s="1"/>
  <c r="I420" i="132"/>
  <c r="I419" i="132"/>
  <c r="J419" i="132"/>
  <c r="I421" i="132"/>
  <c r="I422" i="132"/>
  <c r="I424" i="132"/>
  <c r="B432" i="132" a="1"/>
  <c r="K426" i="132" l="1"/>
  <c r="L427" i="132"/>
  <c r="K423" i="132"/>
  <c r="J428" i="132"/>
  <c r="L425" i="132"/>
  <c r="K421" i="132"/>
  <c r="L421" i="132"/>
  <c r="L420" i="132"/>
  <c r="K420" i="132"/>
  <c r="B435" i="132"/>
  <c r="B434" i="132"/>
  <c r="B439" i="132"/>
  <c r="B438" i="132"/>
  <c r="B436" i="132"/>
  <c r="B440" i="132"/>
  <c r="B437" i="132"/>
  <c r="B433" i="132"/>
  <c r="B432" i="132"/>
  <c r="L422" i="132"/>
  <c r="K422" i="132"/>
  <c r="L424" i="132"/>
  <c r="K424" i="132"/>
  <c r="L419" i="132"/>
  <c r="K419" i="132"/>
  <c r="I428" i="132"/>
  <c r="B445" i="132" l="1" a="1"/>
  <c r="B453" i="132" s="1"/>
  <c r="F453" i="132" s="1"/>
  <c r="K428" i="132"/>
  <c r="O420" i="132" s="1"/>
  <c r="L428" i="132"/>
  <c r="O419" i="132" s="1"/>
  <c r="O421" i="132" s="1"/>
  <c r="B450" i="132" l="1"/>
  <c r="F450" i="132" s="1"/>
  <c r="B447" i="132"/>
  <c r="F447" i="132" s="1"/>
  <c r="B449" i="132"/>
  <c r="F449" i="132" s="1"/>
  <c r="B452" i="132"/>
  <c r="F452" i="132" s="1"/>
  <c r="B445" i="132"/>
  <c r="F445" i="132" s="1"/>
  <c r="B448" i="132"/>
  <c r="F448" i="132" s="1"/>
  <c r="B446" i="132"/>
  <c r="F446" i="132" s="1"/>
  <c r="B451" i="132"/>
  <c r="F451" i="132" s="1"/>
  <c r="N424" i="132"/>
  <c r="O423" i="132" s="1"/>
  <c r="N423" i="132"/>
  <c r="O424" i="132" l="1"/>
  <c r="Q419" i="132" a="1"/>
  <c r="R425" i="132" l="1"/>
  <c r="R421" i="132"/>
  <c r="Q425" i="132"/>
  <c r="Q421" i="132"/>
  <c r="R427" i="132"/>
  <c r="R423" i="132"/>
  <c r="R419" i="132"/>
  <c r="C432" i="132" s="1" a="1"/>
  <c r="Q427" i="132"/>
  <c r="Q423" i="132"/>
  <c r="Q419" i="132"/>
  <c r="R426" i="132"/>
  <c r="Q424" i="132"/>
  <c r="R422" i="132"/>
  <c r="Q422" i="132"/>
  <c r="R420" i="132"/>
  <c r="Q420" i="132"/>
  <c r="Q426" i="132"/>
  <c r="R424" i="132"/>
  <c r="A432" i="132" l="1" a="1"/>
  <c r="C433" i="132"/>
  <c r="C440" i="132"/>
  <c r="C432" i="132"/>
  <c r="C437" i="132"/>
  <c r="C436" i="132"/>
  <c r="C435" i="132"/>
  <c r="C434" i="132"/>
  <c r="C439" i="132"/>
  <c r="C438" i="132"/>
  <c r="C445" i="132" l="1" a="1"/>
  <c r="A437" i="132"/>
  <c r="F437" i="132" s="1"/>
  <c r="A436" i="132"/>
  <c r="F436" i="132" s="1"/>
  <c r="A433" i="132"/>
  <c r="F433" i="132" s="1"/>
  <c r="A440" i="132"/>
  <c r="F440" i="132" s="1"/>
  <c r="A432" i="132"/>
  <c r="A439" i="132"/>
  <c r="F439" i="132" s="1"/>
  <c r="A438" i="132"/>
  <c r="F438" i="132" s="1"/>
  <c r="A435" i="132"/>
  <c r="F435" i="132" s="1"/>
  <c r="A434" i="132"/>
  <c r="F434" i="132" s="1"/>
  <c r="J439" i="132" l="1"/>
  <c r="I439" i="132"/>
  <c r="J438" i="132"/>
  <c r="I438" i="132"/>
  <c r="B442" i="132"/>
  <c r="F432" i="132"/>
  <c r="J440" i="132"/>
  <c r="I440" i="132"/>
  <c r="J433" i="132"/>
  <c r="I433" i="132"/>
  <c r="J436" i="132"/>
  <c r="I436" i="132"/>
  <c r="J434" i="132"/>
  <c r="I434" i="132"/>
  <c r="J437" i="132"/>
  <c r="I437" i="132"/>
  <c r="I435" i="132"/>
  <c r="J435" i="132"/>
  <c r="C446" i="132"/>
  <c r="G446" i="132" s="1"/>
  <c r="C453" i="132"/>
  <c r="G453" i="132" s="1"/>
  <c r="C445" i="132"/>
  <c r="G445" i="132" s="1"/>
  <c r="C450" i="132"/>
  <c r="G450" i="132" s="1"/>
  <c r="C449" i="132"/>
  <c r="G449" i="132" s="1"/>
  <c r="C447" i="132"/>
  <c r="G447" i="132" s="1"/>
  <c r="C452" i="132"/>
  <c r="G452" i="132" s="1"/>
  <c r="C451" i="132"/>
  <c r="G451" i="132" s="1"/>
  <c r="C448" i="132"/>
  <c r="G448" i="132" s="1"/>
  <c r="I449" i="132" l="1"/>
  <c r="J449" i="132"/>
  <c r="J450" i="132"/>
  <c r="I450" i="132"/>
  <c r="L434" i="132"/>
  <c r="K434" i="132"/>
  <c r="I432" i="132"/>
  <c r="J432" i="132"/>
  <c r="J441" i="132" s="1"/>
  <c r="I445" i="132"/>
  <c r="J445" i="132"/>
  <c r="J453" i="132"/>
  <c r="I453" i="132"/>
  <c r="K436" i="132"/>
  <c r="L436" i="132"/>
  <c r="L438" i="132"/>
  <c r="K438" i="132"/>
  <c r="L440" i="132"/>
  <c r="K440" i="132"/>
  <c r="J446" i="132"/>
  <c r="I446" i="132"/>
  <c r="L437" i="132"/>
  <c r="K437" i="132"/>
  <c r="J451" i="132"/>
  <c r="I451" i="132"/>
  <c r="K433" i="132"/>
  <c r="L433" i="132"/>
  <c r="L439" i="132"/>
  <c r="K439" i="132"/>
  <c r="I447" i="132"/>
  <c r="J447" i="132"/>
  <c r="J448" i="132"/>
  <c r="I448" i="132"/>
  <c r="I452" i="132"/>
  <c r="J452" i="132"/>
  <c r="L435" i="132"/>
  <c r="K435" i="132"/>
  <c r="I441" i="132" l="1"/>
  <c r="L432" i="132"/>
  <c r="L441" i="132" s="1"/>
  <c r="O432" i="132" s="1"/>
  <c r="K432" i="132"/>
  <c r="K441" i="132" s="1"/>
  <c r="O433" i="132" s="1"/>
  <c r="K446" i="132"/>
  <c r="L446" i="132"/>
  <c r="K453" i="132"/>
  <c r="L453" i="132"/>
  <c r="K450" i="132"/>
  <c r="L450" i="132"/>
  <c r="J454" i="132"/>
  <c r="L452" i="132"/>
  <c r="K452" i="132"/>
  <c r="L445" i="132"/>
  <c r="K445" i="132"/>
  <c r="I454" i="132"/>
  <c r="L447" i="132"/>
  <c r="K447" i="132"/>
  <c r="L448" i="132"/>
  <c r="K448" i="132"/>
  <c r="K451" i="132"/>
  <c r="L451" i="132"/>
  <c r="K449" i="132"/>
  <c r="L449" i="132"/>
  <c r="K454" i="132" l="1"/>
  <c r="L454" i="132"/>
  <c r="O434" i="132"/>
  <c r="N437" i="132" l="1"/>
  <c r="O436" i="132" s="1"/>
  <c r="N436" i="132"/>
  <c r="O437" i="132" l="1"/>
  <c r="Q432" i="132" a="1"/>
  <c r="Q439" i="132" l="1"/>
  <c r="Q435" i="132"/>
  <c r="R438" i="132"/>
  <c r="R434" i="132"/>
  <c r="Q437" i="132"/>
  <c r="Q433" i="132"/>
  <c r="R440" i="132"/>
  <c r="R436" i="132"/>
  <c r="R432" i="132"/>
  <c r="R439" i="132"/>
  <c r="Q436" i="132"/>
  <c r="R435" i="132"/>
  <c r="Q434" i="132"/>
  <c r="R433" i="132"/>
  <c r="Q440" i="132"/>
  <c r="Q432" i="132"/>
  <c r="A445" i="132" s="1" a="1"/>
  <c r="Q438" i="132"/>
  <c r="R437" i="132"/>
  <c r="A450" i="132" l="1"/>
  <c r="A449" i="132"/>
  <c r="A446" i="132"/>
  <c r="A453" i="132"/>
  <c r="A445" i="132"/>
  <c r="A451" i="132"/>
  <c r="A448" i="132"/>
  <c r="A447" i="132"/>
  <c r="A452" i="132"/>
  <c r="D445" i="132" a="1"/>
  <c r="B455" i="132" l="1"/>
  <c r="A458" i="132" a="1"/>
  <c r="D452" i="132"/>
  <c r="D451" i="132"/>
  <c r="D448" i="132"/>
  <c r="D447" i="132"/>
  <c r="D453" i="132"/>
  <c r="D450" i="132"/>
  <c r="D445" i="132"/>
  <c r="D449" i="132"/>
  <c r="D446" i="132"/>
  <c r="A464" i="132" l="1"/>
  <c r="A463" i="132"/>
  <c r="A460" i="132"/>
  <c r="A459" i="132"/>
  <c r="A461" i="132"/>
  <c r="A458" i="132"/>
  <c r="A466" i="132"/>
  <c r="A465" i="132"/>
  <c r="A462" i="132"/>
  <c r="D458" i="132" a="1"/>
  <c r="O445" i="132"/>
  <c r="O446" i="132"/>
  <c r="O447" i="132" l="1"/>
  <c r="B468" i="132"/>
  <c r="A471" i="132" a="1"/>
  <c r="N450" i="132"/>
  <c r="O449" i="132" s="1"/>
  <c r="N449" i="132"/>
  <c r="D466" i="132"/>
  <c r="G466" i="132" s="1"/>
  <c r="D458" i="132"/>
  <c r="G458" i="132" s="1"/>
  <c r="D465" i="132"/>
  <c r="G465" i="132" s="1"/>
  <c r="D462" i="132"/>
  <c r="G462" i="132" s="1"/>
  <c r="D461" i="132"/>
  <c r="G461" i="132" s="1"/>
  <c r="D463" i="132"/>
  <c r="G463" i="132" s="1"/>
  <c r="D460" i="132"/>
  <c r="G460" i="132" s="1"/>
  <c r="D464" i="132"/>
  <c r="G464" i="132" s="1"/>
  <c r="D459" i="132"/>
  <c r="G459" i="132" s="1"/>
  <c r="O450" i="132" l="1"/>
  <c r="Q445" i="132" a="1"/>
  <c r="A478" i="132"/>
  <c r="A477" i="132"/>
  <c r="A474" i="132"/>
  <c r="A473" i="132"/>
  <c r="A472" i="132"/>
  <c r="A471" i="132"/>
  <c r="A479" i="132"/>
  <c r="A476" i="132"/>
  <c r="A475" i="132"/>
  <c r="B481" i="132" l="1"/>
  <c r="A484" i="132" a="1"/>
  <c r="Q452" i="132"/>
  <c r="Q448" i="132"/>
  <c r="R451" i="132"/>
  <c r="R447" i="132"/>
  <c r="Q450" i="132"/>
  <c r="Q446" i="132"/>
  <c r="R453" i="132"/>
  <c r="R449" i="132"/>
  <c r="R445" i="132"/>
  <c r="R448" i="132"/>
  <c r="Q447" i="132"/>
  <c r="R452" i="132"/>
  <c r="Q451" i="132"/>
  <c r="Q445" i="132"/>
  <c r="B458" i="132" s="1" a="1"/>
  <c r="Q453" i="132"/>
  <c r="R450" i="132"/>
  <c r="Q449" i="132"/>
  <c r="R446" i="132"/>
  <c r="C458" i="132" l="1" a="1"/>
  <c r="B462" i="132"/>
  <c r="F462" i="132" s="1"/>
  <c r="B461" i="132"/>
  <c r="F461" i="132" s="1"/>
  <c r="B466" i="132"/>
  <c r="F466" i="132" s="1"/>
  <c r="B458" i="132"/>
  <c r="F458" i="132" s="1"/>
  <c r="B465" i="132"/>
  <c r="F465" i="132" s="1"/>
  <c r="B464" i="132"/>
  <c r="F464" i="132" s="1"/>
  <c r="B459" i="132"/>
  <c r="F459" i="132" s="1"/>
  <c r="B463" i="132"/>
  <c r="F463" i="132" s="1"/>
  <c r="B460" i="132"/>
  <c r="F460" i="132" s="1"/>
  <c r="C460" i="132"/>
  <c r="C459" i="132"/>
  <c r="C464" i="132"/>
  <c r="C463" i="132"/>
  <c r="C465" i="132"/>
  <c r="C462" i="132"/>
  <c r="C466" i="132"/>
  <c r="C461" i="132"/>
  <c r="C458" i="132"/>
  <c r="A492" i="132"/>
  <c r="F492" i="132" s="1"/>
  <c r="A484" i="132"/>
  <c r="A491" i="132"/>
  <c r="F491" i="132" s="1"/>
  <c r="A488" i="132"/>
  <c r="F488" i="132" s="1"/>
  <c r="A487" i="132"/>
  <c r="F487" i="132" s="1"/>
  <c r="A486" i="132"/>
  <c r="F486" i="132" s="1"/>
  <c r="A485" i="132"/>
  <c r="F485" i="132" s="1"/>
  <c r="A490" i="132"/>
  <c r="F490" i="132" s="1"/>
  <c r="A489" i="132"/>
  <c r="F489" i="132" s="1"/>
  <c r="I459" i="132" l="1"/>
  <c r="J459" i="132"/>
  <c r="J464" i="132"/>
  <c r="I464" i="132"/>
  <c r="J465" i="132"/>
  <c r="I465" i="132"/>
  <c r="F484" i="132"/>
  <c r="B494" i="132"/>
  <c r="J458" i="132"/>
  <c r="I458" i="132"/>
  <c r="J463" i="132"/>
  <c r="I463" i="132"/>
  <c r="I466" i="132"/>
  <c r="J466" i="132"/>
  <c r="C471" i="132" a="1"/>
  <c r="J461" i="132"/>
  <c r="I461" i="132"/>
  <c r="I460" i="132"/>
  <c r="J460" i="132"/>
  <c r="J462" i="132"/>
  <c r="I462" i="132"/>
  <c r="J467" i="132" l="1"/>
  <c r="L464" i="132"/>
  <c r="K464" i="132"/>
  <c r="K458" i="132"/>
  <c r="I467" i="132"/>
  <c r="L458" i="132"/>
  <c r="K461" i="132"/>
  <c r="L461" i="132"/>
  <c r="L466" i="132"/>
  <c r="K466" i="132"/>
  <c r="C474" i="132"/>
  <c r="F474" i="132" s="1"/>
  <c r="C473" i="132"/>
  <c r="F473" i="132" s="1"/>
  <c r="C478" i="132"/>
  <c r="F478" i="132" s="1"/>
  <c r="C477" i="132"/>
  <c r="F477" i="132" s="1"/>
  <c r="C476" i="132"/>
  <c r="F476" i="132" s="1"/>
  <c r="C475" i="132"/>
  <c r="F475" i="132" s="1"/>
  <c r="C479" i="132"/>
  <c r="F479" i="132" s="1"/>
  <c r="C472" i="132"/>
  <c r="F472" i="132" s="1"/>
  <c r="C471" i="132"/>
  <c r="F471" i="132" s="1"/>
  <c r="L465" i="132"/>
  <c r="K465" i="132"/>
  <c r="L462" i="132"/>
  <c r="K462" i="132"/>
  <c r="L460" i="132"/>
  <c r="K460" i="132"/>
  <c r="L463" i="132"/>
  <c r="K463" i="132"/>
  <c r="L459" i="132"/>
  <c r="K459" i="132"/>
  <c r="L467" i="132" l="1"/>
  <c r="O458" i="132" s="1"/>
  <c r="K467" i="132"/>
  <c r="O459" i="132" s="1"/>
  <c r="O460" i="132" l="1"/>
  <c r="N463" i="132" l="1"/>
  <c r="O462" i="132" s="1"/>
  <c r="N462" i="132"/>
  <c r="O463" i="132" l="1"/>
  <c r="Q458" i="132" a="1"/>
  <c r="R465" i="132" l="1"/>
  <c r="R461" i="132"/>
  <c r="Q465" i="132"/>
  <c r="Q461" i="132"/>
  <c r="R463" i="132"/>
  <c r="R459" i="132"/>
  <c r="Q463" i="132"/>
  <c r="Q459" i="132"/>
  <c r="Q460" i="132"/>
  <c r="R466" i="132"/>
  <c r="R458" i="132"/>
  <c r="Q464" i="132"/>
  <c r="R462" i="132"/>
  <c r="R464" i="132"/>
  <c r="Q462" i="132"/>
  <c r="R460" i="132"/>
  <c r="Q458" i="132"/>
  <c r="Q466" i="132"/>
  <c r="D471" i="132" l="1" a="1"/>
  <c r="D472" i="132" s="1"/>
  <c r="G472" i="132" s="1"/>
  <c r="B471" i="132" a="1"/>
  <c r="D478" i="132" l="1"/>
  <c r="G478" i="132" s="1"/>
  <c r="D474" i="132"/>
  <c r="G474" i="132" s="1"/>
  <c r="D473" i="132"/>
  <c r="G473" i="132" s="1"/>
  <c r="J473" i="132" s="1"/>
  <c r="D475" i="132"/>
  <c r="G475" i="132" s="1"/>
  <c r="I475" i="132" s="1"/>
  <c r="D476" i="132"/>
  <c r="G476" i="132" s="1"/>
  <c r="I476" i="132" s="1"/>
  <c r="D471" i="132"/>
  <c r="G471" i="132" s="1"/>
  <c r="J471" i="132" s="1"/>
  <c r="D479" i="132"/>
  <c r="G479" i="132" s="1"/>
  <c r="I479" i="132" s="1"/>
  <c r="D477" i="132"/>
  <c r="G477" i="132" s="1"/>
  <c r="J477" i="132" s="1"/>
  <c r="J478" i="132"/>
  <c r="I478" i="132"/>
  <c r="J474" i="132"/>
  <c r="I474" i="132"/>
  <c r="B476" i="132"/>
  <c r="B475" i="132"/>
  <c r="B472" i="132"/>
  <c r="B479" i="132"/>
  <c r="B471" i="132"/>
  <c r="B478" i="132"/>
  <c r="B477" i="132"/>
  <c r="B474" i="132"/>
  <c r="B473" i="132"/>
  <c r="I472" i="132"/>
  <c r="J472" i="132"/>
  <c r="J475" i="132" l="1"/>
  <c r="I473" i="132"/>
  <c r="J476" i="132"/>
  <c r="L476" i="132" s="1"/>
  <c r="J479" i="132"/>
  <c r="I471" i="132"/>
  <c r="L471" i="132" s="1"/>
  <c r="I477" i="132"/>
  <c r="K477" i="132" s="1"/>
  <c r="L479" i="132"/>
  <c r="K479" i="132"/>
  <c r="K474" i="132"/>
  <c r="L474" i="132"/>
  <c r="L473" i="132"/>
  <c r="K473" i="132"/>
  <c r="J480" i="132"/>
  <c r="L475" i="132"/>
  <c r="K475" i="132"/>
  <c r="L472" i="132"/>
  <c r="K472" i="132"/>
  <c r="K478" i="132"/>
  <c r="L478" i="132"/>
  <c r="B484" i="132" a="1"/>
  <c r="K476" i="132" l="1"/>
  <c r="K471" i="132"/>
  <c r="L477" i="132"/>
  <c r="I480" i="132"/>
  <c r="K480" i="132"/>
  <c r="O472" i="132" s="1"/>
  <c r="B490" i="132"/>
  <c r="G490" i="132" s="1"/>
  <c r="B489" i="132"/>
  <c r="G489" i="132" s="1"/>
  <c r="B486" i="132"/>
  <c r="G486" i="132" s="1"/>
  <c r="B485" i="132"/>
  <c r="G485" i="132" s="1"/>
  <c r="B492" i="132"/>
  <c r="G492" i="132" s="1"/>
  <c r="B491" i="132"/>
  <c r="G491" i="132" s="1"/>
  <c r="B484" i="132"/>
  <c r="G484" i="132" s="1"/>
  <c r="B488" i="132"/>
  <c r="G488" i="132" s="1"/>
  <c r="B487" i="132"/>
  <c r="G487" i="132" s="1"/>
  <c r="L480" i="132"/>
  <c r="O471" i="132" s="1"/>
  <c r="O473" i="132" s="1"/>
  <c r="J488" i="132" l="1"/>
  <c r="I488" i="132"/>
  <c r="J484" i="132"/>
  <c r="I484" i="132"/>
  <c r="I491" i="132"/>
  <c r="J491" i="132"/>
  <c r="J492" i="132"/>
  <c r="I492" i="132"/>
  <c r="J485" i="132"/>
  <c r="I485" i="132"/>
  <c r="J486" i="132"/>
  <c r="I486" i="132"/>
  <c r="N476" i="132"/>
  <c r="O475" i="132" s="1"/>
  <c r="N475" i="132"/>
  <c r="I489" i="132"/>
  <c r="J489" i="132"/>
  <c r="I487" i="132"/>
  <c r="J487" i="132"/>
  <c r="J490" i="132"/>
  <c r="I490" i="132"/>
  <c r="L492" i="132" l="1"/>
  <c r="K492" i="132"/>
  <c r="L489" i="132"/>
  <c r="K489" i="132"/>
  <c r="O476" i="132"/>
  <c r="Q471" i="132" a="1"/>
  <c r="L491" i="132"/>
  <c r="K491" i="132"/>
  <c r="L490" i="132"/>
  <c r="K490" i="132"/>
  <c r="K486" i="132"/>
  <c r="L486" i="132"/>
  <c r="I493" i="132"/>
  <c r="L484" i="132"/>
  <c r="K484" i="132"/>
  <c r="J493" i="132"/>
  <c r="L485" i="132"/>
  <c r="K485" i="132"/>
  <c r="L488" i="132"/>
  <c r="K488" i="132"/>
  <c r="L487" i="132"/>
  <c r="K487" i="132"/>
  <c r="Q479" i="132" l="1"/>
  <c r="Q475" i="132"/>
  <c r="Q471" i="132"/>
  <c r="R478" i="132"/>
  <c r="R474" i="132"/>
  <c r="Q477" i="132"/>
  <c r="Q473" i="132"/>
  <c r="R476" i="132"/>
  <c r="R472" i="132"/>
  <c r="Q472" i="132"/>
  <c r="R479" i="132"/>
  <c r="R471" i="132"/>
  <c r="Q476" i="132"/>
  <c r="R475" i="132"/>
  <c r="R477" i="132"/>
  <c r="Q474" i="132"/>
  <c r="R473" i="132"/>
  <c r="Q478" i="132"/>
  <c r="K493" i="132"/>
  <c r="O485" i="132" s="1"/>
  <c r="L493" i="132"/>
  <c r="O484" i="132" s="1"/>
  <c r="O486" i="132" s="1"/>
  <c r="D484" i="132" l="1" a="1"/>
  <c r="D486" i="132" s="1"/>
  <c r="C484" i="132" a="1"/>
  <c r="N489" i="132"/>
  <c r="O488" i="132" s="1"/>
  <c r="N488" i="132"/>
  <c r="D491" i="132" l="1"/>
  <c r="D487" i="132"/>
  <c r="D488" i="132"/>
  <c r="D489" i="132"/>
  <c r="D490" i="132"/>
  <c r="D492" i="132"/>
  <c r="D485" i="132"/>
  <c r="D484" i="132"/>
  <c r="D497" i="132" s="1" a="1"/>
  <c r="O489" i="132"/>
  <c r="Q484" i="132" s="1" a="1"/>
  <c r="C488" i="132"/>
  <c r="C487" i="132"/>
  <c r="C492" i="132"/>
  <c r="C484" i="132"/>
  <c r="C491" i="132"/>
  <c r="C490" i="132"/>
  <c r="C489" i="132"/>
  <c r="C486" i="132"/>
  <c r="C485" i="132"/>
  <c r="C497" i="132" l="1" a="1"/>
  <c r="D500" i="132"/>
  <c r="D499" i="132"/>
  <c r="D504" i="132"/>
  <c r="D503" i="132"/>
  <c r="D505" i="132"/>
  <c r="D501" i="132"/>
  <c r="D498" i="132"/>
  <c r="D502" i="132"/>
  <c r="D497" i="132"/>
  <c r="R492" i="132"/>
  <c r="R488" i="132"/>
  <c r="R484" i="132"/>
  <c r="Q492" i="132"/>
  <c r="Q488" i="132"/>
  <c r="Q484" i="132"/>
  <c r="A497" i="132" s="1" a="1"/>
  <c r="R490" i="132"/>
  <c r="R486" i="132"/>
  <c r="Q490" i="132"/>
  <c r="Q486" i="132"/>
  <c r="R485" i="132"/>
  <c r="Q485" i="132"/>
  <c r="R489" i="132"/>
  <c r="Q489" i="132"/>
  <c r="Q491" i="132"/>
  <c r="R487" i="132"/>
  <c r="Q487" i="132"/>
  <c r="R491" i="132"/>
  <c r="B497" i="132" l="1" a="1"/>
  <c r="B504" i="132" s="1"/>
  <c r="B497" i="132"/>
  <c r="B501" i="132"/>
  <c r="D510" i="132" a="1"/>
  <c r="A498" i="132"/>
  <c r="F498" i="132" s="1"/>
  <c r="A505" i="132"/>
  <c r="F505" i="132" s="1"/>
  <c r="A497" i="132"/>
  <c r="A502" i="132"/>
  <c r="F502" i="132" s="1"/>
  <c r="A501" i="132"/>
  <c r="F501" i="132" s="1"/>
  <c r="A499" i="132"/>
  <c r="F499" i="132" s="1"/>
  <c r="A504" i="132"/>
  <c r="F504" i="132" s="1"/>
  <c r="A503" i="132"/>
  <c r="F503" i="132" s="1"/>
  <c r="A500" i="132"/>
  <c r="F500" i="132" s="1"/>
  <c r="C502" i="132"/>
  <c r="G502" i="132" s="1"/>
  <c r="C501" i="132"/>
  <c r="G501" i="132" s="1"/>
  <c r="C498" i="132"/>
  <c r="G498" i="132" s="1"/>
  <c r="C505" i="132"/>
  <c r="G505" i="132" s="1"/>
  <c r="C497" i="132"/>
  <c r="G497" i="132" s="1"/>
  <c r="C503" i="132"/>
  <c r="G503" i="132" s="1"/>
  <c r="C500" i="132"/>
  <c r="G500" i="132" s="1"/>
  <c r="C504" i="132"/>
  <c r="G504" i="132" s="1"/>
  <c r="C499" i="132"/>
  <c r="G499" i="132" s="1"/>
  <c r="B502" i="132" l="1"/>
  <c r="B505" i="132"/>
  <c r="B499" i="132"/>
  <c r="B500" i="132"/>
  <c r="B503" i="132"/>
  <c r="B498" i="132"/>
  <c r="B510" i="132" a="1"/>
  <c r="B513" i="132" s="1"/>
  <c r="I499" i="132"/>
  <c r="J499" i="132"/>
  <c r="J502" i="132"/>
  <c r="I502" i="132"/>
  <c r="F497" i="132"/>
  <c r="B507" i="132"/>
  <c r="J505" i="132"/>
  <c r="I505" i="132"/>
  <c r="I500" i="132"/>
  <c r="J500" i="132"/>
  <c r="J498" i="132"/>
  <c r="I498" i="132"/>
  <c r="J503" i="132"/>
  <c r="I503" i="132"/>
  <c r="D514" i="132"/>
  <c r="G514" i="132" s="1"/>
  <c r="D513" i="132"/>
  <c r="G513" i="132" s="1"/>
  <c r="D518" i="132"/>
  <c r="G518" i="132" s="1"/>
  <c r="D510" i="132"/>
  <c r="G510" i="132" s="1"/>
  <c r="D517" i="132"/>
  <c r="G517" i="132" s="1"/>
  <c r="D515" i="132"/>
  <c r="G515" i="132" s="1"/>
  <c r="D511" i="132"/>
  <c r="G511" i="132" s="1"/>
  <c r="D516" i="132"/>
  <c r="G516" i="132" s="1"/>
  <c r="D512" i="132"/>
  <c r="G512" i="132" s="1"/>
  <c r="J501" i="132"/>
  <c r="I501" i="132"/>
  <c r="I504" i="132"/>
  <c r="J504" i="132"/>
  <c r="B514" i="132" l="1"/>
  <c r="B518" i="132"/>
  <c r="B516" i="132"/>
  <c r="B517" i="132"/>
  <c r="B510" i="132"/>
  <c r="B511" i="132"/>
  <c r="B512" i="132"/>
  <c r="B523" i="132" a="1"/>
  <c r="B528" i="132" s="1"/>
  <c r="F528" i="132" s="1"/>
  <c r="B515" i="132"/>
  <c r="K503" i="132"/>
  <c r="L503" i="132"/>
  <c r="I497" i="132"/>
  <c r="J497" i="132"/>
  <c r="J506" i="132" s="1"/>
  <c r="K498" i="132"/>
  <c r="L498" i="132"/>
  <c r="K502" i="132"/>
  <c r="L502" i="132"/>
  <c r="L504" i="132"/>
  <c r="K504" i="132"/>
  <c r="K505" i="132"/>
  <c r="L505" i="132"/>
  <c r="K501" i="132"/>
  <c r="L501" i="132"/>
  <c r="L500" i="132"/>
  <c r="K500" i="132"/>
  <c r="L499" i="132"/>
  <c r="K499" i="132"/>
  <c r="B524" i="132" l="1"/>
  <c r="F524" i="132" s="1"/>
  <c r="B525" i="132"/>
  <c r="F525" i="132" s="1"/>
  <c r="B531" i="132"/>
  <c r="F531" i="132" s="1"/>
  <c r="B530" i="132"/>
  <c r="F530" i="132" s="1"/>
  <c r="B529" i="132"/>
  <c r="F529" i="132" s="1"/>
  <c r="B523" i="132"/>
  <c r="F523" i="132" s="1"/>
  <c r="B526" i="132"/>
  <c r="F526" i="132" s="1"/>
  <c r="B527" i="132"/>
  <c r="F527" i="132" s="1"/>
  <c r="L497" i="132"/>
  <c r="L506" i="132" s="1"/>
  <c r="I506" i="132"/>
  <c r="K497" i="132"/>
  <c r="K506" i="132" s="1"/>
  <c r="O498" i="132" s="1"/>
  <c r="O497" i="132" l="1"/>
  <c r="O499" i="132"/>
  <c r="N502" i="132" l="1"/>
  <c r="O501" i="132" s="1"/>
  <c r="N501" i="132"/>
  <c r="O502" i="132" l="1"/>
  <c r="Q497" i="132" a="1"/>
  <c r="Q502" i="132" l="1"/>
  <c r="Q498" i="132"/>
  <c r="R505" i="132"/>
  <c r="R501" i="132"/>
  <c r="R497" i="132"/>
  <c r="Q504" i="132"/>
  <c r="Q500" i="132"/>
  <c r="R503" i="132"/>
  <c r="R499" i="132"/>
  <c r="R500" i="132"/>
  <c r="R498" i="132"/>
  <c r="Q505" i="132"/>
  <c r="Q497" i="132"/>
  <c r="R504" i="132"/>
  <c r="R502" i="132"/>
  <c r="Q501" i="132"/>
  <c r="Q503" i="132"/>
  <c r="Q499" i="132"/>
  <c r="A510" i="132" l="1" a="1"/>
  <c r="C510" i="132" a="1"/>
  <c r="C516" i="132" l="1"/>
  <c r="C515" i="132"/>
  <c r="C512" i="132"/>
  <c r="C511" i="132"/>
  <c r="C518" i="132"/>
  <c r="C517" i="132"/>
  <c r="C513" i="132"/>
  <c r="C510" i="132"/>
  <c r="C523" i="132" s="1" a="1"/>
  <c r="C514" i="132"/>
  <c r="A512" i="132"/>
  <c r="F512" i="132" s="1"/>
  <c r="A511" i="132"/>
  <c r="F511" i="132" s="1"/>
  <c r="A516" i="132"/>
  <c r="F516" i="132" s="1"/>
  <c r="A515" i="132"/>
  <c r="F515" i="132" s="1"/>
  <c r="A513" i="132"/>
  <c r="F513" i="132" s="1"/>
  <c r="A517" i="132"/>
  <c r="F517" i="132" s="1"/>
  <c r="A514" i="132"/>
  <c r="F514" i="132" s="1"/>
  <c r="A510" i="132"/>
  <c r="A518" i="132"/>
  <c r="F518" i="132" s="1"/>
  <c r="J517" i="132" l="1"/>
  <c r="I517" i="132"/>
  <c r="I514" i="132"/>
  <c r="J514" i="132"/>
  <c r="I515" i="132"/>
  <c r="J515" i="132"/>
  <c r="I516" i="132"/>
  <c r="J516" i="132"/>
  <c r="C531" i="132"/>
  <c r="G531" i="132" s="1"/>
  <c r="C523" i="132"/>
  <c r="G523" i="132" s="1"/>
  <c r="C530" i="132"/>
  <c r="G530" i="132" s="1"/>
  <c r="C529" i="132"/>
  <c r="G529" i="132" s="1"/>
  <c r="C527" i="132"/>
  <c r="G527" i="132" s="1"/>
  <c r="C526" i="132"/>
  <c r="G526" i="132" s="1"/>
  <c r="C525" i="132"/>
  <c r="G525" i="132" s="1"/>
  <c r="C528" i="132"/>
  <c r="G528" i="132" s="1"/>
  <c r="C524" i="132"/>
  <c r="G524" i="132" s="1"/>
  <c r="I511" i="132"/>
  <c r="J511" i="132"/>
  <c r="I518" i="132"/>
  <c r="J518" i="132"/>
  <c r="J513" i="132"/>
  <c r="I513" i="132"/>
  <c r="I512" i="132"/>
  <c r="J512" i="132"/>
  <c r="B520" i="132"/>
  <c r="F510" i="132"/>
  <c r="K513" i="132" l="1"/>
  <c r="L513" i="132"/>
  <c r="J525" i="132"/>
  <c r="I525" i="132"/>
  <c r="L516" i="132"/>
  <c r="K516" i="132"/>
  <c r="J528" i="132"/>
  <c r="I528" i="132"/>
  <c r="J526" i="132"/>
  <c r="I526" i="132"/>
  <c r="I527" i="132"/>
  <c r="J527" i="132"/>
  <c r="L515" i="132"/>
  <c r="K515" i="132"/>
  <c r="L512" i="132"/>
  <c r="K512" i="132"/>
  <c r="L518" i="132"/>
  <c r="K518" i="132"/>
  <c r="J529" i="132"/>
  <c r="I529" i="132"/>
  <c r="J510" i="132"/>
  <c r="J519" i="132" s="1"/>
  <c r="I510" i="132"/>
  <c r="J530" i="132"/>
  <c r="I530" i="132"/>
  <c r="L514" i="132"/>
  <c r="K514" i="132"/>
  <c r="L511" i="132"/>
  <c r="K511" i="132"/>
  <c r="J523" i="132"/>
  <c r="I523" i="132"/>
  <c r="K517" i="132"/>
  <c r="L517" i="132"/>
  <c r="J524" i="132"/>
  <c r="I524" i="132"/>
  <c r="I531" i="132"/>
  <c r="J531" i="132"/>
  <c r="L523" i="132" l="1"/>
  <c r="K523" i="132"/>
  <c r="I532" i="132"/>
  <c r="L531" i="132"/>
  <c r="K531" i="132"/>
  <c r="L529" i="132"/>
  <c r="K529" i="132"/>
  <c r="K525" i="132"/>
  <c r="L525" i="132"/>
  <c r="L528" i="132"/>
  <c r="K528" i="132"/>
  <c r="J532" i="132"/>
  <c r="L524" i="132"/>
  <c r="K524" i="132"/>
  <c r="L527" i="132"/>
  <c r="K527" i="132"/>
  <c r="L526" i="132"/>
  <c r="K526" i="132"/>
  <c r="I519" i="132"/>
  <c r="L510" i="132"/>
  <c r="L519" i="132" s="1"/>
  <c r="O510" i="132" s="1"/>
  <c r="K510" i="132"/>
  <c r="K519" i="132" s="1"/>
  <c r="O511" i="132" s="1"/>
  <c r="L530" i="132"/>
  <c r="K530" i="132"/>
  <c r="O512" i="132" l="1"/>
  <c r="K532" i="132"/>
  <c r="L532" i="132"/>
  <c r="N515" i="132" l="1"/>
  <c r="O514" i="132" s="1"/>
  <c r="N514" i="132"/>
  <c r="O515" i="132" l="1"/>
  <c r="Q510" i="132" a="1"/>
  <c r="R515" i="132" l="1"/>
  <c r="R511" i="132"/>
  <c r="Q515" i="132"/>
  <c r="Q511" i="132"/>
  <c r="R517" i="132"/>
  <c r="R513" i="132"/>
  <c r="Q517" i="132"/>
  <c r="Q513" i="132"/>
  <c r="Q512" i="132"/>
  <c r="Q518" i="132"/>
  <c r="Q510" i="132"/>
  <c r="R516" i="132"/>
  <c r="Q516" i="132"/>
  <c r="Q514" i="132"/>
  <c r="R512" i="132"/>
  <c r="R518" i="132"/>
  <c r="R514" i="132"/>
  <c r="R510" i="132"/>
  <c r="A523" i="132" l="1" a="1"/>
  <c r="D523" i="132" a="1"/>
  <c r="D529" i="132" l="1"/>
  <c r="D528" i="132"/>
  <c r="D527" i="132"/>
  <c r="D525" i="132"/>
  <c r="D524" i="132"/>
  <c r="D531" i="132"/>
  <c r="D523" i="132"/>
  <c r="D536" i="132" s="1" a="1"/>
  <c r="D530" i="132"/>
  <c r="D526" i="132"/>
  <c r="A527" i="132"/>
  <c r="A526" i="132"/>
  <c r="A525" i="132"/>
  <c r="A531" i="132"/>
  <c r="A523" i="132"/>
  <c r="A530" i="132"/>
  <c r="A529" i="132"/>
  <c r="A528" i="132"/>
  <c r="A524" i="132"/>
  <c r="D543" i="132" l="1"/>
  <c r="G543" i="132" s="1"/>
  <c r="D542" i="132"/>
  <c r="G542" i="132" s="1"/>
  <c r="D541" i="132"/>
  <c r="G541" i="132" s="1"/>
  <c r="D539" i="132"/>
  <c r="G539" i="132" s="1"/>
  <c r="D538" i="132"/>
  <c r="G538" i="132" s="1"/>
  <c r="D537" i="132"/>
  <c r="G537" i="132" s="1"/>
  <c r="D540" i="132"/>
  <c r="G540" i="132" s="1"/>
  <c r="D544" i="132"/>
  <c r="G544" i="132" s="1"/>
  <c r="D536" i="132"/>
  <c r="G536" i="132" s="1"/>
  <c r="B533" i="132"/>
  <c r="A536" i="132" a="1"/>
  <c r="A541" i="132" l="1"/>
  <c r="A540" i="132"/>
  <c r="A539" i="132"/>
  <c r="A537" i="132"/>
  <c r="A544" i="132"/>
  <c r="A536" i="132"/>
  <c r="A543" i="132"/>
  <c r="A538" i="132"/>
  <c r="A542" i="132"/>
  <c r="O523" i="132"/>
  <c r="O524" i="132"/>
  <c r="O525" i="132" l="1"/>
  <c r="B546" i="132"/>
  <c r="A549" i="132" a="1"/>
  <c r="N528" i="132"/>
  <c r="O527" i="132" s="1"/>
  <c r="N527" i="132"/>
  <c r="O528" i="132" l="1"/>
  <c r="Q523" i="132" a="1"/>
  <c r="A555" i="132"/>
  <c r="A554" i="132"/>
  <c r="A553" i="132"/>
  <c r="A551" i="132"/>
  <c r="A550" i="132"/>
  <c r="A557" i="132"/>
  <c r="A549" i="132"/>
  <c r="A552" i="132"/>
  <c r="A556" i="132"/>
  <c r="R529" i="132" l="1"/>
  <c r="R525" i="132"/>
  <c r="Q529" i="132"/>
  <c r="Q525" i="132"/>
  <c r="R528" i="132"/>
  <c r="R524" i="132"/>
  <c r="R531" i="132"/>
  <c r="R527" i="132"/>
  <c r="R523" i="132"/>
  <c r="Q531" i="132"/>
  <c r="Q527" i="132"/>
  <c r="Q523" i="132"/>
  <c r="R530" i="132"/>
  <c r="R526" i="132"/>
  <c r="Q530" i="132"/>
  <c r="Q528" i="132"/>
  <c r="Q526" i="132"/>
  <c r="Q524" i="132"/>
  <c r="B559" i="132"/>
  <c r="A562" i="132" a="1"/>
  <c r="B536" i="132" l="1" a="1"/>
  <c r="A567" i="132"/>
  <c r="F567" i="132" s="1"/>
  <c r="A570" i="132"/>
  <c r="F570" i="132" s="1"/>
  <c r="A569" i="132"/>
  <c r="F569" i="132" s="1"/>
  <c r="A568" i="132"/>
  <c r="F568" i="132" s="1"/>
  <c r="A565" i="132"/>
  <c r="F565" i="132" s="1"/>
  <c r="A564" i="132"/>
  <c r="F564" i="132" s="1"/>
  <c r="A563" i="132"/>
  <c r="F563" i="132" s="1"/>
  <c r="A566" i="132"/>
  <c r="F566" i="132" s="1"/>
  <c r="A562" i="132"/>
  <c r="C536" i="132" a="1"/>
  <c r="C537" i="132" l="1"/>
  <c r="C544" i="132"/>
  <c r="C536" i="132"/>
  <c r="C543" i="132"/>
  <c r="C541" i="132"/>
  <c r="C540" i="132"/>
  <c r="C539" i="132"/>
  <c r="C542" i="132"/>
  <c r="C538" i="132"/>
  <c r="B572" i="132"/>
  <c r="F562" i="132"/>
  <c r="B539" i="132"/>
  <c r="F539" i="132" s="1"/>
  <c r="B538" i="132"/>
  <c r="F538" i="132" s="1"/>
  <c r="B537" i="132"/>
  <c r="F537" i="132" s="1"/>
  <c r="B543" i="132"/>
  <c r="F543" i="132" s="1"/>
  <c r="B542" i="132"/>
  <c r="F542" i="132" s="1"/>
  <c r="B541" i="132"/>
  <c r="F541" i="132" s="1"/>
  <c r="B544" i="132"/>
  <c r="F544" i="132" s="1"/>
  <c r="B536" i="132"/>
  <c r="F536" i="132" s="1"/>
  <c r="B540" i="132"/>
  <c r="F540" i="132" s="1"/>
  <c r="C549" i="132" l="1" a="1"/>
  <c r="C553" i="132" s="1"/>
  <c r="F553" i="132" s="1"/>
  <c r="J542" i="132"/>
  <c r="I542" i="132"/>
  <c r="C555" i="132"/>
  <c r="F555" i="132" s="1"/>
  <c r="C554" i="132"/>
  <c r="F554" i="132" s="1"/>
  <c r="C552" i="132"/>
  <c r="F552" i="132" s="1"/>
  <c r="J538" i="132"/>
  <c r="I538" i="132"/>
  <c r="I539" i="132"/>
  <c r="J539" i="132"/>
  <c r="J537" i="132"/>
  <c r="I537" i="132"/>
  <c r="I536" i="132"/>
  <c r="J536" i="132"/>
  <c r="I543" i="132"/>
  <c r="J543" i="132"/>
  <c r="J544" i="132"/>
  <c r="I544" i="132"/>
  <c r="J540" i="132"/>
  <c r="I540" i="132"/>
  <c r="J541" i="132"/>
  <c r="I541" i="132"/>
  <c r="C549" i="132" l="1"/>
  <c r="F549" i="132" s="1"/>
  <c r="C557" i="132"/>
  <c r="F557" i="132" s="1"/>
  <c r="C550" i="132"/>
  <c r="F550" i="132" s="1"/>
  <c r="C551" i="132"/>
  <c r="F551" i="132" s="1"/>
  <c r="J545" i="132"/>
  <c r="C556" i="132"/>
  <c r="F556" i="132" s="1"/>
  <c r="L543" i="132"/>
  <c r="K543" i="132"/>
  <c r="L538" i="132"/>
  <c r="K538" i="132"/>
  <c r="K540" i="132"/>
  <c r="L540" i="132"/>
  <c r="L536" i="132"/>
  <c r="K536" i="132"/>
  <c r="I545" i="132"/>
  <c r="K544" i="132"/>
  <c r="L544" i="132"/>
  <c r="K541" i="132"/>
  <c r="L541" i="132"/>
  <c r="K542" i="132"/>
  <c r="L542" i="132"/>
  <c r="K537" i="132"/>
  <c r="L537" i="132"/>
  <c r="L539" i="132"/>
  <c r="K539" i="132"/>
  <c r="K545" i="132" l="1"/>
  <c r="O537" i="132" s="1"/>
  <c r="L545" i="132"/>
  <c r="O536" i="132" s="1"/>
  <c r="O538" i="132" s="1"/>
  <c r="N541" i="132" l="1"/>
  <c r="O540" i="132" s="1"/>
  <c r="N540" i="132"/>
  <c r="O541" i="132" l="1"/>
  <c r="Q536" i="132" a="1"/>
  <c r="Q543" i="132" l="1"/>
  <c r="Q539" i="132"/>
  <c r="R542" i="132"/>
  <c r="R538" i="132"/>
  <c r="Q542" i="132"/>
  <c r="Q538" i="132"/>
  <c r="Q541" i="132"/>
  <c r="Q537" i="132"/>
  <c r="R544" i="132"/>
  <c r="R540" i="132"/>
  <c r="R536" i="132"/>
  <c r="Q544" i="132"/>
  <c r="Q540" i="132"/>
  <c r="Q536" i="132"/>
  <c r="R541" i="132"/>
  <c r="R539" i="132"/>
  <c r="R537" i="132"/>
  <c r="R543" i="132"/>
  <c r="B549" i="132" l="1" a="1"/>
  <c r="B553" i="132" s="1"/>
  <c r="D549" i="132" a="1"/>
  <c r="B554" i="132" l="1"/>
  <c r="B556" i="132"/>
  <c r="B555" i="132"/>
  <c r="B549" i="132"/>
  <c r="B557" i="132"/>
  <c r="B551" i="132"/>
  <c r="B562" i="132" a="1"/>
  <c r="B562" i="132" s="1"/>
  <c r="G562" i="132" s="1"/>
  <c r="B552" i="132"/>
  <c r="B550" i="132"/>
  <c r="D557" i="132"/>
  <c r="G557" i="132" s="1"/>
  <c r="D549" i="132"/>
  <c r="G549" i="132" s="1"/>
  <c r="D556" i="132"/>
  <c r="G556" i="132" s="1"/>
  <c r="D555" i="132"/>
  <c r="G555" i="132" s="1"/>
  <c r="D553" i="132"/>
  <c r="G553" i="132" s="1"/>
  <c r="D552" i="132"/>
  <c r="G552" i="132" s="1"/>
  <c r="D551" i="132"/>
  <c r="G551" i="132" s="1"/>
  <c r="D554" i="132"/>
  <c r="G554" i="132" s="1"/>
  <c r="D550" i="132"/>
  <c r="G550" i="132" s="1"/>
  <c r="B570" i="132" l="1"/>
  <c r="G570" i="132" s="1"/>
  <c r="B563" i="132"/>
  <c r="G563" i="132" s="1"/>
  <c r="B564" i="132"/>
  <c r="G564" i="132" s="1"/>
  <c r="B567" i="132"/>
  <c r="G567" i="132" s="1"/>
  <c r="B568" i="132"/>
  <c r="G568" i="132" s="1"/>
  <c r="J568" i="132" s="1"/>
  <c r="B569" i="132"/>
  <c r="G569" i="132" s="1"/>
  <c r="J569" i="132" s="1"/>
  <c r="B565" i="132"/>
  <c r="G565" i="132" s="1"/>
  <c r="J565" i="132" s="1"/>
  <c r="B566" i="132"/>
  <c r="G566" i="132" s="1"/>
  <c r="J566" i="132" s="1"/>
  <c r="J552" i="132"/>
  <c r="I552" i="132"/>
  <c r="J562" i="132"/>
  <c r="I562" i="132"/>
  <c r="I553" i="132"/>
  <c r="J553" i="132"/>
  <c r="J563" i="132"/>
  <c r="I563" i="132"/>
  <c r="J555" i="132"/>
  <c r="I555" i="132"/>
  <c r="J564" i="132"/>
  <c r="I564" i="132"/>
  <c r="I556" i="132"/>
  <c r="J556" i="132"/>
  <c r="I567" i="132"/>
  <c r="J567" i="132"/>
  <c r="J549" i="132"/>
  <c r="I549" i="132"/>
  <c r="I551" i="132"/>
  <c r="J551" i="132"/>
  <c r="J550" i="132"/>
  <c r="I550" i="132"/>
  <c r="J557" i="132"/>
  <c r="I557" i="132"/>
  <c r="J554" i="132"/>
  <c r="I554" i="132"/>
  <c r="J570" i="132"/>
  <c r="I570" i="132"/>
  <c r="I568" i="132" l="1"/>
  <c r="I569" i="132"/>
  <c r="I565" i="132"/>
  <c r="I566" i="132"/>
  <c r="L551" i="132"/>
  <c r="K551" i="132"/>
  <c r="K567" i="132"/>
  <c r="L567" i="132"/>
  <c r="L554" i="132"/>
  <c r="K554" i="132"/>
  <c r="L568" i="132"/>
  <c r="K568" i="132"/>
  <c r="L569" i="132"/>
  <c r="K569" i="132"/>
  <c r="L556" i="132"/>
  <c r="K556" i="132"/>
  <c r="L553" i="132"/>
  <c r="K553" i="132"/>
  <c r="L557" i="132"/>
  <c r="K557" i="132"/>
  <c r="L549" i="132"/>
  <c r="K549" i="132"/>
  <c r="I558" i="132"/>
  <c r="L564" i="132"/>
  <c r="K564" i="132"/>
  <c r="K562" i="132"/>
  <c r="L562" i="132"/>
  <c r="I571" i="132"/>
  <c r="K563" i="132"/>
  <c r="L563" i="132"/>
  <c r="J558" i="132"/>
  <c r="J571" i="132"/>
  <c r="K570" i="132"/>
  <c r="L570" i="132"/>
  <c r="L550" i="132"/>
  <c r="K550" i="132"/>
  <c r="L566" i="132"/>
  <c r="K566" i="132"/>
  <c r="L555" i="132"/>
  <c r="K555" i="132"/>
  <c r="L552" i="132"/>
  <c r="K552" i="132"/>
  <c r="L565" i="132"/>
  <c r="K565" i="132"/>
  <c r="L571" i="132" l="1"/>
  <c r="O562" i="132" s="1"/>
  <c r="K571" i="132"/>
  <c r="O563" i="132" s="1"/>
  <c r="K558" i="132"/>
  <c r="O550" i="132" s="1"/>
  <c r="L558" i="132"/>
  <c r="O549" i="132" s="1"/>
  <c r="O551" i="132" s="1"/>
  <c r="N553" i="132" l="1"/>
  <c r="N554" i="132"/>
  <c r="O553" i="132" s="1"/>
  <c r="O564" i="132"/>
  <c r="N566" i="132" l="1"/>
  <c r="N567" i="132"/>
  <c r="O566" i="132" s="1"/>
  <c r="O554" i="132"/>
  <c r="Q549" i="132" a="1"/>
  <c r="R556" i="132" l="1"/>
  <c r="R552" i="132"/>
  <c r="Q556" i="132"/>
  <c r="Q552" i="132"/>
  <c r="R555" i="132"/>
  <c r="R551" i="132"/>
  <c r="R554" i="132"/>
  <c r="R550" i="132"/>
  <c r="Q554" i="132"/>
  <c r="Q550" i="132"/>
  <c r="R557" i="132"/>
  <c r="R553" i="132"/>
  <c r="R549" i="132"/>
  <c r="Q555" i="132"/>
  <c r="Q551" i="132"/>
  <c r="Q549" i="132"/>
  <c r="C562" i="132" s="1" a="1"/>
  <c r="Q557" i="132"/>
  <c r="Q553" i="132"/>
  <c r="O567" i="132"/>
  <c r="Q562" i="132" a="1"/>
  <c r="R570" i="132" l="1"/>
  <c r="R566" i="132"/>
  <c r="R562" i="132"/>
  <c r="Q569" i="132"/>
  <c r="Q565" i="132"/>
  <c r="Q568" i="132"/>
  <c r="Q563" i="132"/>
  <c r="R567" i="132"/>
  <c r="Q562" i="132"/>
  <c r="Q567" i="132"/>
  <c r="R565" i="132"/>
  <c r="Q570" i="132"/>
  <c r="R564" i="132"/>
  <c r="R569" i="132"/>
  <c r="Q564" i="132"/>
  <c r="Q566" i="132"/>
  <c r="R563" i="132"/>
  <c r="R568" i="132"/>
  <c r="C566" i="132"/>
  <c r="C563" i="132"/>
  <c r="C569" i="132"/>
  <c r="C568" i="132"/>
  <c r="C567" i="132"/>
  <c r="C564" i="132"/>
  <c r="C562" i="132"/>
  <c r="C565" i="132"/>
  <c r="C570" i="132"/>
  <c r="D562" i="132" a="1"/>
  <c r="D564" i="132" l="1"/>
  <c r="D569" i="132"/>
  <c r="D570" i="132"/>
  <c r="D568" i="132"/>
  <c r="D567" i="132"/>
  <c r="D565" i="132"/>
  <c r="D563" i="132"/>
  <c r="D562" i="132"/>
  <c r="D575" i="132" s="1" a="1"/>
  <c r="D566" i="132"/>
  <c r="B575" i="132" a="1"/>
  <c r="C575" i="132" a="1"/>
  <c r="A575" i="132" a="1"/>
  <c r="A576" i="132" l="1"/>
  <c r="F576" i="132" s="1"/>
  <c r="A582" i="132"/>
  <c r="F582" i="132" s="1"/>
  <c r="A581" i="132"/>
  <c r="F581" i="132" s="1"/>
  <c r="A583" i="132"/>
  <c r="F583" i="132" s="1"/>
  <c r="A580" i="132"/>
  <c r="F580" i="132" s="1"/>
  <c r="A579" i="132"/>
  <c r="F579" i="132" s="1"/>
  <c r="A577" i="132"/>
  <c r="F577" i="132" s="1"/>
  <c r="A575" i="132"/>
  <c r="A578" i="132"/>
  <c r="F578" i="132" s="1"/>
  <c r="C580" i="132"/>
  <c r="G580" i="132" s="1"/>
  <c r="C578" i="132"/>
  <c r="G578" i="132" s="1"/>
  <c r="C577" i="132"/>
  <c r="G577" i="132" s="1"/>
  <c r="C575" i="132"/>
  <c r="G575" i="132" s="1"/>
  <c r="C582" i="132"/>
  <c r="G582" i="132" s="1"/>
  <c r="C581" i="132"/>
  <c r="G581" i="132" s="1"/>
  <c r="C579" i="132"/>
  <c r="G579" i="132" s="1"/>
  <c r="C576" i="132"/>
  <c r="G576" i="132" s="1"/>
  <c r="C583" i="132"/>
  <c r="G583" i="132" s="1"/>
  <c r="D578" i="132"/>
  <c r="D576" i="132"/>
  <c r="D583" i="132"/>
  <c r="D575" i="132"/>
  <c r="D582" i="132"/>
  <c r="D580" i="132"/>
  <c r="D579" i="132"/>
  <c r="D577" i="132"/>
  <c r="D581" i="132"/>
  <c r="B582" i="132"/>
  <c r="B580" i="132"/>
  <c r="B579" i="132"/>
  <c r="B583" i="132"/>
  <c r="B578" i="132"/>
  <c r="B577" i="132"/>
  <c r="B576" i="132"/>
  <c r="B575" i="132"/>
  <c r="B581" i="132"/>
  <c r="D588" i="132" l="1" a="1"/>
  <c r="D596" i="132" s="1"/>
  <c r="G596" i="132" s="1"/>
  <c r="F575" i="132"/>
  <c r="B585" i="132"/>
  <c r="J577" i="132"/>
  <c r="I577" i="132"/>
  <c r="I579" i="132"/>
  <c r="J579" i="132"/>
  <c r="I580" i="132"/>
  <c r="J580" i="132"/>
  <c r="I583" i="132"/>
  <c r="J583" i="132"/>
  <c r="B588" i="132" a="1"/>
  <c r="I581" i="132"/>
  <c r="J581" i="132"/>
  <c r="D593" i="132"/>
  <c r="G593" i="132" s="1"/>
  <c r="D591" i="132"/>
  <c r="G591" i="132" s="1"/>
  <c r="D590" i="132"/>
  <c r="G590" i="132" s="1"/>
  <c r="D589" i="132"/>
  <c r="G589" i="132" s="1"/>
  <c r="D588" i="132"/>
  <c r="G588" i="132" s="1"/>
  <c r="J582" i="132"/>
  <c r="I582" i="132"/>
  <c r="I578" i="132"/>
  <c r="J578" i="132"/>
  <c r="I576" i="132"/>
  <c r="J576" i="132"/>
  <c r="D595" i="132" l="1"/>
  <c r="G595" i="132" s="1"/>
  <c r="D592" i="132"/>
  <c r="G592" i="132" s="1"/>
  <c r="D594" i="132"/>
  <c r="G594" i="132" s="1"/>
  <c r="K580" i="132"/>
  <c r="L580" i="132"/>
  <c r="K579" i="132"/>
  <c r="L579" i="132"/>
  <c r="K581" i="132"/>
  <c r="L581" i="132"/>
  <c r="L577" i="132"/>
  <c r="K577" i="132"/>
  <c r="L576" i="132"/>
  <c r="K576" i="132"/>
  <c r="B589" i="132"/>
  <c r="B595" i="132"/>
  <c r="B594" i="132"/>
  <c r="B591" i="132"/>
  <c r="B588" i="132"/>
  <c r="B592" i="132"/>
  <c r="B590" i="132"/>
  <c r="B596" i="132"/>
  <c r="B593" i="132"/>
  <c r="K582" i="132"/>
  <c r="L582" i="132"/>
  <c r="K578" i="132"/>
  <c r="L578" i="132"/>
  <c r="K583" i="132"/>
  <c r="L583" i="132"/>
  <c r="I575" i="132"/>
  <c r="J575" i="132"/>
  <c r="J584" i="132" s="1"/>
  <c r="B601" i="132" l="1" a="1"/>
  <c r="I584" i="132"/>
  <c r="K575" i="132"/>
  <c r="K584" i="132" s="1"/>
  <c r="O576" i="132" s="1"/>
  <c r="L575" i="132"/>
  <c r="L584" i="132" s="1"/>
  <c r="O575" i="132" s="1"/>
  <c r="O577" i="132" l="1"/>
  <c r="B603" i="132"/>
  <c r="F603" i="132" s="1"/>
  <c r="B609" i="132"/>
  <c r="F609" i="132" s="1"/>
  <c r="B601" i="132"/>
  <c r="F601" i="132" s="1"/>
  <c r="B608" i="132"/>
  <c r="F608" i="132" s="1"/>
  <c r="B607" i="132"/>
  <c r="F607" i="132" s="1"/>
  <c r="B606" i="132"/>
  <c r="F606" i="132" s="1"/>
  <c r="B605" i="132"/>
  <c r="F605" i="132" s="1"/>
  <c r="B602" i="132"/>
  <c r="F602" i="132" s="1"/>
  <c r="B604" i="132"/>
  <c r="F604" i="132" s="1"/>
  <c r="N580" i="132" l="1"/>
  <c r="O579" i="132" s="1"/>
  <c r="N579" i="132"/>
  <c r="O580" i="132" l="1"/>
  <c r="Q575" i="132" a="1"/>
  <c r="Q580" i="132" l="1"/>
  <c r="Q576" i="132"/>
  <c r="Q583" i="132"/>
  <c r="Q579" i="132"/>
  <c r="Q575" i="132"/>
  <c r="R582" i="132"/>
  <c r="R578" i="132"/>
  <c r="Q582" i="132"/>
  <c r="Q578" i="132"/>
  <c r="Q577" i="132"/>
  <c r="R576" i="132"/>
  <c r="R583" i="132"/>
  <c r="R575" i="132"/>
  <c r="C588" i="132" s="1" a="1"/>
  <c r="Q581" i="132"/>
  <c r="R580" i="132"/>
  <c r="R579" i="132"/>
  <c r="R581" i="132"/>
  <c r="R577" i="132"/>
  <c r="A588" i="132" l="1" a="1"/>
  <c r="A591" i="132" s="1"/>
  <c r="F591" i="132" s="1"/>
  <c r="C595" i="132"/>
  <c r="C593" i="132"/>
  <c r="C592" i="132"/>
  <c r="C594" i="132"/>
  <c r="C590" i="132"/>
  <c r="C589" i="132"/>
  <c r="C588" i="132"/>
  <c r="C596" i="132"/>
  <c r="C591" i="132"/>
  <c r="A592" i="132" l="1"/>
  <c r="F592" i="132" s="1"/>
  <c r="A593" i="132"/>
  <c r="F593" i="132" s="1"/>
  <c r="A594" i="132"/>
  <c r="F594" i="132" s="1"/>
  <c r="J594" i="132" s="1"/>
  <c r="C601" i="132" a="1"/>
  <c r="C607" i="132" s="1"/>
  <c r="G607" i="132" s="1"/>
  <c r="A595" i="132"/>
  <c r="F595" i="132" s="1"/>
  <c r="J595" i="132" s="1"/>
  <c r="A588" i="132"/>
  <c r="A596" i="132"/>
  <c r="F596" i="132" s="1"/>
  <c r="I596" i="132" s="1"/>
  <c r="A589" i="132"/>
  <c r="F589" i="132" s="1"/>
  <c r="I589" i="132" s="1"/>
  <c r="A590" i="132"/>
  <c r="F590" i="132" s="1"/>
  <c r="J590" i="132" s="1"/>
  <c r="J593" i="132"/>
  <c r="I593" i="132"/>
  <c r="F588" i="132"/>
  <c r="J592" i="132"/>
  <c r="I592" i="132"/>
  <c r="I590" i="132"/>
  <c r="I591" i="132"/>
  <c r="J591" i="132"/>
  <c r="B598" i="132" l="1"/>
  <c r="I594" i="132"/>
  <c r="I595" i="132"/>
  <c r="C606" i="132"/>
  <c r="G606" i="132" s="1"/>
  <c r="C608" i="132"/>
  <c r="G608" i="132" s="1"/>
  <c r="I608" i="132" s="1"/>
  <c r="C601" i="132"/>
  <c r="G601" i="132" s="1"/>
  <c r="I601" i="132" s="1"/>
  <c r="J596" i="132"/>
  <c r="L596" i="132" s="1"/>
  <c r="C604" i="132"/>
  <c r="G604" i="132" s="1"/>
  <c r="I604" i="132" s="1"/>
  <c r="C609" i="132"/>
  <c r="G609" i="132" s="1"/>
  <c r="C605" i="132"/>
  <c r="G605" i="132" s="1"/>
  <c r="C602" i="132"/>
  <c r="G602" i="132" s="1"/>
  <c r="J602" i="132" s="1"/>
  <c r="C603" i="132"/>
  <c r="G603" i="132" s="1"/>
  <c r="I603" i="132" s="1"/>
  <c r="J589" i="132"/>
  <c r="L589" i="132" s="1"/>
  <c r="I588" i="132"/>
  <c r="J588" i="132"/>
  <c r="K592" i="132"/>
  <c r="L592" i="132"/>
  <c r="I606" i="132"/>
  <c r="J606" i="132"/>
  <c r="K593" i="132"/>
  <c r="L593" i="132"/>
  <c r="J607" i="132"/>
  <c r="I607" i="132"/>
  <c r="L595" i="132"/>
  <c r="K595" i="132"/>
  <c r="I605" i="132"/>
  <c r="J605" i="132"/>
  <c r="J609" i="132"/>
  <c r="I609" i="132"/>
  <c r="K591" i="132"/>
  <c r="L591" i="132"/>
  <c r="K594" i="132"/>
  <c r="L594" i="132"/>
  <c r="L590" i="132"/>
  <c r="K590" i="132"/>
  <c r="J603" i="132"/>
  <c r="K596" i="132"/>
  <c r="J597" i="132" l="1"/>
  <c r="J604" i="132"/>
  <c r="K604" i="132" s="1"/>
  <c r="J601" i="132"/>
  <c r="K601" i="132" s="1"/>
  <c r="J608" i="132"/>
  <c r="L608" i="132" s="1"/>
  <c r="K589" i="132"/>
  <c r="I602" i="132"/>
  <c r="L602" i="132" s="1"/>
  <c r="L601" i="132"/>
  <c r="I610" i="132"/>
  <c r="L606" i="132"/>
  <c r="K606" i="132"/>
  <c r="L607" i="132"/>
  <c r="K607" i="132"/>
  <c r="L604" i="132"/>
  <c r="L605" i="132"/>
  <c r="K605" i="132"/>
  <c r="K603" i="132"/>
  <c r="L603" i="132"/>
  <c r="K602" i="132"/>
  <c r="L609" i="132"/>
  <c r="K609" i="132"/>
  <c r="J610" i="132"/>
  <c r="K588" i="132"/>
  <c r="I597" i="132"/>
  <c r="L588" i="132"/>
  <c r="L597" i="132" s="1"/>
  <c r="K608" i="132" l="1"/>
  <c r="K597" i="132"/>
  <c r="O588" i="132"/>
  <c r="O589" i="132"/>
  <c r="O590" i="132" s="1"/>
  <c r="K610" i="132"/>
  <c r="L610" i="132"/>
  <c r="N592" i="132" l="1"/>
  <c r="N593" i="132"/>
  <c r="O592" i="132" s="1"/>
  <c r="O593" i="132"/>
  <c r="Q588" i="132" a="1"/>
  <c r="Q594" i="132" l="1"/>
  <c r="Q590" i="132"/>
  <c r="Q593" i="132"/>
  <c r="Q589" i="132"/>
  <c r="R596" i="132"/>
  <c r="R592" i="132"/>
  <c r="R588" i="132"/>
  <c r="D601" i="132" s="1" a="1"/>
  <c r="Q596" i="132"/>
  <c r="R590" i="132"/>
  <c r="Q595" i="132"/>
  <c r="Q588" i="132"/>
  <c r="R594" i="132"/>
  <c r="R593" i="132"/>
  <c r="R595" i="132"/>
  <c r="Q592" i="132"/>
  <c r="R591" i="132"/>
  <c r="Q591" i="132"/>
  <c r="R589" i="132"/>
  <c r="D607" i="132" l="1"/>
  <c r="D605" i="132"/>
  <c r="D604" i="132"/>
  <c r="D602" i="132"/>
  <c r="D601" i="132"/>
  <c r="D614" i="132" s="1" a="1"/>
  <c r="D608" i="132"/>
  <c r="D606" i="132"/>
  <c r="D603" i="132"/>
  <c r="D609" i="132"/>
  <c r="A601" i="132" a="1"/>
  <c r="D621" i="132" l="1"/>
  <c r="G621" i="132" s="1"/>
  <c r="D619" i="132"/>
  <c r="G619" i="132" s="1"/>
  <c r="D618" i="132"/>
  <c r="G618" i="132" s="1"/>
  <c r="D615" i="132"/>
  <c r="G615" i="132" s="1"/>
  <c r="D614" i="132"/>
  <c r="G614" i="132" s="1"/>
  <c r="D620" i="132"/>
  <c r="G620" i="132" s="1"/>
  <c r="D617" i="132"/>
  <c r="G617" i="132" s="1"/>
  <c r="D616" i="132"/>
  <c r="G616" i="132" s="1"/>
  <c r="D622" i="132"/>
  <c r="G622" i="132" s="1"/>
  <c r="A605" i="132"/>
  <c r="A603" i="132"/>
  <c r="A602" i="132"/>
  <c r="A606" i="132"/>
  <c r="A604" i="132"/>
  <c r="A601" i="132"/>
  <c r="A609" i="132"/>
  <c r="A608" i="132"/>
  <c r="A607" i="132"/>
  <c r="B611" i="132" l="1"/>
  <c r="A614" i="132" a="1"/>
  <c r="A619" i="132" l="1"/>
  <c r="A617" i="132"/>
  <c r="A616" i="132"/>
  <c r="A620" i="132"/>
  <c r="A618" i="132"/>
  <c r="A615" i="132"/>
  <c r="A614" i="132"/>
  <c r="A622" i="132"/>
  <c r="A621" i="132"/>
  <c r="O601" i="132"/>
  <c r="O602" i="132"/>
  <c r="B624" i="132" l="1"/>
  <c r="A627" i="132" a="1"/>
  <c r="O603" i="132"/>
  <c r="N605" i="132" l="1"/>
  <c r="N606" i="132"/>
  <c r="O605" i="132" s="1"/>
  <c r="A633" i="132"/>
  <c r="A631" i="132"/>
  <c r="A630" i="132"/>
  <c r="A632" i="132"/>
  <c r="A629" i="132"/>
  <c r="A628" i="132"/>
  <c r="A627" i="132"/>
  <c r="A635" i="132"/>
  <c r="A634" i="132"/>
  <c r="B637" i="132" l="1"/>
  <c r="A640" i="132" a="1"/>
  <c r="O606" i="132"/>
  <c r="Q601" i="132" a="1"/>
  <c r="R607" i="132" l="1"/>
  <c r="R603" i="132"/>
  <c r="R606" i="132"/>
  <c r="R602" i="132"/>
  <c r="Q606" i="132"/>
  <c r="Q602" i="132"/>
  <c r="R605" i="132"/>
  <c r="Q605" i="132"/>
  <c r="R604" i="132"/>
  <c r="R609" i="132"/>
  <c r="Q604" i="132"/>
  <c r="R608" i="132"/>
  <c r="R601" i="132"/>
  <c r="Q608" i="132"/>
  <c r="Q601" i="132"/>
  <c r="Q607" i="132"/>
  <c r="Q609" i="132"/>
  <c r="Q603" i="132"/>
  <c r="A647" i="132"/>
  <c r="F647" i="132" s="1"/>
  <c r="A645" i="132"/>
  <c r="F645" i="132" s="1"/>
  <c r="A644" i="132"/>
  <c r="F644" i="132" s="1"/>
  <c r="A643" i="132"/>
  <c r="F643" i="132" s="1"/>
  <c r="A642" i="132"/>
  <c r="F642" i="132" s="1"/>
  <c r="A641" i="132"/>
  <c r="F641" i="132" s="1"/>
  <c r="A640" i="132"/>
  <c r="A648" i="132"/>
  <c r="F648" i="132" s="1"/>
  <c r="A646" i="132"/>
  <c r="F646" i="132" s="1"/>
  <c r="C614" i="132" l="1" a="1"/>
  <c r="C615" i="132" s="1"/>
  <c r="B614" i="132" a="1"/>
  <c r="C616" i="132"/>
  <c r="C614" i="132"/>
  <c r="C618" i="132"/>
  <c r="F640" i="132"/>
  <c r="B650" i="132"/>
  <c r="C619" i="132" l="1"/>
  <c r="C617" i="132"/>
  <c r="C622" i="132"/>
  <c r="C620" i="132"/>
  <c r="C621" i="132"/>
  <c r="C627" i="132" a="1"/>
  <c r="B617" i="132"/>
  <c r="F617" i="132" s="1"/>
  <c r="B615" i="132"/>
  <c r="F615" i="132" s="1"/>
  <c r="B622" i="132"/>
  <c r="F622" i="132" s="1"/>
  <c r="B614" i="132"/>
  <c r="F614" i="132" s="1"/>
  <c r="B621" i="132"/>
  <c r="F621" i="132" s="1"/>
  <c r="B620" i="132"/>
  <c r="F620" i="132" s="1"/>
  <c r="B619" i="132"/>
  <c r="F619" i="132" s="1"/>
  <c r="B618" i="132"/>
  <c r="F618" i="132" s="1"/>
  <c r="B616" i="132"/>
  <c r="F616" i="132" s="1"/>
  <c r="J614" i="132" l="1"/>
  <c r="I614" i="132"/>
  <c r="I622" i="132"/>
  <c r="J622" i="132"/>
  <c r="I615" i="132"/>
  <c r="J615" i="132"/>
  <c r="J617" i="132"/>
  <c r="I617" i="132"/>
  <c r="J618" i="132"/>
  <c r="I618" i="132"/>
  <c r="I619" i="132"/>
  <c r="J619" i="132"/>
  <c r="J616" i="132"/>
  <c r="I616" i="132"/>
  <c r="J620" i="132"/>
  <c r="I620" i="132"/>
  <c r="I621" i="132"/>
  <c r="J621" i="132"/>
  <c r="C629" i="132"/>
  <c r="F629" i="132" s="1"/>
  <c r="C635" i="132"/>
  <c r="F635" i="132" s="1"/>
  <c r="C627" i="132"/>
  <c r="F627" i="132" s="1"/>
  <c r="C634" i="132"/>
  <c r="F634" i="132" s="1"/>
  <c r="C633" i="132"/>
  <c r="F633" i="132" s="1"/>
  <c r="C632" i="132"/>
  <c r="F632" i="132" s="1"/>
  <c r="C631" i="132"/>
  <c r="F631" i="132" s="1"/>
  <c r="C630" i="132"/>
  <c r="F630" i="132" s="1"/>
  <c r="C628" i="132"/>
  <c r="F628" i="132" s="1"/>
  <c r="L616" i="132" l="1"/>
  <c r="K616" i="132"/>
  <c r="K615" i="132"/>
  <c r="L615" i="132"/>
  <c r="L619" i="132"/>
  <c r="K619" i="132"/>
  <c r="K622" i="132"/>
  <c r="L622" i="132"/>
  <c r="L618" i="132"/>
  <c r="K618" i="132"/>
  <c r="L621" i="132"/>
  <c r="K621" i="132"/>
  <c r="K614" i="132"/>
  <c r="L614" i="132"/>
  <c r="I623" i="132"/>
  <c r="L620" i="132"/>
  <c r="K620" i="132"/>
  <c r="K617" i="132"/>
  <c r="L617" i="132"/>
  <c r="J623" i="132"/>
  <c r="L623" i="132" l="1"/>
  <c r="O614" i="132" s="1"/>
  <c r="K623" i="132"/>
  <c r="O615" i="132" s="1"/>
  <c r="O616" i="132" l="1"/>
  <c r="N619" i="132" l="1"/>
  <c r="O618" i="132" s="1"/>
  <c r="N618" i="132"/>
  <c r="O619" i="132" l="1"/>
  <c r="Q614" i="132" a="1"/>
  <c r="Q621" i="132" l="1"/>
  <c r="Q617" i="132"/>
  <c r="Q620" i="132"/>
  <c r="Q616" i="132"/>
  <c r="R619" i="132"/>
  <c r="R615" i="132"/>
  <c r="R618" i="132"/>
  <c r="Q618" i="132"/>
  <c r="R617" i="132"/>
  <c r="R622" i="132"/>
  <c r="R616" i="132"/>
  <c r="Q622" i="132"/>
  <c r="Q615" i="132"/>
  <c r="R621" i="132"/>
  <c r="R614" i="132"/>
  <c r="D627" i="132" s="1" a="1"/>
  <c r="R620" i="132"/>
  <c r="Q614" i="132"/>
  <c r="Q619" i="132"/>
  <c r="D635" i="132" l="1"/>
  <c r="G635" i="132" s="1"/>
  <c r="D627" i="132"/>
  <c r="G627" i="132" s="1"/>
  <c r="D633" i="132"/>
  <c r="G633" i="132" s="1"/>
  <c r="D632" i="132"/>
  <c r="G632" i="132" s="1"/>
  <c r="D628" i="132"/>
  <c r="G628" i="132" s="1"/>
  <c r="D634" i="132"/>
  <c r="G634" i="132" s="1"/>
  <c r="D631" i="132"/>
  <c r="G631" i="132" s="1"/>
  <c r="D630" i="132"/>
  <c r="G630" i="132" s="1"/>
  <c r="D629" i="132"/>
  <c r="G629" i="132" s="1"/>
  <c r="B627" i="132" a="1"/>
  <c r="I630" i="132" l="1"/>
  <c r="J630" i="132"/>
  <c r="J631" i="132"/>
  <c r="I631" i="132"/>
  <c r="J634" i="132"/>
  <c r="I634" i="132"/>
  <c r="J628" i="132"/>
  <c r="I628" i="132"/>
  <c r="I632" i="132"/>
  <c r="J632" i="132"/>
  <c r="J633" i="132"/>
  <c r="I633" i="132"/>
  <c r="B631" i="132"/>
  <c r="B629" i="132"/>
  <c r="B628" i="132"/>
  <c r="B634" i="132"/>
  <c r="B633" i="132"/>
  <c r="B632" i="132"/>
  <c r="B630" i="132"/>
  <c r="B627" i="132"/>
  <c r="B635" i="132"/>
  <c r="J627" i="132"/>
  <c r="J636" i="132" s="1"/>
  <c r="I627" i="132"/>
  <c r="I629" i="132"/>
  <c r="J629" i="132"/>
  <c r="I635" i="132"/>
  <c r="J635" i="132"/>
  <c r="L628" i="132" l="1"/>
  <c r="K628" i="132"/>
  <c r="L627" i="132"/>
  <c r="K627" i="132"/>
  <c r="I636" i="132"/>
  <c r="L634" i="132"/>
  <c r="K634" i="132"/>
  <c r="B640" i="132" a="1"/>
  <c r="L633" i="132"/>
  <c r="K633" i="132"/>
  <c r="L631" i="132"/>
  <c r="K631" i="132"/>
  <c r="L635" i="132"/>
  <c r="K635" i="132"/>
  <c r="K629" i="132"/>
  <c r="L629" i="132"/>
  <c r="L632" i="132"/>
  <c r="K632" i="132"/>
  <c r="L630" i="132"/>
  <c r="K630" i="132"/>
  <c r="K636" i="132" l="1"/>
  <c r="O628" i="132" s="1"/>
  <c r="L636" i="132"/>
  <c r="O627" i="132" s="1"/>
  <c r="O629" i="132" s="1"/>
  <c r="B645" i="132"/>
  <c r="G645" i="132" s="1"/>
  <c r="B643" i="132"/>
  <c r="G643" i="132" s="1"/>
  <c r="B642" i="132"/>
  <c r="G642" i="132" s="1"/>
  <c r="B647" i="132"/>
  <c r="G647" i="132" s="1"/>
  <c r="B646" i="132"/>
  <c r="G646" i="132" s="1"/>
  <c r="B644" i="132"/>
  <c r="G644" i="132" s="1"/>
  <c r="B641" i="132"/>
  <c r="G641" i="132" s="1"/>
  <c r="B640" i="132"/>
  <c r="G640" i="132" s="1"/>
  <c r="B648" i="132"/>
  <c r="G648" i="132" s="1"/>
  <c r="I646" i="132" l="1"/>
  <c r="J646" i="132"/>
  <c r="I647" i="132"/>
  <c r="J647" i="132"/>
  <c r="I642" i="132"/>
  <c r="J642" i="132"/>
  <c r="I644" i="132"/>
  <c r="J644" i="132"/>
  <c r="I643" i="132"/>
  <c r="J643" i="132"/>
  <c r="J648" i="132"/>
  <c r="I648" i="132"/>
  <c r="I645" i="132"/>
  <c r="J645" i="132"/>
  <c r="N632" i="132"/>
  <c r="O631" i="132" s="1"/>
  <c r="N631" i="132"/>
  <c r="J640" i="132"/>
  <c r="I640" i="132"/>
  <c r="J641" i="132"/>
  <c r="I641" i="132"/>
  <c r="L644" i="132" l="1"/>
  <c r="K644" i="132"/>
  <c r="L645" i="132"/>
  <c r="K645" i="132"/>
  <c r="L642" i="132"/>
  <c r="K642" i="132"/>
  <c r="K641" i="132"/>
  <c r="L641" i="132"/>
  <c r="K648" i="132"/>
  <c r="L648" i="132"/>
  <c r="K647" i="132"/>
  <c r="L647" i="132"/>
  <c r="O632" i="132"/>
  <c r="Q627" i="132" a="1"/>
  <c r="I649" i="132"/>
  <c r="L640" i="132"/>
  <c r="L649" i="132" s="1"/>
  <c r="O640" i="132" s="1"/>
  <c r="K640" i="132"/>
  <c r="J649" i="132"/>
  <c r="L643" i="132"/>
  <c r="K643" i="132"/>
  <c r="L646" i="132"/>
  <c r="K646" i="132"/>
  <c r="R634" i="132" l="1"/>
  <c r="R630" i="132"/>
  <c r="R633" i="132"/>
  <c r="R629" i="132"/>
  <c r="Q633" i="132"/>
  <c r="Q629" i="132"/>
  <c r="R631" i="132"/>
  <c r="Q631" i="132"/>
  <c r="Q630" i="132"/>
  <c r="R635" i="132"/>
  <c r="R628" i="132"/>
  <c r="Q635" i="132"/>
  <c r="Q628" i="132"/>
  <c r="Q634" i="132"/>
  <c r="R627" i="132"/>
  <c r="D640" i="132" s="1" a="1"/>
  <c r="R632" i="132"/>
  <c r="Q627" i="132"/>
  <c r="Q632" i="132"/>
  <c r="K649" i="132"/>
  <c r="O641" i="132" s="1"/>
  <c r="O642" i="132" s="1"/>
  <c r="N644" i="132" l="1"/>
  <c r="N645" i="132"/>
  <c r="O644" i="132" s="1"/>
  <c r="D641" i="132"/>
  <c r="D647" i="132"/>
  <c r="D646" i="132"/>
  <c r="D640" i="132"/>
  <c r="D653" i="132" s="1" a="1"/>
  <c r="D648" i="132"/>
  <c r="D645" i="132"/>
  <c r="D644" i="132"/>
  <c r="D643" i="132"/>
  <c r="D642" i="132"/>
  <c r="C640" i="132" a="1"/>
  <c r="D655" i="132" l="1"/>
  <c r="D661" i="132"/>
  <c r="D653" i="132"/>
  <c r="D660" i="132"/>
  <c r="D659" i="132"/>
  <c r="D658" i="132"/>
  <c r="D657" i="132"/>
  <c r="D656" i="132"/>
  <c r="D654" i="132"/>
  <c r="C643" i="132"/>
  <c r="C641" i="132"/>
  <c r="C648" i="132"/>
  <c r="C640" i="132"/>
  <c r="C653" i="132" s="1" a="1"/>
  <c r="C647" i="132"/>
  <c r="C646" i="132"/>
  <c r="C645" i="132"/>
  <c r="C644" i="132"/>
  <c r="C642" i="132"/>
  <c r="O645" i="132"/>
  <c r="Q640" i="132" a="1"/>
  <c r="C657" i="132" l="1"/>
  <c r="G657" i="132" s="1"/>
  <c r="C655" i="132"/>
  <c r="G655" i="132" s="1"/>
  <c r="C654" i="132"/>
  <c r="G654" i="132" s="1"/>
  <c r="C660" i="132"/>
  <c r="G660" i="132" s="1"/>
  <c r="C659" i="132"/>
  <c r="G659" i="132" s="1"/>
  <c r="C658" i="132"/>
  <c r="G658" i="132" s="1"/>
  <c r="C656" i="132"/>
  <c r="G656" i="132" s="1"/>
  <c r="C653" i="132"/>
  <c r="G653" i="132" s="1"/>
  <c r="C661" i="132"/>
  <c r="G661" i="132" s="1"/>
  <c r="Q648" i="132"/>
  <c r="Q644" i="132"/>
  <c r="Q640" i="132"/>
  <c r="Q647" i="132"/>
  <c r="Q643" i="132"/>
  <c r="R646" i="132"/>
  <c r="R642" i="132"/>
  <c r="R644" i="132"/>
  <c r="R643" i="132"/>
  <c r="Q642" i="132"/>
  <c r="R648" i="132"/>
  <c r="R641" i="132"/>
  <c r="R647" i="132"/>
  <c r="Q641" i="132"/>
  <c r="Q646" i="132"/>
  <c r="R640" i="132"/>
  <c r="R645" i="132"/>
  <c r="Q645" i="132"/>
  <c r="D666" i="132" a="1"/>
  <c r="A653" i="132" l="1" a="1"/>
  <c r="D669" i="132"/>
  <c r="G669" i="132" s="1"/>
  <c r="D667" i="132"/>
  <c r="G667" i="132" s="1"/>
  <c r="D674" i="132"/>
  <c r="G674" i="132" s="1"/>
  <c r="D666" i="132"/>
  <c r="G666" i="132" s="1"/>
  <c r="D673" i="132"/>
  <c r="G673" i="132" s="1"/>
  <c r="D672" i="132"/>
  <c r="G672" i="132" s="1"/>
  <c r="D671" i="132"/>
  <c r="G671" i="132" s="1"/>
  <c r="D670" i="132"/>
  <c r="G670" i="132" s="1"/>
  <c r="D668" i="132"/>
  <c r="G668" i="132" s="1"/>
  <c r="B653" i="132" a="1"/>
  <c r="B659" i="132" l="1"/>
  <c r="B657" i="132"/>
  <c r="B656" i="132"/>
  <c r="B658" i="132"/>
  <c r="B655" i="132"/>
  <c r="B654" i="132"/>
  <c r="B653" i="132"/>
  <c r="B666" i="132" s="1" a="1"/>
  <c r="B661" i="132"/>
  <c r="B660" i="132"/>
  <c r="A661" i="132"/>
  <c r="F661" i="132" s="1"/>
  <c r="A653" i="132"/>
  <c r="A659" i="132"/>
  <c r="F659" i="132" s="1"/>
  <c r="A658" i="132"/>
  <c r="F658" i="132" s="1"/>
  <c r="A655" i="132"/>
  <c r="F655" i="132" s="1"/>
  <c r="A654" i="132"/>
  <c r="F654" i="132" s="1"/>
  <c r="A660" i="132"/>
  <c r="F660" i="132" s="1"/>
  <c r="A657" i="132"/>
  <c r="F657" i="132" s="1"/>
  <c r="A656" i="132"/>
  <c r="F656" i="132" s="1"/>
  <c r="J654" i="132" l="1"/>
  <c r="I654" i="132"/>
  <c r="J655" i="132"/>
  <c r="I655" i="132"/>
  <c r="J658" i="132"/>
  <c r="I658" i="132"/>
  <c r="J660" i="132"/>
  <c r="I660" i="132"/>
  <c r="J659" i="132"/>
  <c r="I659" i="132"/>
  <c r="F653" i="132"/>
  <c r="B663" i="132"/>
  <c r="J661" i="132"/>
  <c r="I661" i="132"/>
  <c r="B673" i="132"/>
  <c r="B671" i="132"/>
  <c r="B670" i="132"/>
  <c r="B669" i="132"/>
  <c r="B668" i="132"/>
  <c r="B667" i="132"/>
  <c r="B666" i="132"/>
  <c r="B674" i="132"/>
  <c r="B672" i="132"/>
  <c r="J656" i="132"/>
  <c r="I656" i="132"/>
  <c r="J657" i="132"/>
  <c r="I657" i="132"/>
  <c r="B679" i="132" l="1" a="1"/>
  <c r="B685" i="132" s="1"/>
  <c r="F685" i="132" s="1"/>
  <c r="L660" i="132"/>
  <c r="K660" i="132"/>
  <c r="L661" i="132"/>
  <c r="K661" i="132"/>
  <c r="L658" i="132"/>
  <c r="K658" i="132"/>
  <c r="B687" i="132"/>
  <c r="F687" i="132" s="1"/>
  <c r="B679" i="132"/>
  <c r="F679" i="132" s="1"/>
  <c r="L655" i="132"/>
  <c r="K655" i="132"/>
  <c r="L657" i="132"/>
  <c r="K657" i="132"/>
  <c r="I653" i="132"/>
  <c r="J653" i="132"/>
  <c r="J662" i="132" s="1"/>
  <c r="K659" i="132"/>
  <c r="L659" i="132"/>
  <c r="L654" i="132"/>
  <c r="K654" i="132"/>
  <c r="L656" i="132"/>
  <c r="K656" i="132"/>
  <c r="B686" i="132" l="1"/>
  <c r="F686" i="132" s="1"/>
  <c r="B680" i="132"/>
  <c r="F680" i="132" s="1"/>
  <c r="B681" i="132"/>
  <c r="F681" i="132" s="1"/>
  <c r="B682" i="132"/>
  <c r="F682" i="132" s="1"/>
  <c r="B683" i="132"/>
  <c r="F683" i="132" s="1"/>
  <c r="B684" i="132"/>
  <c r="F684" i="132" s="1"/>
  <c r="L653" i="132"/>
  <c r="L662" i="132" s="1"/>
  <c r="K653" i="132"/>
  <c r="K662" i="132" s="1"/>
  <c r="I662" i="132"/>
  <c r="O654" i="132" l="1"/>
  <c r="O653" i="132"/>
  <c r="O655" i="132" s="1"/>
  <c r="N657" i="132" l="1"/>
  <c r="N658" i="132"/>
  <c r="O657" i="132" s="1"/>
  <c r="O658" i="132" l="1"/>
  <c r="Q653" i="132" a="1"/>
  <c r="R661" i="132" l="1"/>
  <c r="R657" i="132"/>
  <c r="R653" i="132"/>
  <c r="R660" i="132"/>
  <c r="R656" i="132"/>
  <c r="Q660" i="132"/>
  <c r="Q656" i="132"/>
  <c r="R655" i="132"/>
  <c r="Q655" i="132"/>
  <c r="Q661" i="132"/>
  <c r="R654" i="132"/>
  <c r="R659" i="132"/>
  <c r="Q654" i="132"/>
  <c r="Q659" i="132"/>
  <c r="Q653" i="132"/>
  <c r="A666" i="132" s="1" a="1"/>
  <c r="R658" i="132"/>
  <c r="Q658" i="132"/>
  <c r="Q657" i="132"/>
  <c r="A667" i="132" l="1"/>
  <c r="F667" i="132" s="1"/>
  <c r="A673" i="132"/>
  <c r="F673" i="132" s="1"/>
  <c r="A672" i="132"/>
  <c r="F672" i="132" s="1"/>
  <c r="A668" i="132"/>
  <c r="F668" i="132" s="1"/>
  <c r="A666" i="132"/>
  <c r="A674" i="132"/>
  <c r="F674" i="132" s="1"/>
  <c r="A671" i="132"/>
  <c r="F671" i="132" s="1"/>
  <c r="A670" i="132"/>
  <c r="F670" i="132" s="1"/>
  <c r="A669" i="132"/>
  <c r="F669" i="132" s="1"/>
  <c r="C666" i="132" a="1"/>
  <c r="J674" i="132" l="1"/>
  <c r="I674" i="132"/>
  <c r="I671" i="132"/>
  <c r="J671" i="132"/>
  <c r="F666" i="132"/>
  <c r="B676" i="132"/>
  <c r="J668" i="132"/>
  <c r="I668" i="132"/>
  <c r="I670" i="132"/>
  <c r="J670" i="132"/>
  <c r="I672" i="132"/>
  <c r="J672" i="132"/>
  <c r="J673" i="132"/>
  <c r="I673" i="132"/>
  <c r="C671" i="132"/>
  <c r="C669" i="132"/>
  <c r="C668" i="132"/>
  <c r="C673" i="132"/>
  <c r="C672" i="132"/>
  <c r="C670" i="132"/>
  <c r="C667" i="132"/>
  <c r="C666" i="132"/>
  <c r="C674" i="132"/>
  <c r="I669" i="132"/>
  <c r="J669" i="132"/>
  <c r="J667" i="132"/>
  <c r="I667" i="132"/>
  <c r="L668" i="132" l="1"/>
  <c r="K668" i="132"/>
  <c r="C679" i="132" a="1"/>
  <c r="K673" i="132"/>
  <c r="L673" i="132"/>
  <c r="L669" i="132"/>
  <c r="K669" i="132"/>
  <c r="I666" i="132"/>
  <c r="J666" i="132"/>
  <c r="J675" i="132" s="1"/>
  <c r="L667" i="132"/>
  <c r="K667" i="132"/>
  <c r="K672" i="132"/>
  <c r="L672" i="132"/>
  <c r="K671" i="132"/>
  <c r="L671" i="132"/>
  <c r="L674" i="132"/>
  <c r="K674" i="132"/>
  <c r="K670" i="132"/>
  <c r="L670" i="132"/>
  <c r="C685" i="132" l="1"/>
  <c r="G685" i="132" s="1"/>
  <c r="C683" i="132"/>
  <c r="G683" i="132" s="1"/>
  <c r="C682" i="132"/>
  <c r="G682" i="132" s="1"/>
  <c r="C687" i="132"/>
  <c r="G687" i="132" s="1"/>
  <c r="C686" i="132"/>
  <c r="G686" i="132" s="1"/>
  <c r="C684" i="132"/>
  <c r="G684" i="132" s="1"/>
  <c r="C681" i="132"/>
  <c r="G681" i="132" s="1"/>
  <c r="C680" i="132"/>
  <c r="G680" i="132" s="1"/>
  <c r="C679" i="132"/>
  <c r="G679" i="132" s="1"/>
  <c r="I675" i="132"/>
  <c r="L666" i="132"/>
  <c r="L675" i="132" s="1"/>
  <c r="O666" i="132" s="1"/>
  <c r="K666" i="132"/>
  <c r="K675" i="132" s="1"/>
  <c r="O667" i="132" s="1"/>
  <c r="O668" i="132" l="1"/>
  <c r="I680" i="132"/>
  <c r="J680" i="132"/>
  <c r="I681" i="132"/>
  <c r="J681" i="132"/>
  <c r="J684" i="132"/>
  <c r="I684" i="132"/>
  <c r="I686" i="132"/>
  <c r="J686" i="132"/>
  <c r="J687" i="132"/>
  <c r="I687" i="132"/>
  <c r="N670" i="132"/>
  <c r="N671" i="132"/>
  <c r="O670" i="132" s="1"/>
  <c r="I682" i="132"/>
  <c r="J682" i="132"/>
  <c r="J683" i="132"/>
  <c r="I683" i="132"/>
  <c r="J679" i="132"/>
  <c r="I679" i="132"/>
  <c r="J685" i="132"/>
  <c r="I685" i="132"/>
  <c r="L686" i="132" l="1"/>
  <c r="K686" i="132"/>
  <c r="L683" i="132"/>
  <c r="K683" i="132"/>
  <c r="L684" i="132"/>
  <c r="K684" i="132"/>
  <c r="L682" i="132"/>
  <c r="K682" i="132"/>
  <c r="L685" i="132"/>
  <c r="K685" i="132"/>
  <c r="O671" i="132"/>
  <c r="Q666" i="132" a="1"/>
  <c r="L681" i="132"/>
  <c r="K681" i="132"/>
  <c r="I688" i="132"/>
  <c r="L679" i="132"/>
  <c r="L688" i="132" s="1"/>
  <c r="K679" i="132"/>
  <c r="K687" i="132"/>
  <c r="L687" i="132"/>
  <c r="J688" i="132"/>
  <c r="L680" i="132"/>
  <c r="K680" i="132"/>
  <c r="Q671" i="132" l="1"/>
  <c r="Q667" i="132"/>
  <c r="Q674" i="132"/>
  <c r="Q670" i="132"/>
  <c r="Q666" i="132"/>
  <c r="R673" i="132"/>
  <c r="R669" i="132"/>
  <c r="R668" i="132"/>
  <c r="R674" i="132"/>
  <c r="Q668" i="132"/>
  <c r="Q673" i="132"/>
  <c r="R667" i="132"/>
  <c r="R672" i="132"/>
  <c r="R666" i="132"/>
  <c r="Q672" i="132"/>
  <c r="R671" i="132"/>
  <c r="R670" i="132"/>
  <c r="Q669" i="132"/>
  <c r="K688" i="132"/>
  <c r="D679" i="132" l="1" a="1"/>
  <c r="A679" i="132" a="1"/>
  <c r="A681" i="132" l="1"/>
  <c r="A687" i="132"/>
  <c r="A679" i="132"/>
  <c r="A686" i="132"/>
  <c r="A682" i="132"/>
  <c r="A680" i="132"/>
  <c r="A685" i="132"/>
  <c r="A684" i="132"/>
  <c r="A683" i="132"/>
  <c r="D683" i="132"/>
  <c r="D681" i="132"/>
  <c r="D680" i="132"/>
  <c r="D687" i="132"/>
  <c r="D686" i="132"/>
  <c r="D685" i="132"/>
  <c r="D684" i="132"/>
  <c r="D682" i="132"/>
  <c r="D679" i="132"/>
  <c r="D692" i="132" l="1" a="1"/>
  <c r="D699" i="132" s="1"/>
  <c r="G699" i="132" s="1"/>
  <c r="B689" i="132"/>
  <c r="A692" i="132" a="1"/>
  <c r="D695" i="132" l="1"/>
  <c r="G695" i="132" s="1"/>
  <c r="D696" i="132"/>
  <c r="G696" i="132" s="1"/>
  <c r="D697" i="132"/>
  <c r="G697" i="132" s="1"/>
  <c r="D692" i="132"/>
  <c r="G692" i="132" s="1"/>
  <c r="D693" i="132"/>
  <c r="G693" i="132" s="1"/>
  <c r="D700" i="132"/>
  <c r="G700" i="132" s="1"/>
  <c r="D694" i="132"/>
  <c r="G694" i="132" s="1"/>
  <c r="D698" i="132"/>
  <c r="G698" i="132" s="1"/>
  <c r="A698" i="132"/>
  <c r="A695" i="132"/>
  <c r="A694" i="132"/>
  <c r="A693" i="132"/>
  <c r="A700" i="132"/>
  <c r="A692" i="132"/>
  <c r="A699" i="132"/>
  <c r="A697" i="132"/>
  <c r="A696" i="132"/>
  <c r="O679" i="132"/>
  <c r="O680" i="132"/>
  <c r="B702" i="132" l="1"/>
  <c r="A705" i="132" a="1"/>
  <c r="O681" i="132"/>
  <c r="N684" i="132" l="1"/>
  <c r="O683" i="132" s="1"/>
  <c r="N683" i="132"/>
  <c r="A713" i="132"/>
  <c r="A705" i="132"/>
  <c r="A709" i="132"/>
  <c r="A708" i="132"/>
  <c r="A706" i="132"/>
  <c r="A712" i="132"/>
  <c r="A711" i="132"/>
  <c r="A710" i="132"/>
  <c r="A707" i="132"/>
  <c r="B715" i="132" l="1"/>
  <c r="A718" i="132" a="1"/>
  <c r="O684" i="132"/>
  <c r="Q679" i="132" a="1"/>
  <c r="A726" i="132" l="1"/>
  <c r="F726" i="132" s="1"/>
  <c r="A718" i="132"/>
  <c r="A725" i="132"/>
  <c r="F725" i="132" s="1"/>
  <c r="A723" i="132"/>
  <c r="F723" i="132" s="1"/>
  <c r="A724" i="132"/>
  <c r="F724" i="132" s="1"/>
  <c r="A719" i="132"/>
  <c r="F719" i="132" s="1"/>
  <c r="A722" i="132"/>
  <c r="F722" i="132" s="1"/>
  <c r="A721" i="132"/>
  <c r="F721" i="132" s="1"/>
  <c r="A720" i="132"/>
  <c r="F720" i="132" s="1"/>
  <c r="R684" i="132"/>
  <c r="R680" i="132"/>
  <c r="R687" i="132"/>
  <c r="R683" i="132"/>
  <c r="R679" i="132"/>
  <c r="Q687" i="132"/>
  <c r="Q683" i="132"/>
  <c r="Q679" i="132"/>
  <c r="Q682" i="132"/>
  <c r="R681" i="132"/>
  <c r="R686" i="132"/>
  <c r="Q681" i="132"/>
  <c r="Q686" i="132"/>
  <c r="Q680" i="132"/>
  <c r="R685" i="132"/>
  <c r="Q685" i="132"/>
  <c r="Q684" i="132"/>
  <c r="R682" i="132"/>
  <c r="C692" i="132" l="1" a="1"/>
  <c r="F718" i="132"/>
  <c r="B728" i="132"/>
  <c r="B692" i="132" a="1"/>
  <c r="B696" i="132" l="1"/>
  <c r="F696" i="132" s="1"/>
  <c r="B693" i="132"/>
  <c r="F693" i="132" s="1"/>
  <c r="B700" i="132"/>
  <c r="F700" i="132" s="1"/>
  <c r="B692" i="132"/>
  <c r="F692" i="132" s="1"/>
  <c r="B699" i="132"/>
  <c r="F699" i="132" s="1"/>
  <c r="B698" i="132"/>
  <c r="F698" i="132" s="1"/>
  <c r="B697" i="132"/>
  <c r="F697" i="132" s="1"/>
  <c r="B695" i="132"/>
  <c r="F695" i="132" s="1"/>
  <c r="B694" i="132"/>
  <c r="F694" i="132" s="1"/>
  <c r="C694" i="132"/>
  <c r="C699" i="132"/>
  <c r="C698" i="132"/>
  <c r="C697" i="132"/>
  <c r="C696" i="132"/>
  <c r="C692" i="132"/>
  <c r="C700" i="132"/>
  <c r="C695" i="132"/>
  <c r="C693" i="132"/>
  <c r="C705" i="132" l="1" a="1"/>
  <c r="C709" i="132" s="1"/>
  <c r="F709" i="132" s="1"/>
  <c r="I697" i="132"/>
  <c r="J697" i="132"/>
  <c r="I698" i="132"/>
  <c r="J698" i="132"/>
  <c r="J699" i="132"/>
  <c r="I699" i="132"/>
  <c r="J692" i="132"/>
  <c r="I692" i="132"/>
  <c r="I695" i="132"/>
  <c r="J695" i="132"/>
  <c r="I700" i="132"/>
  <c r="J700" i="132"/>
  <c r="I693" i="132"/>
  <c r="J693" i="132"/>
  <c r="J694" i="132"/>
  <c r="I694" i="132"/>
  <c r="I696" i="132"/>
  <c r="J696" i="132"/>
  <c r="C707" i="132" l="1"/>
  <c r="F707" i="132" s="1"/>
  <c r="C711" i="132"/>
  <c r="F711" i="132" s="1"/>
  <c r="C710" i="132"/>
  <c r="F710" i="132" s="1"/>
  <c r="C712" i="132"/>
  <c r="F712" i="132" s="1"/>
  <c r="C708" i="132"/>
  <c r="F708" i="132" s="1"/>
  <c r="C705" i="132"/>
  <c r="F705" i="132" s="1"/>
  <c r="C713" i="132"/>
  <c r="F713" i="132" s="1"/>
  <c r="C706" i="132"/>
  <c r="F706" i="132" s="1"/>
  <c r="L693" i="132"/>
  <c r="K693" i="132"/>
  <c r="K699" i="132"/>
  <c r="L699" i="132"/>
  <c r="L700" i="132"/>
  <c r="K700" i="132"/>
  <c r="L698" i="132"/>
  <c r="K698" i="132"/>
  <c r="K695" i="132"/>
  <c r="L695" i="132"/>
  <c r="L696" i="132"/>
  <c r="K696" i="132"/>
  <c r="L694" i="132"/>
  <c r="K694" i="132"/>
  <c r="I701" i="132"/>
  <c r="K692" i="132"/>
  <c r="L692" i="132"/>
  <c r="L697" i="132"/>
  <c r="K697" i="132"/>
  <c r="J701" i="132"/>
  <c r="L701" i="132" l="1"/>
  <c r="O692" i="132" s="1"/>
  <c r="K701" i="132"/>
  <c r="O693" i="132" s="1"/>
  <c r="O694" i="132" l="1"/>
  <c r="N697" i="132" l="1"/>
  <c r="O696" i="132" s="1"/>
  <c r="N696" i="132"/>
  <c r="O697" i="132" l="1"/>
  <c r="Q692" i="132" s="1" a="1"/>
  <c r="Q698" i="132" l="1"/>
  <c r="Q694" i="132"/>
  <c r="R700" i="132"/>
  <c r="Q696" i="132"/>
  <c r="Q699" i="132"/>
  <c r="R694" i="132"/>
  <c r="R698" i="132"/>
  <c r="R693" i="132"/>
  <c r="R697" i="132"/>
  <c r="Q693" i="132"/>
  <c r="Q697" i="132"/>
  <c r="R692" i="132"/>
  <c r="Q700" i="132"/>
  <c r="R699" i="132"/>
  <c r="R696" i="132"/>
  <c r="R695" i="132"/>
  <c r="Q695" i="132"/>
  <c r="Q692" i="132"/>
  <c r="D705" i="132" l="1" a="1"/>
  <c r="B705" i="132" a="1"/>
  <c r="B711" i="132" l="1"/>
  <c r="B707" i="132"/>
  <c r="B706" i="132"/>
  <c r="B712" i="132"/>
  <c r="B710" i="132"/>
  <c r="B705" i="132"/>
  <c r="B713" i="132"/>
  <c r="B709" i="132"/>
  <c r="B708" i="132"/>
  <c r="D707" i="132"/>
  <c r="G707" i="132" s="1"/>
  <c r="D711" i="132"/>
  <c r="G711" i="132" s="1"/>
  <c r="D710" i="132"/>
  <c r="G710" i="132" s="1"/>
  <c r="D708" i="132"/>
  <c r="G708" i="132" s="1"/>
  <c r="D706" i="132"/>
  <c r="G706" i="132" s="1"/>
  <c r="D713" i="132"/>
  <c r="G713" i="132" s="1"/>
  <c r="D712" i="132"/>
  <c r="G712" i="132" s="1"/>
  <c r="D709" i="132"/>
  <c r="G709" i="132" s="1"/>
  <c r="D705" i="132"/>
  <c r="G705" i="132" s="1"/>
  <c r="J713" i="132" l="1"/>
  <c r="I713" i="132"/>
  <c r="B718" i="132" a="1"/>
  <c r="I708" i="132"/>
  <c r="J708" i="132"/>
  <c r="I706" i="132"/>
  <c r="J706" i="132"/>
  <c r="J710" i="132"/>
  <c r="I710" i="132"/>
  <c r="J711" i="132"/>
  <c r="I711" i="132"/>
  <c r="J712" i="132"/>
  <c r="I712" i="132"/>
  <c r="J705" i="132"/>
  <c r="I705" i="132"/>
  <c r="J707" i="132"/>
  <c r="I707" i="132"/>
  <c r="J709" i="132"/>
  <c r="I709" i="132"/>
  <c r="I714" i="132" l="1"/>
  <c r="L705" i="132"/>
  <c r="K705" i="132"/>
  <c r="J714" i="132"/>
  <c r="L706" i="132"/>
  <c r="K706" i="132"/>
  <c r="K712" i="132"/>
  <c r="L712" i="132"/>
  <c r="L708" i="132"/>
  <c r="K708" i="132"/>
  <c r="B724" i="132"/>
  <c r="G724" i="132" s="1"/>
  <c r="B723" i="132"/>
  <c r="G723" i="132" s="1"/>
  <c r="B721" i="132"/>
  <c r="G721" i="132" s="1"/>
  <c r="B719" i="132"/>
  <c r="G719" i="132" s="1"/>
  <c r="B722" i="132"/>
  <c r="G722" i="132" s="1"/>
  <c r="B720" i="132"/>
  <c r="G720" i="132" s="1"/>
  <c r="B726" i="132"/>
  <c r="G726" i="132" s="1"/>
  <c r="B725" i="132"/>
  <c r="G725" i="132" s="1"/>
  <c r="B718" i="132"/>
  <c r="G718" i="132" s="1"/>
  <c r="L711" i="132"/>
  <c r="K711" i="132"/>
  <c r="L713" i="132"/>
  <c r="K713" i="132"/>
  <c r="K709" i="132"/>
  <c r="L709" i="132"/>
  <c r="K707" i="132"/>
  <c r="L707" i="132"/>
  <c r="K710" i="132"/>
  <c r="L710" i="132"/>
  <c r="J722" i="132" l="1"/>
  <c r="I722" i="132"/>
  <c r="I719" i="132"/>
  <c r="J719" i="132"/>
  <c r="I721" i="132"/>
  <c r="J721" i="132"/>
  <c r="I723" i="132"/>
  <c r="J723" i="132"/>
  <c r="I724" i="132"/>
  <c r="J724" i="132"/>
  <c r="K714" i="132"/>
  <c r="O706" i="132" s="1"/>
  <c r="J725" i="132"/>
  <c r="I725" i="132"/>
  <c r="L714" i="132"/>
  <c r="O705" i="132" s="1"/>
  <c r="O707" i="132" s="1"/>
  <c r="J720" i="132"/>
  <c r="I720" i="132"/>
  <c r="J718" i="132"/>
  <c r="I718" i="132"/>
  <c r="I726" i="132"/>
  <c r="J726" i="132"/>
  <c r="L720" i="132" l="1"/>
  <c r="K720" i="132"/>
  <c r="L725" i="132"/>
  <c r="K725" i="132"/>
  <c r="L721" i="132"/>
  <c r="K721" i="132"/>
  <c r="K723" i="132"/>
  <c r="L723" i="132"/>
  <c r="K719" i="132"/>
  <c r="L719" i="132"/>
  <c r="N710" i="132"/>
  <c r="O709" i="132" s="1"/>
  <c r="N709" i="132"/>
  <c r="K726" i="132"/>
  <c r="L726" i="132"/>
  <c r="I727" i="132"/>
  <c r="K718" i="132"/>
  <c r="K727" i="132" s="1"/>
  <c r="O719" i="132" s="1"/>
  <c r="L718" i="132"/>
  <c r="L722" i="132"/>
  <c r="K722" i="132"/>
  <c r="J727" i="132"/>
  <c r="L724" i="132"/>
  <c r="K724" i="132"/>
  <c r="O710" i="132" l="1"/>
  <c r="Q705" i="132" a="1"/>
  <c r="L727" i="132"/>
  <c r="O718" i="132" s="1"/>
  <c r="O720" i="132" s="1"/>
  <c r="N722" i="132" l="1"/>
  <c r="N723" i="132"/>
  <c r="O722" i="132" s="1"/>
  <c r="R713" i="132"/>
  <c r="R709" i="132"/>
  <c r="R705" i="132"/>
  <c r="R711" i="132"/>
  <c r="R707" i="132"/>
  <c r="Q711" i="132"/>
  <c r="Q707" i="132"/>
  <c r="Q710" i="132"/>
  <c r="Q706" i="132"/>
  <c r="Q713" i="132"/>
  <c r="Q705" i="132"/>
  <c r="R710" i="132"/>
  <c r="Q709" i="132"/>
  <c r="R708" i="132"/>
  <c r="Q708" i="132"/>
  <c r="R712" i="132"/>
  <c r="Q712" i="132"/>
  <c r="R706" i="132"/>
  <c r="C718" i="132" l="1" a="1"/>
  <c r="C722" i="132" s="1"/>
  <c r="D718" i="132" a="1"/>
  <c r="C726" i="132"/>
  <c r="C725" i="132"/>
  <c r="C720" i="132"/>
  <c r="C724" i="132"/>
  <c r="O723" i="132"/>
  <c r="Q718" i="132" a="1"/>
  <c r="C718" i="132" l="1"/>
  <c r="C723" i="132"/>
  <c r="C719" i="132"/>
  <c r="C721" i="132"/>
  <c r="C731" i="132" a="1"/>
  <c r="R726" i="132"/>
  <c r="R722" i="132"/>
  <c r="R718" i="132"/>
  <c r="Q726" i="132"/>
  <c r="Q722" i="132"/>
  <c r="Q718" i="132"/>
  <c r="Q725" i="132"/>
  <c r="Q721" i="132"/>
  <c r="R725" i="132"/>
  <c r="R719" i="132"/>
  <c r="Q720" i="132"/>
  <c r="R723" i="132"/>
  <c r="Q723" i="132"/>
  <c r="R720" i="132"/>
  <c r="R724" i="132"/>
  <c r="Q724" i="132"/>
  <c r="R721" i="132"/>
  <c r="Q719" i="132"/>
  <c r="D720" i="132"/>
  <c r="D719" i="132"/>
  <c r="D725" i="132"/>
  <c r="D724" i="132"/>
  <c r="D723" i="132"/>
  <c r="D726" i="132"/>
  <c r="D722" i="132"/>
  <c r="D721" i="132"/>
  <c r="D718" i="132"/>
  <c r="A731" i="132" l="1" a="1"/>
  <c r="D731" i="132" a="1"/>
  <c r="B731" i="132" a="1"/>
  <c r="C736" i="132"/>
  <c r="G736" i="132" s="1"/>
  <c r="C735" i="132"/>
  <c r="G735" i="132" s="1"/>
  <c r="C733" i="132"/>
  <c r="G733" i="132" s="1"/>
  <c r="C737" i="132"/>
  <c r="G737" i="132" s="1"/>
  <c r="C734" i="132"/>
  <c r="G734" i="132" s="1"/>
  <c r="C738" i="132"/>
  <c r="G738" i="132" s="1"/>
  <c r="C732" i="132"/>
  <c r="G732" i="132" s="1"/>
  <c r="C739" i="132"/>
  <c r="G739" i="132" s="1"/>
  <c r="C731" i="132"/>
  <c r="G731" i="132" s="1"/>
  <c r="B738" i="132" l="1"/>
  <c r="B737" i="132"/>
  <c r="B735" i="132"/>
  <c r="B733" i="132"/>
  <c r="B732" i="132"/>
  <c r="B739" i="132"/>
  <c r="B734" i="132"/>
  <c r="B736" i="132"/>
  <c r="B731" i="132"/>
  <c r="D734" i="132"/>
  <c r="D733" i="132"/>
  <c r="D739" i="132"/>
  <c r="D731" i="132"/>
  <c r="D738" i="132"/>
  <c r="D737" i="132"/>
  <c r="D735" i="132"/>
  <c r="D736" i="132"/>
  <c r="D732" i="132"/>
  <c r="A732" i="132"/>
  <c r="F732" i="132" s="1"/>
  <c r="A739" i="132"/>
  <c r="F739" i="132" s="1"/>
  <c r="A731" i="132"/>
  <c r="A737" i="132"/>
  <c r="F737" i="132" s="1"/>
  <c r="A733" i="132"/>
  <c r="F733" i="132" s="1"/>
  <c r="A738" i="132"/>
  <c r="F738" i="132" s="1"/>
  <c r="A736" i="132"/>
  <c r="F736" i="132" s="1"/>
  <c r="A734" i="132"/>
  <c r="F734" i="132" s="1"/>
  <c r="A735" i="132"/>
  <c r="F735" i="132" s="1"/>
  <c r="J733" i="132" l="1"/>
  <c r="I733" i="132"/>
  <c r="J737" i="132"/>
  <c r="I737" i="132"/>
  <c r="F731" i="132"/>
  <c r="B741" i="132"/>
  <c r="D744" i="132" a="1"/>
  <c r="J738" i="132"/>
  <c r="I738" i="132"/>
  <c r="J739" i="132"/>
  <c r="I739" i="132"/>
  <c r="J735" i="132"/>
  <c r="I735" i="132"/>
  <c r="I732" i="132"/>
  <c r="J732" i="132"/>
  <c r="I734" i="132"/>
  <c r="J734" i="132"/>
  <c r="J736" i="132"/>
  <c r="I736" i="132"/>
  <c r="B744" i="132" a="1"/>
  <c r="D748" i="132" l="1"/>
  <c r="G748" i="132" s="1"/>
  <c r="D747" i="132"/>
  <c r="G747" i="132" s="1"/>
  <c r="D745" i="132"/>
  <c r="G745" i="132" s="1"/>
  <c r="D752" i="132"/>
  <c r="G752" i="132" s="1"/>
  <c r="D751" i="132"/>
  <c r="G751" i="132" s="1"/>
  <c r="D750" i="132"/>
  <c r="G750" i="132" s="1"/>
  <c r="D749" i="132"/>
  <c r="G749" i="132" s="1"/>
  <c r="D744" i="132"/>
  <c r="G744" i="132" s="1"/>
  <c r="D746" i="132"/>
  <c r="G746" i="132" s="1"/>
  <c r="I731" i="132"/>
  <c r="J731" i="132"/>
  <c r="J740" i="132" s="1"/>
  <c r="K737" i="132"/>
  <c r="L737" i="132"/>
  <c r="L734" i="132"/>
  <c r="K734" i="132"/>
  <c r="L732" i="132"/>
  <c r="K732" i="132"/>
  <c r="K735" i="132"/>
  <c r="L735" i="132"/>
  <c r="K736" i="132"/>
  <c r="L736" i="132"/>
  <c r="L733" i="132"/>
  <c r="K733" i="132"/>
  <c r="B752" i="132"/>
  <c r="B744" i="132"/>
  <c r="B751" i="132"/>
  <c r="B749" i="132"/>
  <c r="B748" i="132"/>
  <c r="B747" i="132"/>
  <c r="B746" i="132"/>
  <c r="B750" i="132"/>
  <c r="B745" i="132"/>
  <c r="L739" i="132"/>
  <c r="K739" i="132"/>
  <c r="L738" i="132"/>
  <c r="K738" i="132"/>
  <c r="B757" i="132" l="1" a="1"/>
  <c r="L731" i="132"/>
  <c r="L740" i="132" s="1"/>
  <c r="K731" i="132"/>
  <c r="K740" i="132" s="1"/>
  <c r="O732" i="132" s="1"/>
  <c r="I740" i="132"/>
  <c r="O731" i="132" l="1"/>
  <c r="O733" i="132" s="1"/>
  <c r="B758" i="132"/>
  <c r="F758" i="132" s="1"/>
  <c r="B765" i="132"/>
  <c r="F765" i="132" s="1"/>
  <c r="B757" i="132"/>
  <c r="F757" i="132" s="1"/>
  <c r="B763" i="132"/>
  <c r="F763" i="132" s="1"/>
  <c r="B762" i="132"/>
  <c r="F762" i="132" s="1"/>
  <c r="B761" i="132"/>
  <c r="F761" i="132" s="1"/>
  <c r="B760" i="132"/>
  <c r="F760" i="132" s="1"/>
  <c r="B759" i="132"/>
  <c r="F759" i="132" s="1"/>
  <c r="B764" i="132"/>
  <c r="F764" i="132" s="1"/>
  <c r="N735" i="132" l="1"/>
  <c r="N736" i="132"/>
  <c r="O735" i="132" s="1"/>
  <c r="O736" i="132" l="1"/>
  <c r="Q731" i="132" a="1"/>
  <c r="Q736" i="132" l="1"/>
  <c r="Q732" i="132"/>
  <c r="R739" i="132"/>
  <c r="R735" i="132"/>
  <c r="R731" i="132"/>
  <c r="C744" i="132" s="1" a="1"/>
  <c r="R738" i="132"/>
  <c r="R734" i="132"/>
  <c r="R733" i="132"/>
  <c r="Q739" i="132"/>
  <c r="Q733" i="132"/>
  <c r="Q738" i="132"/>
  <c r="R732" i="132"/>
  <c r="Q735" i="132"/>
  <c r="R737" i="132"/>
  <c r="R736" i="132"/>
  <c r="Q731" i="132"/>
  <c r="Q737" i="132"/>
  <c r="Q734" i="132"/>
  <c r="A744" i="132" l="1" a="1"/>
  <c r="C750" i="132"/>
  <c r="C749" i="132"/>
  <c r="C747" i="132"/>
  <c r="C752" i="132"/>
  <c r="C751" i="132"/>
  <c r="C748" i="132"/>
  <c r="C745" i="132"/>
  <c r="C744" i="132"/>
  <c r="C746" i="132"/>
  <c r="C757" i="132" l="1" a="1"/>
  <c r="A746" i="132"/>
  <c r="F746" i="132" s="1"/>
  <c r="A745" i="132"/>
  <c r="F745" i="132" s="1"/>
  <c r="A751" i="132"/>
  <c r="F751" i="132" s="1"/>
  <c r="A747" i="132"/>
  <c r="F747" i="132" s="1"/>
  <c r="A744" i="132"/>
  <c r="A750" i="132"/>
  <c r="F750" i="132" s="1"/>
  <c r="A752" i="132"/>
  <c r="F752" i="132" s="1"/>
  <c r="A749" i="132"/>
  <c r="F749" i="132" s="1"/>
  <c r="A748" i="132"/>
  <c r="F748" i="132" s="1"/>
  <c r="J752" i="132" l="1"/>
  <c r="I752" i="132"/>
  <c r="I750" i="132"/>
  <c r="J750" i="132"/>
  <c r="F744" i="132"/>
  <c r="B754" i="132"/>
  <c r="J747" i="132"/>
  <c r="I747" i="132"/>
  <c r="I751" i="132"/>
  <c r="J751" i="132"/>
  <c r="I745" i="132"/>
  <c r="J745" i="132"/>
  <c r="I748" i="132"/>
  <c r="J748" i="132"/>
  <c r="I746" i="132"/>
  <c r="J746" i="132"/>
  <c r="I749" i="132"/>
  <c r="J749" i="132"/>
  <c r="C764" i="132"/>
  <c r="G764" i="132" s="1"/>
  <c r="C763" i="132"/>
  <c r="G763" i="132" s="1"/>
  <c r="C761" i="132"/>
  <c r="G761" i="132" s="1"/>
  <c r="C765" i="132"/>
  <c r="G765" i="132" s="1"/>
  <c r="C762" i="132"/>
  <c r="G762" i="132" s="1"/>
  <c r="C759" i="132"/>
  <c r="G759" i="132" s="1"/>
  <c r="C760" i="132"/>
  <c r="G760" i="132" s="1"/>
  <c r="C757" i="132"/>
  <c r="G757" i="132" s="1"/>
  <c r="C758" i="132"/>
  <c r="G758" i="132" s="1"/>
  <c r="I759" i="132" l="1"/>
  <c r="J759" i="132"/>
  <c r="K747" i="132"/>
  <c r="L747" i="132"/>
  <c r="J762" i="132"/>
  <c r="I762" i="132"/>
  <c r="L746" i="132"/>
  <c r="K746" i="132"/>
  <c r="I765" i="132"/>
  <c r="J765" i="132"/>
  <c r="J761" i="132"/>
  <c r="I761" i="132"/>
  <c r="L748" i="132"/>
  <c r="K748" i="132"/>
  <c r="J744" i="132"/>
  <c r="J753" i="132" s="1"/>
  <c r="I744" i="132"/>
  <c r="I763" i="132"/>
  <c r="J763" i="132"/>
  <c r="J758" i="132"/>
  <c r="I758" i="132"/>
  <c r="I764" i="132"/>
  <c r="J764" i="132"/>
  <c r="K745" i="132"/>
  <c r="L745" i="132"/>
  <c r="L750" i="132"/>
  <c r="K750" i="132"/>
  <c r="J757" i="132"/>
  <c r="I757" i="132"/>
  <c r="K752" i="132"/>
  <c r="L752" i="132"/>
  <c r="J760" i="132"/>
  <c r="I760" i="132"/>
  <c r="L749" i="132"/>
  <c r="K749" i="132"/>
  <c r="K751" i="132"/>
  <c r="L751" i="132"/>
  <c r="I753" i="132" l="1"/>
  <c r="K744" i="132"/>
  <c r="K753" i="132" s="1"/>
  <c r="O745" i="132" s="1"/>
  <c r="L744" i="132"/>
  <c r="L753" i="132" s="1"/>
  <c r="O744" i="132" s="1"/>
  <c r="O746" i="132" s="1"/>
  <c r="L764" i="132"/>
  <c r="K764" i="132"/>
  <c r="L762" i="132"/>
  <c r="K762" i="132"/>
  <c r="K757" i="132"/>
  <c r="I766" i="132"/>
  <c r="L757" i="132"/>
  <c r="K758" i="132"/>
  <c r="L758" i="132"/>
  <c r="J766" i="132"/>
  <c r="L761" i="132"/>
  <c r="K761" i="132"/>
  <c r="L763" i="132"/>
  <c r="K763" i="132"/>
  <c r="K760" i="132"/>
  <c r="L760" i="132"/>
  <c r="L765" i="132"/>
  <c r="K765" i="132"/>
  <c r="L759" i="132"/>
  <c r="K759" i="132"/>
  <c r="K766" i="132" l="1"/>
  <c r="N748" i="132"/>
  <c r="N749" i="132"/>
  <c r="O748" i="132" s="1"/>
  <c r="L766" i="132"/>
  <c r="O749" i="132" l="1"/>
  <c r="Q744" i="132" a="1"/>
  <c r="R749" i="132" l="1"/>
  <c r="R745" i="132"/>
  <c r="Q749" i="132"/>
  <c r="Q745" i="132"/>
  <c r="Q752" i="132"/>
  <c r="Q748" i="132"/>
  <c r="Q744" i="132"/>
  <c r="Q747" i="132"/>
  <c r="R752" i="132"/>
  <c r="R746" i="132"/>
  <c r="R751" i="132"/>
  <c r="Q746" i="132"/>
  <c r="Q750" i="132"/>
  <c r="R748" i="132"/>
  <c r="R744" i="132"/>
  <c r="D757" i="132" s="1" a="1"/>
  <c r="Q751" i="132"/>
  <c r="R750" i="132"/>
  <c r="R747" i="132"/>
  <c r="A757" i="132" l="1" a="1"/>
  <c r="A763" i="132" s="1"/>
  <c r="D762" i="132"/>
  <c r="D761" i="132"/>
  <c r="D759" i="132"/>
  <c r="D765" i="132"/>
  <c r="D760" i="132"/>
  <c r="D758" i="132"/>
  <c r="D763" i="132"/>
  <c r="D764" i="132"/>
  <c r="D757" i="132"/>
  <c r="A757" i="132"/>
  <c r="A761" i="132"/>
  <c r="A758" i="132"/>
  <c r="A762" i="132"/>
  <c r="A765" i="132" l="1"/>
  <c r="A759" i="132"/>
  <c r="A760" i="132"/>
  <c r="A764" i="132"/>
  <c r="B767" i="132"/>
  <c r="A770" i="132" a="1"/>
  <c r="D770" i="132" a="1"/>
  <c r="D776" i="132" l="1"/>
  <c r="G776" i="132" s="1"/>
  <c r="D775" i="132"/>
  <c r="G775" i="132" s="1"/>
  <c r="D773" i="132"/>
  <c r="G773" i="132" s="1"/>
  <c r="D770" i="132"/>
  <c r="G770" i="132" s="1"/>
  <c r="D778" i="132"/>
  <c r="G778" i="132" s="1"/>
  <c r="D771" i="132"/>
  <c r="G771" i="132" s="1"/>
  <c r="D777" i="132"/>
  <c r="G777" i="132" s="1"/>
  <c r="D774" i="132"/>
  <c r="G774" i="132" s="1"/>
  <c r="D772" i="132"/>
  <c r="G772" i="132" s="1"/>
  <c r="A774" i="132"/>
  <c r="A773" i="132"/>
  <c r="A771" i="132"/>
  <c r="A775" i="132"/>
  <c r="A772" i="132"/>
  <c r="A770" i="132"/>
  <c r="A778" i="132"/>
  <c r="A777" i="132"/>
  <c r="A776" i="132"/>
  <c r="O757" i="132"/>
  <c r="O758" i="132"/>
  <c r="B780" i="132" l="1"/>
  <c r="A783" i="132" a="1"/>
  <c r="O759" i="132"/>
  <c r="N762" i="132" l="1"/>
  <c r="O761" i="132" s="1"/>
  <c r="N761" i="132"/>
  <c r="A788" i="132"/>
  <c r="A787" i="132"/>
  <c r="A785" i="132"/>
  <c r="A786" i="132"/>
  <c r="A784" i="132"/>
  <c r="A783" i="132"/>
  <c r="A790" i="132"/>
  <c r="A789" i="132"/>
  <c r="A791" i="132"/>
  <c r="B793" i="132" l="1"/>
  <c r="A796" i="132" a="1"/>
  <c r="O762" i="132"/>
  <c r="Q757" i="132" a="1"/>
  <c r="Q763" i="132" l="1"/>
  <c r="Q759" i="132"/>
  <c r="R762" i="132"/>
  <c r="R758" i="132"/>
  <c r="R765" i="132"/>
  <c r="R761" i="132"/>
  <c r="R757" i="132"/>
  <c r="C770" i="132" s="1" a="1"/>
  <c r="R760" i="132"/>
  <c r="Q760" i="132"/>
  <c r="Q765" i="132"/>
  <c r="R759" i="132"/>
  <c r="R764" i="132"/>
  <c r="Q761" i="132"/>
  <c r="Q758" i="132"/>
  <c r="R763" i="132"/>
  <c r="Q762" i="132"/>
  <c r="Q757" i="132"/>
  <c r="Q764" i="132"/>
  <c r="A802" i="132"/>
  <c r="F802" i="132" s="1"/>
  <c r="A801" i="132"/>
  <c r="F801" i="132" s="1"/>
  <c r="A799" i="132"/>
  <c r="F799" i="132" s="1"/>
  <c r="A797" i="132"/>
  <c r="F797" i="132" s="1"/>
  <c r="A796" i="132"/>
  <c r="A803" i="132"/>
  <c r="F803" i="132" s="1"/>
  <c r="A804" i="132"/>
  <c r="F804" i="132" s="1"/>
  <c r="A800" i="132"/>
  <c r="F800" i="132" s="1"/>
  <c r="A798" i="132"/>
  <c r="F798" i="132" s="1"/>
  <c r="C778" i="132" l="1"/>
  <c r="C770" i="132"/>
  <c r="C777" i="132"/>
  <c r="C775" i="132"/>
  <c r="C776" i="132"/>
  <c r="C771" i="132"/>
  <c r="C774" i="132"/>
  <c r="C772" i="132"/>
  <c r="C773" i="132"/>
  <c r="B806" i="132"/>
  <c r="F796" i="132"/>
  <c r="B770" i="132" a="1"/>
  <c r="C783" i="132" l="1" a="1"/>
  <c r="B772" i="132"/>
  <c r="F772" i="132" s="1"/>
  <c r="B771" i="132"/>
  <c r="F771" i="132" s="1"/>
  <c r="B777" i="132"/>
  <c r="F777" i="132" s="1"/>
  <c r="B776" i="132"/>
  <c r="F776" i="132" s="1"/>
  <c r="B775" i="132"/>
  <c r="F775" i="132" s="1"/>
  <c r="B774" i="132"/>
  <c r="F774" i="132" s="1"/>
  <c r="B770" i="132"/>
  <c r="F770" i="132" s="1"/>
  <c r="B778" i="132"/>
  <c r="F778" i="132" s="1"/>
  <c r="B773" i="132"/>
  <c r="F773" i="132" s="1"/>
  <c r="J776" i="132" l="1"/>
  <c r="I776" i="132"/>
  <c r="J777" i="132"/>
  <c r="I777" i="132"/>
  <c r="J771" i="132"/>
  <c r="I771" i="132"/>
  <c r="I773" i="132"/>
  <c r="J773" i="132"/>
  <c r="J772" i="132"/>
  <c r="I772" i="132"/>
  <c r="C784" i="132"/>
  <c r="F784" i="132" s="1"/>
  <c r="C791" i="132"/>
  <c r="F791" i="132" s="1"/>
  <c r="C783" i="132"/>
  <c r="F783" i="132" s="1"/>
  <c r="C789" i="132"/>
  <c r="F789" i="132" s="1"/>
  <c r="C790" i="132"/>
  <c r="F790" i="132" s="1"/>
  <c r="C788" i="132"/>
  <c r="F788" i="132" s="1"/>
  <c r="C787" i="132"/>
  <c r="F787" i="132" s="1"/>
  <c r="C786" i="132"/>
  <c r="F786" i="132" s="1"/>
  <c r="C785" i="132"/>
  <c r="F785" i="132" s="1"/>
  <c r="I770" i="132"/>
  <c r="J770" i="132"/>
  <c r="J778" i="132"/>
  <c r="I778" i="132"/>
  <c r="J774" i="132"/>
  <c r="I774" i="132"/>
  <c r="I775" i="132"/>
  <c r="J775" i="132"/>
  <c r="L778" i="132" l="1"/>
  <c r="K778" i="132"/>
  <c r="L773" i="132"/>
  <c r="K773" i="132"/>
  <c r="K771" i="132"/>
  <c r="L771" i="132"/>
  <c r="J779" i="132"/>
  <c r="L777" i="132"/>
  <c r="K777" i="132"/>
  <c r="K775" i="132"/>
  <c r="L775" i="132"/>
  <c r="L770" i="132"/>
  <c r="K770" i="132"/>
  <c r="I779" i="132"/>
  <c r="K774" i="132"/>
  <c r="L774" i="132"/>
  <c r="K772" i="132"/>
  <c r="L772" i="132"/>
  <c r="K776" i="132"/>
  <c r="L776" i="132"/>
  <c r="L779" i="132" l="1"/>
  <c r="O770" i="132" s="1"/>
  <c r="K779" i="132"/>
  <c r="O771" i="132" s="1"/>
  <c r="O772" i="132" l="1"/>
  <c r="N775" i="132" l="1"/>
  <c r="O774" i="132" s="1"/>
  <c r="N774" i="132"/>
  <c r="O775" i="132" l="1"/>
  <c r="Q770" i="132" a="1"/>
  <c r="R776" i="132" l="1"/>
  <c r="R772" i="132"/>
  <c r="Q776" i="132"/>
  <c r="Q772" i="132"/>
  <c r="Q775" i="132"/>
  <c r="Q771" i="132"/>
  <c r="Q774" i="132"/>
  <c r="R773" i="132"/>
  <c r="R778" i="132"/>
  <c r="Q773" i="132"/>
  <c r="Q777" i="132"/>
  <c r="R771" i="132"/>
  <c r="R770" i="132"/>
  <c r="Q770" i="132"/>
  <c r="B783" i="132" s="1" a="1"/>
  <c r="R777" i="132"/>
  <c r="R774" i="132"/>
  <c r="Q778" i="132"/>
  <c r="R775" i="132"/>
  <c r="D783" i="132" l="1" a="1"/>
  <c r="D790" i="132" s="1"/>
  <c r="G790" i="132" s="1"/>
  <c r="B786" i="132"/>
  <c r="B785" i="132"/>
  <c r="B791" i="132"/>
  <c r="B783" i="132"/>
  <c r="B789" i="132"/>
  <c r="B788" i="132"/>
  <c r="B787" i="132"/>
  <c r="B784" i="132"/>
  <c r="B790" i="132"/>
  <c r="D791" i="132" l="1"/>
  <c r="G791" i="132" s="1"/>
  <c r="D784" i="132"/>
  <c r="G784" i="132" s="1"/>
  <c r="B796" i="132" a="1"/>
  <c r="B796" i="132" s="1"/>
  <c r="G796" i="132" s="1"/>
  <c r="D788" i="132"/>
  <c r="G788" i="132" s="1"/>
  <c r="D786" i="132"/>
  <c r="G786" i="132" s="1"/>
  <c r="D783" i="132"/>
  <c r="G783" i="132" s="1"/>
  <c r="I783" i="132" s="1"/>
  <c r="D787" i="132"/>
  <c r="G787" i="132" s="1"/>
  <c r="I787" i="132" s="1"/>
  <c r="D789" i="132"/>
  <c r="G789" i="132" s="1"/>
  <c r="J789" i="132" s="1"/>
  <c r="D785" i="132"/>
  <c r="G785" i="132" s="1"/>
  <c r="J785" i="132" s="1"/>
  <c r="J791" i="132"/>
  <c r="I791" i="132"/>
  <c r="J788" i="132"/>
  <c r="I788" i="132"/>
  <c r="I786" i="132"/>
  <c r="J786" i="132"/>
  <c r="J783" i="132"/>
  <c r="J784" i="132"/>
  <c r="I784" i="132"/>
  <c r="B800" i="132"/>
  <c r="G800" i="132" s="1"/>
  <c r="B799" i="132"/>
  <c r="G799" i="132" s="1"/>
  <c r="B797" i="132"/>
  <c r="G797" i="132" s="1"/>
  <c r="B801" i="132"/>
  <c r="G801" i="132" s="1"/>
  <c r="B798" i="132"/>
  <c r="G798" i="132" s="1"/>
  <c r="B803" i="132"/>
  <c r="G803" i="132" s="1"/>
  <c r="I790" i="132"/>
  <c r="J790" i="132"/>
  <c r="B802" i="132" l="1"/>
  <c r="G802" i="132" s="1"/>
  <c r="B804" i="132"/>
  <c r="G804" i="132" s="1"/>
  <c r="J787" i="132"/>
  <c r="I785" i="132"/>
  <c r="I789" i="132"/>
  <c r="I799" i="132"/>
  <c r="J799" i="132"/>
  <c r="L783" i="132"/>
  <c r="K783" i="132"/>
  <c r="J792" i="132"/>
  <c r="J803" i="132"/>
  <c r="I803" i="132"/>
  <c r="L789" i="132"/>
  <c r="K789" i="132"/>
  <c r="I800" i="132"/>
  <c r="J800" i="132"/>
  <c r="I804" i="132"/>
  <c r="J804" i="132"/>
  <c r="L786" i="132"/>
  <c r="K786" i="132"/>
  <c r="I796" i="132"/>
  <c r="J796" i="132"/>
  <c r="K784" i="132"/>
  <c r="L784" i="132"/>
  <c r="L788" i="132"/>
  <c r="K788" i="132"/>
  <c r="J798" i="132"/>
  <c r="I798" i="132"/>
  <c r="J802" i="132"/>
  <c r="I802" i="132"/>
  <c r="L790" i="132"/>
  <c r="K790" i="132"/>
  <c r="I801" i="132"/>
  <c r="J801" i="132"/>
  <c r="L787" i="132"/>
  <c r="K787" i="132"/>
  <c r="K791" i="132"/>
  <c r="L791" i="132"/>
  <c r="L785" i="132"/>
  <c r="K785" i="132"/>
  <c r="I797" i="132"/>
  <c r="J797" i="132"/>
  <c r="I792" i="132" l="1"/>
  <c r="L798" i="132"/>
  <c r="K798" i="132"/>
  <c r="L803" i="132"/>
  <c r="K803" i="132"/>
  <c r="L804" i="132"/>
  <c r="K804" i="132"/>
  <c r="K792" i="132"/>
  <c r="O784" i="132" s="1"/>
  <c r="L800" i="132"/>
  <c r="K800" i="132"/>
  <c r="L792" i="132"/>
  <c r="O783" i="132" s="1"/>
  <c r="L797" i="132"/>
  <c r="K797" i="132"/>
  <c r="L802" i="132"/>
  <c r="K802" i="132"/>
  <c r="J805" i="132"/>
  <c r="L801" i="132"/>
  <c r="K801" i="132"/>
  <c r="I805" i="132"/>
  <c r="K796" i="132"/>
  <c r="L796" i="132"/>
  <c r="K799" i="132"/>
  <c r="L799" i="132"/>
  <c r="K805" i="132" l="1"/>
  <c r="O797" i="132" s="1"/>
  <c r="O785" i="132"/>
  <c r="L805" i="132"/>
  <c r="O796" i="132" s="1"/>
  <c r="O798" i="132" s="1"/>
  <c r="N801" i="132" l="1"/>
  <c r="O800" i="132" s="1"/>
  <c r="N800" i="132"/>
  <c r="N787" i="132"/>
  <c r="N788" i="132"/>
  <c r="O787" i="132" s="1"/>
  <c r="O788" i="132" l="1"/>
  <c r="Q783" i="132" a="1"/>
  <c r="O801" i="132"/>
  <c r="Q796" i="132" a="1"/>
  <c r="Q790" i="132" l="1"/>
  <c r="Q786" i="132"/>
  <c r="R789" i="132"/>
  <c r="R785" i="132"/>
  <c r="R788" i="132"/>
  <c r="R784" i="132"/>
  <c r="Q787" i="132"/>
  <c r="R786" i="132"/>
  <c r="R791" i="132"/>
  <c r="Q785" i="132"/>
  <c r="R787" i="132"/>
  <c r="Q783" i="132"/>
  <c r="Q791" i="132"/>
  <c r="R790" i="132"/>
  <c r="Q788" i="132"/>
  <c r="R783" i="132"/>
  <c r="D796" i="132" s="1" a="1"/>
  <c r="Q789" i="132"/>
  <c r="Q784" i="132"/>
  <c r="R803" i="132"/>
  <c r="R799" i="132"/>
  <c r="Q803" i="132"/>
  <c r="Q799" i="132"/>
  <c r="Q802" i="132"/>
  <c r="Q798" i="132"/>
  <c r="R798" i="132"/>
  <c r="R804" i="132"/>
  <c r="R797" i="132"/>
  <c r="Q804" i="132"/>
  <c r="Q797" i="132"/>
  <c r="Q796" i="132"/>
  <c r="A809" i="132" s="1" a="1"/>
  <c r="R801" i="132"/>
  <c r="Q801" i="132"/>
  <c r="R800" i="132"/>
  <c r="R796" i="132"/>
  <c r="R802" i="132"/>
  <c r="Q800" i="132"/>
  <c r="D804" i="132" l="1"/>
  <c r="D796" i="132"/>
  <c r="D803" i="132"/>
  <c r="D801" i="132"/>
  <c r="D802" i="132"/>
  <c r="D800" i="132"/>
  <c r="D799" i="132"/>
  <c r="D797" i="132"/>
  <c r="D798" i="132"/>
  <c r="A816" i="132"/>
  <c r="F816" i="132" s="1"/>
  <c r="A813" i="132"/>
  <c r="F813" i="132" s="1"/>
  <c r="A812" i="132"/>
  <c r="F812" i="132" s="1"/>
  <c r="A811" i="132"/>
  <c r="F811" i="132" s="1"/>
  <c r="A809" i="132"/>
  <c r="A817" i="132"/>
  <c r="F817" i="132" s="1"/>
  <c r="A815" i="132"/>
  <c r="F815" i="132" s="1"/>
  <c r="A814" i="132"/>
  <c r="F814" i="132" s="1"/>
  <c r="A810" i="132"/>
  <c r="F810" i="132" s="1"/>
  <c r="B809" i="132" a="1"/>
  <c r="C796" i="132" a="1"/>
  <c r="F809" i="132" l="1"/>
  <c r="B819" i="132"/>
  <c r="B814" i="132"/>
  <c r="B811" i="132"/>
  <c r="B813" i="132"/>
  <c r="B812" i="132"/>
  <c r="B809" i="132"/>
  <c r="B822" i="132" s="1" a="1"/>
  <c r="B817" i="132"/>
  <c r="B816" i="132"/>
  <c r="B815" i="132"/>
  <c r="B810" i="132"/>
  <c r="C798" i="132"/>
  <c r="C797" i="132"/>
  <c r="C803" i="132"/>
  <c r="C802" i="132"/>
  <c r="C801" i="132"/>
  <c r="C800" i="132"/>
  <c r="C804" i="132"/>
  <c r="C799" i="132"/>
  <c r="C796" i="132"/>
  <c r="D809" i="132" a="1"/>
  <c r="C809" i="132" l="1" a="1"/>
  <c r="C812" i="132" s="1"/>
  <c r="G812" i="132" s="1"/>
  <c r="D810" i="132"/>
  <c r="D815" i="132"/>
  <c r="D814" i="132"/>
  <c r="D813" i="132"/>
  <c r="D811" i="132"/>
  <c r="D817" i="132"/>
  <c r="D812" i="132"/>
  <c r="D816" i="132"/>
  <c r="D809" i="132"/>
  <c r="B828" i="132"/>
  <c r="B827" i="132"/>
  <c r="B825" i="132"/>
  <c r="B822" i="132"/>
  <c r="B830" i="132"/>
  <c r="B829" i="132"/>
  <c r="B826" i="132"/>
  <c r="B824" i="132"/>
  <c r="B823" i="132"/>
  <c r="C811" i="132" l="1"/>
  <c r="G811" i="132" s="1"/>
  <c r="C815" i="132"/>
  <c r="G815" i="132" s="1"/>
  <c r="C810" i="132"/>
  <c r="G810" i="132" s="1"/>
  <c r="C813" i="132"/>
  <c r="G813" i="132" s="1"/>
  <c r="I813" i="132" s="1"/>
  <c r="C814" i="132"/>
  <c r="G814" i="132" s="1"/>
  <c r="J814" i="132" s="1"/>
  <c r="C809" i="132"/>
  <c r="G809" i="132" s="1"/>
  <c r="J809" i="132" s="1"/>
  <c r="C817" i="132"/>
  <c r="G817" i="132" s="1"/>
  <c r="I817" i="132" s="1"/>
  <c r="C816" i="132"/>
  <c r="G816" i="132" s="1"/>
  <c r="I816" i="132" s="1"/>
  <c r="D822" i="132" a="1"/>
  <c r="D824" i="132" s="1"/>
  <c r="G824" i="132" s="1"/>
  <c r="J812" i="132"/>
  <c r="I812" i="132"/>
  <c r="J811" i="132"/>
  <c r="I811" i="132"/>
  <c r="I815" i="132"/>
  <c r="J815" i="132"/>
  <c r="B835" i="132" a="1"/>
  <c r="I810" i="132"/>
  <c r="J810" i="132"/>
  <c r="I809" i="132" l="1"/>
  <c r="I814" i="132"/>
  <c r="J816" i="132"/>
  <c r="J817" i="132"/>
  <c r="J813" i="132"/>
  <c r="D826" i="132"/>
  <c r="G826" i="132" s="1"/>
  <c r="D828" i="132"/>
  <c r="G828" i="132" s="1"/>
  <c r="D830" i="132"/>
  <c r="G830" i="132" s="1"/>
  <c r="D822" i="132"/>
  <c r="G822" i="132" s="1"/>
  <c r="D827" i="132"/>
  <c r="G827" i="132" s="1"/>
  <c r="D829" i="132"/>
  <c r="G829" i="132" s="1"/>
  <c r="D823" i="132"/>
  <c r="G823" i="132" s="1"/>
  <c r="D825" i="132"/>
  <c r="G825" i="132" s="1"/>
  <c r="J818" i="132"/>
  <c r="L817" i="132"/>
  <c r="K817" i="132"/>
  <c r="L815" i="132"/>
  <c r="K815" i="132"/>
  <c r="I818" i="132"/>
  <c r="L809" i="132"/>
  <c r="K809" i="132"/>
  <c r="L814" i="132"/>
  <c r="K814" i="132"/>
  <c r="K816" i="132"/>
  <c r="L816" i="132"/>
  <c r="K811" i="132"/>
  <c r="L811" i="132"/>
  <c r="L810" i="132"/>
  <c r="K810" i="132"/>
  <c r="L813" i="132"/>
  <c r="K813" i="132"/>
  <c r="B842" i="132"/>
  <c r="F842" i="132" s="1"/>
  <c r="B841" i="132"/>
  <c r="F841" i="132" s="1"/>
  <c r="B839" i="132"/>
  <c r="F839" i="132" s="1"/>
  <c r="B835" i="132"/>
  <c r="F835" i="132" s="1"/>
  <c r="B843" i="132"/>
  <c r="F843" i="132" s="1"/>
  <c r="B840" i="132"/>
  <c r="F840" i="132" s="1"/>
  <c r="B838" i="132"/>
  <c r="F838" i="132" s="1"/>
  <c r="B837" i="132"/>
  <c r="F837" i="132" s="1"/>
  <c r="B836" i="132"/>
  <c r="F836" i="132" s="1"/>
  <c r="L812" i="132"/>
  <c r="K812" i="132"/>
  <c r="K818" i="132" l="1"/>
  <c r="O810" i="132" s="1"/>
  <c r="L818" i="132"/>
  <c r="O809" i="132" s="1"/>
  <c r="O811" i="132" s="1"/>
  <c r="N814" i="132" l="1"/>
  <c r="O813" i="132" s="1"/>
  <c r="N813" i="132"/>
  <c r="O814" i="132" l="1"/>
  <c r="Q809" i="132" s="1" a="1"/>
  <c r="Q817" i="132" l="1"/>
  <c r="Q813" i="132"/>
  <c r="Q809" i="132"/>
  <c r="R816" i="132"/>
  <c r="R815" i="132"/>
  <c r="R811" i="132"/>
  <c r="Q814" i="132"/>
  <c r="R813" i="132"/>
  <c r="Q812" i="132"/>
  <c r="Q815" i="132"/>
  <c r="R814" i="132"/>
  <c r="R812" i="132"/>
  <c r="R817" i="132"/>
  <c r="R810" i="132"/>
  <c r="Q810" i="132"/>
  <c r="R809" i="132"/>
  <c r="C822" i="132" s="1" a="1"/>
  <c r="Q816" i="132"/>
  <c r="Q811" i="132"/>
  <c r="A822" i="132" l="1" a="1"/>
  <c r="C826" i="132"/>
  <c r="C825" i="132"/>
  <c r="C823" i="132"/>
  <c r="C824" i="132"/>
  <c r="C830" i="132"/>
  <c r="C829" i="132"/>
  <c r="C828" i="132"/>
  <c r="C827" i="132"/>
  <c r="C822" i="132"/>
  <c r="C835" i="132" l="1" a="1"/>
  <c r="A830" i="132"/>
  <c r="F830" i="132" s="1"/>
  <c r="A822" i="132"/>
  <c r="A829" i="132"/>
  <c r="F829" i="132" s="1"/>
  <c r="A827" i="132"/>
  <c r="F827" i="132" s="1"/>
  <c r="A826" i="132"/>
  <c r="F826" i="132" s="1"/>
  <c r="A825" i="132"/>
  <c r="F825" i="132" s="1"/>
  <c r="A824" i="132"/>
  <c r="F824" i="132" s="1"/>
  <c r="A823" i="132"/>
  <c r="F823" i="132" s="1"/>
  <c r="A828" i="132"/>
  <c r="F828" i="132" s="1"/>
  <c r="I824" i="132" l="1"/>
  <c r="J824" i="132"/>
  <c r="J826" i="132"/>
  <c r="I826" i="132"/>
  <c r="J827" i="132"/>
  <c r="I827" i="132"/>
  <c r="I829" i="132"/>
  <c r="J829" i="132"/>
  <c r="F822" i="132"/>
  <c r="B832" i="132"/>
  <c r="J825" i="132"/>
  <c r="I825" i="132"/>
  <c r="J828" i="132"/>
  <c r="I828" i="132"/>
  <c r="J830" i="132"/>
  <c r="I830" i="132"/>
  <c r="J823" i="132"/>
  <c r="I823" i="132"/>
  <c r="C840" i="132"/>
  <c r="G840" i="132" s="1"/>
  <c r="C839" i="132"/>
  <c r="G839" i="132" s="1"/>
  <c r="C837" i="132"/>
  <c r="G837" i="132" s="1"/>
  <c r="C836" i="132"/>
  <c r="G836" i="132" s="1"/>
  <c r="C843" i="132"/>
  <c r="G843" i="132" s="1"/>
  <c r="C842" i="132"/>
  <c r="G842" i="132" s="1"/>
  <c r="C841" i="132"/>
  <c r="G841" i="132" s="1"/>
  <c r="C838" i="132"/>
  <c r="G838" i="132" s="1"/>
  <c r="C835" i="132"/>
  <c r="G835" i="132" s="1"/>
  <c r="K830" i="132" l="1"/>
  <c r="L830" i="132"/>
  <c r="L829" i="132"/>
  <c r="K829" i="132"/>
  <c r="J842" i="132"/>
  <c r="I842" i="132"/>
  <c r="L828" i="132"/>
  <c r="K828" i="132"/>
  <c r="L827" i="132"/>
  <c r="K827" i="132"/>
  <c r="J837" i="132"/>
  <c r="I837" i="132"/>
  <c r="I839" i="132"/>
  <c r="J839" i="132"/>
  <c r="K825" i="132"/>
  <c r="L825" i="132"/>
  <c r="L826" i="132"/>
  <c r="K826" i="132"/>
  <c r="J836" i="132"/>
  <c r="I836" i="132"/>
  <c r="J840" i="132"/>
  <c r="I840" i="132"/>
  <c r="I838" i="132"/>
  <c r="J838" i="132"/>
  <c r="K823" i="132"/>
  <c r="L823" i="132"/>
  <c r="J843" i="132"/>
  <c r="I843" i="132"/>
  <c r="J835" i="132"/>
  <c r="I835" i="132"/>
  <c r="J841" i="132"/>
  <c r="I841" i="132"/>
  <c r="J822" i="132"/>
  <c r="J831" i="132" s="1"/>
  <c r="I822" i="132"/>
  <c r="L824" i="132"/>
  <c r="K824" i="132"/>
  <c r="K841" i="132" l="1"/>
  <c r="L841" i="132"/>
  <c r="L838" i="132"/>
  <c r="K838" i="132"/>
  <c r="K840" i="132"/>
  <c r="L840" i="132"/>
  <c r="L842" i="132"/>
  <c r="K842" i="132"/>
  <c r="J844" i="132"/>
  <c r="K839" i="132"/>
  <c r="L839" i="132"/>
  <c r="I844" i="132"/>
  <c r="K835" i="132"/>
  <c r="L835" i="132"/>
  <c r="L843" i="132"/>
  <c r="K843" i="132"/>
  <c r="L836" i="132"/>
  <c r="K836" i="132"/>
  <c r="L837" i="132"/>
  <c r="K837" i="132"/>
  <c r="I831" i="132"/>
  <c r="K822" i="132"/>
  <c r="K831" i="132" s="1"/>
  <c r="O823" i="132" s="1"/>
  <c r="L822" i="132"/>
  <c r="L831" i="132" s="1"/>
  <c r="O822" i="132" s="1"/>
  <c r="O824" i="132" s="1"/>
  <c r="L844" i="132" l="1"/>
  <c r="N827" i="132"/>
  <c r="O826" i="132" s="1"/>
  <c r="N826" i="132"/>
  <c r="K844" i="132"/>
  <c r="O827" i="132" l="1"/>
  <c r="Q822" i="132" a="1"/>
  <c r="R830" i="132" l="1"/>
  <c r="R826" i="132"/>
  <c r="R822" i="132"/>
  <c r="Q830" i="132"/>
  <c r="Q826" i="132"/>
  <c r="Q822" i="132"/>
  <c r="A835" i="132" s="1" a="1"/>
  <c r="Q829" i="132"/>
  <c r="Q825" i="132"/>
  <c r="R828" i="132"/>
  <c r="Q823" i="132"/>
  <c r="Q827" i="132"/>
  <c r="R825" i="132"/>
  <c r="R824" i="132"/>
  <c r="Q824" i="132"/>
  <c r="Q828" i="132"/>
  <c r="R827" i="132"/>
  <c r="R823" i="132"/>
  <c r="R829" i="132"/>
  <c r="A836" i="132" l="1"/>
  <c r="A843" i="132"/>
  <c r="A835" i="132"/>
  <c r="A841" i="132"/>
  <c r="A839" i="132"/>
  <c r="A838" i="132"/>
  <c r="A837" i="132"/>
  <c r="A842" i="132"/>
  <c r="A840" i="132"/>
  <c r="D835" i="132" a="1"/>
  <c r="B845" i="132" l="1"/>
  <c r="A848" i="132" a="1"/>
  <c r="D838" i="132"/>
  <c r="D837" i="132"/>
  <c r="D843" i="132"/>
  <c r="D835" i="132"/>
  <c r="D848" i="132" s="1" a="1"/>
  <c r="D840" i="132"/>
  <c r="D842" i="132"/>
  <c r="D839" i="132"/>
  <c r="D836" i="132"/>
  <c r="D841" i="132"/>
  <c r="A850" i="132" l="1"/>
  <c r="A849" i="132"/>
  <c r="A855" i="132"/>
  <c r="A853" i="132"/>
  <c r="A852" i="132"/>
  <c r="A851" i="132"/>
  <c r="A848" i="132"/>
  <c r="A856" i="132"/>
  <c r="A854" i="132"/>
  <c r="D852" i="132"/>
  <c r="G852" i="132" s="1"/>
  <c r="D851" i="132"/>
  <c r="G851" i="132" s="1"/>
  <c r="D849" i="132"/>
  <c r="G849" i="132" s="1"/>
  <c r="D854" i="132"/>
  <c r="G854" i="132" s="1"/>
  <c r="D848" i="132"/>
  <c r="G848" i="132" s="1"/>
  <c r="D856" i="132"/>
  <c r="G856" i="132" s="1"/>
  <c r="D853" i="132"/>
  <c r="G853" i="132" s="1"/>
  <c r="D855" i="132"/>
  <c r="G855" i="132" s="1"/>
  <c r="D850" i="132"/>
  <c r="G850" i="132" s="1"/>
  <c r="O836" i="132"/>
  <c r="O835" i="132"/>
  <c r="O837" i="132" s="1"/>
  <c r="B858" i="132" l="1"/>
  <c r="A861" i="132" a="1"/>
  <c r="N840" i="132"/>
  <c r="O839" i="132" s="1"/>
  <c r="N839" i="132"/>
  <c r="A865" i="132" l="1"/>
  <c r="A866" i="132"/>
  <c r="A864" i="132"/>
  <c r="A862" i="132"/>
  <c r="A869" i="132"/>
  <c r="A868" i="132"/>
  <c r="A867" i="132"/>
  <c r="A863" i="132"/>
  <c r="A861" i="132"/>
  <c r="O840" i="132"/>
  <c r="Q835" i="132" a="1"/>
  <c r="Q840" i="132" l="1"/>
  <c r="Q836" i="132"/>
  <c r="R843" i="132"/>
  <c r="R839" i="132"/>
  <c r="R835" i="132"/>
  <c r="C848" i="132" s="1" a="1"/>
  <c r="R842" i="132"/>
  <c r="R838" i="132"/>
  <c r="R841" i="132"/>
  <c r="Q835" i="132"/>
  <c r="Q839" i="132"/>
  <c r="Q838" i="132"/>
  <c r="R837" i="132"/>
  <c r="Q843" i="132"/>
  <c r="Q837" i="132"/>
  <c r="R836" i="132"/>
  <c r="Q841" i="132"/>
  <c r="Q842" i="132"/>
  <c r="R840" i="132"/>
  <c r="B871" i="132"/>
  <c r="A874" i="132" a="1"/>
  <c r="C854" i="132" l="1"/>
  <c r="C853" i="132"/>
  <c r="C851" i="132"/>
  <c r="C850" i="132"/>
  <c r="C856" i="132"/>
  <c r="C855" i="132"/>
  <c r="C849" i="132"/>
  <c r="C848" i="132"/>
  <c r="C861" i="132" s="1" a="1"/>
  <c r="C852" i="132"/>
  <c r="A879" i="132"/>
  <c r="F879" i="132" s="1"/>
  <c r="A878" i="132"/>
  <c r="F878" i="132" s="1"/>
  <c r="A877" i="132"/>
  <c r="F877" i="132" s="1"/>
  <c r="A875" i="132"/>
  <c r="F875" i="132" s="1"/>
  <c r="A874" i="132"/>
  <c r="A881" i="132"/>
  <c r="F881" i="132" s="1"/>
  <c r="A882" i="132"/>
  <c r="F882" i="132" s="1"/>
  <c r="A880" i="132"/>
  <c r="F880" i="132" s="1"/>
  <c r="A876" i="132"/>
  <c r="F876" i="132" s="1"/>
  <c r="B848" i="132" a="1"/>
  <c r="C869" i="132" l="1"/>
  <c r="F869" i="132" s="1"/>
  <c r="C861" i="132"/>
  <c r="F861" i="132" s="1"/>
  <c r="C868" i="132"/>
  <c r="F868" i="132" s="1"/>
  <c r="C865" i="132"/>
  <c r="F865" i="132" s="1"/>
  <c r="C864" i="132"/>
  <c r="F864" i="132" s="1"/>
  <c r="C862" i="132"/>
  <c r="F862" i="132" s="1"/>
  <c r="C866" i="132"/>
  <c r="F866" i="132" s="1"/>
  <c r="C863" i="132"/>
  <c r="F863" i="132" s="1"/>
  <c r="C867" i="132"/>
  <c r="F867" i="132" s="1"/>
  <c r="B884" i="132"/>
  <c r="F874" i="132"/>
  <c r="B856" i="132"/>
  <c r="F856" i="132" s="1"/>
  <c r="B848" i="132"/>
  <c r="F848" i="132" s="1"/>
  <c r="B855" i="132"/>
  <c r="F855" i="132" s="1"/>
  <c r="B853" i="132"/>
  <c r="F853" i="132" s="1"/>
  <c r="B849" i="132"/>
  <c r="F849" i="132" s="1"/>
  <c r="B854" i="132"/>
  <c r="F854" i="132" s="1"/>
  <c r="B852" i="132"/>
  <c r="F852" i="132" s="1"/>
  <c r="B851" i="132"/>
  <c r="F851" i="132" s="1"/>
  <c r="B850" i="132"/>
  <c r="F850" i="132" s="1"/>
  <c r="I852" i="132" l="1"/>
  <c r="J852" i="132"/>
  <c r="I854" i="132"/>
  <c r="J854" i="132"/>
  <c r="J849" i="132"/>
  <c r="I849" i="132"/>
  <c r="J855" i="132"/>
  <c r="I855" i="132"/>
  <c r="I850" i="132"/>
  <c r="J850" i="132"/>
  <c r="J856" i="132"/>
  <c r="I856" i="132"/>
  <c r="I853" i="132"/>
  <c r="J853" i="132"/>
  <c r="J848" i="132"/>
  <c r="I848" i="132"/>
  <c r="J851" i="132"/>
  <c r="I851" i="132"/>
  <c r="L856" i="132" l="1"/>
  <c r="K856" i="132"/>
  <c r="L854" i="132"/>
  <c r="K854" i="132"/>
  <c r="I857" i="132"/>
  <c r="L848" i="132"/>
  <c r="K848" i="132"/>
  <c r="K857" i="132" s="1"/>
  <c r="O849" i="132" s="1"/>
  <c r="J857" i="132"/>
  <c r="L850" i="132"/>
  <c r="K850" i="132"/>
  <c r="K849" i="132"/>
  <c r="L849" i="132"/>
  <c r="K851" i="132"/>
  <c r="L851" i="132"/>
  <c r="K855" i="132"/>
  <c r="L855" i="132"/>
  <c r="L853" i="132"/>
  <c r="K853" i="132"/>
  <c r="L852" i="132"/>
  <c r="K852" i="132"/>
  <c r="L857" i="132" l="1"/>
  <c r="O848" i="132" s="1"/>
  <c r="O850" i="132" s="1"/>
  <c r="N852" i="132" l="1"/>
  <c r="N853" i="132"/>
  <c r="O852" i="132" s="1"/>
  <c r="O853" i="132" l="1"/>
  <c r="Q848" i="132" a="1"/>
  <c r="R853" i="132" l="1"/>
  <c r="R849" i="132"/>
  <c r="Q853" i="132"/>
  <c r="Q849" i="132"/>
  <c r="Q856" i="132"/>
  <c r="Q852" i="132"/>
  <c r="Q848" i="132"/>
  <c r="B861" i="132" s="1" a="1"/>
  <c r="Q855" i="132"/>
  <c r="R848" i="132"/>
  <c r="R852" i="132"/>
  <c r="R851" i="132"/>
  <c r="Q851" i="132"/>
  <c r="R856" i="132"/>
  <c r="R850" i="132"/>
  <c r="Q854" i="132"/>
  <c r="Q850" i="132"/>
  <c r="R855" i="132"/>
  <c r="R854" i="132"/>
  <c r="B863" i="132" l="1"/>
  <c r="B865" i="132"/>
  <c r="B864" i="132"/>
  <c r="B861" i="132"/>
  <c r="B866" i="132"/>
  <c r="B869" i="132"/>
  <c r="B868" i="132"/>
  <c r="B867" i="132"/>
  <c r="B862" i="132"/>
  <c r="D861" i="132" a="1"/>
  <c r="B874" i="132" l="1" a="1"/>
  <c r="D867" i="132"/>
  <c r="G867" i="132" s="1"/>
  <c r="D866" i="132"/>
  <c r="G866" i="132" s="1"/>
  <c r="D865" i="132"/>
  <c r="G865" i="132" s="1"/>
  <c r="D864" i="132"/>
  <c r="G864" i="132" s="1"/>
  <c r="D862" i="132"/>
  <c r="G862" i="132" s="1"/>
  <c r="D861" i="132"/>
  <c r="G861" i="132" s="1"/>
  <c r="D869" i="132"/>
  <c r="G869" i="132" s="1"/>
  <c r="D868" i="132"/>
  <c r="G868" i="132" s="1"/>
  <c r="D863" i="132"/>
  <c r="G863" i="132" s="1"/>
  <c r="J869" i="132" l="1"/>
  <c r="I869" i="132"/>
  <c r="J862" i="132"/>
  <c r="I862" i="132"/>
  <c r="J864" i="132"/>
  <c r="I864" i="132"/>
  <c r="J865" i="132"/>
  <c r="I865" i="132"/>
  <c r="I861" i="132"/>
  <c r="J861" i="132"/>
  <c r="I866" i="132"/>
  <c r="J866" i="132"/>
  <c r="J863" i="132"/>
  <c r="I863" i="132"/>
  <c r="I867" i="132"/>
  <c r="J867" i="132"/>
  <c r="J868" i="132"/>
  <c r="I868" i="132"/>
  <c r="B877" i="132"/>
  <c r="G877" i="132" s="1"/>
  <c r="B876" i="132"/>
  <c r="G876" i="132" s="1"/>
  <c r="B875" i="132"/>
  <c r="G875" i="132" s="1"/>
  <c r="B881" i="132"/>
  <c r="G881" i="132" s="1"/>
  <c r="B880" i="132"/>
  <c r="G880" i="132" s="1"/>
  <c r="B879" i="132"/>
  <c r="G879" i="132" s="1"/>
  <c r="B874" i="132"/>
  <c r="G874" i="132" s="1"/>
  <c r="B882" i="132"/>
  <c r="G882" i="132" s="1"/>
  <c r="B878" i="132"/>
  <c r="G878" i="132" s="1"/>
  <c r="L865" i="132" l="1"/>
  <c r="K865" i="132"/>
  <c r="J880" i="132"/>
  <c r="I880" i="132"/>
  <c r="J879" i="132"/>
  <c r="I879" i="132"/>
  <c r="L867" i="132"/>
  <c r="K867" i="132"/>
  <c r="L864" i="132"/>
  <c r="K864" i="132"/>
  <c r="J875" i="132"/>
  <c r="I875" i="132"/>
  <c r="J876" i="132"/>
  <c r="I876" i="132"/>
  <c r="K862" i="132"/>
  <c r="L862" i="132"/>
  <c r="J877" i="132"/>
  <c r="I877" i="132"/>
  <c r="L866" i="132"/>
  <c r="K866" i="132"/>
  <c r="K863" i="132"/>
  <c r="L863" i="132"/>
  <c r="J882" i="132"/>
  <c r="I882" i="132"/>
  <c r="L868" i="132"/>
  <c r="K868" i="132"/>
  <c r="J870" i="132"/>
  <c r="K869" i="132"/>
  <c r="L869" i="132"/>
  <c r="J881" i="132"/>
  <c r="I881" i="132"/>
  <c r="I878" i="132"/>
  <c r="J878" i="132"/>
  <c r="I874" i="132"/>
  <c r="J874" i="132"/>
  <c r="L861" i="132"/>
  <c r="K861" i="132"/>
  <c r="I870" i="132"/>
  <c r="K882" i="132" l="1"/>
  <c r="L882" i="132"/>
  <c r="L876" i="132"/>
  <c r="K876" i="132"/>
  <c r="K879" i="132"/>
  <c r="L879" i="132"/>
  <c r="L881" i="132"/>
  <c r="K881" i="132"/>
  <c r="K878" i="132"/>
  <c r="L878" i="132"/>
  <c r="K875" i="132"/>
  <c r="L875" i="132"/>
  <c r="K880" i="132"/>
  <c r="L880" i="132"/>
  <c r="L870" i="132"/>
  <c r="O861" i="132" s="1"/>
  <c r="K870" i="132"/>
  <c r="O862" i="132" s="1"/>
  <c r="L874" i="132"/>
  <c r="K874" i="132"/>
  <c r="I883" i="132"/>
  <c r="L877" i="132"/>
  <c r="K877" i="132"/>
  <c r="J883" i="132"/>
  <c r="O863" i="132" l="1"/>
  <c r="K883" i="132"/>
  <c r="O875" i="132" s="1"/>
  <c r="L883" i="132"/>
  <c r="O874" i="132" s="1"/>
  <c r="O876" i="132" l="1"/>
  <c r="N879" i="132" s="1"/>
  <c r="O878" i="132" s="1"/>
  <c r="N878" i="132"/>
  <c r="N866" i="132"/>
  <c r="O865" i="132" s="1"/>
  <c r="N865" i="132"/>
  <c r="O879" i="132" l="1"/>
  <c r="Q874" i="132" a="1"/>
  <c r="O866" i="132"/>
  <c r="Q861" i="132" a="1"/>
  <c r="Q881" i="132" l="1"/>
  <c r="Q877" i="132"/>
  <c r="R880" i="132"/>
  <c r="R876" i="132"/>
  <c r="Q880" i="132"/>
  <c r="Q876" i="132"/>
  <c r="Q879" i="132"/>
  <c r="Q875" i="132"/>
  <c r="R882" i="132"/>
  <c r="R874" i="132"/>
  <c r="Q882" i="132"/>
  <c r="Q874" i="132"/>
  <c r="R879" i="132"/>
  <c r="R878" i="132"/>
  <c r="R875" i="132"/>
  <c r="R881" i="132"/>
  <c r="Q878" i="132"/>
  <c r="R877" i="132"/>
  <c r="R867" i="132"/>
  <c r="R863" i="132"/>
  <c r="Q867" i="132"/>
  <c r="Q863" i="132"/>
  <c r="R865" i="132"/>
  <c r="Q865" i="132"/>
  <c r="Q869" i="132"/>
  <c r="Q864" i="132"/>
  <c r="R869" i="132"/>
  <c r="R861" i="132"/>
  <c r="R866" i="132"/>
  <c r="Q866" i="132"/>
  <c r="R864" i="132"/>
  <c r="R862" i="132"/>
  <c r="Q862" i="132"/>
  <c r="Q861" i="132"/>
  <c r="R868" i="132"/>
  <c r="Q868" i="132"/>
  <c r="D874" i="132" l="1" a="1"/>
  <c r="A887" i="132" a="1"/>
  <c r="C874" i="132" a="1"/>
  <c r="B887" i="132" a="1"/>
  <c r="C875" i="132" l="1"/>
  <c r="C882" i="132"/>
  <c r="C874" i="132"/>
  <c r="C881" i="132"/>
  <c r="C879" i="132"/>
  <c r="C880" i="132"/>
  <c r="C877" i="132"/>
  <c r="C876" i="132"/>
  <c r="C878" i="132"/>
  <c r="A893" i="132"/>
  <c r="F893" i="132" s="1"/>
  <c r="A892" i="132"/>
  <c r="F892" i="132" s="1"/>
  <c r="A891" i="132"/>
  <c r="F891" i="132" s="1"/>
  <c r="A889" i="132"/>
  <c r="F889" i="132" s="1"/>
  <c r="A888" i="132"/>
  <c r="F888" i="132" s="1"/>
  <c r="A895" i="132"/>
  <c r="F895" i="132" s="1"/>
  <c r="A890" i="132"/>
  <c r="F890" i="132" s="1"/>
  <c r="A887" i="132"/>
  <c r="A894" i="132"/>
  <c r="F894" i="132" s="1"/>
  <c r="B891" i="132"/>
  <c r="B890" i="132"/>
  <c r="B889" i="132"/>
  <c r="B895" i="132"/>
  <c r="B887" i="132"/>
  <c r="B900" i="132" s="1" a="1"/>
  <c r="B894" i="132"/>
  <c r="B893" i="132"/>
  <c r="B892" i="132"/>
  <c r="B888" i="132"/>
  <c r="D881" i="132"/>
  <c r="D880" i="132"/>
  <c r="D879" i="132"/>
  <c r="D877" i="132"/>
  <c r="D876" i="132"/>
  <c r="D875" i="132"/>
  <c r="D878" i="132"/>
  <c r="D882" i="132"/>
  <c r="D874" i="132"/>
  <c r="D887" i="132" l="1" a="1"/>
  <c r="D892" i="132" s="1"/>
  <c r="B901" i="132"/>
  <c r="B908" i="132"/>
  <c r="B900" i="132"/>
  <c r="B907" i="132"/>
  <c r="B905" i="132"/>
  <c r="B904" i="132"/>
  <c r="B903" i="132"/>
  <c r="B902" i="132"/>
  <c r="B906" i="132"/>
  <c r="C887" i="132" a="1"/>
  <c r="B897" i="132"/>
  <c r="F887" i="132"/>
  <c r="D890" i="132" l="1"/>
  <c r="D891" i="132"/>
  <c r="D893" i="132"/>
  <c r="D894" i="132"/>
  <c r="D887" i="132"/>
  <c r="D895" i="132"/>
  <c r="D889" i="132"/>
  <c r="D888" i="132"/>
  <c r="D900" i="132" s="1" a="1"/>
  <c r="C889" i="132"/>
  <c r="G889" i="132" s="1"/>
  <c r="C888" i="132"/>
  <c r="G888" i="132" s="1"/>
  <c r="C895" i="132"/>
  <c r="G895" i="132" s="1"/>
  <c r="C887" i="132"/>
  <c r="G887" i="132" s="1"/>
  <c r="J887" i="132" s="1"/>
  <c r="C893" i="132"/>
  <c r="G893" i="132" s="1"/>
  <c r="C892" i="132"/>
  <c r="G892" i="132" s="1"/>
  <c r="C894" i="132"/>
  <c r="G894" i="132" s="1"/>
  <c r="C891" i="132"/>
  <c r="G891" i="132" s="1"/>
  <c r="C890" i="132"/>
  <c r="G890" i="132" s="1"/>
  <c r="B913" i="132" a="1"/>
  <c r="J891" i="132" l="1"/>
  <c r="I891" i="132"/>
  <c r="J894" i="132"/>
  <c r="I894" i="132"/>
  <c r="J892" i="132"/>
  <c r="I892" i="132"/>
  <c r="J893" i="132"/>
  <c r="I893" i="132"/>
  <c r="D905" i="132"/>
  <c r="G905" i="132" s="1"/>
  <c r="D904" i="132"/>
  <c r="G904" i="132" s="1"/>
  <c r="D903" i="132"/>
  <c r="G903" i="132" s="1"/>
  <c r="D906" i="132"/>
  <c r="G906" i="132" s="1"/>
  <c r="D902" i="132"/>
  <c r="G902" i="132" s="1"/>
  <c r="D901" i="132"/>
  <c r="G901" i="132" s="1"/>
  <c r="D908" i="132"/>
  <c r="G908" i="132" s="1"/>
  <c r="D907" i="132"/>
  <c r="G907" i="132" s="1"/>
  <c r="D900" i="132"/>
  <c r="G900" i="132" s="1"/>
  <c r="J895" i="132"/>
  <c r="I895" i="132"/>
  <c r="I888" i="132"/>
  <c r="J888" i="132"/>
  <c r="B915" i="132"/>
  <c r="F915" i="132" s="1"/>
  <c r="B914" i="132"/>
  <c r="F914" i="132" s="1"/>
  <c r="B921" i="132"/>
  <c r="F921" i="132" s="1"/>
  <c r="B913" i="132"/>
  <c r="F913" i="132" s="1"/>
  <c r="B920" i="132"/>
  <c r="F920" i="132" s="1"/>
  <c r="B919" i="132"/>
  <c r="F919" i="132" s="1"/>
  <c r="B918" i="132"/>
  <c r="F918" i="132" s="1"/>
  <c r="B917" i="132"/>
  <c r="F917" i="132" s="1"/>
  <c r="B916" i="132"/>
  <c r="F916" i="132" s="1"/>
  <c r="I887" i="132"/>
  <c r="J890" i="132"/>
  <c r="I890" i="132"/>
  <c r="I889" i="132"/>
  <c r="J889" i="132"/>
  <c r="J896" i="132" l="1"/>
  <c r="L892" i="132"/>
  <c r="K892" i="132"/>
  <c r="I896" i="132"/>
  <c r="L887" i="132"/>
  <c r="K887" i="132"/>
  <c r="L888" i="132"/>
  <c r="K888" i="132"/>
  <c r="L894" i="132"/>
  <c r="K894" i="132"/>
  <c r="K895" i="132"/>
  <c r="L895" i="132"/>
  <c r="L891" i="132"/>
  <c r="K891" i="132"/>
  <c r="L890" i="132"/>
  <c r="K890" i="132"/>
  <c r="L889" i="132"/>
  <c r="K889" i="132"/>
  <c r="L893" i="132"/>
  <c r="K893" i="132"/>
  <c r="K896" i="132" l="1"/>
  <c r="O888" i="132" s="1"/>
  <c r="L896" i="132"/>
  <c r="O887" i="132" s="1"/>
  <c r="O889" i="132" s="1"/>
  <c r="N892" i="132" l="1"/>
  <c r="O891" i="132" s="1"/>
  <c r="N891" i="132"/>
  <c r="O892" i="132" l="1"/>
  <c r="Q887" i="132" a="1"/>
  <c r="R894" i="132" l="1"/>
  <c r="R890" i="132"/>
  <c r="Q894" i="132"/>
  <c r="Q890" i="132"/>
  <c r="R893" i="132"/>
  <c r="R889" i="132"/>
  <c r="R892" i="132"/>
  <c r="R888" i="132"/>
  <c r="Q892" i="132"/>
  <c r="Q888" i="132"/>
  <c r="Q893" i="132"/>
  <c r="R891" i="132"/>
  <c r="Q889" i="132"/>
  <c r="R887" i="132"/>
  <c r="C900" i="132" s="1" a="1"/>
  <c r="R895" i="132"/>
  <c r="Q895" i="132"/>
  <c r="Q891" i="132"/>
  <c r="Q887" i="132"/>
  <c r="C907" i="132" l="1"/>
  <c r="C906" i="132"/>
  <c r="C905" i="132"/>
  <c r="C902" i="132"/>
  <c r="C901" i="132"/>
  <c r="C900" i="132"/>
  <c r="C913" i="132" s="1" a="1"/>
  <c r="C908" i="132"/>
  <c r="C904" i="132"/>
  <c r="C903" i="132"/>
  <c r="A900" i="132" a="1"/>
  <c r="C921" i="132" l="1"/>
  <c r="G921" i="132" s="1"/>
  <c r="C913" i="132"/>
  <c r="G913" i="132" s="1"/>
  <c r="C920" i="132"/>
  <c r="G920" i="132" s="1"/>
  <c r="C919" i="132"/>
  <c r="G919" i="132" s="1"/>
  <c r="C916" i="132"/>
  <c r="G916" i="132" s="1"/>
  <c r="C915" i="132"/>
  <c r="G915" i="132" s="1"/>
  <c r="C914" i="132"/>
  <c r="G914" i="132" s="1"/>
  <c r="C918" i="132"/>
  <c r="G918" i="132" s="1"/>
  <c r="C917" i="132"/>
  <c r="G917" i="132" s="1"/>
  <c r="A903" i="132"/>
  <c r="F903" i="132" s="1"/>
  <c r="A902" i="132"/>
  <c r="F902" i="132" s="1"/>
  <c r="A901" i="132"/>
  <c r="F901" i="132" s="1"/>
  <c r="A908" i="132"/>
  <c r="F908" i="132" s="1"/>
  <c r="A907" i="132"/>
  <c r="F907" i="132" s="1"/>
  <c r="A906" i="132"/>
  <c r="F906" i="132" s="1"/>
  <c r="A904" i="132"/>
  <c r="F904" i="132" s="1"/>
  <c r="A900" i="132"/>
  <c r="A905" i="132"/>
  <c r="F905" i="132" s="1"/>
  <c r="I918" i="132" l="1"/>
  <c r="J918" i="132"/>
  <c r="J914" i="132"/>
  <c r="I914" i="132"/>
  <c r="J915" i="132"/>
  <c r="I915" i="132"/>
  <c r="J916" i="132"/>
  <c r="I916" i="132"/>
  <c r="I904" i="132"/>
  <c r="J904" i="132"/>
  <c r="I919" i="132"/>
  <c r="J919" i="132"/>
  <c r="J906" i="132"/>
  <c r="I906" i="132"/>
  <c r="J902" i="132"/>
  <c r="I902" i="132"/>
  <c r="J920" i="132"/>
  <c r="I920" i="132"/>
  <c r="I908" i="132"/>
  <c r="J908" i="132"/>
  <c r="J905" i="132"/>
  <c r="I905" i="132"/>
  <c r="J903" i="132"/>
  <c r="I903" i="132"/>
  <c r="J913" i="132"/>
  <c r="I913" i="132"/>
  <c r="J907" i="132"/>
  <c r="I907" i="132"/>
  <c r="I901" i="132"/>
  <c r="J901" i="132"/>
  <c r="B910" i="132"/>
  <c r="F900" i="132"/>
  <c r="I917" i="132"/>
  <c r="J917" i="132"/>
  <c r="I921" i="132"/>
  <c r="J921" i="132"/>
  <c r="K903" i="132" l="1"/>
  <c r="L903" i="132"/>
  <c r="K902" i="132"/>
  <c r="L902" i="132"/>
  <c r="L916" i="132"/>
  <c r="K916" i="132"/>
  <c r="L905" i="132"/>
  <c r="K905" i="132"/>
  <c r="K915" i="132"/>
  <c r="L915" i="132"/>
  <c r="L914" i="132"/>
  <c r="K914" i="132"/>
  <c r="L901" i="132"/>
  <c r="K901" i="132"/>
  <c r="L921" i="132"/>
  <c r="K921" i="132"/>
  <c r="L908" i="132"/>
  <c r="K908" i="132"/>
  <c r="L919" i="132"/>
  <c r="K919" i="132"/>
  <c r="L906" i="132"/>
  <c r="K906" i="132"/>
  <c r="L913" i="132"/>
  <c r="K913" i="132"/>
  <c r="K922" i="132" s="1"/>
  <c r="I922" i="132"/>
  <c r="L920" i="132"/>
  <c r="K920" i="132"/>
  <c r="J900" i="132"/>
  <c r="J909" i="132" s="1"/>
  <c r="I900" i="132"/>
  <c r="K907" i="132"/>
  <c r="L907" i="132"/>
  <c r="L917" i="132"/>
  <c r="K917" i="132"/>
  <c r="J922" i="132"/>
  <c r="L904" i="132"/>
  <c r="K904" i="132"/>
  <c r="L918" i="132"/>
  <c r="K918" i="132"/>
  <c r="L922" i="132" l="1"/>
  <c r="K900" i="132"/>
  <c r="K909" i="132" s="1"/>
  <c r="I909" i="132"/>
  <c r="L900" i="132"/>
  <c r="L909" i="132" s="1"/>
  <c r="O900" i="132" s="1"/>
  <c r="O901" i="132" l="1"/>
  <c r="O902" i="132" s="1"/>
  <c r="N905" i="132" l="1"/>
  <c r="O904" i="132" s="1"/>
  <c r="N904" i="132"/>
  <c r="O905" i="132" s="1"/>
  <c r="Q900" i="132" s="1" a="1"/>
  <c r="Q906" i="132" l="1"/>
  <c r="Q902" i="132"/>
  <c r="R905" i="132"/>
  <c r="R901" i="132"/>
  <c r="Q905" i="132"/>
  <c r="Q901" i="132"/>
  <c r="Q907" i="132"/>
  <c r="Q900" i="132"/>
  <c r="A913" i="132" s="1" a="1"/>
  <c r="R906" i="132"/>
  <c r="R904" i="132"/>
  <c r="Q904" i="132"/>
  <c r="R903" i="132"/>
  <c r="R908" i="132"/>
  <c r="Q903" i="132"/>
  <c r="Q908" i="132"/>
  <c r="R902" i="132"/>
  <c r="R900" i="132"/>
  <c r="R907" i="132"/>
  <c r="A917" i="132" l="1"/>
  <c r="A916" i="132"/>
  <c r="A915" i="132"/>
  <c r="A921" i="132"/>
  <c r="A920" i="132"/>
  <c r="A919" i="132"/>
  <c r="A918" i="132"/>
  <c r="A914" i="132"/>
  <c r="A913" i="132"/>
  <c r="D913" i="132" a="1"/>
  <c r="D919" i="132" l="1"/>
  <c r="D918" i="132"/>
  <c r="D917" i="132"/>
  <c r="D920" i="132"/>
  <c r="D916" i="132"/>
  <c r="D915" i="132"/>
  <c r="D914" i="132"/>
  <c r="D913" i="132"/>
  <c r="D926" i="132" s="1" a="1"/>
  <c r="D921" i="132"/>
  <c r="B923" i="132"/>
  <c r="A926" i="132" a="1"/>
  <c r="D933" i="132" l="1"/>
  <c r="G933" i="132" s="1"/>
  <c r="D932" i="132"/>
  <c r="G932" i="132" s="1"/>
  <c r="D931" i="132"/>
  <c r="G931" i="132" s="1"/>
  <c r="D934" i="132"/>
  <c r="G934" i="132" s="1"/>
  <c r="D930" i="132"/>
  <c r="G930" i="132" s="1"/>
  <c r="D929" i="132"/>
  <c r="G929" i="132" s="1"/>
  <c r="D928" i="132"/>
  <c r="G928" i="132" s="1"/>
  <c r="D927" i="132"/>
  <c r="G927" i="132" s="1"/>
  <c r="D926" i="132"/>
  <c r="G926" i="132" s="1"/>
  <c r="O914" i="132"/>
  <c r="O913" i="132"/>
  <c r="O915" i="132" s="1"/>
  <c r="A931" i="132"/>
  <c r="A930" i="132"/>
  <c r="A929" i="132"/>
  <c r="A926" i="132"/>
  <c r="A934" i="132"/>
  <c r="A933" i="132"/>
  <c r="A932" i="132"/>
  <c r="A928" i="132"/>
  <c r="A927" i="132"/>
  <c r="N918" i="132" l="1"/>
  <c r="O917" i="132" s="1"/>
  <c r="N917" i="132"/>
  <c r="B936" i="132"/>
  <c r="A939" i="132" a="1"/>
  <c r="O918" i="132" l="1"/>
  <c r="Q913" i="132" a="1"/>
  <c r="A947" i="132"/>
  <c r="A939" i="132"/>
  <c r="A945" i="132"/>
  <c r="A944" i="132"/>
  <c r="A943" i="132"/>
  <c r="A941" i="132"/>
  <c r="A940" i="132"/>
  <c r="A946" i="132"/>
  <c r="A942" i="132"/>
  <c r="R919" i="132" l="1"/>
  <c r="R915" i="132"/>
  <c r="Q919" i="132"/>
  <c r="Q915" i="132"/>
  <c r="R918" i="132"/>
  <c r="R914" i="132"/>
  <c r="R920" i="132"/>
  <c r="R913" i="132"/>
  <c r="C926" i="132" s="1" a="1"/>
  <c r="Q920" i="132"/>
  <c r="Q913" i="132"/>
  <c r="Q918" i="132"/>
  <c r="R917" i="132"/>
  <c r="Q917" i="132"/>
  <c r="R916" i="132"/>
  <c r="R921" i="132"/>
  <c r="Q921" i="132"/>
  <c r="Q916" i="132"/>
  <c r="Q914" i="132"/>
  <c r="B949" i="132"/>
  <c r="A952" i="132" a="1"/>
  <c r="C927" i="132" l="1"/>
  <c r="C934" i="132"/>
  <c r="C926" i="132"/>
  <c r="C933" i="132"/>
  <c r="C931" i="132"/>
  <c r="C930" i="132"/>
  <c r="C929" i="132"/>
  <c r="C928" i="132"/>
  <c r="C932" i="132"/>
  <c r="B926" i="132" a="1"/>
  <c r="A953" i="132"/>
  <c r="F953" i="132" s="1"/>
  <c r="A959" i="132"/>
  <c r="F959" i="132" s="1"/>
  <c r="A958" i="132"/>
  <c r="F958" i="132" s="1"/>
  <c r="A957" i="132"/>
  <c r="F957" i="132" s="1"/>
  <c r="A952" i="132"/>
  <c r="A960" i="132"/>
  <c r="F960" i="132" s="1"/>
  <c r="A956" i="132"/>
  <c r="F956" i="132" s="1"/>
  <c r="A955" i="132"/>
  <c r="F955" i="132" s="1"/>
  <c r="A954" i="132"/>
  <c r="F954" i="132" s="1"/>
  <c r="C939" i="132" l="1" a="1"/>
  <c r="B929" i="132"/>
  <c r="F929" i="132" s="1"/>
  <c r="B928" i="132"/>
  <c r="F928" i="132" s="1"/>
  <c r="B927" i="132"/>
  <c r="F927" i="132" s="1"/>
  <c r="B930" i="132"/>
  <c r="F930" i="132" s="1"/>
  <c r="B926" i="132"/>
  <c r="F926" i="132" s="1"/>
  <c r="B934" i="132"/>
  <c r="F934" i="132" s="1"/>
  <c r="B933" i="132"/>
  <c r="F933" i="132" s="1"/>
  <c r="B932" i="132"/>
  <c r="F932" i="132" s="1"/>
  <c r="B931" i="132"/>
  <c r="F931" i="132" s="1"/>
  <c r="B962" i="132"/>
  <c r="F952" i="132"/>
  <c r="J926" i="132" l="1"/>
  <c r="I926" i="132"/>
  <c r="J927" i="132"/>
  <c r="I927" i="132"/>
  <c r="J928" i="132"/>
  <c r="I928" i="132"/>
  <c r="J930" i="132"/>
  <c r="I930" i="132"/>
  <c r="J929" i="132"/>
  <c r="I929" i="132"/>
  <c r="I932" i="132"/>
  <c r="J932" i="132"/>
  <c r="J931" i="132"/>
  <c r="I931" i="132"/>
  <c r="I933" i="132"/>
  <c r="J933" i="132"/>
  <c r="J934" i="132"/>
  <c r="I934" i="132"/>
  <c r="C943" i="132"/>
  <c r="F943" i="132" s="1"/>
  <c r="C941" i="132"/>
  <c r="F941" i="132" s="1"/>
  <c r="C940" i="132"/>
  <c r="F940" i="132" s="1"/>
  <c r="C947" i="132"/>
  <c r="F947" i="132" s="1"/>
  <c r="C939" i="132"/>
  <c r="F939" i="132" s="1"/>
  <c r="C946" i="132"/>
  <c r="F946" i="132" s="1"/>
  <c r="C945" i="132"/>
  <c r="F945" i="132" s="1"/>
  <c r="C944" i="132"/>
  <c r="F944" i="132" s="1"/>
  <c r="C942" i="132"/>
  <c r="F942" i="132" s="1"/>
  <c r="L928" i="132" l="1"/>
  <c r="K928" i="132"/>
  <c r="K934" i="132"/>
  <c r="L934" i="132"/>
  <c r="K927" i="132"/>
  <c r="L927" i="132"/>
  <c r="L932" i="132"/>
  <c r="K932" i="132"/>
  <c r="K933" i="132"/>
  <c r="L933" i="132"/>
  <c r="L929" i="132"/>
  <c r="K929" i="132"/>
  <c r="I935" i="132"/>
  <c r="L926" i="132"/>
  <c r="K926" i="132"/>
  <c r="L931" i="132"/>
  <c r="K931" i="132"/>
  <c r="J935" i="132"/>
  <c r="K930" i="132"/>
  <c r="L930" i="132"/>
  <c r="L935" i="132" l="1"/>
  <c r="O926" i="132" s="1"/>
  <c r="K935" i="132"/>
  <c r="O927" i="132" s="1"/>
  <c r="O928" i="132" l="1"/>
  <c r="N931" i="132" l="1"/>
  <c r="O930" i="132" s="1"/>
  <c r="N930" i="132"/>
  <c r="O931" i="132" l="1"/>
  <c r="Q926" i="132" a="1"/>
  <c r="Q933" i="132" l="1"/>
  <c r="Q929" i="132"/>
  <c r="R932" i="132"/>
  <c r="R928" i="132"/>
  <c r="Q932" i="132"/>
  <c r="Q928" i="132"/>
  <c r="R934" i="132"/>
  <c r="R927" i="132"/>
  <c r="Q934" i="132"/>
  <c r="Q927" i="132"/>
  <c r="R933" i="132"/>
  <c r="R926" i="132"/>
  <c r="R931" i="132"/>
  <c r="Q926" i="132"/>
  <c r="B939" i="132" s="1" a="1"/>
  <c r="Q931" i="132"/>
  <c r="R930" i="132"/>
  <c r="Q930" i="132"/>
  <c r="R929" i="132"/>
  <c r="B945" i="132" l="1"/>
  <c r="B943" i="132"/>
  <c r="B942" i="132"/>
  <c r="B941" i="132"/>
  <c r="B947" i="132"/>
  <c r="B946" i="132"/>
  <c r="B944" i="132"/>
  <c r="B940" i="132"/>
  <c r="B939" i="132"/>
  <c r="D939" i="132" a="1"/>
  <c r="D941" i="132" l="1"/>
  <c r="G941" i="132" s="1"/>
  <c r="D947" i="132"/>
  <c r="G947" i="132" s="1"/>
  <c r="D939" i="132"/>
  <c r="G939" i="132" s="1"/>
  <c r="D946" i="132"/>
  <c r="G946" i="132" s="1"/>
  <c r="D945" i="132"/>
  <c r="G945" i="132" s="1"/>
  <c r="D943" i="132"/>
  <c r="G943" i="132" s="1"/>
  <c r="D942" i="132"/>
  <c r="G942" i="132" s="1"/>
  <c r="D940" i="132"/>
  <c r="G940" i="132" s="1"/>
  <c r="D944" i="132"/>
  <c r="G944" i="132" s="1"/>
  <c r="B952" i="132" a="1"/>
  <c r="J940" i="132" l="1"/>
  <c r="I940" i="132"/>
  <c r="J945" i="132"/>
  <c r="I945" i="132"/>
  <c r="J946" i="132"/>
  <c r="I946" i="132"/>
  <c r="J943" i="132"/>
  <c r="I943" i="132"/>
  <c r="J939" i="132"/>
  <c r="I939" i="132"/>
  <c r="B959" i="132"/>
  <c r="G959" i="132" s="1"/>
  <c r="B957" i="132"/>
  <c r="G957" i="132" s="1"/>
  <c r="B956" i="132"/>
  <c r="G956" i="132" s="1"/>
  <c r="B955" i="132"/>
  <c r="G955" i="132" s="1"/>
  <c r="B958" i="132"/>
  <c r="G958" i="132" s="1"/>
  <c r="B954" i="132"/>
  <c r="G954" i="132" s="1"/>
  <c r="B953" i="132"/>
  <c r="G953" i="132" s="1"/>
  <c r="B952" i="132"/>
  <c r="G952" i="132" s="1"/>
  <c r="B960" i="132"/>
  <c r="G960" i="132" s="1"/>
  <c r="J947" i="132"/>
  <c r="I947" i="132"/>
  <c r="J942" i="132"/>
  <c r="I942" i="132"/>
  <c r="J944" i="132"/>
  <c r="I944" i="132"/>
  <c r="J941" i="132"/>
  <c r="I941" i="132"/>
  <c r="L943" i="132" l="1"/>
  <c r="K943" i="132"/>
  <c r="I955" i="132"/>
  <c r="J955" i="132"/>
  <c r="L946" i="132"/>
  <c r="K946" i="132"/>
  <c r="I956" i="132"/>
  <c r="J956" i="132"/>
  <c r="L942" i="132"/>
  <c r="K942" i="132"/>
  <c r="I957" i="132"/>
  <c r="J957" i="132"/>
  <c r="L945" i="132"/>
  <c r="K945" i="132"/>
  <c r="I958" i="132"/>
  <c r="J958" i="132"/>
  <c r="I960" i="132"/>
  <c r="J960" i="132"/>
  <c r="J959" i="132"/>
  <c r="I959" i="132"/>
  <c r="L947" i="132"/>
  <c r="K947" i="132"/>
  <c r="L941" i="132"/>
  <c r="K941" i="132"/>
  <c r="I952" i="132"/>
  <c r="J952" i="132"/>
  <c r="L939" i="132"/>
  <c r="K939" i="132"/>
  <c r="I948" i="132"/>
  <c r="L940" i="132"/>
  <c r="K940" i="132"/>
  <c r="J954" i="132"/>
  <c r="I954" i="132"/>
  <c r="L944" i="132"/>
  <c r="K944" i="132"/>
  <c r="I953" i="132"/>
  <c r="J953" i="132"/>
  <c r="J948" i="132"/>
  <c r="K956" i="132" l="1"/>
  <c r="L956" i="132"/>
  <c r="K948" i="132"/>
  <c r="O940" i="132" s="1"/>
  <c r="K959" i="132"/>
  <c r="L959" i="132"/>
  <c r="K958" i="132"/>
  <c r="L958" i="132"/>
  <c r="L953" i="132"/>
  <c r="K953" i="132"/>
  <c r="L948" i="132"/>
  <c r="O939" i="132" s="1"/>
  <c r="K957" i="132"/>
  <c r="L957" i="132"/>
  <c r="K955" i="132"/>
  <c r="L955" i="132"/>
  <c r="J961" i="132"/>
  <c r="L954" i="132"/>
  <c r="K954" i="132"/>
  <c r="K952" i="132"/>
  <c r="I961" i="132"/>
  <c r="L952" i="132"/>
  <c r="L960" i="132"/>
  <c r="K960" i="132"/>
  <c r="L961" i="132" l="1"/>
  <c r="O952" i="132" s="1"/>
  <c r="O941" i="132"/>
  <c r="K961" i="132"/>
  <c r="O953" i="132" s="1"/>
  <c r="N943" i="132" l="1"/>
  <c r="N944" i="132"/>
  <c r="O943" i="132" s="1"/>
  <c r="O954" i="132"/>
  <c r="N957" i="132" l="1"/>
  <c r="O956" i="132" s="1"/>
  <c r="N956" i="132"/>
  <c r="O944" i="132"/>
  <c r="Q939" i="132" a="1"/>
  <c r="O957" i="132" l="1"/>
  <c r="Q952" i="132" a="1"/>
  <c r="R947" i="132"/>
  <c r="R943" i="132"/>
  <c r="R939" i="132"/>
  <c r="R946" i="132"/>
  <c r="R942" i="132"/>
  <c r="Q946" i="132"/>
  <c r="Q942" i="132"/>
  <c r="R945" i="132"/>
  <c r="R941" i="132"/>
  <c r="R940" i="132"/>
  <c r="Q940" i="132"/>
  <c r="Q947" i="132"/>
  <c r="Q939" i="132"/>
  <c r="C952" i="132" s="1" a="1"/>
  <c r="Q945" i="132"/>
  <c r="R944" i="132"/>
  <c r="Q944" i="132"/>
  <c r="Q943" i="132"/>
  <c r="Q941" i="132"/>
  <c r="D952" i="132" l="1" a="1"/>
  <c r="D957" i="132" s="1"/>
  <c r="Q958" i="132"/>
  <c r="Q954" i="132"/>
  <c r="Q957" i="132"/>
  <c r="Q953" i="132"/>
  <c r="Q960" i="132"/>
  <c r="Q956" i="132"/>
  <c r="Q952" i="132"/>
  <c r="R959" i="132"/>
  <c r="R955" i="132"/>
  <c r="Q959" i="132"/>
  <c r="Q955" i="132"/>
  <c r="R957" i="132"/>
  <c r="R956" i="132"/>
  <c r="R954" i="132"/>
  <c r="R953" i="132"/>
  <c r="R952" i="132"/>
  <c r="R960" i="132"/>
  <c r="R958" i="132"/>
  <c r="C959" i="132"/>
  <c r="C957" i="132"/>
  <c r="C955" i="132"/>
  <c r="C954" i="132"/>
  <c r="C953" i="132"/>
  <c r="C960" i="132"/>
  <c r="C958" i="132"/>
  <c r="C956" i="132"/>
  <c r="C952" i="132"/>
  <c r="D956" i="132" l="1"/>
  <c r="D958" i="132"/>
  <c r="D959" i="132"/>
  <c r="D952" i="132"/>
  <c r="D960" i="132"/>
  <c r="D953" i="132"/>
  <c r="D955" i="132"/>
  <c r="D954" i="13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<sst xmlns="http://schemas.openxmlformats.org/spreadsheetml/2006/main" count="3771" uniqueCount="681">
  <si>
    <t>Population Covariance Matrix</t>
  </si>
  <si>
    <t>Correlation Matrix</t>
  </si>
  <si>
    <t>k</t>
  </si>
  <si>
    <t>p</t>
  </si>
  <si>
    <t>T2</t>
  </si>
  <si>
    <t>T</t>
  </si>
  <si>
    <t>H</t>
  </si>
  <si>
    <t>V</t>
  </si>
  <si>
    <t>W</t>
  </si>
  <si>
    <t>Concise Table of Contents</t>
  </si>
  <si>
    <t>Table of Contents</t>
  </si>
  <si>
    <t>Comm</t>
  </si>
  <si>
    <t>X</t>
  </si>
  <si>
    <t>Eigenvalues and eigenvectors</t>
  </si>
  <si>
    <t>Varimax</t>
  </si>
  <si>
    <t>Identity Matrix</t>
  </si>
  <si>
    <t>A</t>
  </si>
  <si>
    <t>d</t>
  </si>
  <si>
    <t>C</t>
  </si>
  <si>
    <t>D</t>
  </si>
  <si>
    <t>Partial correlation matrix</t>
  </si>
  <si>
    <t>R = Correlation matrix</t>
  </si>
  <si>
    <t>P</t>
  </si>
  <si>
    <t>I</t>
  </si>
  <si>
    <r>
      <t>R</t>
    </r>
    <r>
      <rPr>
        <vertAlign val="superscript"/>
        <sz val="11"/>
        <color theme="1"/>
        <rFont val="Calibri"/>
        <family val="2"/>
        <scheme val="minor"/>
      </rPr>
      <t>-1</t>
    </r>
  </si>
  <si>
    <t>diag</t>
  </si>
  <si>
    <t>Square root of a matrix</t>
  </si>
  <si>
    <r>
      <t>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</si>
  <si>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t>Eigenvalues/vectors</t>
  </si>
  <si>
    <r>
      <t>D</t>
    </r>
    <r>
      <rPr>
        <vertAlign val="superscript"/>
        <sz val="11"/>
        <color theme="1"/>
        <rFont val="Calibri"/>
        <family val="2"/>
        <scheme val="minor"/>
      </rPr>
      <t>1/2</t>
    </r>
  </si>
  <si>
    <r>
      <t>C</t>
    </r>
    <r>
      <rPr>
        <vertAlign val="superscript"/>
        <sz val="11"/>
        <color theme="1"/>
        <rFont val="Calibri"/>
        <family val="2"/>
        <scheme val="minor"/>
      </rPr>
      <t>T</t>
    </r>
  </si>
  <si>
    <r>
      <t>CDC</t>
    </r>
    <r>
      <rPr>
        <vertAlign val="superscript"/>
        <sz val="11"/>
        <color theme="1"/>
        <rFont val="Calibri"/>
        <family val="2"/>
        <scheme val="minor"/>
      </rPr>
      <t>T</t>
    </r>
  </si>
  <si>
    <t>QR Factorization</t>
  </si>
  <si>
    <t>R</t>
  </si>
  <si>
    <t>QR</t>
  </si>
  <si>
    <t>Q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</si>
  <si>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</t>
    </r>
  </si>
  <si>
    <t>Partial Correlation Matrix</t>
  </si>
  <si>
    <t>Real Statistics Data Analysis Tool</t>
  </si>
  <si>
    <t>Gram-Schmidt Process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</si>
  <si>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</si>
  <si>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Elim</t>
  </si>
  <si>
    <t>Spectral Decomposition</t>
  </si>
  <si>
    <r>
      <t>U = (CD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</si>
  <si>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U</t>
    </r>
  </si>
  <si>
    <t>Eigen</t>
  </si>
  <si>
    <t>SVD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</si>
  <si>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</si>
  <si>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T</t>
    </r>
  </si>
  <si>
    <t>U</t>
  </si>
  <si>
    <r>
      <t>U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</si>
  <si>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col D*</t>
  </si>
  <si>
    <t>D*</t>
  </si>
  <si>
    <r>
      <t>UDV</t>
    </r>
    <r>
      <rPr>
        <vertAlign val="superscript"/>
        <sz val="11"/>
        <color theme="1"/>
        <rFont val="Calibri"/>
        <family val="2"/>
        <scheme val="minor"/>
      </rPr>
      <t>T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</si>
  <si>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</si>
  <si>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</si>
  <si>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1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</si>
  <si>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</si>
  <si>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</si>
  <si>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</si>
  <si>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</si>
  <si>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t>AX</t>
  </si>
  <si>
    <t>cX</t>
  </si>
  <si>
    <t>len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</si>
  <si>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1</t>
    </r>
  </si>
  <si>
    <t>Column 2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</si>
  <si>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</si>
  <si>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</si>
  <si>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</si>
  <si>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Q</t>
    </r>
    <r>
      <rPr>
        <vertAlign val="subscript"/>
        <sz val="11"/>
        <color theme="1"/>
        <rFont val="Calibri"/>
        <family val="2"/>
        <scheme val="minor"/>
      </rPr>
      <t>2</t>
    </r>
  </si>
  <si>
    <r>
      <t>R =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2</t>
    </r>
  </si>
  <si>
    <r>
      <t>Q = Q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T</t>
    </r>
  </si>
  <si>
    <r>
      <t>Note 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Q = I</t>
    </r>
  </si>
  <si>
    <t>QR = A</t>
  </si>
  <si>
    <t xml:space="preserve">note det Q = </t>
  </si>
  <si>
    <t>A = RQ</t>
  </si>
  <si>
    <t>Now some values of A are lower but others are higher</t>
  </si>
  <si>
    <t>In any  case it is clear that the eigenvalues are 4, 1 and 1</t>
  </si>
  <si>
    <t>Find the eigenvalues of the following matrix A</t>
  </si>
  <si>
    <t>eVECTORS</t>
  </si>
  <si>
    <t>B = B'Q</t>
  </si>
  <si>
    <t>Singular Value Decomposition</t>
  </si>
  <si>
    <t>Orthogonal Vectors and Matrices</t>
  </si>
  <si>
    <t>Gram-Schmidt Process (Example 1)</t>
  </si>
  <si>
    <t>QR Factorization (Example 1)</t>
  </si>
  <si>
    <t>Solving Linear Equations using QR Factorization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</si>
  <si>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</si>
  <si>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t>Solving linear equations (Example 2)</t>
  </si>
  <si>
    <t>Finding Eigenvalues/eigenvectors using eVECTORS (Example 4)</t>
  </si>
  <si>
    <t>Finding Eigenvalues/eigenvectors using Householder process (Example 3)</t>
  </si>
  <si>
    <t>QR Factorization (Example 5)</t>
  </si>
  <si>
    <t>Positive Definite Matrices</t>
  </si>
  <si>
    <t>Square Root of a Matrix (Example 1)</t>
  </si>
  <si>
    <t>Spectral Decomposition (Example 1)</t>
  </si>
  <si>
    <t>Singular Value Decomposition (Example 1)</t>
  </si>
  <si>
    <t>Varimax (Example 1)</t>
  </si>
  <si>
    <t>Partial Correlation Matrix (added example)</t>
  </si>
  <si>
    <t>Varimax (using ATN2)</t>
  </si>
  <si>
    <t>Solving Linear Equations using supplemental function</t>
  </si>
  <si>
    <t>Inverting a matrix</t>
  </si>
  <si>
    <t>QR Factorization and Linear Equations</t>
  </si>
  <si>
    <t>Using QRInverse function</t>
  </si>
  <si>
    <t>Using MINVERSE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</si>
  <si>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</si>
  <si>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t>Symmetric Matrices</t>
  </si>
  <si>
    <t>Real and imaginary eigenvalues (Example 1)</t>
  </si>
  <si>
    <t>Real and Imaginary Eigenvalues</t>
  </si>
  <si>
    <t>Eigenvalues</t>
  </si>
  <si>
    <t>Cholesky Decomposition</t>
  </si>
  <si>
    <t>Cholesky Decomposition (Example 1)</t>
  </si>
  <si>
    <t>L</t>
  </si>
  <si>
    <r>
      <t>LL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</si>
  <si>
    <t>A1</t>
  </si>
  <si>
    <t>A2</t>
  </si>
  <si>
    <t>A3</t>
  </si>
  <si>
    <t>Q3</t>
  </si>
  <si>
    <t>B2</t>
  </si>
  <si>
    <t>B1</t>
  </si>
  <si>
    <t>T3</t>
  </si>
  <si>
    <t>P2</t>
  </si>
  <si>
    <t>P1</t>
  </si>
  <si>
    <t>λX</t>
  </si>
  <si>
    <r>
      <t>P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AP</t>
    </r>
  </si>
  <si>
    <t>Q3 aug</t>
  </si>
  <si>
    <t>TX</t>
  </si>
  <si>
    <t>Q2 aug</t>
  </si>
  <si>
    <t>Q2</t>
  </si>
  <si>
    <t>Eigenvalues/unit vectors</t>
  </si>
  <si>
    <t>SCHURQ function</t>
  </si>
  <si>
    <t>eVECT function</t>
  </si>
  <si>
    <t>eVECTfunction</t>
  </si>
  <si>
    <r>
      <t>QTQ</t>
    </r>
    <r>
      <rPr>
        <vertAlign val="superscript"/>
        <sz val="11"/>
        <color theme="1"/>
        <rFont val="Calibri"/>
        <family val="2"/>
        <scheme val="minor"/>
      </rPr>
      <t>T</t>
    </r>
  </si>
  <si>
    <t>SCHUR function</t>
  </si>
  <si>
    <t>T - alternative calculation</t>
  </si>
  <si>
    <t>Non-symmetric matrices</t>
  </si>
  <si>
    <t>Schur's factorization (Example 1)</t>
  </si>
  <si>
    <t>Eigenvectors (Example 2)</t>
  </si>
  <si>
    <t>Q of Spectral Decomposition</t>
  </si>
  <si>
    <t>D of Spectral Decomposition</t>
  </si>
  <si>
    <t>Eigenvalues/vectors (eVECTORS)</t>
  </si>
  <si>
    <t>Eigenvalues/vectors (eVECT)</t>
  </si>
  <si>
    <t>iter = 2000</t>
  </si>
  <si>
    <t>Matrix Data Analysis Tool</t>
  </si>
  <si>
    <t>Eigenvalues/vectors (QR Factorization)</t>
  </si>
  <si>
    <t>Eigenvalues/vectors (Schur's Factorization)</t>
  </si>
  <si>
    <t>Q of QR Factorization</t>
  </si>
  <si>
    <t>R of QR Factorization</t>
  </si>
  <si>
    <t>U of Singular Value Decomposition</t>
  </si>
  <si>
    <t>D of Singular Value Decomposition</t>
  </si>
  <si>
    <t>Q of Schur's Factorization</t>
  </si>
  <si>
    <t>T of Schur's Factorization</t>
  </si>
  <si>
    <t>V of Singular Value Decomposition</t>
  </si>
  <si>
    <r>
      <t>QDQ</t>
    </r>
    <r>
      <rPr>
        <vertAlign val="superscript"/>
        <sz val="11"/>
        <color theme="1"/>
        <rFont val="Calibri"/>
        <family val="2"/>
        <scheme val="minor"/>
      </rPr>
      <t>T</t>
    </r>
  </si>
  <si>
    <t>Real Statistics Matrix data analysis tool</t>
  </si>
  <si>
    <t>Symmetric matrix</t>
  </si>
  <si>
    <t>Non-symmetric matrix</t>
  </si>
  <si>
    <t>Real Statistics eVALUES, eVECTORS, eVECT functions</t>
  </si>
  <si>
    <t>Q = Q1</t>
  </si>
  <si>
    <t>T = T1</t>
  </si>
  <si>
    <t>x</t>
  </si>
  <si>
    <t>y</t>
  </si>
  <si>
    <t>Real Statistics function</t>
  </si>
  <si>
    <t>distance</t>
  </si>
  <si>
    <t>Solving linear equations using Real Statistics formula</t>
  </si>
  <si>
    <t>Inverting a matrix using Real Statistics formula (Example 6)</t>
  </si>
  <si>
    <r>
      <t>QQ</t>
    </r>
    <r>
      <rPr>
        <vertAlign val="superscript"/>
        <sz val="11"/>
        <color theme="1"/>
        <rFont val="Calibri"/>
        <family val="2"/>
        <scheme val="minor"/>
      </rPr>
      <t>T</t>
    </r>
  </si>
  <si>
    <t>QR Factorization not full rank</t>
  </si>
  <si>
    <t>QR Factorization more rows than columns</t>
  </si>
  <si>
    <t>QR Factorization more columns than rows</t>
  </si>
  <si>
    <t>Hessenberg Decomposition</t>
  </si>
  <si>
    <t>Hessenberg decomposition example for non-symmetric matrix</t>
  </si>
  <si>
    <t>Hessenberg decomposition example for symmetric matrix</t>
  </si>
  <si>
    <t>QW</t>
  </si>
  <si>
    <t>QHQ'</t>
  </si>
  <si>
    <r>
      <t>Q</t>
    </r>
    <r>
      <rPr>
        <vertAlign val="superscript"/>
        <sz val="11"/>
        <color theme="1"/>
        <rFont val="Calibri"/>
        <family val="2"/>
        <scheme val="minor"/>
      </rPr>
      <t>-1</t>
    </r>
  </si>
  <si>
    <t>Examples using Real Statistics functions</t>
  </si>
  <si>
    <t>Eigenvalues with multiplicity greater than one</t>
  </si>
  <si>
    <t>Copyright © 2013 - 2021 Charles Zaiontz</t>
  </si>
  <si>
    <t>LU decomposition</t>
  </si>
  <si>
    <t>Permutation</t>
  </si>
  <si>
    <t>PA</t>
  </si>
  <si>
    <t>L of LUP Factorization</t>
  </si>
  <si>
    <t>P of LUP Factorization</t>
  </si>
  <si>
    <t>U of LUP Factorization</t>
  </si>
  <si>
    <t>A = P'LU</t>
  </si>
  <si>
    <t>LUP examples</t>
  </si>
  <si>
    <t>UDV'</t>
  </si>
  <si>
    <t>Another SVD example</t>
  </si>
  <si>
    <t>Pseudo-inverse</t>
  </si>
  <si>
    <t>Matrix Operations</t>
  </si>
  <si>
    <t>Transpose</t>
  </si>
  <si>
    <t>Inverse</t>
  </si>
  <si>
    <t>Sample Covariance matrix</t>
  </si>
  <si>
    <t>Diagonal</t>
  </si>
  <si>
    <t>A = QR</t>
  </si>
  <si>
    <t>A = QTQ'</t>
  </si>
  <si>
    <t>H of Hessenberg Factorization</t>
  </si>
  <si>
    <t>Q of Hessenberg Factorization</t>
  </si>
  <si>
    <t>A = QDQ'</t>
  </si>
  <si>
    <t>A = QHQ'</t>
  </si>
  <si>
    <t>A = UDV'</t>
  </si>
  <si>
    <t>Empty Box</t>
  </si>
  <si>
    <t>Main example</t>
  </si>
  <si>
    <t>Eigenvalues and eigenvectors (previous version)</t>
  </si>
  <si>
    <t>Eigenvalue and eigenvector functions</t>
  </si>
  <si>
    <t>Repeated eigenvalues</t>
  </si>
  <si>
    <t>Defective eigenvalues</t>
  </si>
  <si>
    <t>Math Topics : Real Statistics Using Excel - Examples Workbook</t>
  </si>
  <si>
    <t>Linear Algebra</t>
  </si>
  <si>
    <t>Graph Theory</t>
  </si>
  <si>
    <t>node 1</t>
  </si>
  <si>
    <t>node 2</t>
  </si>
  <si>
    <t>weight</t>
  </si>
  <si>
    <t>step</t>
  </si>
  <si>
    <t>7-8</t>
  </si>
  <si>
    <t>3-9</t>
  </si>
  <si>
    <t>6-7</t>
  </si>
  <si>
    <t>3-6</t>
  </si>
  <si>
    <t>1-2</t>
  </si>
  <si>
    <t>7-9</t>
  </si>
  <si>
    <t>8-9</t>
  </si>
  <si>
    <t>3-4</t>
  </si>
  <si>
    <t>1-8</t>
  </si>
  <si>
    <t>2-3</t>
  </si>
  <si>
    <t>4-5</t>
  </si>
  <si>
    <t>5-6</t>
  </si>
  <si>
    <t>2-8</t>
  </si>
  <si>
    <t>4-6</t>
  </si>
  <si>
    <t>MST</t>
  </si>
  <si>
    <t>node</t>
  </si>
  <si>
    <t>parent</t>
  </si>
  <si>
    <t>rank</t>
  </si>
  <si>
    <t>Kruskal Algorithm</t>
  </si>
  <si>
    <t>1-4</t>
  </si>
  <si>
    <t>3-5</t>
  </si>
  <si>
    <t>2-5</t>
  </si>
  <si>
    <t>5-7</t>
  </si>
  <si>
    <t>2-4</t>
  </si>
  <si>
    <t>Prim Algorithm</t>
  </si>
  <si>
    <t>q</t>
  </si>
  <si>
    <t>1.0E+308</t>
  </si>
  <si>
    <t>Network Diagram</t>
  </si>
  <si>
    <t>y-coord</t>
  </si>
  <si>
    <t>x-coord</t>
  </si>
  <si>
    <t>node #</t>
  </si>
  <si>
    <t>MST for r-tuples</t>
  </si>
  <si>
    <t>Normalized</t>
  </si>
  <si>
    <t>Rotated</t>
  </si>
  <si>
    <t>Un-normalized</t>
  </si>
  <si>
    <t>ELIM</t>
  </si>
  <si>
    <t>VARIMAX function</t>
  </si>
  <si>
    <t>u</t>
  </si>
  <si>
    <t>v</t>
  </si>
  <si>
    <t>u^2-v^2</t>
  </si>
  <si>
    <t>uv</t>
  </si>
  <si>
    <t>Y</t>
  </si>
  <si>
    <t>angle</t>
  </si>
  <si>
    <t>Rotatation Matrix U</t>
  </si>
  <si>
    <t>B</t>
  </si>
  <si>
    <r>
      <t>LU</t>
    </r>
    <r>
      <rPr>
        <vertAlign val="superscript"/>
        <sz val="11"/>
        <color theme="1"/>
        <rFont val="Calibri"/>
        <family val="2"/>
        <scheme val="minor"/>
      </rPr>
      <t>T</t>
    </r>
  </si>
  <si>
    <t>Kruskal algorithm (MST) example 1</t>
  </si>
  <si>
    <t>Kruskal algorithm (MST) example 2</t>
  </si>
  <si>
    <t>Graph formatted in Excel</t>
  </si>
  <si>
    <t>Prim algorithm (MST) example</t>
  </si>
  <si>
    <t>Network diagram</t>
  </si>
  <si>
    <t>Complex Numbers</t>
  </si>
  <si>
    <t>z1</t>
  </si>
  <si>
    <t>1+i</t>
  </si>
  <si>
    <t>z1 + z2</t>
  </si>
  <si>
    <t>real(z2)</t>
  </si>
  <si>
    <t>z2</t>
  </si>
  <si>
    <t>2+i</t>
  </si>
  <si>
    <t>z1 - z2</t>
  </si>
  <si>
    <t>imag(z2)</t>
  </si>
  <si>
    <t>z3</t>
  </si>
  <si>
    <r>
      <t xml:space="preserve">z1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z2</t>
    </r>
  </si>
  <si>
    <t>|z2|</t>
  </si>
  <si>
    <t>z1 / z2</t>
  </si>
  <si>
    <t>conj(z2)</t>
  </si>
  <si>
    <r>
      <t xml:space="preserve">z3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z2</t>
    </r>
  </si>
  <si>
    <t>1 / z2</t>
  </si>
  <si>
    <t>|-3+4i|</t>
  </si>
  <si>
    <t>(z1+z2)z1</t>
  </si>
  <si>
    <t>sqrt(3+4i)</t>
  </si>
  <si>
    <t>z2^3</t>
  </si>
  <si>
    <t>z3 x z2</t>
  </si>
  <si>
    <t>i × z2</t>
  </si>
  <si>
    <t>z2 ^ 3</t>
  </si>
  <si>
    <t>Polar Format and Roots</t>
  </si>
  <si>
    <t>complex</t>
  </si>
  <si>
    <t>polar</t>
  </si>
  <si>
    <t>rect</t>
  </si>
  <si>
    <t>cube roots</t>
  </si>
  <si>
    <t>Complex Matrix Operations</t>
  </si>
  <si>
    <t>Y + Z</t>
  </si>
  <si>
    <r>
      <t>Y</t>
    </r>
    <r>
      <rPr>
        <vertAlign val="superscript"/>
        <sz val="11"/>
        <color theme="1"/>
        <rFont val="Calibri"/>
        <family val="2"/>
        <scheme val="minor"/>
      </rPr>
      <t>-1</t>
    </r>
  </si>
  <si>
    <t>Z</t>
  </si>
  <si>
    <t>Y - Z</t>
  </si>
  <si>
    <r>
      <t>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Y</t>
    </r>
  </si>
  <si>
    <t>Y x Z</t>
  </si>
  <si>
    <t>(2+i)*Y</t>
  </si>
  <si>
    <t>z</t>
  </si>
  <si>
    <t>Identity</t>
  </si>
  <si>
    <t>(y+z)*Y</t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</si>
  <si>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</si>
  <si>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t>2 * Y</t>
  </si>
  <si>
    <t>det(Y)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</si>
  <si>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</si>
  <si>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t>Y*</t>
  </si>
  <si>
    <r>
      <t>Y</t>
    </r>
    <r>
      <rPr>
        <vertAlign val="superscript"/>
        <sz val="11"/>
        <color theme="1"/>
        <rFont val="Calibri"/>
        <family val="2"/>
        <scheme val="minor"/>
      </rPr>
      <t>H</t>
    </r>
  </si>
  <si>
    <t>3-5i</t>
  </si>
  <si>
    <t>-1+i</t>
  </si>
  <si>
    <t>-i</t>
  </si>
  <si>
    <t>2+3i</t>
  </si>
  <si>
    <t>-5-i</t>
  </si>
  <si>
    <t>5-i</t>
  </si>
  <si>
    <t>2i</t>
  </si>
  <si>
    <t>i</t>
  </si>
  <si>
    <t>1-i</t>
  </si>
  <si>
    <t>2+5i</t>
  </si>
  <si>
    <t>Spline</t>
  </si>
  <si>
    <t>Excel Capabilities</t>
  </si>
  <si>
    <t>Real Statistics Capabilities</t>
  </si>
  <si>
    <t>Polar format and nth roots</t>
  </si>
  <si>
    <t>Complex Matrices</t>
  </si>
  <si>
    <t>Real Statistics format</t>
  </si>
  <si>
    <t>Excel format</t>
  </si>
  <si>
    <t>Spline Interpolation</t>
  </si>
  <si>
    <t>Cubic spline example</t>
  </si>
  <si>
    <t>Complex Numbers and Matrices</t>
  </si>
  <si>
    <t>Roots of a cubic polynomial</t>
  </si>
  <si>
    <t>Two complex roots</t>
  </si>
  <si>
    <t>Three real roots</t>
  </si>
  <si>
    <t>Roots of a Polynomial</t>
  </si>
  <si>
    <t>Using ROOTS function (Example 1)</t>
  </si>
  <si>
    <t>Using ROOTS function (Example 2)</t>
  </si>
  <si>
    <t>Bairstow's Method</t>
  </si>
  <si>
    <t>First two roots</t>
  </si>
  <si>
    <t>Find next roots</t>
  </si>
  <si>
    <t>Cubic polynomial</t>
  </si>
  <si>
    <t>real</t>
  </si>
  <si>
    <t>imag</t>
  </si>
  <si>
    <t>p(r)-real</t>
  </si>
  <si>
    <t>p(r)-imag</t>
  </si>
  <si>
    <t>b</t>
  </si>
  <si>
    <t>Formulas from column B</t>
  </si>
  <si>
    <t>Formulas from column C</t>
  </si>
  <si>
    <t>r1</t>
  </si>
  <si>
    <t>c</t>
  </si>
  <si>
    <t>r2</t>
  </si>
  <si>
    <t>r3</t>
  </si>
  <si>
    <r>
      <t>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+P</t>
    </r>
    <r>
      <rPr>
        <vertAlign val="superscript"/>
        <sz val="11"/>
        <color theme="1"/>
        <rFont val="Calibri"/>
        <family val="2"/>
        <scheme val="minor"/>
      </rPr>
      <t>3</t>
    </r>
  </si>
  <si>
    <t>w</t>
  </si>
  <si>
    <t>b'</t>
  </si>
  <si>
    <t>c'</t>
  </si>
  <si>
    <t>D'</t>
  </si>
  <si>
    <t>sqrt</t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</si>
  <si>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-x-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</si>
  <si>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+5x+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</si>
  <si>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-3</t>
    </r>
    <r>
      <rPr>
        <i/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x-</t>
    </r>
    <r>
      <rPr>
        <sz val="11"/>
        <color theme="1"/>
        <rFont val="Calibri"/>
        <family val="2"/>
        <scheme val="minor"/>
      </rPr>
      <t>1</t>
    </r>
  </si>
  <si>
    <t>w1</t>
  </si>
  <si>
    <t>w2</t>
  </si>
  <si>
    <t>w3</t>
  </si>
  <si>
    <t>Polynomial Roots</t>
  </si>
  <si>
    <r>
      <t>f(x) = 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- 11x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+ 8x - 60</t>
    </r>
  </si>
  <si>
    <r>
      <t>f(x) = 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</si>
  <si>
    <t>f(x) = 2x + 1</t>
  </si>
  <si>
    <t>coeff #</t>
  </si>
  <si>
    <t>coeff</t>
  </si>
  <si>
    <t>Bairstow's method</t>
  </si>
  <si>
    <t>r</t>
  </si>
  <si>
    <t>s</t>
  </si>
  <si>
    <t>root</t>
  </si>
  <si>
    <r>
      <t>divide by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rx - s</t>
    </r>
  </si>
  <si>
    <t>disc</t>
  </si>
  <si>
    <t>Absorbing Markov Chain</t>
  </si>
  <si>
    <r>
      <t>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</si>
  <si>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</t>
    </r>
    <r>
      <rPr>
        <vertAlign val="superscript"/>
        <sz val="11"/>
        <color theme="1"/>
        <rFont val="Calibri"/>
        <family val="2"/>
        <scheme val="minor"/>
      </rPr>
      <t>8</t>
    </r>
  </si>
  <si>
    <r>
      <t>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</si>
  <si>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P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</si>
  <si>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9</t>
    </r>
  </si>
  <si>
    <t>a</t>
  </si>
  <si>
    <r>
      <t>P</t>
    </r>
    <r>
      <rPr>
        <vertAlign val="superscript"/>
        <sz val="11"/>
        <color theme="1"/>
        <rFont val="Calibri"/>
        <family val="2"/>
        <scheme val="minor"/>
      </rPr>
      <t>30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</si>
  <si>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20</t>
    </r>
  </si>
  <si>
    <r>
      <t>P</t>
    </r>
    <r>
      <rPr>
        <vertAlign val="superscript"/>
        <sz val="11"/>
        <color theme="1"/>
        <rFont val="Calibri"/>
        <family val="2"/>
        <scheme val="minor"/>
      </rPr>
      <t>40</t>
    </r>
  </si>
  <si>
    <t>Markov Chains</t>
  </si>
  <si>
    <t>Example 1</t>
  </si>
  <si>
    <t>Example 2</t>
  </si>
  <si>
    <t>Prime Numbers</t>
  </si>
  <si>
    <t>Examples</t>
  </si>
  <si>
    <t>Length of a vector</t>
  </si>
  <si>
    <t>length</t>
  </si>
  <si>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</si>
  <si>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t>Inverse of a matrix</t>
  </si>
  <si>
    <t>Matrix Power</t>
  </si>
  <si>
    <t>A^2</t>
  </si>
  <si>
    <t>A^3</t>
  </si>
  <si>
    <t>Diagonal of a matrix</t>
  </si>
  <si>
    <t>Data</t>
  </si>
  <si>
    <t>Determinant</t>
  </si>
  <si>
    <t>det</t>
  </si>
  <si>
    <t>Det</t>
  </si>
  <si>
    <t>Rule</t>
  </si>
  <si>
    <t>Answer using MDETERM</t>
  </si>
  <si>
    <t>Solving equations using Cramer's Rule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</si>
  <si>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C</t>
    </r>
  </si>
  <si>
    <t>x =</t>
  </si>
  <si>
    <t>y =</t>
  </si>
  <si>
    <t xml:space="preserve">z = </t>
  </si>
  <si>
    <t>det A =</t>
  </si>
  <si>
    <r>
      <t>det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</si>
  <si>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det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</si>
  <si>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det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</si>
  <si>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t>Gaussian Elimination</t>
  </si>
  <si>
    <t>Non-homogeneous linear equations - unique solution</t>
  </si>
  <si>
    <t>Homogeneous linear equations - trivial solution only</t>
  </si>
  <si>
    <t>Homogeneous linear equations - infinite number of solutions</t>
  </si>
  <si>
    <t>Invert a matrix</t>
  </si>
  <si>
    <t>Example 4: Non-homogeneous linear equations - unique solution</t>
  </si>
  <si>
    <t>Example 7: Non-homogeneous linear equations - no solutions</t>
  </si>
  <si>
    <t>LINEQU</t>
  </si>
  <si>
    <t>RANK</t>
  </si>
  <si>
    <t>Example A: Non-homogeneous linear equations -infinite number of solutions</t>
  </si>
  <si>
    <t>Example 8: Non-homogeneous linear equations - unique solution</t>
  </si>
  <si>
    <t>Example 9: Non-homogeneous linear equations - infinite number of solutions</t>
  </si>
  <si>
    <t>Example B: Non-homogeneous linear equations - no solution</t>
  </si>
  <si>
    <t>Example 5: Homogeneous linear equations - trivial solution only</t>
  </si>
  <si>
    <t>Example 6: Homogeneous linear equations - infinite number of solutions</t>
  </si>
  <si>
    <t>Example 10: Matrix inversion - invertible</t>
  </si>
  <si>
    <t>Example C: Matrix inversion - not invertible</t>
  </si>
  <si>
    <t>Example D: Non-homogeneous - unique solution</t>
  </si>
  <si>
    <t>Example E: Non-homogeneous - no solution</t>
  </si>
  <si>
    <t>Example F: Non-homogeneous - infinite number of solutions</t>
  </si>
  <si>
    <t>Solving linear equations</t>
  </si>
  <si>
    <t>Basic concepts</t>
  </si>
  <si>
    <t>Matrix operations</t>
  </si>
  <si>
    <t>Inverse of a matrix (Example 1)</t>
  </si>
  <si>
    <t>Determinants and simultaneous linear equations</t>
  </si>
  <si>
    <t>Determinant (Example 1)</t>
  </si>
  <si>
    <t>Determinant using Gaussian elimination (Example 2)</t>
  </si>
  <si>
    <t>Solution to linear equations via Cramer's rule (Example 3)</t>
  </si>
  <si>
    <t>Solution to linear equations via Gaussian elimination (Example 4)</t>
  </si>
  <si>
    <t>Solution to homogeneous linear equations (Example 5)</t>
  </si>
  <si>
    <t>Solution to homogeneous linear equations (Example 6)</t>
  </si>
  <si>
    <t>Inverting a matrix via Gaussian elimination (Example 10)</t>
  </si>
  <si>
    <t>Gaussian elimination via Real Statistics functions (Examples 7,8,9 + extra examples)</t>
  </si>
  <si>
    <t>Solving linear equation when there are multiple solutions</t>
  </si>
  <si>
    <t>Differentiation</t>
  </si>
  <si>
    <t>Integration</t>
  </si>
  <si>
    <t>f(x)</t>
  </si>
  <si>
    <t>f'(x)</t>
  </si>
  <si>
    <t>alpha</t>
  </si>
  <si>
    <t>beta</t>
  </si>
  <si>
    <t>F(x)</t>
  </si>
  <si>
    <t>∫f(x)dx</t>
  </si>
  <si>
    <t>at a</t>
  </si>
  <si>
    <t>at b</t>
  </si>
  <si>
    <t>def integ</t>
  </si>
  <si>
    <t>f(u)</t>
  </si>
  <si>
    <t>∫f(u)du</t>
  </si>
  <si>
    <t>mean</t>
  </si>
  <si>
    <t>stdev</t>
  </si>
  <si>
    <t>F(2)</t>
  </si>
  <si>
    <t>F(1)</t>
  </si>
  <si>
    <t>Norm(A)</t>
  </si>
  <si>
    <t>Basic matrix properties</t>
  </si>
  <si>
    <t>dynamic</t>
  </si>
  <si>
    <t>Matrix subtraction</t>
  </si>
  <si>
    <t>A-B</t>
  </si>
  <si>
    <t>Diagonal of a square matrix</t>
  </si>
  <si>
    <t>A^4</t>
  </si>
  <si>
    <t>Iterative Procedures</t>
  </si>
  <si>
    <t>Newton's method</t>
  </si>
  <si>
    <t>Newton's Method for one equation (Example 1)</t>
  </si>
  <si>
    <t>Newton's Method for multiple equations (Example 2)</t>
  </si>
  <si>
    <t>Newton's Method for one equation (Example 2)</t>
  </si>
  <si>
    <t>Goal seeking and Solver</t>
  </si>
  <si>
    <t>Goal Seek to find eigenvalues (Example 1)</t>
  </si>
  <si>
    <t>Solver to find regression coefficients (Example 2)</t>
  </si>
  <si>
    <t>NFL example</t>
  </si>
  <si>
    <t>Newton's Method</t>
  </si>
  <si>
    <t>One variable</t>
  </si>
  <si>
    <t>Two variables, two equations</t>
  </si>
  <si>
    <t>f(x) =</t>
  </si>
  <si>
    <r>
      <t>e</t>
    </r>
    <r>
      <rPr>
        <vertAlign val="super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+ x - 3</t>
    </r>
  </si>
  <si>
    <t>f(x,y) =</t>
  </si>
  <si>
    <r>
      <t>y - e</t>
    </r>
    <r>
      <rPr>
        <vertAlign val="superscript"/>
        <sz val="11"/>
        <color theme="1"/>
        <rFont val="Calibri"/>
        <family val="2"/>
        <scheme val="minor"/>
      </rPr>
      <t>x</t>
    </r>
  </si>
  <si>
    <r>
      <t>f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(x,y) =</t>
    </r>
  </si>
  <si>
    <r>
      <t>- e</t>
    </r>
    <r>
      <rPr>
        <vertAlign val="superscript"/>
        <sz val="11"/>
        <color theme="1"/>
        <rFont val="Calibri"/>
        <family val="2"/>
        <scheme val="minor"/>
      </rPr>
      <t>x</t>
    </r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</si>
  <si>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(x,y) =</t>
    </r>
  </si>
  <si>
    <t>f'(x) =</t>
  </si>
  <si>
    <r>
      <t>e</t>
    </r>
    <r>
      <rPr>
        <vertAlign val="super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+ 1</t>
    </r>
  </si>
  <si>
    <t>g(x,y) =</t>
  </si>
  <si>
    <t>y + x - 3</t>
  </si>
  <si>
    <r>
      <t>g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(x,y) =</t>
    </r>
  </si>
  <si>
    <r>
      <t>g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(x,y) =</t>
    </r>
  </si>
  <si>
    <t>iter</t>
  </si>
  <si>
    <t>f(x,y)</t>
  </si>
  <si>
    <t>g(x,y)</t>
  </si>
  <si>
    <t>J</t>
  </si>
  <si>
    <r>
      <t>J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</si>
  <si>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-25</t>
    </r>
  </si>
  <si>
    <t>2x</t>
  </si>
  <si>
    <t>Eigenvalues using Excel's Goal Seek tool</t>
  </si>
  <si>
    <t>Confirm with data analysis tool</t>
  </si>
  <si>
    <t>guess</t>
  </si>
  <si>
    <t>eigenvalue</t>
  </si>
  <si>
    <t>det(A-cI)</t>
  </si>
  <si>
    <t>A - cI</t>
  </si>
  <si>
    <t>Date</t>
  </si>
  <si>
    <t>Winner/tie</t>
  </si>
  <si>
    <t>Loser/tie</t>
  </si>
  <si>
    <t>Pts W</t>
  </si>
  <si>
    <t>Pts L</t>
  </si>
  <si>
    <t>Diff</t>
  </si>
  <si>
    <t>Pred</t>
  </si>
  <si>
    <t>MAE</t>
  </si>
  <si>
    <t>Tot Err</t>
  </si>
  <si>
    <t>Home Field</t>
  </si>
  <si>
    <t>Philadelphia Eagles</t>
  </si>
  <si>
    <t>Atlanta Falcons</t>
  </si>
  <si>
    <t>Teams</t>
  </si>
  <si>
    <t>Pts</t>
  </si>
  <si>
    <t>Miami Dolphins</t>
  </si>
  <si>
    <t>Tennessee Titans</t>
  </si>
  <si>
    <t>Arizona Cardinals</t>
  </si>
  <si>
    <t>Pittsburgh Steelers</t>
  </si>
  <si>
    <t>@</t>
  </si>
  <si>
    <t>Cleveland Browns</t>
  </si>
  <si>
    <t>New England Patriots</t>
  </si>
  <si>
    <t>Houston Texans</t>
  </si>
  <si>
    <t>Baltimore Ravens</t>
  </si>
  <si>
    <t>Minnesota Vikings</t>
  </si>
  <si>
    <t>San Francisco 49ers</t>
  </si>
  <si>
    <t>Buffalo Bills</t>
  </si>
  <si>
    <t>Jacksonville Jaguars</t>
  </si>
  <si>
    <t>New York Giants</t>
  </si>
  <si>
    <t>Carolina Panthers</t>
  </si>
  <si>
    <t>Tampa Bay Buccaneers</t>
  </si>
  <si>
    <t>New Orleans Saints</t>
  </si>
  <si>
    <t>Chicago Bears</t>
  </si>
  <si>
    <t>Cincinnati Bengals</t>
  </si>
  <si>
    <t>Indianapolis Colts</t>
  </si>
  <si>
    <t>Kansas City Chiefs</t>
  </si>
  <si>
    <t>Los Angeles Chargers</t>
  </si>
  <si>
    <t>Dallas Cowboys</t>
  </si>
  <si>
    <t>Denver Broncos</t>
  </si>
  <si>
    <t>Washington Redskins</t>
  </si>
  <si>
    <t>Detroit Lions</t>
  </si>
  <si>
    <t>Seattle Seahawks</t>
  </si>
  <si>
    <t>Green Bay Packers</t>
  </si>
  <si>
    <t>New York Jets</t>
  </si>
  <si>
    <t>Los Angeles Rams</t>
  </si>
  <si>
    <t>Oakland Raiders</t>
  </si>
  <si>
    <t>Mean</t>
  </si>
  <si>
    <t>Playoffs</t>
  </si>
  <si>
    <t>N</t>
  </si>
  <si>
    <t>Matrices</t>
  </si>
  <si>
    <t>A'A</t>
  </si>
  <si>
    <t>AA'</t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</si>
  <si>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= A'(AA')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</si>
  <si>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</si>
  <si>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= (A'A)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A'</t>
    </r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</si>
  <si>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A</t>
    </r>
  </si>
  <si>
    <r>
      <t>(A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A)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</si>
  <si>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(AA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</si>
  <si>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D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</si>
  <si>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= VD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U'</t>
    </r>
  </si>
  <si>
    <t>M</t>
  </si>
  <si>
    <t>det(A)</t>
  </si>
  <si>
    <t>det(AA')</t>
  </si>
  <si>
    <t>det(A'A)</t>
  </si>
  <si>
    <t>rank(A)</t>
  </si>
  <si>
    <t>P = Elim(AA')</t>
  </si>
  <si>
    <t>R = Elim(A'A)</t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</si>
  <si>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</si>
  <si>
    <t>Q = R'</t>
  </si>
  <si>
    <r>
      <t>AA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A</t>
    </r>
  </si>
  <si>
    <r>
      <t>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AA</t>
    </r>
    <r>
      <rPr>
        <vertAlign val="superscript"/>
        <sz val="11"/>
        <color theme="1"/>
        <rFont val="Calibri"/>
        <family val="2"/>
        <scheme val="minor"/>
      </rPr>
      <t>+</t>
    </r>
  </si>
  <si>
    <t>Worksheet function options</t>
  </si>
  <si>
    <t>Full rank m &lt; n</t>
  </si>
  <si>
    <t>Full rank n &lt; m</t>
  </si>
  <si>
    <t>Not full-rank singular</t>
  </si>
  <si>
    <t>SVD approach (singular matrix)</t>
  </si>
  <si>
    <t>SVD approach m &lt; n</t>
  </si>
  <si>
    <t>Gaussian elimination approach</t>
  </si>
  <si>
    <t>Roots of a Continuous Function</t>
  </si>
  <si>
    <t>Max/Min of a Continuous Function</t>
  </si>
  <si>
    <t>Surface Charts</t>
  </si>
  <si>
    <t>x = y</t>
  </si>
  <si>
    <t>x &lt; y</t>
  </si>
  <si>
    <t>x &gt; y</t>
  </si>
  <si>
    <t>Manually-constructed data (Figure 1)</t>
  </si>
  <si>
    <t>Data constructed by FUNC2D (Figures 2 and 3)</t>
  </si>
  <si>
    <t>More elements on y-axis than x-axis</t>
  </si>
  <si>
    <t>More elements on x-axis than y-axis</t>
  </si>
  <si>
    <t>Gamma distribution example (Figure 2)</t>
  </si>
  <si>
    <t>DERIV function (Figure 1)</t>
  </si>
  <si>
    <t>Numerical Differentiation</t>
  </si>
  <si>
    <t>Numerical Integration</t>
  </si>
  <si>
    <t>Definite integral with finite bounds (Figure 1)</t>
  </si>
  <si>
    <t>Find cdf from pdf (Figure 3)</t>
  </si>
  <si>
    <t>Midpoint rule for integration (Figure 4)</t>
  </si>
  <si>
    <t>Various examples, including definite integral with infinite bound (Figure 2)</t>
  </si>
  <si>
    <t>Function of one variable f(x)</t>
  </si>
  <si>
    <t>Function of two or three variables f(x,y) and f(x,y,z)</t>
  </si>
  <si>
    <t>Local Maxima/Minima</t>
  </si>
  <si>
    <t>Global Maximum/Minimum</t>
  </si>
  <si>
    <t>Function of one variable</t>
  </si>
  <si>
    <t>hessian</t>
  </si>
  <si>
    <t>converge</t>
  </si>
  <si>
    <t>(x,y)</t>
  </si>
  <si>
    <t>f(x,y,z)</t>
  </si>
  <si>
    <t>(x,y,z)</t>
  </si>
  <si>
    <t>BRENT</t>
  </si>
  <si>
    <t>NEWTON</t>
  </si>
  <si>
    <t>f''(x)</t>
  </si>
  <si>
    <t>MNEWTON f(x)</t>
  </si>
  <si>
    <t>NEWTON f'(x)</t>
  </si>
  <si>
    <t>FMIN/FMAX</t>
  </si>
  <si>
    <t>mn</t>
  </si>
  <si>
    <t>f(mn)</t>
  </si>
  <si>
    <t>mx</t>
  </si>
  <si>
    <t>f(mx)</t>
  </si>
  <si>
    <t>SECANT</t>
  </si>
  <si>
    <t>MNEWTON</t>
  </si>
  <si>
    <t>BISECTION</t>
  </si>
  <si>
    <t>MNEWTON for f(x)</t>
  </si>
  <si>
    <t>NEWTON for f'(x)</t>
  </si>
  <si>
    <t>DERIV and DERIV2 for f(0)</t>
  </si>
  <si>
    <t>f(0)</t>
  </si>
  <si>
    <t>f'(0)</t>
  </si>
  <si>
    <t>f''(0)</t>
  </si>
  <si>
    <t>x1</t>
  </si>
  <si>
    <t>x2</t>
  </si>
  <si>
    <t>y1</t>
  </si>
  <si>
    <t>y2</t>
  </si>
  <si>
    <t>Chart of a function</t>
  </si>
  <si>
    <t>BRENT, NEWTON, BISECTION, SECANT (Root-Finding Functions Figure 1)</t>
  </si>
  <si>
    <t>BRENT, NEWTON, BISECTION, SECANT (Root-Finding Functions Figure 2)</t>
  </si>
  <si>
    <t>NEWTON2 function example (Roots of Multivariate Functions Figure 1)</t>
  </si>
  <si>
    <t>Function of one variable (Max/Min of a Continuous Function Figures 1 and 2)</t>
  </si>
  <si>
    <t>Function of one variable (Max/Min of a Continuous Function Figure 3)</t>
  </si>
  <si>
    <t>Inflection Point (Figure 1)</t>
  </si>
  <si>
    <t>Second derivative: DERIV2</t>
  </si>
  <si>
    <t>Function of two variables (Local Max/Min of a Multivariate Function (Figure 1,2,3)</t>
  </si>
  <si>
    <t>Function of three variables (Local Max/Min of a Multivariate Function (Figure 4)</t>
  </si>
  <si>
    <t>Function of two variables (Global Max/Min of a Multivariate Function Figure 1)</t>
  </si>
  <si>
    <t>Charles Zaiontz, 28 November 2021</t>
  </si>
  <si>
    <t>f1(x,y)</t>
  </si>
  <si>
    <t>f2(x,y)</t>
  </si>
  <si>
    <t>guessx</t>
  </si>
  <si>
    <t>guessy</t>
  </si>
  <si>
    <t>Miscellaneous worksheet functions</t>
  </si>
  <si>
    <t>Complex Linear Equations</t>
  </si>
  <si>
    <t>2</t>
  </si>
  <si>
    <t>4-3i</t>
  </si>
  <si>
    <t>6</t>
  </si>
  <si>
    <t>4</t>
  </si>
  <si>
    <t>3</t>
  </si>
  <si>
    <t>1</t>
  </si>
  <si>
    <t>3i</t>
  </si>
  <si>
    <t>6i</t>
  </si>
  <si>
    <t>Complex linear equations (Example 1)</t>
  </si>
  <si>
    <t>Complex linear equations (Example 2)</t>
  </si>
  <si>
    <t>Complex linear equations (Example 3)</t>
  </si>
  <si>
    <t>Complex Eigenvectors</t>
  </si>
  <si>
    <t>Complex Eigenvalues</t>
  </si>
  <si>
    <t>Example 3</t>
  </si>
  <si>
    <t>val real</t>
  </si>
  <si>
    <t>val imag</t>
  </si>
  <si>
    <t>vector</t>
  </si>
  <si>
    <t>val check</t>
  </si>
  <si>
    <t>vect check</t>
  </si>
  <si>
    <t>Complex eigenvalues and eigenvectors (part 1)</t>
  </si>
  <si>
    <t>Complex eigenvalues and eigenvectors (continued)</t>
  </si>
  <si>
    <t>IMEigVECT (Figure 1)</t>
  </si>
  <si>
    <t>Defective eigenvalue (Figure 3)</t>
  </si>
  <si>
    <t>Repeated real eigenvalues (Figure 2)</t>
  </si>
  <si>
    <t>Repeated complex eigenvalues (Figure 4)</t>
  </si>
  <si>
    <t>Another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</si>
</sst>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b/>
      <sz val="8.6"/>
      <color theme="1"/>
      <name val="Verdan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/>
      <right/>
      <top style="medium">
        <color rgb="FF747678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5" xfId="0" applyFont="1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5" fillId="0" borderId="0" xfId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0" xfId="0" applyFont="1" applyAlignment="1">
      <alignment horizontal="center"/>
    </xf>
    <xf numFmtId="0" fontId="0" fillId="0" borderId="45" xfId="0" applyFont="1" applyBorder="1"/>
    <xf numFmtId="0" fontId="0" fillId="0" borderId="46" xfId="0" applyFont="1" applyBorder="1"/>
    <xf numFmtId="0" fontId="0" fillId="0" borderId="47" xfId="0" applyFont="1" applyBorder="1"/>
    <xf numFmtId="164" fontId="0" fillId="0" borderId="48" xfId="0" applyNumberFormat="1" applyFill="1" applyBorder="1"/>
    <xf numFmtId="164" fontId="0" fillId="0" borderId="6" xfId="0" applyNumberFormat="1" applyFill="1" applyBorder="1"/>
    <xf numFmtId="164" fontId="0" fillId="0" borderId="6" xfId="0" applyNumberFormat="1" applyBorder="1"/>
    <xf numFmtId="164" fontId="0" fillId="0" borderId="39" xfId="0" applyNumberFormat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7" xfId="0" applyBorder="1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0" xfId="0" applyFill="1"/>
    <xf numFmtId="0" fontId="5" fillId="0" borderId="0" xfId="1" applyFont="1"/>
    <xf numFmtId="0" fontId="0" fillId="0" borderId="18" xfId="0" applyBorder="1" applyAlignment="1">
      <alignment horizontal="right"/>
    </xf>
    <xf numFmtId="16" fontId="7" fillId="0" borderId="0" xfId="0" quotePrefix="1" applyNumberFormat="1" applyFont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3" borderId="56" xfId="0" applyFill="1" applyBorder="1"/>
    <xf numFmtId="0" fontId="0" fillId="3" borderId="57" xfId="0" applyFill="1" applyBorder="1"/>
    <xf numFmtId="0" fontId="0" fillId="3" borderId="58" xfId="0" applyFill="1" applyBorder="1"/>
    <xf numFmtId="0" fontId="0" fillId="3" borderId="15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56" xfId="0" applyBorder="1" applyAlignment="1">
      <alignment horizontal="center"/>
    </xf>
    <xf numFmtId="0" fontId="0" fillId="0" borderId="57" xfId="0" quotePrefix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8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2" xfId="0" applyBorder="1" applyAlignment="1">
      <alignment horizontal="center"/>
    </xf>
    <xf numFmtId="0" fontId="5" fillId="0" borderId="0" xfId="1" applyAlignment="1" applyProtection="1"/>
    <xf numFmtId="0" fontId="8" fillId="0" borderId="0" xfId="0" applyFont="1"/>
    <xf numFmtId="0" fontId="0" fillId="0" borderId="3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57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10" fillId="5" borderId="62" xfId="0" applyFont="1" applyFill="1" applyBorder="1" applyAlignment="1">
      <alignment horizontal="center" vertical="center"/>
    </xf>
    <xf numFmtId="17" fontId="11" fillId="0" borderId="63" xfId="0" applyNumberFormat="1" applyFont="1" applyBorder="1" applyAlignment="1">
      <alignment horizontal="left" vertical="center"/>
    </xf>
    <xf numFmtId="0" fontId="11" fillId="0" borderId="63" xfId="0" applyFont="1" applyBorder="1" applyAlignment="1">
      <alignment horizontal="center" vertical="center"/>
    </xf>
    <xf numFmtId="0" fontId="12" fillId="0" borderId="63" xfId="0" applyFont="1" applyBorder="1" applyAlignment="1">
      <alignment horizontal="right" vertical="center"/>
    </xf>
    <xf numFmtId="0" fontId="11" fillId="0" borderId="63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64" xfId="0" applyBorder="1"/>
    <xf numFmtId="17" fontId="11" fillId="0" borderId="65" xfId="0" applyNumberFormat="1" applyFont="1" applyBorder="1" applyAlignment="1">
      <alignment horizontal="left" vertical="center"/>
    </xf>
    <xf numFmtId="0" fontId="11" fillId="0" borderId="65" xfId="0" applyFont="1" applyBorder="1" applyAlignment="1">
      <alignment horizontal="center" vertical="center"/>
    </xf>
    <xf numFmtId="0" fontId="12" fillId="0" borderId="65" xfId="0" applyFont="1" applyBorder="1" applyAlignment="1">
      <alignment horizontal="right" vertical="center"/>
    </xf>
    <xf numFmtId="0" fontId="11" fillId="0" borderId="65" xfId="0" applyFont="1" applyBorder="1" applyAlignment="1">
      <alignment horizontal="right" vertical="center"/>
    </xf>
    <xf numFmtId="17" fontId="11" fillId="0" borderId="66" xfId="0" applyNumberFormat="1" applyFont="1" applyBorder="1" applyAlignment="1">
      <alignment horizontal="left" vertical="center"/>
    </xf>
    <xf numFmtId="0" fontId="11" fillId="0" borderId="66" xfId="0" applyFont="1" applyBorder="1" applyAlignment="1">
      <alignment horizontal="center" vertical="center"/>
    </xf>
    <xf numFmtId="0" fontId="12" fillId="0" borderId="66" xfId="0" applyFont="1" applyBorder="1" applyAlignment="1">
      <alignment horizontal="right" vertical="center"/>
    </xf>
    <xf numFmtId="0" fontId="11" fillId="0" borderId="66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17" fontId="11" fillId="0" borderId="67" xfId="0" applyNumberFormat="1" applyFont="1" applyBorder="1" applyAlignment="1">
      <alignment horizontal="left" vertical="center"/>
    </xf>
    <xf numFmtId="0" fontId="11" fillId="0" borderId="67" xfId="0" applyFont="1" applyBorder="1" applyAlignment="1">
      <alignment horizontal="center" vertical="center"/>
    </xf>
    <xf numFmtId="0" fontId="12" fillId="0" borderId="67" xfId="0" applyFont="1" applyBorder="1" applyAlignment="1">
      <alignment horizontal="right" vertical="center"/>
    </xf>
    <xf numFmtId="0" fontId="11" fillId="0" borderId="67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68" xfId="0" applyBorder="1"/>
    <xf numFmtId="0" fontId="0" fillId="0" borderId="69" xfId="0" applyBorder="1"/>
    <xf numFmtId="0" fontId="0" fillId="0" borderId="0" xfId="0"/>
    <xf numFmtId="0" fontId="13" fillId="0" borderId="0" xfId="0" applyFont="1"/>
    <xf numFmtId="0" fontId="0" fillId="0" borderId="45" xfId="0" applyBorder="1" applyAlignment="1">
      <alignment horizontal="center"/>
    </xf>
    <xf numFmtId="0" fontId="0" fillId="0" borderId="70" xfId="0" applyBorder="1"/>
    <xf numFmtId="0" fontId="0" fillId="0" borderId="71" xfId="0" applyBorder="1"/>
    <xf numFmtId="0" fontId="0" fillId="0" borderId="7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6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7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0" xfId="1" applyFont="1" applyAlignment="1" applyProtection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Network Diagram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3D3-4BC2-BF12-40CDA54F3D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3D3-4BC2-BF12-40CDA54F3D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3D3-4BC2-BF12-40CDA54F3DC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3D3-4BC2-BF12-40CDA54F3DC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3D3-4BC2-BF12-40CDA54F3DC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3D3-4BC2-BF12-40CDA54F3DC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3D3-4BC2-BF12-40CDA54F3D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3D3-4BC2-BF12-40CDA54F3DC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3D3-4BC2-BF12-40CDA54F3DC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3D3-4BC2-BF12-40CDA54F3DC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33D3-4BC2-BF12-40CDA54F3DC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33D3-4BC2-BF12-40CDA54F3DC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2"/>
              <c:pt idx="0">
                <c:v>3</c:v>
              </c:pt>
              <c:pt idx="1">
                <c:v>1</c:v>
              </c:pt>
              <c:pt idx="2">
                <c:v>5</c:v>
              </c:pt>
              <c:pt idx="3">
                <c:v>2.5</c:v>
              </c:pt>
              <c:pt idx="4">
                <c:v>7</c:v>
              </c:pt>
              <c:pt idx="5">
                <c:v>1.5</c:v>
              </c:pt>
              <c:pt idx="6">
                <c:v>4</c:v>
              </c:pt>
              <c:pt idx="7">
                <c:v>2</c:v>
              </c:pt>
              <c:pt idx="8">
                <c:v>8</c:v>
              </c:pt>
              <c:pt idx="9">
                <c:v>3</c:v>
              </c:pt>
              <c:pt idx="10">
                <c:v>4.5</c:v>
              </c:pt>
              <c:pt idx="11">
                <c:v>5</c:v>
              </c:pt>
            </c:numLit>
          </c:xVal>
          <c:yVal>
            <c:numLit>
              <c:formatCode>General</c:formatCode>
              <c:ptCount val="12"/>
              <c:pt idx="0">
                <c:v>4.5</c:v>
              </c:pt>
              <c:pt idx="1">
                <c:v>5</c:v>
              </c:pt>
              <c:pt idx="2">
                <c:v>6.5</c:v>
              </c:pt>
              <c:pt idx="3">
                <c:v>5</c:v>
              </c:pt>
              <c:pt idx="4">
                <c:v>3</c:v>
              </c:pt>
              <c:pt idx="5">
                <c:v>1</c:v>
              </c:pt>
              <c:pt idx="6">
                <c:v>2.5</c:v>
              </c:pt>
              <c:pt idx="7">
                <c:v>2</c:v>
              </c:pt>
              <c:pt idx="8">
                <c:v>4</c:v>
              </c:pt>
              <c:pt idx="9">
                <c:v>9</c:v>
              </c:pt>
              <c:pt idx="10">
                <c:v>0.5</c:v>
              </c:pt>
              <c:pt idx="11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33D3-4BC2-BF12-40CDA54F3DCD}"/>
            </c:ext>
          </c:extLst>
        </c:ser>
        <c:ser>
          <c:idx val="1"/>
          <c:order val="1"/>
          <c:marker>
            <c:symbol val="none"/>
          </c:marker>
          <c:xVal>
            <c:numLit>
              <c:formatCode>General</c:formatCode>
              <c:ptCount val="7"/>
              <c:pt idx="0">
                <c:v>1</c:v>
              </c:pt>
              <c:pt idx="1">
                <c:v>2.5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</c:numLit>
          </c:xVal>
          <c:yVal>
            <c:numLit>
              <c:formatCode>General</c:formatCode>
              <c:ptCount val="7"/>
              <c:pt idx="0">
                <c:v>5</c:v>
              </c:pt>
              <c:pt idx="1">
                <c:v>5</c:v>
              </c:pt>
              <c:pt idx="2">
                <c:v>4.5</c:v>
              </c:pt>
              <c:pt idx="3">
                <c:v>2.5</c:v>
              </c:pt>
              <c:pt idx="4">
                <c:v>2</c:v>
              </c:pt>
              <c:pt idx="5">
                <c:v>3</c:v>
              </c:pt>
              <c:pt idx="6">
                <c:v>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33D3-4BC2-BF12-40CDA54F3DCD}"/>
            </c:ext>
          </c:extLst>
        </c:ser>
        <c:ser>
          <c:idx val="2"/>
          <c:order val="2"/>
          <c:marker>
            <c:symbol val="none"/>
          </c:marker>
          <c:xVal>
            <c:numLit>
              <c:formatCode>General</c:formatCode>
              <c:ptCount val="3"/>
              <c:pt idx="0">
                <c:v>1.5</c:v>
              </c:pt>
              <c:pt idx="1">
                <c:v>2</c:v>
              </c:pt>
              <c:pt idx="2">
                <c:v>4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2.5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33D3-4BC2-BF12-40CDA54F3DCD}"/>
            </c:ext>
          </c:extLst>
        </c:ser>
        <c:ser>
          <c:idx val="3"/>
          <c:order val="3"/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4.5</c:v>
              </c:pt>
              <c:pt idx="1">
                <c:v>6.5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33D3-4BC2-BF12-40CDA54F3DCD}"/>
            </c:ext>
          </c:extLst>
        </c:ser>
        <c:ser>
          <c:idx val="4"/>
          <c:order val="4"/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9</c:v>
              </c:pt>
              <c:pt idx="1">
                <c:v>6.5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33D3-4BC2-BF12-40CDA54F3DCD}"/>
            </c:ext>
          </c:extLst>
        </c:ser>
        <c:ser>
          <c:idx val="5"/>
          <c:order val="5"/>
          <c:marker>
            <c:symbol val="none"/>
          </c:marker>
          <c:xVal>
            <c:numLit>
              <c:formatCode>General</c:formatCode>
              <c:ptCount val="2"/>
              <c:pt idx="0">
                <c:v>4.5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33D3-4BC2-BF12-40CDA54F3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23392"/>
        <c:axId val="1732127552"/>
      </c:scatterChart>
      <c:valAx>
        <c:axId val="173212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2127552"/>
        <c:crosses val="autoZero"/>
        <c:crossBetween val="midCat"/>
      </c:valAx>
      <c:valAx>
        <c:axId val="173212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2123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Network Diagram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6CD-4FBE-9B24-2242D85D23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6CD-4FBE-9B24-2242D85D236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6CD-4FBE-9B24-2242D85D236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6CD-4FBE-9B24-2242D85D236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6CD-4FBE-9B24-2242D85D236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6CD-4FBE-9B24-2242D85D236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6CD-4FBE-9B24-2242D85D236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6CD-4FBE-9B24-2242D85D236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6CD-4FBE-9B24-2242D85D236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6CD-4FBE-9B24-2242D85D23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5</c:v>
              </c:pt>
              <c:pt idx="4">
                <c:v>6</c:v>
              </c:pt>
              <c:pt idx="5">
                <c:v>8</c:v>
              </c:pt>
              <c:pt idx="6">
                <c:v>9</c:v>
              </c:pt>
              <c:pt idx="7">
                <c:v>12</c:v>
              </c:pt>
              <c:pt idx="8">
                <c:v>13</c:v>
              </c:pt>
              <c:pt idx="9">
                <c:v>15</c:v>
              </c:pt>
            </c:numLit>
          </c:xVal>
          <c:yVal>
            <c:numLit>
              <c:formatCode>General</c:formatCode>
              <c:ptCount val="10"/>
              <c:pt idx="0">
                <c:v>5</c:v>
              </c:pt>
              <c:pt idx="1">
                <c:v>8</c:v>
              </c:pt>
              <c:pt idx="2">
                <c:v>7</c:v>
              </c:pt>
              <c:pt idx="3">
                <c:v>1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10</c:v>
              </c:pt>
              <c:pt idx="8">
                <c:v>2</c:v>
              </c:pt>
              <c:pt idx="9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B6CD-4FBE-9B24-2242D85D2364}"/>
            </c:ext>
          </c:extLst>
        </c:ser>
        <c:ser>
          <c:idx val="1"/>
          <c:order val="1"/>
          <c:marker>
            <c:symbol val="none"/>
          </c:marker>
          <c:xVal>
            <c:numLit>
              <c:formatCode>General</c:formatCode>
              <c:ptCount val="5"/>
              <c:pt idx="0">
                <c:v>1</c:v>
              </c:pt>
              <c:pt idx="1">
                <c:v>3</c:v>
              </c:pt>
              <c:pt idx="2">
                <c:v>9</c:v>
              </c:pt>
              <c:pt idx="3">
                <c:v>13</c:v>
              </c:pt>
              <c:pt idx="4">
                <c:v>15</c:v>
              </c:pt>
            </c:numLit>
          </c:xVal>
          <c:yVal>
            <c:numLit>
              <c:formatCode>General</c:formatCode>
              <c:ptCount val="5"/>
              <c:pt idx="0">
                <c:v>5</c:v>
              </c:pt>
              <c:pt idx="1">
                <c:v>7</c:v>
              </c:pt>
              <c:pt idx="2">
                <c:v>4</c:v>
              </c:pt>
              <c:pt idx="3">
                <c:v>2</c:v>
              </c:pt>
              <c:pt idx="4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B6CD-4FBE-9B24-2242D85D2364}"/>
            </c:ext>
          </c:extLst>
        </c:ser>
        <c:ser>
          <c:idx val="2"/>
          <c:order val="2"/>
          <c:marker>
            <c:symbol val="none"/>
          </c:marker>
          <c:xVal>
            <c:numLit>
              <c:formatCode>General</c:formatCode>
              <c:ptCount val="5"/>
              <c:pt idx="0">
                <c:v>1</c:v>
              </c:pt>
              <c:pt idx="1">
                <c:v>5</c:v>
              </c:pt>
              <c:pt idx="2">
                <c:v>6</c:v>
              </c:pt>
              <c:pt idx="3">
                <c:v>8</c:v>
              </c:pt>
              <c:pt idx="4">
                <c:v>9</c:v>
              </c:pt>
            </c:numLit>
          </c:xVal>
          <c:yVal>
            <c:numLit>
              <c:formatCode>General</c:formatCode>
              <c:ptCount val="5"/>
              <c:pt idx="0">
                <c:v>5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B6CD-4FBE-9B24-2242D85D2364}"/>
            </c:ext>
          </c:extLst>
        </c:ser>
        <c:ser>
          <c:idx val="3"/>
          <c:order val="3"/>
          <c:marker>
            <c:symbol val="none"/>
          </c:marker>
          <c:xVal>
            <c:numLit>
              <c:formatCode>General</c:formatCode>
              <c:ptCount val="2"/>
              <c:pt idx="0">
                <c:v>2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B6CD-4FBE-9B24-2242D85D2364}"/>
            </c:ext>
          </c:extLst>
        </c:ser>
        <c:ser>
          <c:idx val="4"/>
          <c:order val="4"/>
          <c:marker>
            <c:symbol val="none"/>
          </c:marker>
          <c:xVal>
            <c:numLit>
              <c:formatCode>General</c:formatCode>
              <c:ptCount val="3"/>
              <c:pt idx="0">
                <c:v>5</c:v>
              </c:pt>
              <c:pt idx="1">
                <c:v>12</c:v>
              </c:pt>
              <c:pt idx="2">
                <c:v>15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10</c:v>
              </c:pt>
              <c:pt idx="2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B6CD-4FBE-9B24-2242D85D2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37088"/>
        <c:axId val="1095237504"/>
      </c:scatterChart>
      <c:valAx>
        <c:axId val="1095237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5237504"/>
        <c:crosses val="autoZero"/>
        <c:crossBetween val="midCat"/>
      </c:valAx>
      <c:valAx>
        <c:axId val="109523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2370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Spline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Spline!$E$3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Spline!$D$4:$D$15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Spline!$E$4:$E$15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A-45F0-80FA-15292B63D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685864"/>
        <c:axId val="494690568"/>
      </c:scatterChart>
      <c:valAx>
        <c:axId val="494685864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90568"/>
        <c:crosses val="autoZero"/>
        <c:crossBetween val="midCat"/>
      </c:valAx>
      <c:valAx>
        <c:axId val="49469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8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exp(x/2)+x^3=0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'Roots A'!$A$3:$A$53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-4.3999999999999995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-3.5999999999999988</c:v>
                </c:pt>
                <c:pt idx="8">
                  <c:v>-3.3999999999999986</c:v>
                </c:pt>
                <c:pt idx="9">
                  <c:v>-3.1999999999999984</c:v>
                </c:pt>
                <c:pt idx="10">
                  <c:v>-2.9999999999999982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-2.3999999999999977</c:v>
                </c:pt>
                <c:pt idx="14">
                  <c:v>-2.1999999999999975</c:v>
                </c:pt>
                <c:pt idx="15">
                  <c:v>-1.9999999999999976</c:v>
                </c:pt>
                <c:pt idx="16">
                  <c:v>-1.7999999999999976</c:v>
                </c:pt>
                <c:pt idx="17">
                  <c:v>-1.5999999999999976</c:v>
                </c:pt>
                <c:pt idx="18">
                  <c:v>-1.3999999999999977</c:v>
                </c:pt>
                <c:pt idx="19">
                  <c:v>-1.1999999999999977</c:v>
                </c:pt>
                <c:pt idx="20">
                  <c:v>-0.99999999999999778</c:v>
                </c:pt>
                <c:pt idx="21">
                  <c:v>-0.79999999999999782</c:v>
                </c:pt>
                <c:pt idx="22">
                  <c:v>-0.59999999999999787</c:v>
                </c:pt>
                <c:pt idx="23">
                  <c:v>-0.39999999999999786</c:v>
                </c:pt>
                <c:pt idx="24">
                  <c:v>-0.19999999999999785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0.60000000000000009</c:v>
                </c:pt>
                <c:pt idx="29">
                  <c:v>0.8</c:v>
                </c:pt>
                <c:pt idx="30">
                  <c:v>1</c:v>
                </c:pt>
                <c:pt idx="31">
                  <c:v>1.2</c:v>
                </c:pt>
                <c:pt idx="32">
                  <c:v>1.4</c:v>
                </c:pt>
                <c:pt idx="33">
                  <c:v>1.5999999999999999</c:v>
                </c:pt>
                <c:pt idx="34">
                  <c:v>1.7999999999999998</c:v>
                </c:pt>
                <c:pt idx="35">
                  <c:v>1.9999999999999998</c:v>
                </c:pt>
                <c:pt idx="36">
                  <c:v>2.1999999999999997</c:v>
                </c:pt>
                <c:pt idx="37">
                  <c:v>2.4</c:v>
                </c:pt>
                <c:pt idx="38">
                  <c:v>2.6</c:v>
                </c:pt>
                <c:pt idx="39">
                  <c:v>2.8000000000000003</c:v>
                </c:pt>
                <c:pt idx="40">
                  <c:v>3.0000000000000004</c:v>
                </c:pt>
                <c:pt idx="41">
                  <c:v>3.2000000000000006</c:v>
                </c:pt>
                <c:pt idx="42">
                  <c:v>3.4000000000000008</c:v>
                </c:pt>
                <c:pt idx="43">
                  <c:v>3.600000000000001</c:v>
                </c:pt>
                <c:pt idx="44">
                  <c:v>3.8000000000000012</c:v>
                </c:pt>
                <c:pt idx="45">
                  <c:v>4.0000000000000009</c:v>
                </c:pt>
                <c:pt idx="46">
                  <c:v>4.2000000000000011</c:v>
                </c:pt>
                <c:pt idx="47">
                  <c:v>4.4000000000000012</c:v>
                </c:pt>
                <c:pt idx="48">
                  <c:v>4.6000000000000014</c:v>
                </c:pt>
                <c:pt idx="49">
                  <c:v>4.8000000000000016</c:v>
                </c:pt>
                <c:pt idx="50">
                  <c:v>5.0000000000000018</c:v>
                </c:pt>
              </c:numCache>
            </c:numRef>
          </c:xVal>
          <c:yVal>
            <c:numRef>
              <c:f>'Roots A'!$B$3:$B$53</c:f>
              <c:numCache>
                <c:formatCode>General</c:formatCode>
                <c:ptCount val="51"/>
                <c:pt idx="0">
                  <c:v>-124.9179150013761</c:v>
                </c:pt>
                <c:pt idx="1">
                  <c:v>-110.50128204671059</c:v>
                </c:pt>
                <c:pt idx="2">
                  <c:v>-97.235741156277172</c:v>
                </c:pt>
                <c:pt idx="3">
                  <c:v>-85.073196841637639</c:v>
                </c:pt>
                <c:pt idx="4">
                  <c:v>-73.965543571746977</c:v>
                </c:pt>
                <c:pt idx="5">
                  <c:v>-63.864664716763343</c:v>
                </c:pt>
                <c:pt idx="6">
                  <c:v>-54.722431380777323</c:v>
                </c:pt>
                <c:pt idx="7">
                  <c:v>-46.490701111778364</c:v>
                </c:pt>
                <c:pt idx="8">
                  <c:v>-39.121316475947218</c:v>
                </c:pt>
                <c:pt idx="9">
                  <c:v>-32.566103482005296</c:v>
                </c:pt>
                <c:pt idx="10">
                  <c:v>-26.776869839851521</c:v>
                </c:pt>
                <c:pt idx="11">
                  <c:v>-21.70540303605835</c:v>
                </c:pt>
                <c:pt idx="12">
                  <c:v>-17.303468206965945</c:v>
                </c:pt>
                <c:pt idx="13">
                  <c:v>-13.522805788087759</c:v>
                </c:pt>
                <c:pt idx="14">
                  <c:v>-10.315128916301884</c:v>
                </c:pt>
                <c:pt idx="15">
                  <c:v>-7.6321205588285279</c:v>
                </c:pt>
                <c:pt idx="16">
                  <c:v>-5.4254303402593775</c:v>
                </c:pt>
                <c:pt idx="17">
                  <c:v>-3.6466710358827603</c:v>
                </c:pt>
                <c:pt idx="18">
                  <c:v>-2.2474146962085761</c:v>
                </c:pt>
                <c:pt idx="19">
                  <c:v>-1.179188363905963</c:v>
                </c:pt>
                <c:pt idx="20">
                  <c:v>-0.39346934028735925</c:v>
                </c:pt>
                <c:pt idx="21">
                  <c:v>0.15832004603564409</c:v>
                </c:pt>
                <c:pt idx="22">
                  <c:v>0.5248182206817209</c:v>
                </c:pt>
                <c:pt idx="23">
                  <c:v>0.75473075307798376</c:v>
                </c:pt>
                <c:pt idx="24">
                  <c:v>0.89683741803596073</c:v>
                </c:pt>
                <c:pt idx="25">
                  <c:v>1</c:v>
                </c:pt>
                <c:pt idx="26">
                  <c:v>1.1131709180756477</c:v>
                </c:pt>
                <c:pt idx="27">
                  <c:v>1.2854027581601699</c:v>
                </c:pt>
                <c:pt idx="28">
                  <c:v>1.5658588075760034</c:v>
                </c:pt>
                <c:pt idx="29">
                  <c:v>2.0038246976412704</c:v>
                </c:pt>
                <c:pt idx="30">
                  <c:v>2.6487212707001282</c:v>
                </c:pt>
                <c:pt idx="31">
                  <c:v>3.5501188003905089</c:v>
                </c:pt>
                <c:pt idx="32">
                  <c:v>4.757752707470476</c:v>
                </c:pt>
                <c:pt idx="33">
                  <c:v>6.3215409284924666</c:v>
                </c:pt>
                <c:pt idx="34">
                  <c:v>8.291603111156947</c:v>
                </c:pt>
                <c:pt idx="35">
                  <c:v>10.718281828459043</c:v>
                </c:pt>
                <c:pt idx="36">
                  <c:v>13.652166023946428</c:v>
                </c:pt>
                <c:pt idx="37">
                  <c:v>17.144116922736547</c:v>
                </c:pt>
                <c:pt idx="38">
                  <c:v>21.24529666761925</c:v>
                </c:pt>
                <c:pt idx="39">
                  <c:v>26.007199966844681</c:v>
                </c:pt>
                <c:pt idx="40">
                  <c:v>31.481689070338078</c:v>
                </c:pt>
                <c:pt idx="41">
                  <c:v>37.721032424395133</c:v>
                </c:pt>
                <c:pt idx="42">
                  <c:v>44.777947391727231</c:v>
                </c:pt>
                <c:pt idx="43">
                  <c:v>52.705647464412984</c:v>
                </c:pt>
                <c:pt idx="44">
                  <c:v>61.55789444227932</c:v>
                </c:pt>
                <c:pt idx="45">
                  <c:v>71.389056098930695</c:v>
                </c:pt>
                <c:pt idx="46">
                  <c:v>82.254169912567704</c:v>
                </c:pt>
                <c:pt idx="47">
                  <c:v>94.209013499434192</c:v>
                </c:pt>
                <c:pt idx="48">
                  <c:v>107.31018245481482</c:v>
                </c:pt>
                <c:pt idx="49">
                  <c:v>121.61517638064173</c:v>
                </c:pt>
                <c:pt idx="50">
                  <c:v>137.18249396070362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0F-4673-9DCA-42FA5D469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35744"/>
        <c:axId val="1786936160"/>
      </c:scatterChart>
      <c:valAx>
        <c:axId val="1786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6160"/>
        <c:crosses val="autoZero"/>
        <c:crossBetween val="midCat"/>
      </c:valAx>
      <c:valAx>
        <c:axId val="17869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x^3+3*x^2-6*x-8=0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'Roots B'!$A$3:$A$53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-4.3999999999999995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-3.5999999999999988</c:v>
                </c:pt>
                <c:pt idx="8">
                  <c:v>-3.3999999999999986</c:v>
                </c:pt>
                <c:pt idx="9">
                  <c:v>-3.1999999999999984</c:v>
                </c:pt>
                <c:pt idx="10">
                  <c:v>-2.9999999999999982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-2.3999999999999977</c:v>
                </c:pt>
                <c:pt idx="14">
                  <c:v>-2.1999999999999975</c:v>
                </c:pt>
                <c:pt idx="15">
                  <c:v>-1.9999999999999976</c:v>
                </c:pt>
                <c:pt idx="16">
                  <c:v>-1.7999999999999976</c:v>
                </c:pt>
                <c:pt idx="17">
                  <c:v>-1.5999999999999976</c:v>
                </c:pt>
                <c:pt idx="18">
                  <c:v>-1.3999999999999977</c:v>
                </c:pt>
                <c:pt idx="19">
                  <c:v>-1.1999999999999977</c:v>
                </c:pt>
                <c:pt idx="20">
                  <c:v>-0.99999999999999778</c:v>
                </c:pt>
                <c:pt idx="21">
                  <c:v>-0.79999999999999782</c:v>
                </c:pt>
                <c:pt idx="22">
                  <c:v>-0.59999999999999787</c:v>
                </c:pt>
                <c:pt idx="23">
                  <c:v>-0.39999999999999786</c:v>
                </c:pt>
                <c:pt idx="24">
                  <c:v>-0.19999999999999785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0.60000000000000009</c:v>
                </c:pt>
                <c:pt idx="29">
                  <c:v>0.8</c:v>
                </c:pt>
                <c:pt idx="30">
                  <c:v>1</c:v>
                </c:pt>
                <c:pt idx="31">
                  <c:v>1.2</c:v>
                </c:pt>
                <c:pt idx="32">
                  <c:v>1.4</c:v>
                </c:pt>
                <c:pt idx="33">
                  <c:v>1.5999999999999999</c:v>
                </c:pt>
                <c:pt idx="34">
                  <c:v>1.7999999999999998</c:v>
                </c:pt>
                <c:pt idx="35">
                  <c:v>1.9999999999999998</c:v>
                </c:pt>
                <c:pt idx="36">
                  <c:v>2.1999999999999997</c:v>
                </c:pt>
                <c:pt idx="37">
                  <c:v>2.4</c:v>
                </c:pt>
                <c:pt idx="38">
                  <c:v>2.6</c:v>
                </c:pt>
                <c:pt idx="39">
                  <c:v>2.8000000000000003</c:v>
                </c:pt>
                <c:pt idx="40">
                  <c:v>3.0000000000000004</c:v>
                </c:pt>
                <c:pt idx="41">
                  <c:v>3.2000000000000006</c:v>
                </c:pt>
                <c:pt idx="42">
                  <c:v>3.4000000000000008</c:v>
                </c:pt>
                <c:pt idx="43">
                  <c:v>3.600000000000001</c:v>
                </c:pt>
                <c:pt idx="44">
                  <c:v>3.8000000000000012</c:v>
                </c:pt>
                <c:pt idx="45">
                  <c:v>4.0000000000000009</c:v>
                </c:pt>
                <c:pt idx="46">
                  <c:v>4.2000000000000011</c:v>
                </c:pt>
                <c:pt idx="47">
                  <c:v>4.4000000000000012</c:v>
                </c:pt>
                <c:pt idx="48">
                  <c:v>4.6000000000000014</c:v>
                </c:pt>
                <c:pt idx="49">
                  <c:v>4.8000000000000016</c:v>
                </c:pt>
                <c:pt idx="50">
                  <c:v>5.0000000000000018</c:v>
                </c:pt>
              </c:numCache>
            </c:numRef>
          </c:xVal>
          <c:yVal>
            <c:numRef>
              <c:f>'Roots B'!$B$3:$B$53</c:f>
              <c:numCache>
                <c:formatCode>General</c:formatCode>
                <c:ptCount val="51"/>
                <c:pt idx="0">
                  <c:v>-28</c:v>
                </c:pt>
                <c:pt idx="1">
                  <c:v>-20.671999999999997</c:v>
                </c:pt>
                <c:pt idx="2">
                  <c:v>-14.255999999999982</c:v>
                </c:pt>
                <c:pt idx="3">
                  <c:v>-8.7039999999999864</c:v>
                </c:pt>
                <c:pt idx="4">
                  <c:v>-3.9679999999999893</c:v>
                </c:pt>
                <c:pt idx="5">
                  <c:v>1.4210854715202004E-14</c:v>
                </c:pt>
                <c:pt idx="6">
                  <c:v>3.2480000000000153</c:v>
                </c:pt>
                <c:pt idx="7">
                  <c:v>5.8240000000000123</c:v>
                </c:pt>
                <c:pt idx="8">
                  <c:v>7.7760000000000105</c:v>
                </c:pt>
                <c:pt idx="9">
                  <c:v>9.1520000000000081</c:v>
                </c:pt>
                <c:pt idx="10">
                  <c:v>10.000000000000007</c:v>
                </c:pt>
                <c:pt idx="11">
                  <c:v>10.368000000000002</c:v>
                </c:pt>
                <c:pt idx="12">
                  <c:v>10.303999999999995</c:v>
                </c:pt>
                <c:pt idx="13">
                  <c:v>9.855999999999991</c:v>
                </c:pt>
                <c:pt idx="14">
                  <c:v>9.0719999999999885</c:v>
                </c:pt>
                <c:pt idx="15">
                  <c:v>7.9999999999999858</c:v>
                </c:pt>
                <c:pt idx="16">
                  <c:v>6.6879999999999846</c:v>
                </c:pt>
                <c:pt idx="17">
                  <c:v>5.1839999999999797</c:v>
                </c:pt>
                <c:pt idx="18">
                  <c:v>3.53599999999998</c:v>
                </c:pt>
                <c:pt idx="19">
                  <c:v>1.7919999999999803</c:v>
                </c:pt>
                <c:pt idx="20">
                  <c:v>-1.9539925233402755E-14</c:v>
                </c:pt>
                <c:pt idx="21">
                  <c:v>-1.7920000000000194</c:v>
                </c:pt>
                <c:pt idx="22">
                  <c:v>-3.5360000000000182</c:v>
                </c:pt>
                <c:pt idx="23">
                  <c:v>-5.184000000000017</c:v>
                </c:pt>
                <c:pt idx="24">
                  <c:v>-6.6880000000000148</c:v>
                </c:pt>
                <c:pt idx="25">
                  <c:v>-8</c:v>
                </c:pt>
                <c:pt idx="26">
                  <c:v>-9.0719999999999992</c:v>
                </c:pt>
                <c:pt idx="27">
                  <c:v>-9.8559999999999999</c:v>
                </c:pt>
                <c:pt idx="28">
                  <c:v>-10.304</c:v>
                </c:pt>
                <c:pt idx="29">
                  <c:v>-10.368</c:v>
                </c:pt>
                <c:pt idx="30">
                  <c:v>-10</c:v>
                </c:pt>
                <c:pt idx="31">
                  <c:v>-9.1519999999999992</c:v>
                </c:pt>
                <c:pt idx="32">
                  <c:v>-7.7759999999999998</c:v>
                </c:pt>
                <c:pt idx="33">
                  <c:v>-5.8240000000000016</c:v>
                </c:pt>
                <c:pt idx="34">
                  <c:v>-3.2480000000000029</c:v>
                </c:pt>
                <c:pt idx="35">
                  <c:v>0</c:v>
                </c:pt>
                <c:pt idx="36">
                  <c:v>3.9679999999999929</c:v>
                </c:pt>
                <c:pt idx="37">
                  <c:v>8.7040000000000006</c:v>
                </c:pt>
                <c:pt idx="38">
                  <c:v>14.256000000000007</c:v>
                </c:pt>
                <c:pt idx="39">
                  <c:v>20.672000000000008</c:v>
                </c:pt>
                <c:pt idx="40">
                  <c:v>28.000000000000028</c:v>
                </c:pt>
                <c:pt idx="41">
                  <c:v>36.288000000000025</c:v>
                </c:pt>
                <c:pt idx="42">
                  <c:v>45.584000000000046</c:v>
                </c:pt>
                <c:pt idx="43">
                  <c:v>55.93600000000005</c:v>
                </c:pt>
                <c:pt idx="44">
                  <c:v>67.392000000000053</c:v>
                </c:pt>
                <c:pt idx="45">
                  <c:v>80.000000000000057</c:v>
                </c:pt>
                <c:pt idx="46">
                  <c:v>93.808000000000064</c:v>
                </c:pt>
                <c:pt idx="47">
                  <c:v>108.86400000000009</c:v>
                </c:pt>
                <c:pt idx="48">
                  <c:v>125.21600000000012</c:v>
                </c:pt>
                <c:pt idx="49">
                  <c:v>142.91200000000015</c:v>
                </c:pt>
                <c:pt idx="50">
                  <c:v>162.00000000000017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4-45A1-81F1-B91D0CCDC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35744"/>
        <c:axId val="1786936160"/>
      </c:scatterChart>
      <c:valAx>
        <c:axId val="1786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6160"/>
        <c:crosses val="autoZero"/>
        <c:crossBetween val="midCat"/>
      </c:valAx>
      <c:valAx>
        <c:axId val="17869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(x+3)*(x-1)^2=0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'Roots C'!$A$3:$A$43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-3.5999999999999996</c:v>
                </c:pt>
                <c:pt idx="3">
                  <c:v>-3.3999999999999995</c:v>
                </c:pt>
                <c:pt idx="4">
                  <c:v>-3.1999999999999993</c:v>
                </c:pt>
                <c:pt idx="5">
                  <c:v>-2.9999999999999991</c:v>
                </c:pt>
                <c:pt idx="6">
                  <c:v>-2.7999999999999989</c:v>
                </c:pt>
                <c:pt idx="7">
                  <c:v>-2.5999999999999988</c:v>
                </c:pt>
                <c:pt idx="8">
                  <c:v>-2.3999999999999986</c:v>
                </c:pt>
                <c:pt idx="9">
                  <c:v>-2.1999999999999984</c:v>
                </c:pt>
                <c:pt idx="10">
                  <c:v>-1.9999999999999984</c:v>
                </c:pt>
                <c:pt idx="11">
                  <c:v>-1.7999999999999985</c:v>
                </c:pt>
                <c:pt idx="12">
                  <c:v>-1.5999999999999985</c:v>
                </c:pt>
                <c:pt idx="13">
                  <c:v>-1.3999999999999986</c:v>
                </c:pt>
                <c:pt idx="14">
                  <c:v>-1.1999999999999986</c:v>
                </c:pt>
                <c:pt idx="15">
                  <c:v>-0.99999999999999867</c:v>
                </c:pt>
                <c:pt idx="16">
                  <c:v>-0.79999999999999871</c:v>
                </c:pt>
                <c:pt idx="17">
                  <c:v>-0.59999999999999876</c:v>
                </c:pt>
                <c:pt idx="18">
                  <c:v>-0.39999999999999875</c:v>
                </c:pt>
                <c:pt idx="19">
                  <c:v>-0.19999999999999873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0.60000000000000009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1.5999999999999999</c:v>
                </c:pt>
                <c:pt idx="29">
                  <c:v>1.7999999999999998</c:v>
                </c:pt>
                <c:pt idx="30">
                  <c:v>1.9999999999999998</c:v>
                </c:pt>
                <c:pt idx="31">
                  <c:v>2.1999999999999997</c:v>
                </c:pt>
                <c:pt idx="32">
                  <c:v>2.4</c:v>
                </c:pt>
                <c:pt idx="33">
                  <c:v>2.6</c:v>
                </c:pt>
                <c:pt idx="34">
                  <c:v>2.8000000000000003</c:v>
                </c:pt>
                <c:pt idx="35">
                  <c:v>3.0000000000000004</c:v>
                </c:pt>
                <c:pt idx="36">
                  <c:v>3.2000000000000006</c:v>
                </c:pt>
                <c:pt idx="37">
                  <c:v>3.4000000000000008</c:v>
                </c:pt>
                <c:pt idx="38">
                  <c:v>3.600000000000001</c:v>
                </c:pt>
                <c:pt idx="39">
                  <c:v>3.8000000000000012</c:v>
                </c:pt>
                <c:pt idx="40">
                  <c:v>4.0000000000000009</c:v>
                </c:pt>
              </c:numCache>
            </c:numRef>
          </c:xVal>
          <c:yVal>
            <c:numRef>
              <c:f>'Roots C'!$B$3:$B$43</c:f>
              <c:numCache>
                <c:formatCode>General</c:formatCode>
                <c:ptCount val="41"/>
                <c:pt idx="0">
                  <c:v>-25</c:v>
                </c:pt>
                <c:pt idx="1">
                  <c:v>-18.431999999999995</c:v>
                </c:pt>
                <c:pt idx="2">
                  <c:v>-12.695999999999991</c:v>
                </c:pt>
                <c:pt idx="3">
                  <c:v>-7.7439999999999882</c:v>
                </c:pt>
                <c:pt idx="4">
                  <c:v>-3.5279999999999863</c:v>
                </c:pt>
                <c:pt idx="5">
                  <c:v>1.4210854715201997E-14</c:v>
                </c:pt>
                <c:pt idx="6">
                  <c:v>2.8880000000000137</c:v>
                </c:pt>
                <c:pt idx="7">
                  <c:v>5.1840000000000126</c:v>
                </c:pt>
                <c:pt idx="8">
                  <c:v>6.9360000000000106</c:v>
                </c:pt>
                <c:pt idx="9">
                  <c:v>8.1920000000000073</c:v>
                </c:pt>
                <c:pt idx="10">
                  <c:v>9.0000000000000036</c:v>
                </c:pt>
                <c:pt idx="11">
                  <c:v>9.4080000000000013</c:v>
                </c:pt>
                <c:pt idx="12">
                  <c:v>9.4640000000000004</c:v>
                </c:pt>
                <c:pt idx="13">
                  <c:v>9.2159999999999975</c:v>
                </c:pt>
                <c:pt idx="14">
                  <c:v>8.7119999999999944</c:v>
                </c:pt>
                <c:pt idx="15">
                  <c:v>7.9999999999999947</c:v>
                </c:pt>
                <c:pt idx="16">
                  <c:v>7.127999999999993</c:v>
                </c:pt>
                <c:pt idx="17">
                  <c:v>6.1439999999999939</c:v>
                </c:pt>
                <c:pt idx="18">
                  <c:v>5.0959999999999939</c:v>
                </c:pt>
                <c:pt idx="19">
                  <c:v>4.0319999999999938</c:v>
                </c:pt>
                <c:pt idx="20">
                  <c:v>3</c:v>
                </c:pt>
                <c:pt idx="21">
                  <c:v>2.0480000000000005</c:v>
                </c:pt>
                <c:pt idx="22">
                  <c:v>1.224</c:v>
                </c:pt>
                <c:pt idx="23">
                  <c:v>0.57599999999999973</c:v>
                </c:pt>
                <c:pt idx="24">
                  <c:v>0.15199999999999991</c:v>
                </c:pt>
                <c:pt idx="25">
                  <c:v>0</c:v>
                </c:pt>
                <c:pt idx="26">
                  <c:v>0.16799999999999993</c:v>
                </c:pt>
                <c:pt idx="27">
                  <c:v>0.70399999999999974</c:v>
                </c:pt>
                <c:pt idx="28">
                  <c:v>1.655999999999999</c:v>
                </c:pt>
                <c:pt idx="29">
                  <c:v>3.0719999999999983</c:v>
                </c:pt>
                <c:pt idx="30">
                  <c:v>4.9999999999999982</c:v>
                </c:pt>
                <c:pt idx="31">
                  <c:v>7.4879999999999951</c:v>
                </c:pt>
                <c:pt idx="32">
                  <c:v>10.584</c:v>
                </c:pt>
                <c:pt idx="33">
                  <c:v>14.336000000000002</c:v>
                </c:pt>
                <c:pt idx="34">
                  <c:v>18.792000000000009</c:v>
                </c:pt>
                <c:pt idx="35">
                  <c:v>24.000000000000011</c:v>
                </c:pt>
                <c:pt idx="36">
                  <c:v>30.00800000000002</c:v>
                </c:pt>
                <c:pt idx="37">
                  <c:v>36.864000000000026</c:v>
                </c:pt>
                <c:pt idx="38">
                  <c:v>44.616000000000042</c:v>
                </c:pt>
                <c:pt idx="39">
                  <c:v>53.312000000000047</c:v>
                </c:pt>
                <c:pt idx="40">
                  <c:v>63.000000000000043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B3-441F-820A-12E6C6725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35744"/>
        <c:axId val="1786936160"/>
      </c:scatterChart>
      <c:valAx>
        <c:axId val="1786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6160"/>
        <c:crosses val="autoZero"/>
        <c:crossBetween val="midCat"/>
      </c:valAx>
      <c:valAx>
        <c:axId val="17869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x^3+3*x^2-6*x-8=0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'Roots D'!$A$3:$A$53</c:f>
              <c:numCache>
                <c:formatCode>General</c:formatCode>
                <c:ptCount val="51"/>
                <c:pt idx="0">
                  <c:v>-5</c:v>
                </c:pt>
                <c:pt idx="1">
                  <c:v>-4.8</c:v>
                </c:pt>
                <c:pt idx="2">
                  <c:v>-4.5999999999999996</c:v>
                </c:pt>
                <c:pt idx="3">
                  <c:v>-4.3999999999999995</c:v>
                </c:pt>
                <c:pt idx="4">
                  <c:v>-4.1999999999999993</c:v>
                </c:pt>
                <c:pt idx="5">
                  <c:v>-3.9999999999999991</c:v>
                </c:pt>
                <c:pt idx="6">
                  <c:v>-3.7999999999999989</c:v>
                </c:pt>
                <c:pt idx="7">
                  <c:v>-3.5999999999999988</c:v>
                </c:pt>
                <c:pt idx="8">
                  <c:v>-3.3999999999999986</c:v>
                </c:pt>
                <c:pt idx="9">
                  <c:v>-3.1999999999999984</c:v>
                </c:pt>
                <c:pt idx="10">
                  <c:v>-2.9999999999999982</c:v>
                </c:pt>
                <c:pt idx="11">
                  <c:v>-2.799999999999998</c:v>
                </c:pt>
                <c:pt idx="12">
                  <c:v>-2.5999999999999979</c:v>
                </c:pt>
                <c:pt idx="13">
                  <c:v>-2.3999999999999977</c:v>
                </c:pt>
                <c:pt idx="14">
                  <c:v>-2.1999999999999975</c:v>
                </c:pt>
                <c:pt idx="15">
                  <c:v>-1.9999999999999976</c:v>
                </c:pt>
                <c:pt idx="16">
                  <c:v>-1.7999999999999976</c:v>
                </c:pt>
                <c:pt idx="17">
                  <c:v>-1.5999999999999976</c:v>
                </c:pt>
                <c:pt idx="18">
                  <c:v>-1.3999999999999977</c:v>
                </c:pt>
                <c:pt idx="19">
                  <c:v>-1.1999999999999977</c:v>
                </c:pt>
                <c:pt idx="20">
                  <c:v>-0.99999999999999778</c:v>
                </c:pt>
                <c:pt idx="21">
                  <c:v>-0.79999999999999782</c:v>
                </c:pt>
                <c:pt idx="22">
                  <c:v>-0.59999999999999787</c:v>
                </c:pt>
                <c:pt idx="23">
                  <c:v>-0.39999999999999786</c:v>
                </c:pt>
                <c:pt idx="24">
                  <c:v>-0.19999999999999785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0.60000000000000009</c:v>
                </c:pt>
                <c:pt idx="29">
                  <c:v>0.8</c:v>
                </c:pt>
                <c:pt idx="30">
                  <c:v>1</c:v>
                </c:pt>
                <c:pt idx="31">
                  <c:v>1.2</c:v>
                </c:pt>
                <c:pt idx="32">
                  <c:v>1.4</c:v>
                </c:pt>
                <c:pt idx="33">
                  <c:v>1.5999999999999999</c:v>
                </c:pt>
                <c:pt idx="34">
                  <c:v>1.7999999999999998</c:v>
                </c:pt>
                <c:pt idx="35">
                  <c:v>1.9999999999999998</c:v>
                </c:pt>
                <c:pt idx="36">
                  <c:v>2.1999999999999997</c:v>
                </c:pt>
                <c:pt idx="37">
                  <c:v>2.4</c:v>
                </c:pt>
                <c:pt idx="38">
                  <c:v>2.6</c:v>
                </c:pt>
                <c:pt idx="39">
                  <c:v>2.8000000000000003</c:v>
                </c:pt>
                <c:pt idx="40">
                  <c:v>3.0000000000000004</c:v>
                </c:pt>
                <c:pt idx="41">
                  <c:v>3.2000000000000006</c:v>
                </c:pt>
                <c:pt idx="42">
                  <c:v>3.4000000000000008</c:v>
                </c:pt>
                <c:pt idx="43">
                  <c:v>3.600000000000001</c:v>
                </c:pt>
                <c:pt idx="44">
                  <c:v>3.8000000000000012</c:v>
                </c:pt>
                <c:pt idx="45">
                  <c:v>4.0000000000000009</c:v>
                </c:pt>
                <c:pt idx="46">
                  <c:v>4.2000000000000011</c:v>
                </c:pt>
                <c:pt idx="47">
                  <c:v>4.4000000000000012</c:v>
                </c:pt>
                <c:pt idx="48">
                  <c:v>4.6000000000000014</c:v>
                </c:pt>
                <c:pt idx="49">
                  <c:v>4.8000000000000016</c:v>
                </c:pt>
                <c:pt idx="50">
                  <c:v>5.0000000000000018</c:v>
                </c:pt>
              </c:numCache>
            </c:numRef>
          </c:xVal>
          <c:yVal>
            <c:numRef>
              <c:f>'Roots D'!$B$3:$B$53</c:f>
              <c:numCache>
                <c:formatCode>General</c:formatCode>
                <c:ptCount val="51"/>
                <c:pt idx="0">
                  <c:v>-28</c:v>
                </c:pt>
                <c:pt idx="1">
                  <c:v>-20.671999999999997</c:v>
                </c:pt>
                <c:pt idx="2">
                  <c:v>-14.255999999999982</c:v>
                </c:pt>
                <c:pt idx="3">
                  <c:v>-8.7039999999999864</c:v>
                </c:pt>
                <c:pt idx="4">
                  <c:v>-3.9679999999999893</c:v>
                </c:pt>
                <c:pt idx="5">
                  <c:v>1.4210854715202004E-14</c:v>
                </c:pt>
                <c:pt idx="6">
                  <c:v>3.2480000000000153</c:v>
                </c:pt>
                <c:pt idx="7">
                  <c:v>5.8240000000000123</c:v>
                </c:pt>
                <c:pt idx="8">
                  <c:v>7.7760000000000105</c:v>
                </c:pt>
                <c:pt idx="9">
                  <c:v>9.1520000000000081</c:v>
                </c:pt>
                <c:pt idx="10">
                  <c:v>10.000000000000007</c:v>
                </c:pt>
                <c:pt idx="11">
                  <c:v>10.368000000000002</c:v>
                </c:pt>
                <c:pt idx="12">
                  <c:v>10.303999999999995</c:v>
                </c:pt>
                <c:pt idx="13">
                  <c:v>9.855999999999991</c:v>
                </c:pt>
                <c:pt idx="14">
                  <c:v>9.0719999999999885</c:v>
                </c:pt>
                <c:pt idx="15">
                  <c:v>7.9999999999999858</c:v>
                </c:pt>
                <c:pt idx="16">
                  <c:v>6.6879999999999846</c:v>
                </c:pt>
                <c:pt idx="17">
                  <c:v>5.1839999999999797</c:v>
                </c:pt>
                <c:pt idx="18">
                  <c:v>3.53599999999998</c:v>
                </c:pt>
                <c:pt idx="19">
                  <c:v>1.7919999999999803</c:v>
                </c:pt>
                <c:pt idx="20">
                  <c:v>-1.9539925233402755E-14</c:v>
                </c:pt>
                <c:pt idx="21">
                  <c:v>-1.7920000000000194</c:v>
                </c:pt>
                <c:pt idx="22">
                  <c:v>-3.5360000000000182</c:v>
                </c:pt>
                <c:pt idx="23">
                  <c:v>-5.184000000000017</c:v>
                </c:pt>
                <c:pt idx="24">
                  <c:v>-6.6880000000000148</c:v>
                </c:pt>
                <c:pt idx="25">
                  <c:v>-8</c:v>
                </c:pt>
                <c:pt idx="26">
                  <c:v>-9.0719999999999992</c:v>
                </c:pt>
                <c:pt idx="27">
                  <c:v>-9.8559999999999999</c:v>
                </c:pt>
                <c:pt idx="28">
                  <c:v>-10.304</c:v>
                </c:pt>
                <c:pt idx="29">
                  <c:v>-10.368</c:v>
                </c:pt>
                <c:pt idx="30">
                  <c:v>-10</c:v>
                </c:pt>
                <c:pt idx="31">
                  <c:v>-9.1519999999999992</c:v>
                </c:pt>
                <c:pt idx="32">
                  <c:v>-7.7759999999999998</c:v>
                </c:pt>
                <c:pt idx="33">
                  <c:v>-5.8240000000000016</c:v>
                </c:pt>
                <c:pt idx="34">
                  <c:v>-3.2480000000000029</c:v>
                </c:pt>
                <c:pt idx="35">
                  <c:v>0</c:v>
                </c:pt>
                <c:pt idx="36">
                  <c:v>3.9679999999999929</c:v>
                </c:pt>
                <c:pt idx="37">
                  <c:v>8.7040000000000006</c:v>
                </c:pt>
                <c:pt idx="38">
                  <c:v>14.256000000000007</c:v>
                </c:pt>
                <c:pt idx="39">
                  <c:v>20.672000000000008</c:v>
                </c:pt>
                <c:pt idx="40">
                  <c:v>28.000000000000028</c:v>
                </c:pt>
                <c:pt idx="41">
                  <c:v>36.288000000000025</c:v>
                </c:pt>
                <c:pt idx="42">
                  <c:v>45.584000000000046</c:v>
                </c:pt>
                <c:pt idx="43">
                  <c:v>55.93600000000005</c:v>
                </c:pt>
                <c:pt idx="44">
                  <c:v>67.392000000000053</c:v>
                </c:pt>
                <c:pt idx="45">
                  <c:v>80.000000000000057</c:v>
                </c:pt>
                <c:pt idx="46">
                  <c:v>93.808000000000064</c:v>
                </c:pt>
                <c:pt idx="47">
                  <c:v>108.86400000000009</c:v>
                </c:pt>
                <c:pt idx="48">
                  <c:v>125.21600000000012</c:v>
                </c:pt>
                <c:pt idx="49">
                  <c:v>142.91200000000015</c:v>
                </c:pt>
                <c:pt idx="50">
                  <c:v>162.00000000000017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0B-4D97-81D2-FF9E1FF65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935744"/>
        <c:axId val="1786936160"/>
      </c:scatterChart>
      <c:valAx>
        <c:axId val="17869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6160"/>
        <c:crosses val="autoZero"/>
        <c:crossBetween val="midCat"/>
      </c:valAx>
      <c:valAx>
        <c:axId val="17869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93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 = x^3-3*x-3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MNEWTON!$A$3:$A$59</c:f>
              <c:numCache>
                <c:formatCode>General</c:formatCode>
                <c:ptCount val="57"/>
                <c:pt idx="0">
                  <c:v>-2.6</c:v>
                </c:pt>
                <c:pt idx="1">
                  <c:v>-2.5</c:v>
                </c:pt>
                <c:pt idx="2">
                  <c:v>-2.4</c:v>
                </c:pt>
                <c:pt idx="3">
                  <c:v>-2.2999999999999998</c:v>
                </c:pt>
                <c:pt idx="4">
                  <c:v>-2.1999999999999997</c:v>
                </c:pt>
                <c:pt idx="5">
                  <c:v>-2.0999999999999996</c:v>
                </c:pt>
                <c:pt idx="6">
                  <c:v>-1.9999999999999996</c:v>
                </c:pt>
                <c:pt idx="7">
                  <c:v>-1.8999999999999995</c:v>
                </c:pt>
                <c:pt idx="8">
                  <c:v>-1.7999999999999994</c:v>
                </c:pt>
                <c:pt idx="9">
                  <c:v>-1.6999999999999993</c:v>
                </c:pt>
                <c:pt idx="10">
                  <c:v>-1.5999999999999992</c:v>
                </c:pt>
                <c:pt idx="11">
                  <c:v>-1.4999999999999991</c:v>
                </c:pt>
                <c:pt idx="12">
                  <c:v>-1.399999999999999</c:v>
                </c:pt>
                <c:pt idx="13">
                  <c:v>-1.2999999999999989</c:v>
                </c:pt>
                <c:pt idx="14">
                  <c:v>-1.1999999999999988</c:v>
                </c:pt>
                <c:pt idx="15">
                  <c:v>-1.0999999999999988</c:v>
                </c:pt>
                <c:pt idx="16">
                  <c:v>-0.99999999999999878</c:v>
                </c:pt>
                <c:pt idx="17">
                  <c:v>-0.8999999999999988</c:v>
                </c:pt>
                <c:pt idx="18">
                  <c:v>-0.79999999999999882</c:v>
                </c:pt>
                <c:pt idx="19">
                  <c:v>-0.69999999999999885</c:v>
                </c:pt>
                <c:pt idx="20">
                  <c:v>-0.59999999999999887</c:v>
                </c:pt>
                <c:pt idx="21">
                  <c:v>-0.49999999999999889</c:v>
                </c:pt>
                <c:pt idx="22">
                  <c:v>-0.39999999999999891</c:v>
                </c:pt>
                <c:pt idx="23">
                  <c:v>-0.29999999999999893</c:v>
                </c:pt>
                <c:pt idx="24">
                  <c:v>-0.19999999999999893</c:v>
                </c:pt>
                <c:pt idx="25">
                  <c:v>-9.9999999999998923E-2</c:v>
                </c:pt>
                <c:pt idx="26">
                  <c:v>1.0824674490095276E-15</c:v>
                </c:pt>
                <c:pt idx="27">
                  <c:v>0.10000000000000109</c:v>
                </c:pt>
                <c:pt idx="28">
                  <c:v>0.20000000000000109</c:v>
                </c:pt>
                <c:pt idx="29">
                  <c:v>0.3000000000000011</c:v>
                </c:pt>
                <c:pt idx="30">
                  <c:v>0.40000000000000113</c:v>
                </c:pt>
                <c:pt idx="31">
                  <c:v>0.50000000000000111</c:v>
                </c:pt>
                <c:pt idx="32">
                  <c:v>0.60000000000000109</c:v>
                </c:pt>
                <c:pt idx="33">
                  <c:v>0.70000000000000107</c:v>
                </c:pt>
                <c:pt idx="34">
                  <c:v>0.80000000000000104</c:v>
                </c:pt>
                <c:pt idx="35">
                  <c:v>0.90000000000000102</c:v>
                </c:pt>
                <c:pt idx="36">
                  <c:v>1.0000000000000011</c:v>
                </c:pt>
                <c:pt idx="37">
                  <c:v>1.1000000000000012</c:v>
                </c:pt>
                <c:pt idx="38">
                  <c:v>1.2000000000000013</c:v>
                </c:pt>
                <c:pt idx="39">
                  <c:v>1.3000000000000014</c:v>
                </c:pt>
                <c:pt idx="40">
                  <c:v>1.4000000000000015</c:v>
                </c:pt>
                <c:pt idx="41">
                  <c:v>1.5000000000000016</c:v>
                </c:pt>
                <c:pt idx="42">
                  <c:v>1.6000000000000016</c:v>
                </c:pt>
                <c:pt idx="43">
                  <c:v>1.7000000000000017</c:v>
                </c:pt>
                <c:pt idx="44">
                  <c:v>1.8000000000000018</c:v>
                </c:pt>
                <c:pt idx="45">
                  <c:v>1.9000000000000019</c:v>
                </c:pt>
                <c:pt idx="46">
                  <c:v>2.0000000000000018</c:v>
                </c:pt>
                <c:pt idx="47">
                  <c:v>2.1000000000000019</c:v>
                </c:pt>
                <c:pt idx="48">
                  <c:v>2.200000000000002</c:v>
                </c:pt>
                <c:pt idx="49">
                  <c:v>2.300000000000002</c:v>
                </c:pt>
                <c:pt idx="50">
                  <c:v>2.4000000000000021</c:v>
                </c:pt>
                <c:pt idx="51">
                  <c:v>2.5000000000000022</c:v>
                </c:pt>
                <c:pt idx="52">
                  <c:v>2.6000000000000023</c:v>
                </c:pt>
                <c:pt idx="53">
                  <c:v>2.7000000000000024</c:v>
                </c:pt>
                <c:pt idx="54">
                  <c:v>2.8000000000000025</c:v>
                </c:pt>
                <c:pt idx="55">
                  <c:v>2.9000000000000026</c:v>
                </c:pt>
                <c:pt idx="56">
                  <c:v>3.0000000000000027</c:v>
                </c:pt>
              </c:numCache>
            </c:numRef>
          </c:xVal>
          <c:yVal>
            <c:numRef>
              <c:f>MNEWTON!$B$3:$B$59</c:f>
              <c:numCache>
                <c:formatCode>General</c:formatCode>
                <c:ptCount val="57"/>
                <c:pt idx="0">
                  <c:v>-12.776000000000003</c:v>
                </c:pt>
                <c:pt idx="1">
                  <c:v>-11.125</c:v>
                </c:pt>
                <c:pt idx="2">
                  <c:v>-9.6240000000000006</c:v>
                </c:pt>
                <c:pt idx="3">
                  <c:v>-8.2669999999999959</c:v>
                </c:pt>
                <c:pt idx="4">
                  <c:v>-7.0479999999999965</c:v>
                </c:pt>
                <c:pt idx="5">
                  <c:v>-5.9609999999999967</c:v>
                </c:pt>
                <c:pt idx="6">
                  <c:v>-4.9999999999999964</c:v>
                </c:pt>
                <c:pt idx="7">
                  <c:v>-4.1589999999999963</c:v>
                </c:pt>
                <c:pt idx="8">
                  <c:v>-3.4319999999999951</c:v>
                </c:pt>
                <c:pt idx="9">
                  <c:v>-2.8129999999999962</c:v>
                </c:pt>
                <c:pt idx="10">
                  <c:v>-2.2959999999999967</c:v>
                </c:pt>
                <c:pt idx="11">
                  <c:v>-1.8749999999999964</c:v>
                </c:pt>
                <c:pt idx="12">
                  <c:v>-1.5439999999999969</c:v>
                </c:pt>
                <c:pt idx="13">
                  <c:v>-1.2969999999999979</c:v>
                </c:pt>
                <c:pt idx="14">
                  <c:v>-1.1279999999999986</c:v>
                </c:pt>
                <c:pt idx="15">
                  <c:v>-1.0309999999999993</c:v>
                </c:pt>
                <c:pt idx="16">
                  <c:v>-1</c:v>
                </c:pt>
                <c:pt idx="17">
                  <c:v>-1.0290000000000004</c:v>
                </c:pt>
                <c:pt idx="18">
                  <c:v>-1.1120000000000014</c:v>
                </c:pt>
                <c:pt idx="19">
                  <c:v>-1.2430000000000017</c:v>
                </c:pt>
                <c:pt idx="20">
                  <c:v>-1.4160000000000021</c:v>
                </c:pt>
                <c:pt idx="21">
                  <c:v>-1.6250000000000024</c:v>
                </c:pt>
                <c:pt idx="22">
                  <c:v>-1.8640000000000028</c:v>
                </c:pt>
                <c:pt idx="23">
                  <c:v>-2.1270000000000029</c:v>
                </c:pt>
                <c:pt idx="24">
                  <c:v>-2.408000000000003</c:v>
                </c:pt>
                <c:pt idx="25">
                  <c:v>-2.7010000000000032</c:v>
                </c:pt>
                <c:pt idx="26">
                  <c:v>-3.0000000000000031</c:v>
                </c:pt>
                <c:pt idx="27">
                  <c:v>-3.299000000000003</c:v>
                </c:pt>
                <c:pt idx="28">
                  <c:v>-3.5920000000000032</c:v>
                </c:pt>
                <c:pt idx="29">
                  <c:v>-3.8730000000000029</c:v>
                </c:pt>
                <c:pt idx="30">
                  <c:v>-4.1360000000000028</c:v>
                </c:pt>
                <c:pt idx="31">
                  <c:v>-4.3750000000000027</c:v>
                </c:pt>
                <c:pt idx="32">
                  <c:v>-4.5840000000000023</c:v>
                </c:pt>
                <c:pt idx="33">
                  <c:v>-4.7570000000000014</c:v>
                </c:pt>
                <c:pt idx="34">
                  <c:v>-4.8880000000000008</c:v>
                </c:pt>
                <c:pt idx="35">
                  <c:v>-4.9710000000000001</c:v>
                </c:pt>
                <c:pt idx="36">
                  <c:v>-5</c:v>
                </c:pt>
                <c:pt idx="37">
                  <c:v>-4.9689999999999994</c:v>
                </c:pt>
                <c:pt idx="38">
                  <c:v>-4.8719999999999981</c:v>
                </c:pt>
                <c:pt idx="39">
                  <c:v>-4.7029999999999976</c:v>
                </c:pt>
                <c:pt idx="40">
                  <c:v>-4.455999999999996</c:v>
                </c:pt>
                <c:pt idx="41">
                  <c:v>-4.1249999999999947</c:v>
                </c:pt>
                <c:pt idx="42">
                  <c:v>-3.7039999999999926</c:v>
                </c:pt>
                <c:pt idx="43">
                  <c:v>-3.1869999999999896</c:v>
                </c:pt>
                <c:pt idx="44">
                  <c:v>-2.5679999999999881</c:v>
                </c:pt>
                <c:pt idx="45">
                  <c:v>-1.8409999999999842</c:v>
                </c:pt>
                <c:pt idx="46">
                  <c:v>-0.99999999999998401</c:v>
                </c:pt>
                <c:pt idx="47">
                  <c:v>-3.8999999999980162E-2</c:v>
                </c:pt>
                <c:pt idx="48">
                  <c:v>1.0480000000000222</c:v>
                </c:pt>
                <c:pt idx="49">
                  <c:v>2.2670000000000279</c:v>
                </c:pt>
                <c:pt idx="50">
                  <c:v>3.6240000000000308</c:v>
                </c:pt>
                <c:pt idx="51">
                  <c:v>5.1250000000000338</c:v>
                </c:pt>
                <c:pt idx="52">
                  <c:v>6.7760000000000389</c:v>
                </c:pt>
                <c:pt idx="53">
                  <c:v>8.5830000000000464</c:v>
                </c:pt>
                <c:pt idx="54">
                  <c:v>10.552000000000051</c:v>
                </c:pt>
                <c:pt idx="55">
                  <c:v>12.689000000000055</c:v>
                </c:pt>
                <c:pt idx="56">
                  <c:v>15.000000000000064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0A-4B29-95F6-5650E65A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619471"/>
        <c:axId val="1164618223"/>
      </c:scatterChart>
      <c:valAx>
        <c:axId val="116461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18223"/>
        <c:crosses val="autoZero"/>
        <c:crossBetween val="midCat"/>
      </c:valAx>
      <c:valAx>
        <c:axId val="116461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1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f(x,y) = x</a:t>
            </a:r>
            <a:r>
              <a:rPr lang="en-GB" baseline="30000"/>
              <a:t>2</a:t>
            </a:r>
            <a:r>
              <a:rPr lang="en-GB" baseline="0"/>
              <a:t> + y</a:t>
            </a:r>
            <a:r>
              <a:rPr lang="en-GB" baseline="30000"/>
              <a:t>2</a:t>
            </a:r>
            <a:r>
              <a:rPr lang="en-GB" baseline="0"/>
              <a:t> - xy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Surface!$A$3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Surface!$B$3:$L$3</c:f>
              <c:numCache>
                <c:formatCode>General</c:formatCode>
                <c:ptCount val="11"/>
                <c:pt idx="0">
                  <c:v>1</c:v>
                </c:pt>
                <c:pt idx="1">
                  <c:v>0.84000000000000008</c:v>
                </c:pt>
                <c:pt idx="2">
                  <c:v>0.76</c:v>
                </c:pt>
                <c:pt idx="3">
                  <c:v>0.76</c:v>
                </c:pt>
                <c:pt idx="4">
                  <c:v>0.84</c:v>
                </c:pt>
                <c:pt idx="5">
                  <c:v>1</c:v>
                </c:pt>
                <c:pt idx="6">
                  <c:v>1.24</c:v>
                </c:pt>
                <c:pt idx="7">
                  <c:v>1.56</c:v>
                </c:pt>
                <c:pt idx="8">
                  <c:v>1.9600000000000002</c:v>
                </c:pt>
                <c:pt idx="9">
                  <c:v>2.4400000000000004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E-4673-BE4E-9B8822041CB7}"/>
            </c:ext>
          </c:extLst>
        </c:ser>
        <c:ser>
          <c:idx val="1"/>
          <c:order val="1"/>
          <c:tx>
            <c:strRef>
              <c:f>Surface!$A$4</c:f>
              <c:strCache>
                <c:ptCount val="1"/>
                <c:pt idx="0">
                  <c:v>-0.8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Surface!$B$4:$L$4</c:f>
              <c:numCache>
                <c:formatCode>General</c:formatCode>
                <c:ptCount val="11"/>
                <c:pt idx="0">
                  <c:v>0.84000000000000008</c:v>
                </c:pt>
                <c:pt idx="1">
                  <c:v>0.64000000000000012</c:v>
                </c:pt>
                <c:pt idx="2">
                  <c:v>0.52000000000000013</c:v>
                </c:pt>
                <c:pt idx="3">
                  <c:v>0.48000000000000009</c:v>
                </c:pt>
                <c:pt idx="4">
                  <c:v>0.52000000000000013</c:v>
                </c:pt>
                <c:pt idx="5">
                  <c:v>0.64000000000000012</c:v>
                </c:pt>
                <c:pt idx="6">
                  <c:v>0.84000000000000019</c:v>
                </c:pt>
                <c:pt idx="7">
                  <c:v>1.1200000000000001</c:v>
                </c:pt>
                <c:pt idx="8">
                  <c:v>1.4800000000000004</c:v>
                </c:pt>
                <c:pt idx="9">
                  <c:v>1.9200000000000004</c:v>
                </c:pt>
                <c:pt idx="10">
                  <c:v>2.4400000000000004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E-4673-BE4E-9B8822041CB7}"/>
            </c:ext>
          </c:extLst>
        </c:ser>
        <c:ser>
          <c:idx val="2"/>
          <c:order val="2"/>
          <c:tx>
            <c:strRef>
              <c:f>Surface!$A$5</c:f>
              <c:strCache>
                <c:ptCount val="1"/>
                <c:pt idx="0">
                  <c:v>-0.6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Surface!$B$5:$L$5</c:f>
              <c:numCache>
                <c:formatCode>General</c:formatCode>
                <c:ptCount val="11"/>
                <c:pt idx="0">
                  <c:v>0.76</c:v>
                </c:pt>
                <c:pt idx="1">
                  <c:v>0.52000000000000013</c:v>
                </c:pt>
                <c:pt idx="2">
                  <c:v>0.3600000000000001</c:v>
                </c:pt>
                <c:pt idx="3">
                  <c:v>0.28000000000000003</c:v>
                </c:pt>
                <c:pt idx="4">
                  <c:v>0.28000000000000008</c:v>
                </c:pt>
                <c:pt idx="5">
                  <c:v>0.3600000000000001</c:v>
                </c:pt>
                <c:pt idx="6">
                  <c:v>0.52000000000000013</c:v>
                </c:pt>
                <c:pt idx="7">
                  <c:v>0.76000000000000023</c:v>
                </c:pt>
                <c:pt idx="8">
                  <c:v>1.0800000000000003</c:v>
                </c:pt>
                <c:pt idx="9">
                  <c:v>1.4800000000000004</c:v>
                </c:pt>
                <c:pt idx="10">
                  <c:v>1.9600000000000002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E-4673-BE4E-9B8822041CB7}"/>
            </c:ext>
          </c:extLst>
        </c:ser>
        <c:ser>
          <c:idx val="3"/>
          <c:order val="3"/>
          <c:tx>
            <c:strRef>
              <c:f>Surface!$A$6</c:f>
              <c:strCache>
                <c:ptCount val="1"/>
                <c:pt idx="0">
                  <c:v>-0.4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Surface!$B$6:$L$6</c:f>
              <c:numCache>
                <c:formatCode>General</c:formatCode>
                <c:ptCount val="11"/>
                <c:pt idx="0">
                  <c:v>0.76</c:v>
                </c:pt>
                <c:pt idx="1">
                  <c:v>0.48000000000000009</c:v>
                </c:pt>
                <c:pt idx="2">
                  <c:v>0.28000000000000003</c:v>
                </c:pt>
                <c:pt idx="3">
                  <c:v>0.16000000000000006</c:v>
                </c:pt>
                <c:pt idx="4">
                  <c:v>0.12000000000000005</c:v>
                </c:pt>
                <c:pt idx="5">
                  <c:v>0.16000000000000006</c:v>
                </c:pt>
                <c:pt idx="6">
                  <c:v>0.28000000000000008</c:v>
                </c:pt>
                <c:pt idx="7">
                  <c:v>0.48000000000000009</c:v>
                </c:pt>
                <c:pt idx="8">
                  <c:v>0.76000000000000023</c:v>
                </c:pt>
                <c:pt idx="9">
                  <c:v>1.1200000000000001</c:v>
                </c:pt>
                <c:pt idx="10">
                  <c:v>1.5600000000000003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8E-4673-BE4E-9B8822041CB7}"/>
            </c:ext>
          </c:extLst>
        </c:ser>
        <c:ser>
          <c:idx val="4"/>
          <c:order val="4"/>
          <c:tx>
            <c:strRef>
              <c:f>Surface!$A$7</c:f>
              <c:strCache>
                <c:ptCount val="1"/>
                <c:pt idx="0">
                  <c:v>-0.2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Surface!$B$7:$L$7</c:f>
              <c:numCache>
                <c:formatCode>General</c:formatCode>
                <c:ptCount val="11"/>
                <c:pt idx="0">
                  <c:v>0.84</c:v>
                </c:pt>
                <c:pt idx="1">
                  <c:v>0.52000000000000013</c:v>
                </c:pt>
                <c:pt idx="2">
                  <c:v>0.28000000000000008</c:v>
                </c:pt>
                <c:pt idx="3">
                  <c:v>0.12000000000000005</c:v>
                </c:pt>
                <c:pt idx="4">
                  <c:v>4.0000000000000029E-2</c:v>
                </c:pt>
                <c:pt idx="5">
                  <c:v>4.0000000000000029E-2</c:v>
                </c:pt>
                <c:pt idx="6">
                  <c:v>0.12000000000000005</c:v>
                </c:pt>
                <c:pt idx="7">
                  <c:v>0.28000000000000008</c:v>
                </c:pt>
                <c:pt idx="8">
                  <c:v>0.52000000000000024</c:v>
                </c:pt>
                <c:pt idx="9">
                  <c:v>0.84000000000000019</c:v>
                </c:pt>
                <c:pt idx="10">
                  <c:v>1.2400000000000002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8E-4673-BE4E-9B8822041CB7}"/>
            </c:ext>
          </c:extLst>
        </c:ser>
        <c:ser>
          <c:idx val="5"/>
          <c:order val="5"/>
          <c:tx>
            <c:strRef>
              <c:f>Surface!$A$8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Surface!$B$8:$L$8</c:f>
              <c:numCache>
                <c:formatCode>General</c:formatCode>
                <c:ptCount val="11"/>
                <c:pt idx="0">
                  <c:v>1</c:v>
                </c:pt>
                <c:pt idx="1">
                  <c:v>0.64000000000000012</c:v>
                </c:pt>
                <c:pt idx="2">
                  <c:v>0.3600000000000001</c:v>
                </c:pt>
                <c:pt idx="3">
                  <c:v>0.16000000000000006</c:v>
                </c:pt>
                <c:pt idx="4">
                  <c:v>4.0000000000000029E-2</c:v>
                </c:pt>
                <c:pt idx="5">
                  <c:v>0</c:v>
                </c:pt>
                <c:pt idx="6">
                  <c:v>4.0000000000000008E-2</c:v>
                </c:pt>
                <c:pt idx="7">
                  <c:v>0.16000000000000003</c:v>
                </c:pt>
                <c:pt idx="8">
                  <c:v>0.3600000000000001</c:v>
                </c:pt>
                <c:pt idx="9">
                  <c:v>0.64000000000000012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8E-4673-BE4E-9B8822041CB7}"/>
            </c:ext>
          </c:extLst>
        </c:ser>
        <c:ser>
          <c:idx val="6"/>
          <c:order val="6"/>
          <c:tx>
            <c:strRef>
              <c:f>Surface!$A$9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Surface!$B$9:$L$9</c:f>
              <c:numCache>
                <c:formatCode>General</c:formatCode>
                <c:ptCount val="11"/>
                <c:pt idx="0">
                  <c:v>1.24</c:v>
                </c:pt>
                <c:pt idx="1">
                  <c:v>0.84000000000000019</c:v>
                </c:pt>
                <c:pt idx="2">
                  <c:v>0.52000000000000013</c:v>
                </c:pt>
                <c:pt idx="3">
                  <c:v>0.28000000000000008</c:v>
                </c:pt>
                <c:pt idx="4">
                  <c:v>0.12000000000000005</c:v>
                </c:pt>
                <c:pt idx="5">
                  <c:v>4.0000000000000008E-2</c:v>
                </c:pt>
                <c:pt idx="6">
                  <c:v>4.0000000000000008E-2</c:v>
                </c:pt>
                <c:pt idx="7">
                  <c:v>0.12000000000000002</c:v>
                </c:pt>
                <c:pt idx="8">
                  <c:v>0.28000000000000014</c:v>
                </c:pt>
                <c:pt idx="9">
                  <c:v>0.52000000000000013</c:v>
                </c:pt>
                <c:pt idx="10">
                  <c:v>0.84000000000000008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8E-4673-BE4E-9B8822041CB7}"/>
            </c:ext>
          </c:extLst>
        </c:ser>
        <c:ser>
          <c:idx val="7"/>
          <c:order val="7"/>
          <c:tx>
            <c:strRef>
              <c:f>Surface!$A$10</c:f>
              <c:strCache>
                <c:ptCount val="1"/>
                <c:pt idx="0">
                  <c:v>0.4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Surface!$B$10:$L$10</c:f>
              <c:numCache>
                <c:formatCode>General</c:formatCode>
                <c:ptCount val="11"/>
                <c:pt idx="0">
                  <c:v>1.56</c:v>
                </c:pt>
                <c:pt idx="1">
                  <c:v>1.1200000000000001</c:v>
                </c:pt>
                <c:pt idx="2">
                  <c:v>0.76000000000000023</c:v>
                </c:pt>
                <c:pt idx="3">
                  <c:v>0.48000000000000009</c:v>
                </c:pt>
                <c:pt idx="4">
                  <c:v>0.28000000000000008</c:v>
                </c:pt>
                <c:pt idx="5">
                  <c:v>0.16000000000000003</c:v>
                </c:pt>
                <c:pt idx="6">
                  <c:v>0.12000000000000002</c:v>
                </c:pt>
                <c:pt idx="7">
                  <c:v>0.16000000000000003</c:v>
                </c:pt>
                <c:pt idx="8">
                  <c:v>0.28000000000000008</c:v>
                </c:pt>
                <c:pt idx="9">
                  <c:v>0.48000000000000009</c:v>
                </c:pt>
                <c:pt idx="10">
                  <c:v>0.76000000000000012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8E-4673-BE4E-9B8822041CB7}"/>
            </c:ext>
          </c:extLst>
        </c:ser>
        <c:ser>
          <c:idx val="8"/>
          <c:order val="8"/>
          <c:tx>
            <c:strRef>
              <c:f>Surface!$A$11</c:f>
              <c:strCache>
                <c:ptCount val="1"/>
                <c:pt idx="0">
                  <c:v>0.6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Surface!$B$11:$L$11</c:f>
              <c:numCache>
                <c:formatCode>General</c:formatCode>
                <c:ptCount val="11"/>
                <c:pt idx="0">
                  <c:v>1.9600000000000002</c:v>
                </c:pt>
                <c:pt idx="1">
                  <c:v>1.4800000000000004</c:v>
                </c:pt>
                <c:pt idx="2">
                  <c:v>1.0800000000000003</c:v>
                </c:pt>
                <c:pt idx="3">
                  <c:v>0.76000000000000023</c:v>
                </c:pt>
                <c:pt idx="4">
                  <c:v>0.52000000000000024</c:v>
                </c:pt>
                <c:pt idx="5">
                  <c:v>0.3600000000000001</c:v>
                </c:pt>
                <c:pt idx="6">
                  <c:v>0.28000000000000014</c:v>
                </c:pt>
                <c:pt idx="7">
                  <c:v>0.28000000000000008</c:v>
                </c:pt>
                <c:pt idx="8">
                  <c:v>0.3600000000000001</c:v>
                </c:pt>
                <c:pt idx="9">
                  <c:v>0.52000000000000013</c:v>
                </c:pt>
                <c:pt idx="10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8E-4673-BE4E-9B8822041CB7}"/>
            </c:ext>
          </c:extLst>
        </c:ser>
        <c:ser>
          <c:idx val="9"/>
          <c:order val="9"/>
          <c:tx>
            <c:strRef>
              <c:f>Surface!$A$12</c:f>
              <c:strCache>
                <c:ptCount val="1"/>
                <c:pt idx="0">
                  <c:v>0.8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Surface!$B$12:$L$12</c:f>
              <c:numCache>
                <c:formatCode>General</c:formatCode>
                <c:ptCount val="11"/>
                <c:pt idx="0">
                  <c:v>2.4400000000000004</c:v>
                </c:pt>
                <c:pt idx="1">
                  <c:v>1.9200000000000004</c:v>
                </c:pt>
                <c:pt idx="2">
                  <c:v>1.4800000000000004</c:v>
                </c:pt>
                <c:pt idx="3">
                  <c:v>1.1200000000000001</c:v>
                </c:pt>
                <c:pt idx="4">
                  <c:v>0.84000000000000019</c:v>
                </c:pt>
                <c:pt idx="5">
                  <c:v>0.64000000000000012</c:v>
                </c:pt>
                <c:pt idx="6">
                  <c:v>0.52000000000000013</c:v>
                </c:pt>
                <c:pt idx="7">
                  <c:v>0.48000000000000009</c:v>
                </c:pt>
                <c:pt idx="8">
                  <c:v>0.52000000000000013</c:v>
                </c:pt>
                <c:pt idx="9">
                  <c:v>0.64000000000000012</c:v>
                </c:pt>
                <c:pt idx="10">
                  <c:v>0.84000000000000008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8E-4673-BE4E-9B8822041CB7}"/>
            </c:ext>
          </c:extLst>
        </c:ser>
        <c:ser>
          <c:idx val="10"/>
          <c:order val="10"/>
          <c:tx>
            <c:strRef>
              <c:f>Surface!$A$13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Surface!$B$2:$L$2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Surface!$B$13:$L$13</c:f>
              <c:numCache>
                <c:formatCode>General</c:formatCode>
                <c:ptCount val="11"/>
                <c:pt idx="0">
                  <c:v>3</c:v>
                </c:pt>
                <c:pt idx="1">
                  <c:v>2.4400000000000004</c:v>
                </c:pt>
                <c:pt idx="2">
                  <c:v>1.9600000000000002</c:v>
                </c:pt>
                <c:pt idx="3">
                  <c:v>1.5600000000000003</c:v>
                </c:pt>
                <c:pt idx="4">
                  <c:v>1.2400000000000002</c:v>
                </c:pt>
                <c:pt idx="5">
                  <c:v>1</c:v>
                </c:pt>
                <c:pt idx="6">
                  <c:v>0.84000000000000008</c:v>
                </c:pt>
                <c:pt idx="7">
                  <c:v>0.76000000000000012</c:v>
                </c:pt>
                <c:pt idx="8">
                  <c:v>0.76</c:v>
                </c:pt>
                <c:pt idx="9">
                  <c:v>0.84000000000000008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8E-4673-BE4E-9B8822041CB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843912464"/>
        <c:axId val="843906640"/>
        <c:axId val="1233823968"/>
      </c:surface3DChart>
      <c:catAx>
        <c:axId val="84391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06640"/>
        <c:crosses val="autoZero"/>
        <c:auto val="1"/>
        <c:lblAlgn val="ctr"/>
        <c:lblOffset val="100"/>
        <c:noMultiLvlLbl val="0"/>
      </c:catAx>
      <c:valAx>
        <c:axId val="8439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12464"/>
        <c:crosses val="autoZero"/>
        <c:crossBetween val="midCat"/>
      </c:valAx>
      <c:serAx>
        <c:axId val="1233823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06640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f(x,y) = x^2 + y^4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1'!$A$5</c:f>
              <c:strCache>
                <c:ptCount val="1"/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1'!$B$5:$L$5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1130-4AE3-8593-132FCEAB53C1}"/>
            </c:ext>
          </c:extLst>
        </c:ser>
        <c:ser>
          <c:idx val="1"/>
          <c:order val="1"/>
          <c:tx>
            <c:strRef>
              <c:f>'Surface 1'!$A$6</c:f>
              <c:strCache>
                <c:ptCount val="1"/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1'!$B$6:$L$6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130-4AE3-8593-132FCEAB53C1}"/>
            </c:ext>
          </c:extLst>
        </c:ser>
        <c:ser>
          <c:idx val="2"/>
          <c:order val="2"/>
          <c:tx>
            <c:strRef>
              <c:f>'Surface 1'!$A$7</c:f>
              <c:strCache>
                <c:ptCount val="1"/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1'!$B$7:$L$7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1130-4AE3-8593-132FCEAB53C1}"/>
            </c:ext>
          </c:extLst>
        </c:ser>
        <c:ser>
          <c:idx val="3"/>
          <c:order val="3"/>
          <c:tx>
            <c:strRef>
              <c:f>'Surface 1'!$A$8</c:f>
              <c:strCache>
                <c:ptCount val="1"/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1'!$B$8:$L$8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1130-4AE3-8593-132FCEAB53C1}"/>
            </c:ext>
          </c:extLst>
        </c:ser>
        <c:ser>
          <c:idx val="4"/>
          <c:order val="4"/>
          <c:tx>
            <c:strRef>
              <c:f>'Surface 1'!$A$9</c:f>
              <c:strCache>
                <c:ptCount val="1"/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1'!$B$9:$L$9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1130-4AE3-8593-132FCEAB53C1}"/>
            </c:ext>
          </c:extLst>
        </c:ser>
        <c:ser>
          <c:idx val="5"/>
          <c:order val="5"/>
          <c:tx>
            <c:strRef>
              <c:f>'Surface 1'!$A$10</c:f>
              <c:strCache>
                <c:ptCount val="1"/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1'!$B$10:$L$10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1130-4AE3-8593-132FCEAB53C1}"/>
            </c:ext>
          </c:extLst>
        </c:ser>
        <c:ser>
          <c:idx val="6"/>
          <c:order val="6"/>
          <c:tx>
            <c:strRef>
              <c:f>'Surface 1'!$A$11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1'!$B$11:$L$11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6-1130-4AE3-8593-132FCEAB53C1}"/>
            </c:ext>
          </c:extLst>
        </c:ser>
        <c:ser>
          <c:idx val="7"/>
          <c:order val="7"/>
          <c:tx>
            <c:strRef>
              <c:f>'Surface 1'!$A$12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1'!$B$12:$L$12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7-1130-4AE3-8593-132FCEAB53C1}"/>
            </c:ext>
          </c:extLst>
        </c:ser>
        <c:ser>
          <c:idx val="8"/>
          <c:order val="8"/>
          <c:tx>
            <c:strRef>
              <c:f>'Surface 1'!$A$13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1'!$B$13:$L$13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8-1130-4AE3-8593-132FCEAB53C1}"/>
            </c:ext>
          </c:extLst>
        </c:ser>
        <c:ser>
          <c:idx val="9"/>
          <c:order val="9"/>
          <c:tx>
            <c:strRef>
              <c:f>'Surface 1'!$A$14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1'!$B$14:$L$14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9-1130-4AE3-8593-132FCEAB53C1}"/>
            </c:ext>
          </c:extLst>
        </c:ser>
        <c:ser>
          <c:idx val="10"/>
          <c:order val="10"/>
          <c:tx>
            <c:strRef>
              <c:f>'Surface 1'!$A$15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'Surface 1'!$B$4:$L$4</c:f>
              <c:numCache>
                <c:formatCode>General</c:formatCode>
                <c:ptCount val="11"/>
              </c:numCache>
            </c:numRef>
          </c:cat>
          <c:val>
            <c:numRef>
              <c:f>'Surface 1'!$B$15:$L$15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A-1130-4AE3-8593-132FCEAB53C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97273344"/>
        <c:axId val="397272512"/>
        <c:axId val="833145984"/>
      </c:surface3DChart>
      <c:catAx>
        <c:axId val="39727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72512"/>
        <c:crosses val="autoZero"/>
        <c:auto val="1"/>
        <c:lblAlgn val="ctr"/>
        <c:lblOffset val="100"/>
        <c:noMultiLvlLbl val="0"/>
      </c:catAx>
      <c:valAx>
        <c:axId val="3972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73344"/>
        <c:crosses val="autoZero"/>
        <c:crossBetween val="midCat"/>
      </c:valAx>
      <c:serAx>
        <c:axId val="833145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72512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f(x,y) = x^2 + y^4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2'!$A$5</c:f>
              <c:strCache>
                <c:ptCount val="1"/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2'!$B$5:$N$5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D803-4431-8C64-C0FE3F3857AD}"/>
            </c:ext>
          </c:extLst>
        </c:ser>
        <c:ser>
          <c:idx val="1"/>
          <c:order val="1"/>
          <c:tx>
            <c:strRef>
              <c:f>'Surface 2'!$A$6</c:f>
              <c:strCache>
                <c:ptCount val="1"/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2'!$B$6:$N$6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D803-4431-8C64-C0FE3F3857AD}"/>
            </c:ext>
          </c:extLst>
        </c:ser>
        <c:ser>
          <c:idx val="2"/>
          <c:order val="2"/>
          <c:tx>
            <c:strRef>
              <c:f>'Surface 2'!$A$7</c:f>
              <c:strCache>
                <c:ptCount val="1"/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2'!$B$7:$N$7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D803-4431-8C64-C0FE3F3857AD}"/>
            </c:ext>
          </c:extLst>
        </c:ser>
        <c:ser>
          <c:idx val="3"/>
          <c:order val="3"/>
          <c:tx>
            <c:strRef>
              <c:f>'Surface 2'!$A$8</c:f>
              <c:strCache>
                <c:ptCount val="1"/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2'!$B$8:$N$8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D803-4431-8C64-C0FE3F3857AD}"/>
            </c:ext>
          </c:extLst>
        </c:ser>
        <c:ser>
          <c:idx val="4"/>
          <c:order val="4"/>
          <c:tx>
            <c:strRef>
              <c:f>'Surface 2'!$A$9</c:f>
              <c:strCache>
                <c:ptCount val="1"/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2'!$B$9:$N$9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4-D803-4431-8C64-C0FE3F3857AD}"/>
            </c:ext>
          </c:extLst>
        </c:ser>
        <c:ser>
          <c:idx val="5"/>
          <c:order val="5"/>
          <c:tx>
            <c:strRef>
              <c:f>'Surface 2'!$A$10</c:f>
              <c:strCache>
                <c:ptCount val="1"/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2'!$B$10:$N$10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5-D803-4431-8C64-C0FE3F3857AD}"/>
            </c:ext>
          </c:extLst>
        </c:ser>
        <c:ser>
          <c:idx val="6"/>
          <c:order val="6"/>
          <c:tx>
            <c:strRef>
              <c:f>'Surface 2'!$A$11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2'!$B$11:$N$11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6-D803-4431-8C64-C0FE3F3857AD}"/>
            </c:ext>
          </c:extLst>
        </c:ser>
        <c:ser>
          <c:idx val="7"/>
          <c:order val="7"/>
          <c:tx>
            <c:strRef>
              <c:f>'Surface 2'!$A$12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2'!$B$12:$N$12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7-D803-4431-8C64-C0FE3F3857AD}"/>
            </c:ext>
          </c:extLst>
        </c:ser>
        <c:ser>
          <c:idx val="8"/>
          <c:order val="8"/>
          <c:tx>
            <c:strRef>
              <c:f>'Surface 2'!$A$13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2'!$B$13:$N$13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8-D803-4431-8C64-C0FE3F3857AD}"/>
            </c:ext>
          </c:extLst>
        </c:ser>
        <c:ser>
          <c:idx val="9"/>
          <c:order val="9"/>
          <c:tx>
            <c:strRef>
              <c:f>'Surface 2'!$A$14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2'!$B$14:$N$14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9-D803-4431-8C64-C0FE3F3857AD}"/>
            </c:ext>
          </c:extLst>
        </c:ser>
        <c:ser>
          <c:idx val="10"/>
          <c:order val="10"/>
          <c:tx>
            <c:strRef>
              <c:f>'Surface 2'!$A$15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'Surface 2'!$B$4:$N$4</c:f>
              <c:numCache>
                <c:formatCode>General</c:formatCode>
                <c:ptCount val="13"/>
              </c:numCache>
            </c:numRef>
          </c:cat>
          <c:val>
            <c:numRef>
              <c:f>'Surface 2'!$B$15:$N$15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A-D803-4431-8C64-C0FE3F3857A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543303920"/>
        <c:axId val="1543304752"/>
        <c:axId val="925986240"/>
      </c:surface3DChart>
      <c:catAx>
        <c:axId val="154330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4752"/>
        <c:crosses val="autoZero"/>
        <c:auto val="1"/>
        <c:lblAlgn val="ctr"/>
        <c:lblOffset val="100"/>
        <c:noMultiLvlLbl val="0"/>
      </c:catAx>
      <c:valAx>
        <c:axId val="15433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3920"/>
        <c:crosses val="autoZero"/>
        <c:crossBetween val="midCat"/>
      </c:valAx>
      <c:serAx>
        <c:axId val="925986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4752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f(x,y) = x</a:t>
            </a:r>
            <a:r>
              <a:rPr lang="en-US" baseline="30000"/>
              <a:t>2</a:t>
            </a:r>
            <a:r>
              <a:rPr lang="en-US"/>
              <a:t> + y</a:t>
            </a:r>
            <a:r>
              <a:rPr lang="en-US" baseline="30000"/>
              <a:t>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3'!$B$4</c:f>
              <c:strCache>
                <c:ptCount val="1"/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3'!$B$5:$B$18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690-44F8-937A-B43EAB017A93}"/>
            </c:ext>
          </c:extLst>
        </c:ser>
        <c:ser>
          <c:idx val="1"/>
          <c:order val="1"/>
          <c:tx>
            <c:strRef>
              <c:f>'Surface 3'!$C$4</c:f>
              <c:strCache>
                <c:ptCount val="1"/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3'!$C$5:$C$18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1-E690-44F8-937A-B43EAB017A93}"/>
            </c:ext>
          </c:extLst>
        </c:ser>
        <c:ser>
          <c:idx val="2"/>
          <c:order val="2"/>
          <c:tx>
            <c:strRef>
              <c:f>'Surface 3'!$D$4</c:f>
              <c:strCache>
                <c:ptCount val="1"/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3'!$D$5:$D$18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690-44F8-937A-B43EAB017A93}"/>
            </c:ext>
          </c:extLst>
        </c:ser>
        <c:ser>
          <c:idx val="3"/>
          <c:order val="3"/>
          <c:tx>
            <c:strRef>
              <c:f>'Surface 3'!$E$4</c:f>
              <c:strCache>
                <c:ptCount val="1"/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3'!$E$5:$E$18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690-44F8-937A-B43EAB017A93}"/>
            </c:ext>
          </c:extLst>
        </c:ser>
        <c:ser>
          <c:idx val="4"/>
          <c:order val="4"/>
          <c:tx>
            <c:strRef>
              <c:f>'Surface 3'!$F$4</c:f>
              <c:strCache>
                <c:ptCount val="1"/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3'!$F$5:$F$18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690-44F8-937A-B43EAB017A93}"/>
            </c:ext>
          </c:extLst>
        </c:ser>
        <c:ser>
          <c:idx val="5"/>
          <c:order val="5"/>
          <c:tx>
            <c:strRef>
              <c:f>'Surface 3'!$G$4</c:f>
              <c:strCache>
                <c:ptCount val="1"/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3'!$G$5:$G$18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690-44F8-937A-B43EAB017A93}"/>
            </c:ext>
          </c:extLst>
        </c:ser>
        <c:ser>
          <c:idx val="6"/>
          <c:order val="6"/>
          <c:tx>
            <c:strRef>
              <c:f>'Surface 3'!$H$4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3'!$H$5:$H$18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690-44F8-937A-B43EAB017A93}"/>
            </c:ext>
          </c:extLst>
        </c:ser>
        <c:ser>
          <c:idx val="7"/>
          <c:order val="7"/>
          <c:tx>
            <c:strRef>
              <c:f>'Surface 3'!$I$4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3'!$I$5:$I$18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690-44F8-937A-B43EAB017A93}"/>
            </c:ext>
          </c:extLst>
        </c:ser>
        <c:ser>
          <c:idx val="8"/>
          <c:order val="8"/>
          <c:tx>
            <c:strRef>
              <c:f>'Surface 3'!$J$4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3'!$J$5:$J$18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690-44F8-937A-B43EAB017A93}"/>
            </c:ext>
          </c:extLst>
        </c:ser>
        <c:ser>
          <c:idx val="9"/>
          <c:order val="9"/>
          <c:tx>
            <c:strRef>
              <c:f>'Surface 3'!$K$4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3'!$K$5:$K$18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9-E690-44F8-937A-B43EAB017A93}"/>
            </c:ext>
          </c:extLst>
        </c:ser>
        <c:ser>
          <c:idx val="10"/>
          <c:order val="10"/>
          <c:tx>
            <c:strRef>
              <c:f>'Surface 3'!$L$4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3'!$L$5:$L$18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A-E690-44F8-937A-B43EAB017A93}"/>
            </c:ext>
          </c:extLst>
        </c:ser>
        <c:ser>
          <c:idx val="11"/>
          <c:order val="11"/>
          <c:tx>
            <c:strRef>
              <c:f>'Surface 3'!$M$4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'Surface 3'!$A$5:$A$18</c:f>
              <c:numCache>
                <c:formatCode>General</c:formatCode>
                <c:ptCount val="14"/>
              </c:numCache>
            </c:numRef>
          </c:cat>
          <c:val>
            <c:numRef>
              <c:f>'Surface 3'!$M$5:$M$18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B-E690-44F8-937A-B43EAB017A9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348058288"/>
        <c:axId val="1348052048"/>
        <c:axId val="1327935360"/>
      </c:surface3DChart>
      <c:catAx>
        <c:axId val="134805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052048"/>
        <c:crosses val="autoZero"/>
        <c:auto val="1"/>
        <c:lblAlgn val="ctr"/>
        <c:lblOffset val="100"/>
        <c:noMultiLvlLbl val="0"/>
      </c:catAx>
      <c:valAx>
        <c:axId val="13480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058288"/>
        <c:crosses val="autoZero"/>
        <c:crossBetween val="midCat"/>
      </c:valAx>
      <c:serAx>
        <c:axId val="1327935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052048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400050</xdr:colOff>
      <xdr:row>3</xdr:row>
      <xdr:rowOff>171450</xdr:rowOff>
    </xdr:from>
    <xdr:to>
      <xdr:col>18</xdr:col>
      <xdr:colOff>501843</xdr:colOff>
      <xdr:row>11</xdr:row>
      <xdr:rowOff>127073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60E6C-B4A3-4627-A5DA-D21A0EFA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723900"/>
          <a:ext cx="3759393" cy="1428823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12</xdr:row>
      <xdr:rowOff>146050</xdr:rowOff>
    </xdr:from>
    <xdr:to>
      <xdr:col>18</xdr:col>
      <xdr:colOff>177968</xdr:colOff>
      <xdr:row>20</xdr:row>
      <xdr:rowOff>127075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4259F-E289-4736-AC55-2AB5A4981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2355850"/>
          <a:ext cx="3264068" cy="145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34925</xdr:colOff>
      <xdr:row>4</xdr:row>
      <xdr:rowOff>104775</xdr:rowOff>
    </xdr:from>
    <xdr:to>
      <xdr:col>19</xdr:col>
      <xdr:colOff>339725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894C6-92F3-4D73-B4A2-1AEF53986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0</xdr:row>
      <xdr:rowOff>171450</xdr:rowOff>
    </xdr:from>
    <xdr:to>
      <xdr:col>14</xdr:col>
      <xdr:colOff>523875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AE7B2-6506-4735-B317-2B02EE9F9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1</xdr:row>
      <xdr:rowOff>122237</xdr:rowOff>
    </xdr:from>
    <xdr:to>
      <xdr:col>12</xdr:col>
      <xdr:colOff>387350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E91A8-977F-4912-A71C-E43913818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358775</xdr:colOff>
      <xdr:row>1</xdr:row>
      <xdr:rowOff>142875</xdr:rowOff>
    </xdr:from>
    <xdr:to>
      <xdr:col>10</xdr:col>
      <xdr:colOff>53975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29CA9-35CE-4323-BBEF-1DC3C4428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358775</xdr:colOff>
      <xdr:row>1</xdr:row>
      <xdr:rowOff>142875</xdr:rowOff>
    </xdr:from>
    <xdr:to>
      <xdr:col>10</xdr:col>
      <xdr:colOff>53975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35921-B397-45D7-A401-DF376B03B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104775</xdr:rowOff>
    </xdr:from>
    <xdr:to>
      <xdr:col>9</xdr:col>
      <xdr:colOff>371475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6BDC7-FE89-43D9-B865-494C0BE1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3</xdr:row>
      <xdr:rowOff>53975</xdr:rowOff>
    </xdr:from>
    <xdr:to>
      <xdr:col>9</xdr:col>
      <xdr:colOff>377825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60BF4-4983-4EDA-8B29-712A66B79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149225</xdr:colOff>
      <xdr:row>0</xdr:row>
      <xdr:rowOff>88900</xdr:rowOff>
    </xdr:from>
    <xdr:to>
      <xdr:col>10</xdr:col>
      <xdr:colOff>454025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8E34E-687C-4153-9EE5-3BD0B628A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149225</xdr:colOff>
      <xdr:row>0</xdr:row>
      <xdr:rowOff>95250</xdr:rowOff>
    </xdr:from>
    <xdr:to>
      <xdr:col>19</xdr:col>
      <xdr:colOff>454025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98553-8577-44FD-9FF1-1D46AE731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498475</xdr:colOff>
      <xdr:row>3</xdr:row>
      <xdr:rowOff>19050</xdr:rowOff>
    </xdr:from>
    <xdr:to>
      <xdr:col>20</xdr:col>
      <xdr:colOff>193675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BEBF4-ED80-43CD-A819-6D24A3E70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193675</xdr:colOff>
      <xdr:row>1</xdr:row>
      <xdr:rowOff>88900</xdr:rowOff>
    </xdr:from>
    <xdr:to>
      <xdr:col>21</xdr:col>
      <xdr:colOff>498475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5E440-552D-4FEC-8899-E03AB0039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136525</xdr:colOff>
      <xdr:row>3</xdr:row>
      <xdr:rowOff>25400</xdr:rowOff>
    </xdr:from>
    <xdr:to>
      <xdr:col>20</xdr:col>
      <xdr:colOff>441325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A853D4-3A7F-4789-87F9-47ADA4770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%20Statistics%20Multivariate%20Examples%202%20Februar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0"/>
      <sheetName val="TOC"/>
      <sheetName val="Desc"/>
      <sheetName val="Ellipse"/>
      <sheetName val="Ellipse 2"/>
      <sheetName val="Bivar"/>
      <sheetName val="Bivar 1"/>
      <sheetName val="Hotel 1"/>
      <sheetName val="Hotel 2P"/>
      <sheetName val="Hotel 2"/>
      <sheetName val="Hotel 2a"/>
      <sheetName val="Hotel 2b"/>
      <sheetName val="Hotel 3"/>
      <sheetName val="Hotel 3a"/>
      <sheetName val="Hotel 3b"/>
      <sheetName val="Rep Measures 1"/>
      <sheetName val="Rep Measures 2"/>
      <sheetName val="Rep Measures 3"/>
      <sheetName val="Hot1 Power"/>
      <sheetName val="Hot2 Power"/>
      <sheetName val="Box 2"/>
      <sheetName val="Box 2a"/>
      <sheetName val="Box 3a"/>
      <sheetName val="Box 3b"/>
      <sheetName val="Manova 1"/>
      <sheetName val="Manova 1a"/>
      <sheetName val="Manova 1b"/>
      <sheetName val="Manova 1c"/>
      <sheetName val="Manova 1d"/>
      <sheetName val="Manova 1e"/>
      <sheetName val="Manova 1f"/>
      <sheetName val="Manova 1g"/>
      <sheetName val="Manova 1h"/>
      <sheetName val="Manova 1i"/>
      <sheetName val="Manova 1j"/>
      <sheetName val="Manova 1k"/>
      <sheetName val="Manova2"/>
      <sheetName val="Man Power"/>
      <sheetName val="Man2 Power"/>
      <sheetName val="PMANOVA1"/>
      <sheetName val="PMANOVA2"/>
      <sheetName val="PMANOVA3"/>
      <sheetName val="PANOVA"/>
      <sheetName val="Box"/>
      <sheetName val="PCA"/>
      <sheetName val="Factor"/>
      <sheetName val="Box Factor"/>
      <sheetName val="KMO"/>
      <sheetName val="Clust 1"/>
      <sheetName val="Clust 2"/>
      <sheetName val="Clust 3"/>
      <sheetName val="Clust 3a"/>
      <sheetName val="Clust 3b"/>
      <sheetName val="Clust A"/>
      <sheetName val="Clust B"/>
      <sheetName val="Clust C"/>
      <sheetName val="Clust D"/>
      <sheetName val="Clust E"/>
      <sheetName val="Clust E1"/>
      <sheetName val="Clust F"/>
      <sheetName val="Jenks 1"/>
      <sheetName val="Jenks 2"/>
      <sheetName val="Jenks 3"/>
      <sheetName val="Jenks 4"/>
      <sheetName val="Discrim 1"/>
      <sheetName val="Discrim 2"/>
      <sheetName val="Discrim 3"/>
      <sheetName val="Discrim 4"/>
      <sheetName val="CA 1"/>
      <sheetName val="CA 2"/>
      <sheetName val="CA 3"/>
      <sheetName val="CA 4"/>
      <sheetName val="Fact PCA"/>
      <sheetName val="PAF Comm"/>
      <sheetName val="Fact P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44">
          <cell r="B44">
            <v>0.1844378805524543</v>
          </cell>
          <cell r="C44">
            <v>-0.76673944089161195</v>
          </cell>
          <cell r="D44">
            <v>-0.27758481196282242</v>
          </cell>
          <cell r="E44">
            <v>-0.11515839253508237</v>
          </cell>
        </row>
        <row r="45">
          <cell r="B45">
            <v>-0.69848518848974095</v>
          </cell>
          <cell r="C45">
            <v>0.30363015858216291</v>
          </cell>
          <cell r="D45">
            <v>-0.19538523477740502</v>
          </cell>
          <cell r="E45">
            <v>0.26479923502475183</v>
          </cell>
        </row>
        <row r="46">
          <cell r="B46">
            <v>-0.75409390641255714</v>
          </cell>
          <cell r="C46">
            <v>-0.34865162907379493</v>
          </cell>
          <cell r="D46">
            <v>-0.20204851885995068</v>
          </cell>
          <cell r="E46">
            <v>0.30587511636389098</v>
          </cell>
        </row>
        <row r="47">
          <cell r="B47">
            <v>-0.36597842708944234</v>
          </cell>
          <cell r="C47">
            <v>-0.16252503821235828</v>
          </cell>
          <cell r="D47">
            <v>-0.19730233536299194</v>
          </cell>
          <cell r="E47">
            <v>-0.84984515758013812</v>
          </cell>
        </row>
        <row r="48">
          <cell r="B48">
            <v>-0.57816295036903409</v>
          </cell>
          <cell r="C48">
            <v>-4.4133810816554792E-2</v>
          </cell>
          <cell r="D48">
            <v>0.45272186814134935</v>
          </cell>
          <cell r="E48">
            <v>-0.15789519627101323</v>
          </cell>
        </row>
        <row r="49">
          <cell r="B49">
            <v>-0.29966683800483013</v>
          </cell>
          <cell r="C49">
            <v>-3.0388016666013516E-2</v>
          </cell>
          <cell r="D49">
            <v>0.77085649526291034</v>
          </cell>
          <cell r="E49">
            <v>-6.3738785374645737E-2</v>
          </cell>
        </row>
        <row r="50">
          <cell r="B50">
            <v>-0.81718661596991127</v>
          </cell>
          <cell r="C50">
            <v>-0.23935266908492522</v>
          </cell>
          <cell r="D50">
            <v>-0.19451473035327382</v>
          </cell>
          <cell r="E50">
            <v>0.1664342445594475</v>
          </cell>
        </row>
        <row r="51">
          <cell r="B51">
            <v>-0.687892728351156</v>
          </cell>
          <cell r="C51">
            <v>-3.5303982803742376E-2</v>
          </cell>
          <cell r="D51">
            <v>0.11603236905930761</v>
          </cell>
          <cell r="E51">
            <v>-0.11762701672464819</v>
          </cell>
        </row>
        <row r="52">
          <cell r="B52">
            <v>-0.30145846294129242</v>
          </cell>
          <cell r="C52">
            <v>0.74107631451599554</v>
          </cell>
          <cell r="D52">
            <v>-0.34419877868563109</v>
          </cell>
          <cell r="E52">
            <v>-0.23397915226319332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A23"/>
  <sheetViews>
    <sheetView workbookViewId="0">
      <selection activeCell="A13" sqref="A13"/>
    </sheetView>
  </sheetViews>
  <sheetFormatPr defaultRowHeight="14.5" x14ac:dyDescent="0.35"/>
  <cols>
    <col min="1" max="1" width="50.26953125" customWidth="1"/>
  </cols>
  <sheetData>
    <row r="1" spans="1:1" x14ac:dyDescent="0.35">
      <c r="A1" s="10" t="s">
        <v>207</v>
      </c>
    </row>
    <row r="2" spans="1:1" x14ac:dyDescent="0.35">
      <c r="A2" s="10" t="s">
        <v>648</v>
      </c>
    </row>
    <row r="3" spans="1:1" x14ac:dyDescent="0.35">
      <c r="A3" s="10"/>
    </row>
    <row r="4" spans="1:1" x14ac:dyDescent="0.35">
      <c r="A4" s="41" t="s">
        <v>177</v>
      </c>
    </row>
    <row r="6" spans="1:1" x14ac:dyDescent="0.35">
      <c r="A6" s="10" t="s">
        <v>9</v>
      </c>
    </row>
    <row r="7" spans="1:1" x14ac:dyDescent="0.35">
      <c r="A7" s="10"/>
    </row>
    <row r="8" spans="1:1" x14ac:dyDescent="0.35">
      <c r="A8" s="42" t="s">
        <v>557</v>
      </c>
    </row>
    <row r="9" spans="1:1" x14ac:dyDescent="0.35">
      <c r="A9" s="42" t="s">
        <v>471</v>
      </c>
    </row>
    <row r="10" spans="1:1" x14ac:dyDescent="0.35">
      <c r="A10" s="42" t="s">
        <v>333</v>
      </c>
    </row>
    <row r="11" spans="1:1" x14ac:dyDescent="0.35">
      <c r="A11" s="42" t="s">
        <v>586</v>
      </c>
    </row>
    <row r="12" spans="1:1" x14ac:dyDescent="0.35">
      <c r="A12" s="42" t="s">
        <v>587</v>
      </c>
    </row>
    <row r="13" spans="1:1" x14ac:dyDescent="0.35">
      <c r="A13" s="42" t="s">
        <v>208</v>
      </c>
    </row>
    <row r="14" spans="1:1" x14ac:dyDescent="0.35">
      <c r="A14" s="42" t="s">
        <v>209</v>
      </c>
    </row>
    <row r="15" spans="1:1" x14ac:dyDescent="0.35">
      <c r="A15" s="42" t="s">
        <v>329</v>
      </c>
    </row>
    <row r="16" spans="1:1" s="187" customFormat="1" x14ac:dyDescent="0.35">
      <c r="A16" s="42" t="s">
        <v>654</v>
      </c>
    </row>
    <row r="17" spans="1:1" s="187" customFormat="1" x14ac:dyDescent="0.35">
      <c r="A17" s="42" t="s">
        <v>666</v>
      </c>
    </row>
    <row r="18" spans="1:1" s="187" customFormat="1" x14ac:dyDescent="0.35">
      <c r="A18" s="42" t="s">
        <v>327</v>
      </c>
    </row>
    <row r="19" spans="1:1" x14ac:dyDescent="0.35">
      <c r="A19" s="42" t="s">
        <v>385</v>
      </c>
    </row>
    <row r="20" spans="1:1" x14ac:dyDescent="0.35">
      <c r="A20" s="42" t="s">
        <v>388</v>
      </c>
    </row>
    <row r="21" spans="1:1" x14ac:dyDescent="0.35">
      <c r="A21" s="42" t="s">
        <v>447</v>
      </c>
    </row>
    <row r="22" spans="1:1" x14ac:dyDescent="0.35">
      <c r="A22" s="42" t="s">
        <v>448</v>
      </c>
    </row>
    <row r="23" spans="1:1" x14ac:dyDescent="0.35">
      <c r="A23" s="42" t="s">
        <v>588</v>
      </c>
    </row>
  </sheetData>
  <hyperlinks>
    <hyperlink ref="A13" location="TOC!A80" display="Linear Algebra" xr:uid="{00000000-0004-0000-0000-000006000000}"/>
    <hyperlink ref="A14" location="TOC!A155" display="Graph Theory" xr:uid="{A64A3ABF-CD5D-4E8F-9F48-47EEAD2A4EA3}"/>
    <hyperlink ref="A15" location="TOC!A164" display="Complex Numbers and Matrices" xr:uid="{81B93188-C59D-4715-A1B1-D4A64383128B}"/>
    <hyperlink ref="A10" location="TOC!A43" display="Roots of a Polynomial" xr:uid="{4F4F8460-E492-452B-A6FC-B7853F8EACBA}"/>
    <hyperlink ref="A19" location="TOC!A199" display="Markov Chains" xr:uid="{BB29D237-B802-44C6-AA6B-DD70E7DFD693}"/>
    <hyperlink ref="A20" location="TOC!A204" display="Prime Numbers" xr:uid="{4E854747-8B6F-4CD8-BFB9-4AAC0F6924E9}"/>
    <hyperlink ref="A8" location="TOC!A8" display="Matrices" xr:uid="{4C2B220B-D271-4CA3-9315-B5835CAAF503}"/>
    <hyperlink ref="A9" location="TOC!A31" display="Iterative Procedures" xr:uid="{5A485E57-7ECF-4334-90C7-339159CDF644}"/>
    <hyperlink ref="A11" location="TOC!A57" display="Roots of a Continuous Function" xr:uid="{38500439-0067-48FB-8315-5BDF9722F4A0}"/>
    <hyperlink ref="A12" location="TOC!A67" display="Max/Min of a Continuous Function" xr:uid="{9120EF1E-12EC-4577-AEA6-66A3977D7BCC}"/>
    <hyperlink ref="A18" location="TOC!A195" display="Spline Interpolation" xr:uid="{8834B6E1-3CE7-4D86-93F8-7F96CBA0936A}"/>
    <hyperlink ref="A21" location="TOC!A215" display="Differentiation" xr:uid="{D9675099-AE26-44AA-B723-A37DEAD8DEBD}"/>
    <hyperlink ref="A22" location="TOC!A221" display="Integration" xr:uid="{8A583D14-774C-438E-A241-C431D8B0BE6D}"/>
    <hyperlink ref="A23" location="TOC!A208" display="Surface Charts" xr:uid="{7DA36621-9D04-4ECB-AC52-54567EAA6A5B}"/>
    <hyperlink ref="A16" location="TOC!A175" display="Complex Linear Equations" xr:uid="{9ABC2D91-9479-4886-8597-34FE5D9F48DD}"/>
    <hyperlink ref="A17" location="TOC!A181" display="Complex Eigenvectors" xr:uid="{03199835-912B-4413-94C4-BDFF14805F3D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26"/>
  <sheetViews>
    <sheetView topLeftCell="A64" zoomScaleNormal="100" workbookViewId="0">
      <selection activeCell="B76" sqref="B76"/>
    </sheetView>
  </sheetViews>
  <sheetFormatPr defaultRowHeight="14.5" x14ac:dyDescent="0.35"/>
  <cols>
    <col min="1" max="1" width="3.81640625" customWidth="1"/>
    <col min="2" max="2" width="71.26953125" customWidth="1"/>
  </cols>
  <sheetData>
    <row r="1" spans="1:2" x14ac:dyDescent="0.35">
      <c r="A1" s="10" t="s">
        <v>207</v>
      </c>
    </row>
    <row r="2" spans="1:2" x14ac:dyDescent="0.35">
      <c r="A2" s="10" t="s">
        <v>648</v>
      </c>
    </row>
    <row r="3" spans="1:2" x14ac:dyDescent="0.35">
      <c r="A3" s="10"/>
    </row>
    <row r="4" spans="1:2" x14ac:dyDescent="0.35">
      <c r="A4" s="41" t="s">
        <v>177</v>
      </c>
    </row>
    <row r="6" spans="1:2" x14ac:dyDescent="0.35">
      <c r="A6" s="10" t="s">
        <v>10</v>
      </c>
    </row>
    <row r="7" spans="1:2" x14ac:dyDescent="0.35">
      <c r="A7" s="10"/>
    </row>
    <row r="8" spans="1:2" x14ac:dyDescent="0.35">
      <c r="A8" s="10" t="s">
        <v>557</v>
      </c>
    </row>
    <row r="9" spans="1:2" x14ac:dyDescent="0.35">
      <c r="A9" s="10"/>
    </row>
    <row r="10" spans="1:2" ht="15" customHeight="1" x14ac:dyDescent="0.35">
      <c r="A10" t="s">
        <v>434</v>
      </c>
      <c r="B10" s="147"/>
    </row>
    <row r="11" spans="1:2" ht="15" customHeight="1" x14ac:dyDescent="0.35">
      <c r="B11" s="147" t="s">
        <v>653</v>
      </c>
    </row>
    <row r="12" spans="1:2" ht="15" customHeight="1" x14ac:dyDescent="0.35">
      <c r="B12" s="147" t="s">
        <v>390</v>
      </c>
    </row>
    <row r="13" spans="1:2" ht="15" customHeight="1" x14ac:dyDescent="0.35">
      <c r="B13" s="147" t="s">
        <v>469</v>
      </c>
    </row>
    <row r="14" spans="1:2" ht="15" customHeight="1" x14ac:dyDescent="0.35">
      <c r="B14" s="147"/>
    </row>
    <row r="15" spans="1:2" ht="15" customHeight="1" x14ac:dyDescent="0.35">
      <c r="A15" t="s">
        <v>435</v>
      </c>
      <c r="B15" s="147"/>
    </row>
    <row r="16" spans="1:2" ht="15" customHeight="1" x14ac:dyDescent="0.35">
      <c r="B16" s="147" t="s">
        <v>436</v>
      </c>
    </row>
    <row r="17" spans="1:2" ht="15" customHeight="1" x14ac:dyDescent="0.35">
      <c r="B17" s="147" t="s">
        <v>394</v>
      </c>
    </row>
    <row r="18" spans="1:2" ht="15" customHeight="1" x14ac:dyDescent="0.35">
      <c r="B18" s="147" t="s">
        <v>467</v>
      </c>
    </row>
    <row r="19" spans="1:2" ht="15" customHeight="1" x14ac:dyDescent="0.35">
      <c r="B19" s="147"/>
    </row>
    <row r="20" spans="1:2" ht="15" customHeight="1" x14ac:dyDescent="0.35">
      <c r="A20" t="s">
        <v>437</v>
      </c>
      <c r="B20" s="147"/>
    </row>
    <row r="21" spans="1:2" ht="15" customHeight="1" x14ac:dyDescent="0.35">
      <c r="B21" s="147" t="s">
        <v>438</v>
      </c>
    </row>
    <row r="22" spans="1:2" ht="15" customHeight="1" x14ac:dyDescent="0.35">
      <c r="B22" s="147" t="s">
        <v>439</v>
      </c>
    </row>
    <row r="23" spans="1:2" ht="15" customHeight="1" x14ac:dyDescent="0.35">
      <c r="B23" s="147" t="s">
        <v>440</v>
      </c>
    </row>
    <row r="24" spans="1:2" ht="15" customHeight="1" x14ac:dyDescent="0.35">
      <c r="B24" s="147" t="s">
        <v>441</v>
      </c>
    </row>
    <row r="25" spans="1:2" ht="15" customHeight="1" x14ac:dyDescent="0.35">
      <c r="B25" s="147" t="s">
        <v>442</v>
      </c>
    </row>
    <row r="26" spans="1:2" ht="15" customHeight="1" x14ac:dyDescent="0.35">
      <c r="B26" s="147" t="s">
        <v>443</v>
      </c>
    </row>
    <row r="27" spans="1:2" ht="15" customHeight="1" x14ac:dyDescent="0.35">
      <c r="B27" s="147" t="s">
        <v>444</v>
      </c>
    </row>
    <row r="28" spans="1:2" ht="15" customHeight="1" x14ac:dyDescent="0.35">
      <c r="B28" s="147" t="s">
        <v>445</v>
      </c>
    </row>
    <row r="29" spans="1:2" ht="15" customHeight="1" x14ac:dyDescent="0.35">
      <c r="B29" s="147" t="s">
        <v>446</v>
      </c>
    </row>
    <row r="30" spans="1:2" ht="15" customHeight="1" x14ac:dyDescent="0.35">
      <c r="B30" s="147"/>
    </row>
    <row r="31" spans="1:2" ht="15" customHeight="1" x14ac:dyDescent="0.35">
      <c r="A31" s="10" t="s">
        <v>471</v>
      </c>
      <c r="B31" s="147"/>
    </row>
    <row r="32" spans="1:2" ht="15" customHeight="1" x14ac:dyDescent="0.35">
      <c r="B32" s="147"/>
    </row>
    <row r="33" spans="1:2" ht="15" customHeight="1" x14ac:dyDescent="0.35">
      <c r="A33" t="s">
        <v>472</v>
      </c>
      <c r="B33" s="147"/>
    </row>
    <row r="34" spans="1:2" ht="15" customHeight="1" x14ac:dyDescent="0.35">
      <c r="B34" s="147" t="s">
        <v>473</v>
      </c>
    </row>
    <row r="35" spans="1:2" ht="15" customHeight="1" x14ac:dyDescent="0.35">
      <c r="B35" s="147" t="s">
        <v>474</v>
      </c>
    </row>
    <row r="36" spans="1:2" ht="15" customHeight="1" x14ac:dyDescent="0.35">
      <c r="B36" s="147" t="s">
        <v>475</v>
      </c>
    </row>
    <row r="37" spans="1:2" ht="15" customHeight="1" x14ac:dyDescent="0.35">
      <c r="B37" s="147"/>
    </row>
    <row r="38" spans="1:2" ht="15" customHeight="1" x14ac:dyDescent="0.35">
      <c r="A38" t="s">
        <v>476</v>
      </c>
      <c r="B38" s="147"/>
    </row>
    <row r="39" spans="1:2" ht="15" customHeight="1" x14ac:dyDescent="0.35">
      <c r="B39" s="147" t="s">
        <v>477</v>
      </c>
    </row>
    <row r="40" spans="1:2" ht="15" customHeight="1" x14ac:dyDescent="0.35">
      <c r="B40" s="147" t="s">
        <v>478</v>
      </c>
    </row>
    <row r="41" spans="1:2" ht="15" customHeight="1" x14ac:dyDescent="0.35">
      <c r="B41" s="147" t="s">
        <v>479</v>
      </c>
    </row>
    <row r="42" spans="1:2" ht="15" customHeight="1" x14ac:dyDescent="0.35">
      <c r="B42" s="147"/>
    </row>
    <row r="43" spans="1:2" x14ac:dyDescent="0.35">
      <c r="A43" s="10" t="s">
        <v>333</v>
      </c>
      <c r="B43" s="147"/>
    </row>
    <row r="45" spans="1:2" x14ac:dyDescent="0.35">
      <c r="A45" t="s">
        <v>330</v>
      </c>
    </row>
    <row r="46" spans="1:2" x14ac:dyDescent="0.35">
      <c r="A46" s="10"/>
      <c r="B46" s="147" t="s">
        <v>331</v>
      </c>
    </row>
    <row r="47" spans="1:2" x14ac:dyDescent="0.35">
      <c r="A47" s="10"/>
      <c r="B47" s="147" t="s">
        <v>332</v>
      </c>
    </row>
    <row r="49" spans="1:2" x14ac:dyDescent="0.35">
      <c r="A49" t="s">
        <v>333</v>
      </c>
    </row>
    <row r="50" spans="1:2" x14ac:dyDescent="0.35">
      <c r="B50" s="147" t="s">
        <v>334</v>
      </c>
    </row>
    <row r="51" spans="1:2" x14ac:dyDescent="0.35">
      <c r="B51" s="147" t="s">
        <v>335</v>
      </c>
    </row>
    <row r="52" spans="1:2" x14ac:dyDescent="0.35">
      <c r="B52" s="147"/>
    </row>
    <row r="53" spans="1:2" x14ac:dyDescent="0.35">
      <c r="A53" t="s">
        <v>336</v>
      </c>
    </row>
    <row r="54" spans="1:2" x14ac:dyDescent="0.35">
      <c r="B54" s="147" t="s">
        <v>337</v>
      </c>
    </row>
    <row r="55" spans="1:2" x14ac:dyDescent="0.35">
      <c r="B55" s="147" t="s">
        <v>338</v>
      </c>
    </row>
    <row r="57" spans="1:2" ht="15" customHeight="1" x14ac:dyDescent="0.35">
      <c r="A57" s="188" t="s">
        <v>586</v>
      </c>
      <c r="B57" s="147"/>
    </row>
    <row r="58" spans="1:2" ht="15" customHeight="1" x14ac:dyDescent="0.35">
      <c r="B58" s="147"/>
    </row>
    <row r="59" spans="1:2" ht="15" customHeight="1" x14ac:dyDescent="0.35">
      <c r="A59" t="s">
        <v>604</v>
      </c>
      <c r="B59" s="147"/>
    </row>
    <row r="60" spans="1:2" ht="15" customHeight="1" x14ac:dyDescent="0.35">
      <c r="B60" s="147" t="s">
        <v>637</v>
      </c>
    </row>
    <row r="61" spans="1:2" ht="15" customHeight="1" x14ac:dyDescent="0.35">
      <c r="B61" s="147" t="s">
        <v>638</v>
      </c>
    </row>
    <row r="62" spans="1:2" ht="15" customHeight="1" x14ac:dyDescent="0.35">
      <c r="B62" s="147" t="s">
        <v>639</v>
      </c>
    </row>
    <row r="63" spans="1:2" ht="15" customHeight="1" x14ac:dyDescent="0.35">
      <c r="B63" s="147"/>
    </row>
    <row r="64" spans="1:2" ht="15" customHeight="1" x14ac:dyDescent="0.35">
      <c r="A64" t="s">
        <v>605</v>
      </c>
      <c r="B64" s="147"/>
    </row>
    <row r="65" spans="1:2" ht="15" customHeight="1" x14ac:dyDescent="0.35">
      <c r="B65" s="147" t="s">
        <v>640</v>
      </c>
    </row>
    <row r="66" spans="1:2" ht="15" customHeight="1" x14ac:dyDescent="0.35">
      <c r="B66" s="147"/>
    </row>
    <row r="67" spans="1:2" ht="15" customHeight="1" x14ac:dyDescent="0.35">
      <c r="A67" s="10" t="s">
        <v>587</v>
      </c>
      <c r="B67" s="147"/>
    </row>
    <row r="68" spans="1:2" ht="15" customHeight="1" x14ac:dyDescent="0.35">
      <c r="B68" s="147"/>
    </row>
    <row r="69" spans="1:2" ht="15" customHeight="1" x14ac:dyDescent="0.35">
      <c r="A69" t="s">
        <v>606</v>
      </c>
      <c r="B69" s="147"/>
    </row>
    <row r="70" spans="1:2" ht="15" customHeight="1" x14ac:dyDescent="0.35">
      <c r="B70" s="147" t="s">
        <v>641</v>
      </c>
    </row>
    <row r="71" spans="1:2" ht="15" customHeight="1" x14ac:dyDescent="0.35">
      <c r="B71" s="147" t="s">
        <v>643</v>
      </c>
    </row>
    <row r="72" spans="1:2" ht="15" customHeight="1" x14ac:dyDescent="0.35">
      <c r="B72" s="147" t="s">
        <v>645</v>
      </c>
    </row>
    <row r="73" spans="1:2" ht="15" customHeight="1" x14ac:dyDescent="0.35">
      <c r="B73" s="147" t="s">
        <v>646</v>
      </c>
    </row>
    <row r="74" spans="1:2" ht="15" customHeight="1" x14ac:dyDescent="0.35">
      <c r="B74" s="147"/>
    </row>
    <row r="75" spans="1:2" ht="15" customHeight="1" x14ac:dyDescent="0.35">
      <c r="A75" t="s">
        <v>607</v>
      </c>
      <c r="B75" s="147"/>
    </row>
    <row r="76" spans="1:2" ht="15" customHeight="1" x14ac:dyDescent="0.35">
      <c r="B76" s="147" t="s">
        <v>642</v>
      </c>
    </row>
    <row r="77" spans="1:2" ht="15" customHeight="1" x14ac:dyDescent="0.35">
      <c r="B77" s="147" t="s">
        <v>608</v>
      </c>
    </row>
    <row r="78" spans="1:2" x14ac:dyDescent="0.35">
      <c r="B78" s="147" t="s">
        <v>647</v>
      </c>
    </row>
    <row r="79" spans="1:2" ht="15" customHeight="1" x14ac:dyDescent="0.35">
      <c r="B79" s="147"/>
    </row>
    <row r="80" spans="1:2" x14ac:dyDescent="0.35">
      <c r="A80" s="10" t="s">
        <v>208</v>
      </c>
    </row>
    <row r="81" spans="1:2" x14ac:dyDescent="0.35">
      <c r="A81" s="10"/>
    </row>
    <row r="82" spans="1:2" s="11" customFormat="1" x14ac:dyDescent="0.35">
      <c r="A82" s="11" t="s">
        <v>178</v>
      </c>
    </row>
    <row r="83" spans="1:2" x14ac:dyDescent="0.35">
      <c r="A83" s="10"/>
      <c r="B83" s="42" t="s">
        <v>185</v>
      </c>
    </row>
    <row r="84" spans="1:2" x14ac:dyDescent="0.35">
      <c r="A84" s="10"/>
      <c r="B84" s="42"/>
    </row>
    <row r="85" spans="1:2" s="11" customFormat="1" x14ac:dyDescent="0.35">
      <c r="A85" s="11" t="s">
        <v>13</v>
      </c>
      <c r="B85" s="102"/>
    </row>
    <row r="86" spans="1:2" x14ac:dyDescent="0.35">
      <c r="A86" s="10"/>
      <c r="B86" s="42" t="s">
        <v>204</v>
      </c>
    </row>
    <row r="87" spans="1:2" x14ac:dyDescent="0.35">
      <c r="A87" s="10"/>
      <c r="B87" s="42" t="s">
        <v>205</v>
      </c>
    </row>
    <row r="88" spans="1:2" x14ac:dyDescent="0.35">
      <c r="A88" s="10"/>
      <c r="B88" s="42" t="s">
        <v>206</v>
      </c>
    </row>
    <row r="89" spans="1:2" x14ac:dyDescent="0.35">
      <c r="A89" s="10"/>
      <c r="B89" s="42"/>
    </row>
    <row r="90" spans="1:2" s="11" customFormat="1" x14ac:dyDescent="0.35">
      <c r="A90" s="11" t="s">
        <v>203</v>
      </c>
    </row>
    <row r="91" spans="1:2" s="11" customFormat="1" x14ac:dyDescent="0.35">
      <c r="B91" s="42" t="s">
        <v>175</v>
      </c>
    </row>
    <row r="92" spans="1:2" x14ac:dyDescent="0.35">
      <c r="A92" s="10"/>
      <c r="B92" s="42" t="s">
        <v>176</v>
      </c>
    </row>
    <row r="93" spans="1:2" x14ac:dyDescent="0.35">
      <c r="A93" s="10"/>
    </row>
    <row r="94" spans="1:2" x14ac:dyDescent="0.35">
      <c r="A94" s="11" t="s">
        <v>82</v>
      </c>
    </row>
    <row r="95" spans="1:2" x14ac:dyDescent="0.35">
      <c r="B95" s="42" t="s">
        <v>83</v>
      </c>
    </row>
    <row r="96" spans="1:2" x14ac:dyDescent="0.35">
      <c r="B96" s="42"/>
    </row>
    <row r="97" spans="1:2" x14ac:dyDescent="0.35">
      <c r="A97" t="s">
        <v>32</v>
      </c>
      <c r="B97" s="42"/>
    </row>
    <row r="98" spans="1:2" x14ac:dyDescent="0.35">
      <c r="B98" s="42" t="s">
        <v>84</v>
      </c>
    </row>
    <row r="99" spans="1:2" x14ac:dyDescent="0.35">
      <c r="B99" s="42" t="s">
        <v>87</v>
      </c>
    </row>
    <row r="100" spans="1:2" x14ac:dyDescent="0.35">
      <c r="B100" s="42" t="s">
        <v>89</v>
      </c>
    </row>
    <row r="101" spans="1:2" x14ac:dyDescent="0.35">
      <c r="B101" s="42" t="s">
        <v>88</v>
      </c>
    </row>
    <row r="102" spans="1:2" x14ac:dyDescent="0.35">
      <c r="B102" s="42" t="s">
        <v>90</v>
      </c>
    </row>
    <row r="103" spans="1:2" x14ac:dyDescent="0.35">
      <c r="B103" s="42" t="s">
        <v>163</v>
      </c>
    </row>
    <row r="104" spans="1:2" x14ac:dyDescent="0.35">
      <c r="B104" s="42" t="s">
        <v>164</v>
      </c>
    </row>
    <row r="105" spans="1:2" x14ac:dyDescent="0.35">
      <c r="B105" s="42" t="s">
        <v>166</v>
      </c>
    </row>
    <row r="106" spans="1:2" x14ac:dyDescent="0.35">
      <c r="B106" s="42" t="s">
        <v>167</v>
      </c>
    </row>
    <row r="107" spans="1:2" x14ac:dyDescent="0.35">
      <c r="B107" s="42" t="s">
        <v>168</v>
      </c>
    </row>
    <row r="108" spans="1:2" x14ac:dyDescent="0.35">
      <c r="B108" s="42"/>
    </row>
    <row r="109" spans="1:2" x14ac:dyDescent="0.35">
      <c r="A109" t="s">
        <v>169</v>
      </c>
      <c r="B109" s="42"/>
    </row>
    <row r="110" spans="1:2" x14ac:dyDescent="0.35">
      <c r="B110" s="42" t="s">
        <v>170</v>
      </c>
    </row>
    <row r="111" spans="1:2" x14ac:dyDescent="0.35">
      <c r="B111" s="42" t="s">
        <v>171</v>
      </c>
    </row>
    <row r="112" spans="1:2" x14ac:dyDescent="0.35">
      <c r="B112" s="42"/>
    </row>
    <row r="113" spans="1:2" x14ac:dyDescent="0.35">
      <c r="A113" t="s">
        <v>104</v>
      </c>
      <c r="B113" s="42"/>
    </row>
    <row r="114" spans="1:2" x14ac:dyDescent="0.35">
      <c r="B114" s="42" t="s">
        <v>105</v>
      </c>
    </row>
    <row r="115" spans="1:2" x14ac:dyDescent="0.35">
      <c r="B115" s="42"/>
    </row>
    <row r="116" spans="1:2" x14ac:dyDescent="0.35">
      <c r="A116" t="s">
        <v>134</v>
      </c>
      <c r="B116" s="42"/>
    </row>
    <row r="117" spans="1:2" x14ac:dyDescent="0.35">
      <c r="B117" s="42" t="s">
        <v>135</v>
      </c>
    </row>
    <row r="118" spans="1:2" x14ac:dyDescent="0.35">
      <c r="B118" s="42" t="s">
        <v>136</v>
      </c>
    </row>
    <row r="119" spans="1:2" x14ac:dyDescent="0.35">
      <c r="B119" s="42" t="s">
        <v>156</v>
      </c>
    </row>
    <row r="120" spans="1:2" x14ac:dyDescent="0.35">
      <c r="B120" s="42"/>
    </row>
    <row r="121" spans="1:2" x14ac:dyDescent="0.35">
      <c r="A121" t="s">
        <v>42</v>
      </c>
      <c r="B121" s="42"/>
    </row>
    <row r="122" spans="1:2" x14ac:dyDescent="0.35">
      <c r="B122" s="42" t="s">
        <v>93</v>
      </c>
    </row>
    <row r="123" spans="1:2" x14ac:dyDescent="0.35">
      <c r="B123" s="42"/>
    </row>
    <row r="124" spans="1:2" x14ac:dyDescent="0.35">
      <c r="A124" t="s">
        <v>91</v>
      </c>
      <c r="B124" s="42"/>
    </row>
    <row r="125" spans="1:2" x14ac:dyDescent="0.35">
      <c r="B125" s="42" t="s">
        <v>92</v>
      </c>
    </row>
    <row r="126" spans="1:2" x14ac:dyDescent="0.35">
      <c r="B126" s="42"/>
    </row>
    <row r="127" spans="1:2" x14ac:dyDescent="0.35">
      <c r="A127" t="s">
        <v>81</v>
      </c>
      <c r="B127" s="42"/>
    </row>
    <row r="128" spans="1:2" x14ac:dyDescent="0.35">
      <c r="B128" s="42" t="s">
        <v>94</v>
      </c>
    </row>
    <row r="129" spans="1:2" x14ac:dyDescent="0.35">
      <c r="B129" s="42" t="s">
        <v>187</v>
      </c>
    </row>
    <row r="130" spans="1:2" x14ac:dyDescent="0.35">
      <c r="B130" s="42"/>
    </row>
    <row r="131" spans="1:2" x14ac:dyDescent="0.35">
      <c r="A131" t="s">
        <v>188</v>
      </c>
      <c r="B131" s="42"/>
    </row>
    <row r="132" spans="1:2" x14ac:dyDescent="0.35">
      <c r="B132" s="42" t="s">
        <v>579</v>
      </c>
    </row>
    <row r="133" spans="1:2" x14ac:dyDescent="0.35">
      <c r="B133" s="42" t="s">
        <v>580</v>
      </c>
    </row>
    <row r="134" spans="1:2" x14ac:dyDescent="0.35">
      <c r="B134" s="42" t="s">
        <v>581</v>
      </c>
    </row>
    <row r="135" spans="1:2" x14ac:dyDescent="0.35">
      <c r="B135" s="42" t="s">
        <v>582</v>
      </c>
    </row>
    <row r="136" spans="1:2" x14ac:dyDescent="0.35">
      <c r="B136" s="42" t="s">
        <v>583</v>
      </c>
    </row>
    <row r="137" spans="1:2" x14ac:dyDescent="0.35">
      <c r="B137" s="42" t="s">
        <v>584</v>
      </c>
    </row>
    <row r="138" spans="1:2" x14ac:dyDescent="0.35">
      <c r="B138" s="42" t="s">
        <v>585</v>
      </c>
    </row>
    <row r="139" spans="1:2" x14ac:dyDescent="0.35">
      <c r="B139" s="42"/>
    </row>
    <row r="140" spans="1:2" x14ac:dyDescent="0.35">
      <c r="A140" t="s">
        <v>108</v>
      </c>
      <c r="B140" s="42"/>
    </row>
    <row r="141" spans="1:2" x14ac:dyDescent="0.35">
      <c r="B141" s="42" t="s">
        <v>109</v>
      </c>
    </row>
    <row r="142" spans="1:2" x14ac:dyDescent="0.35">
      <c r="B142" s="42"/>
    </row>
    <row r="143" spans="1:2" x14ac:dyDescent="0.35">
      <c r="A143" t="s">
        <v>153</v>
      </c>
      <c r="B143" s="42"/>
    </row>
    <row r="144" spans="1:2" x14ac:dyDescent="0.35">
      <c r="B144" s="42" t="s">
        <v>154</v>
      </c>
    </row>
    <row r="145" spans="1:2" x14ac:dyDescent="0.35">
      <c r="B145" s="42" t="s">
        <v>155</v>
      </c>
    </row>
    <row r="146" spans="1:2" x14ac:dyDescent="0.35">
      <c r="B146" s="42" t="s">
        <v>202</v>
      </c>
    </row>
    <row r="147" spans="1:2" x14ac:dyDescent="0.35">
      <c r="B147" s="42"/>
    </row>
    <row r="148" spans="1:2" x14ac:dyDescent="0.35">
      <c r="A148" t="s">
        <v>14</v>
      </c>
    </row>
    <row r="149" spans="1:2" x14ac:dyDescent="0.35">
      <c r="B149" s="42" t="s">
        <v>95</v>
      </c>
    </row>
    <row r="150" spans="1:2" x14ac:dyDescent="0.35">
      <c r="B150" s="42" t="s">
        <v>97</v>
      </c>
    </row>
    <row r="151" spans="1:2" x14ac:dyDescent="0.35">
      <c r="B151" s="42"/>
    </row>
    <row r="152" spans="1:2" x14ac:dyDescent="0.35">
      <c r="A152" t="s">
        <v>37</v>
      </c>
      <c r="B152" s="42"/>
    </row>
    <row r="153" spans="1:2" x14ac:dyDescent="0.35">
      <c r="B153" s="42" t="s">
        <v>96</v>
      </c>
    </row>
    <row r="155" spans="1:2" x14ac:dyDescent="0.35">
      <c r="A155" s="10" t="s">
        <v>209</v>
      </c>
    </row>
    <row r="157" spans="1:2" x14ac:dyDescent="0.35">
      <c r="B157" s="42" t="s">
        <v>262</v>
      </c>
    </row>
    <row r="158" spans="1:2" x14ac:dyDescent="0.35">
      <c r="B158" s="42" t="s">
        <v>260</v>
      </c>
    </row>
    <row r="159" spans="1:2" x14ac:dyDescent="0.35">
      <c r="B159" s="42" t="s">
        <v>261</v>
      </c>
    </row>
    <row r="160" spans="1:2" x14ac:dyDescent="0.35">
      <c r="B160" s="42" t="s">
        <v>263</v>
      </c>
    </row>
    <row r="161" spans="1:2" x14ac:dyDescent="0.35">
      <c r="B161" s="42" t="s">
        <v>245</v>
      </c>
    </row>
    <row r="162" spans="1:2" x14ac:dyDescent="0.35">
      <c r="B162" s="42" t="s">
        <v>264</v>
      </c>
    </row>
    <row r="163" spans="1:2" x14ac:dyDescent="0.35">
      <c r="B163" s="42"/>
    </row>
    <row r="164" spans="1:2" x14ac:dyDescent="0.35">
      <c r="A164" s="10" t="s">
        <v>329</v>
      </c>
      <c r="B164" s="42"/>
    </row>
    <row r="166" spans="1:2" x14ac:dyDescent="0.35">
      <c r="A166" t="s">
        <v>265</v>
      </c>
    </row>
    <row r="167" spans="1:2" x14ac:dyDescent="0.35">
      <c r="B167" s="147" t="s">
        <v>321</v>
      </c>
    </row>
    <row r="168" spans="1:2" x14ac:dyDescent="0.35">
      <c r="B168" s="147" t="s">
        <v>322</v>
      </c>
    </row>
    <row r="169" spans="1:2" x14ac:dyDescent="0.35">
      <c r="B169" s="147" t="s">
        <v>323</v>
      </c>
    </row>
    <row r="171" spans="1:2" x14ac:dyDescent="0.35">
      <c r="A171" t="s">
        <v>324</v>
      </c>
    </row>
    <row r="172" spans="1:2" x14ac:dyDescent="0.35">
      <c r="B172" s="147" t="s">
        <v>325</v>
      </c>
    </row>
    <row r="173" spans="1:2" x14ac:dyDescent="0.35">
      <c r="B173" s="147" t="s">
        <v>326</v>
      </c>
    </row>
    <row r="174" spans="1:2" s="187" customFormat="1" x14ac:dyDescent="0.35">
      <c r="B174" s="147"/>
    </row>
    <row r="175" spans="1:2" s="187" customFormat="1" x14ac:dyDescent="0.35">
      <c r="A175" s="10" t="s">
        <v>654</v>
      </c>
      <c r="B175" s="147"/>
    </row>
    <row r="176" spans="1:2" s="187" customFormat="1" x14ac:dyDescent="0.35">
      <c r="B176" s="147"/>
    </row>
    <row r="177" spans="1:2" s="187" customFormat="1" x14ac:dyDescent="0.35">
      <c r="B177" s="147" t="s">
        <v>663</v>
      </c>
    </row>
    <row r="178" spans="1:2" s="187" customFormat="1" x14ac:dyDescent="0.35">
      <c r="B178" s="147" t="s">
        <v>664</v>
      </c>
    </row>
    <row r="179" spans="1:2" s="187" customFormat="1" x14ac:dyDescent="0.35">
      <c r="B179" s="147" t="s">
        <v>665</v>
      </c>
    </row>
    <row r="180" spans="1:2" s="187" customFormat="1" x14ac:dyDescent="0.35">
      <c r="B180" s="147"/>
    </row>
    <row r="181" spans="1:2" s="187" customFormat="1" x14ac:dyDescent="0.35">
      <c r="A181" s="10" t="s">
        <v>666</v>
      </c>
      <c r="B181" s="147"/>
    </row>
    <row r="182" spans="1:2" s="187" customFormat="1" x14ac:dyDescent="0.35">
      <c r="B182" s="147"/>
    </row>
    <row r="183" spans="1:2" s="187" customFormat="1" x14ac:dyDescent="0.35">
      <c r="A183" s="203" t="s">
        <v>674</v>
      </c>
    </row>
    <row r="184" spans="1:2" s="187" customFormat="1" x14ac:dyDescent="0.35">
      <c r="A184" s="203"/>
      <c r="B184" s="42" t="s">
        <v>386</v>
      </c>
    </row>
    <row r="185" spans="1:2" s="187" customFormat="1" x14ac:dyDescent="0.35">
      <c r="A185" s="203"/>
      <c r="B185" s="42" t="s">
        <v>387</v>
      </c>
    </row>
    <row r="186" spans="1:2" s="187" customFormat="1" x14ac:dyDescent="0.35">
      <c r="A186" s="203"/>
      <c r="B186" s="42" t="s">
        <v>668</v>
      </c>
    </row>
    <row r="187" spans="1:2" s="187" customFormat="1" x14ac:dyDescent="0.35">
      <c r="A187" s="203"/>
      <c r="B187" s="42"/>
    </row>
    <row r="188" spans="1:2" s="187" customFormat="1" x14ac:dyDescent="0.35">
      <c r="A188" s="203" t="s">
        <v>675</v>
      </c>
    </row>
    <row r="189" spans="1:2" s="187" customFormat="1" x14ac:dyDescent="0.35">
      <c r="A189" s="203"/>
      <c r="B189" s="42" t="s">
        <v>676</v>
      </c>
    </row>
    <row r="190" spans="1:2" s="187" customFormat="1" x14ac:dyDescent="0.35">
      <c r="A190" s="203"/>
      <c r="B190" s="42" t="s">
        <v>678</v>
      </c>
    </row>
    <row r="191" spans="1:2" s="187" customFormat="1" x14ac:dyDescent="0.35">
      <c r="A191" s="203"/>
      <c r="B191" s="42" t="s">
        <v>677</v>
      </c>
    </row>
    <row r="192" spans="1:2" x14ac:dyDescent="0.35">
      <c r="B192" s="147" t="s">
        <v>679</v>
      </c>
    </row>
    <row r="193" spans="1:2" s="187" customFormat="1" x14ac:dyDescent="0.35">
      <c r="B193" s="147" t="s">
        <v>680</v>
      </c>
    </row>
    <row r="194" spans="1:2" s="187" customFormat="1" x14ac:dyDescent="0.35">
      <c r="B194" s="147"/>
    </row>
    <row r="195" spans="1:2" x14ac:dyDescent="0.35">
      <c r="A195" s="10" t="s">
        <v>327</v>
      </c>
      <c r="B195" s="147"/>
    </row>
    <row r="196" spans="1:2" x14ac:dyDescent="0.35">
      <c r="A196" s="10"/>
      <c r="B196" s="147"/>
    </row>
    <row r="197" spans="1:2" x14ac:dyDescent="0.35">
      <c r="B197" s="147" t="s">
        <v>328</v>
      </c>
    </row>
    <row r="198" spans="1:2" x14ac:dyDescent="0.35">
      <c r="B198" s="147"/>
    </row>
    <row r="199" spans="1:2" x14ac:dyDescent="0.35">
      <c r="A199" s="10" t="s">
        <v>385</v>
      </c>
      <c r="B199" s="147"/>
    </row>
    <row r="200" spans="1:2" x14ac:dyDescent="0.35">
      <c r="A200" s="10"/>
      <c r="B200" s="147"/>
    </row>
    <row r="201" spans="1:2" x14ac:dyDescent="0.35">
      <c r="B201" s="147" t="s">
        <v>386</v>
      </c>
    </row>
    <row r="202" spans="1:2" x14ac:dyDescent="0.35">
      <c r="B202" s="147" t="s">
        <v>387</v>
      </c>
    </row>
    <row r="204" spans="1:2" x14ac:dyDescent="0.35">
      <c r="A204" s="10" t="s">
        <v>388</v>
      </c>
    </row>
    <row r="206" spans="1:2" x14ac:dyDescent="0.35">
      <c r="B206" s="42" t="s">
        <v>389</v>
      </c>
    </row>
    <row r="208" spans="1:2" x14ac:dyDescent="0.35">
      <c r="A208" s="10" t="s">
        <v>588</v>
      </c>
    </row>
    <row r="210" spans="1:2" x14ac:dyDescent="0.35">
      <c r="B210" s="42" t="s">
        <v>592</v>
      </c>
    </row>
    <row r="211" spans="1:2" x14ac:dyDescent="0.35">
      <c r="B211" s="42" t="s">
        <v>593</v>
      </c>
    </row>
    <row r="212" spans="1:2" x14ac:dyDescent="0.35">
      <c r="B212" s="42" t="s">
        <v>594</v>
      </c>
    </row>
    <row r="213" spans="1:2" x14ac:dyDescent="0.35">
      <c r="B213" s="42" t="s">
        <v>595</v>
      </c>
    </row>
    <row r="215" spans="1:2" x14ac:dyDescent="0.35">
      <c r="A215" s="188" t="s">
        <v>598</v>
      </c>
    </row>
    <row r="216" spans="1:2" x14ac:dyDescent="0.35">
      <c r="A216" s="188"/>
    </row>
    <row r="217" spans="1:2" x14ac:dyDescent="0.35">
      <c r="B217" s="42" t="s">
        <v>597</v>
      </c>
    </row>
    <row r="218" spans="1:2" x14ac:dyDescent="0.35">
      <c r="B218" s="42" t="s">
        <v>596</v>
      </c>
    </row>
    <row r="219" spans="1:2" x14ac:dyDescent="0.35">
      <c r="B219" s="42" t="s">
        <v>644</v>
      </c>
    </row>
    <row r="221" spans="1:2" x14ac:dyDescent="0.35">
      <c r="A221" s="10" t="s">
        <v>599</v>
      </c>
    </row>
    <row r="223" spans="1:2" x14ac:dyDescent="0.35">
      <c r="B223" s="42" t="s">
        <v>600</v>
      </c>
    </row>
    <row r="224" spans="1:2" x14ac:dyDescent="0.35">
      <c r="B224" s="42" t="s">
        <v>603</v>
      </c>
    </row>
    <row r="225" spans="2:2" x14ac:dyDescent="0.35">
      <c r="B225" s="42" t="s">
        <v>601</v>
      </c>
    </row>
    <row r="226" spans="2:2" x14ac:dyDescent="0.35">
      <c r="B226" s="42" t="s">
        <v>602</v>
      </c>
    </row>
  </sheetData>
  <hyperlinks>
    <hyperlink ref="B102" location="QR!A1" display="QR Factorization (Example 5)" xr:uid="{00000000-0004-0000-0100-00003B000000}"/>
    <hyperlink ref="B153" location="'Par Cor'!A1" display="Partial Correlation" xr:uid="{00000000-0004-0000-0100-00003C000000}"/>
    <hyperlink ref="B125" location="SQRT!A1" display="Square Root of a matrix" xr:uid="{00000000-0004-0000-0100-00003D000000}"/>
    <hyperlink ref="B149" location="Varimax!A1" display="Varimax" xr:uid="{00000000-0004-0000-0100-000040000000}"/>
    <hyperlink ref="B95" location="Gram!A1" display="Gram-Schmidt Process" xr:uid="{00000000-0004-0000-0100-000043000000}"/>
    <hyperlink ref="B98" location="Gram!A1" display="QR Factorization (Example 1)" xr:uid="{00000000-0004-0000-0100-000044000000}"/>
    <hyperlink ref="B99" location="Gram!U1" display="Solving linear equations (Example )" xr:uid="{00000000-0004-0000-0100-000045000000}"/>
    <hyperlink ref="B100" location="'QR 1'!A1" display="Finding Eigenvalues/eigenvectors using Householder process (Example 3)" xr:uid="{00000000-0004-0000-0100-000046000000}"/>
    <hyperlink ref="B101" location="'QR 1'!W239" display="Finding Eigenvalues/eigenvectors using eVECTORS (Example 4)" xr:uid="{00000000-0004-0000-0100-000047000000}"/>
    <hyperlink ref="B128" location="SVD!A1" display="Singular Value Decomposition" xr:uid="{00000000-0004-0000-0100-000048000000}"/>
    <hyperlink ref="B122" location="Spectral!A1" display="Spectral Decomposition (Example 1)" xr:uid="{00000000-0004-0000-0100-000049000000}"/>
    <hyperlink ref="B150" location="'Varimax 1'!A1" display="Varimax (using ATN2)" xr:uid="{00000000-0004-0000-0100-00004A000000}"/>
    <hyperlink ref="B103" location="'QR 2'!M1" display="Solving linear equations (Example 6)" xr:uid="{00000000-0004-0000-0100-00004B000000}"/>
    <hyperlink ref="B104" location="'QR 2'!W1" display="Inverting a matrix (Example 7)" xr:uid="{00000000-0004-0000-0100-00004C000000}"/>
    <hyperlink ref="B114" location="'Eigen 1'!A1" display="Real and imaginary eigenvalues (Example 1)" xr:uid="{00000000-0004-0000-0100-00004D000000}"/>
    <hyperlink ref="B141" location="Cholesky!A1" display="Cholesky Decomposition (Example 1)" xr:uid="{00000000-0004-0000-0100-00004E000000}"/>
    <hyperlink ref="B117" location="'Eigen 2'!A1" display="Schur's factorization" xr:uid="{00000000-0004-0000-0100-000053000000}"/>
    <hyperlink ref="B118" location="'Eigen 2'!R1" display="Eigenvectors" xr:uid="{00000000-0004-0000-0100-000054000000}"/>
    <hyperlink ref="B144" location="'Matrix 1'!A1" display="Symmetric matrix" xr:uid="{00000000-0004-0000-0100-000055000000}"/>
    <hyperlink ref="B145" location="'Matrix 2'!A1" display="Non-symmetric matrix" xr:uid="{00000000-0004-0000-0100-000056000000}"/>
    <hyperlink ref="B119" location="'Eigen 1'!A1" display="Real Statistics eVALUES, eVECTORS, eVECT functions" xr:uid="{00000000-0004-0000-0100-000057000000}"/>
    <hyperlink ref="B105" location="'QR A'!A1" display="QR Factorization not full rank" xr:uid="{29E02A61-4BF4-4D63-9A1E-32E5EF7489A0}"/>
    <hyperlink ref="B106" location="'QR B'!A1" display="QR Factorization more rows than columns" xr:uid="{72F10610-407B-466A-BC1F-07CF6DE550C3}"/>
    <hyperlink ref="B107" location="'QR C'!A1" display="QR Factorization more columns than rows" xr:uid="{A2484491-B702-4415-8C35-3C62E26A7BD9}"/>
    <hyperlink ref="B110" location="Hess!A1" display="Hessenberg decomposition example for non-symmetric matrix" xr:uid="{0328C823-0F76-434D-9106-61A9F02B4E16}"/>
    <hyperlink ref="B111" location="'Hess 2'!A1" display="Hessenberg decomposition example for symmetric matrix" xr:uid="{D79D98EB-FF6D-48AD-BBCA-5EC48D662F50}"/>
    <hyperlink ref="B91" location="'Eigen 1'!A1" display="Examples using Real Statistics functions" xr:uid="{013B0F0E-39C5-46DE-84D8-E57430DC94D3}"/>
    <hyperlink ref="B92" location="'Eigen 2'!A1" display="Eigenvalues with multiplicity greater than one" xr:uid="{ABCBC356-3B78-47CB-BD1C-473B4199F3C5}"/>
    <hyperlink ref="B83" location="LUP!A1" display="LUP examples" xr:uid="{A6884D77-7472-42A8-BAFF-C211DA77F8C5}"/>
    <hyperlink ref="B129" location="'SVD 2'!A1" display="Another SVD example" xr:uid="{F2715EED-0603-4EFC-BC2A-41E8D15B3D82}"/>
    <hyperlink ref="B132" location="PseudoInv!A1" display="Pseudo-inverse" xr:uid="{F569E806-CED3-446A-A730-795DB62F5E4D}"/>
    <hyperlink ref="B146" location="'Matrix 3'!A1" display="Main example" xr:uid="{02A38EAB-0A0E-4AF4-A7AA-ED7B5F57D443}"/>
    <hyperlink ref="B88" location="'eVAL 3'!A1" display="Defective eigenvalues" xr:uid="{9BC4EC10-1C88-4952-A922-E7A4D699AF4E}"/>
    <hyperlink ref="B86" location="'eVAL 1'!A1" display="Eigenvalue and eigenvector functions" xr:uid="{1D74F038-C566-4764-B05C-FE19B5573E80}"/>
    <hyperlink ref="B87" location="'eVAL 2'!A1" display="Repeated eigenvalues" xr:uid="{E045DCCF-F336-4006-9E14-62D869E8B13B}"/>
    <hyperlink ref="B157" location="Graph!A1" display="Graph formatted in Excel" xr:uid="{F341ECCE-027D-485E-BB34-F80F0A4D223D}"/>
    <hyperlink ref="B158" location="Kruskal!A1" display="Kruskal algorithm (MST) example 1" xr:uid="{9D71196A-0722-4235-8C25-08A86B29354A}"/>
    <hyperlink ref="B159" location="'Kruskal 1'!A1" display="Kruskal algorithm (MST) example 2" xr:uid="{2A8547DE-7469-4851-B792-F932526D168B}"/>
    <hyperlink ref="B160" location="Prim!A1" display="Prim algorithm (MST) example" xr:uid="{CEB31EA4-2E65-40C5-904D-21CD387E1529}"/>
    <hyperlink ref="B161" location="MSTVEctors!A1" display="MST for r-tuples" xr:uid="{9472D2D3-FE64-443E-94A0-C6F7ABEBB733}"/>
    <hyperlink ref="B162" location="Diagram!A1" display="Network diagram" xr:uid="{7982B82C-8CF2-4DBC-B492-10A4C602EE7D}"/>
    <hyperlink ref="B168" location="'Complex 1'!A1" display="Examples" xr:uid="{3DCE6B18-B61B-4154-9027-F5E99BC3D4CC}"/>
    <hyperlink ref="B172" location="'Complex 2'!A1" display="Examples" xr:uid="{F69EF460-F097-4842-ABF1-9BE64F305D41}"/>
    <hyperlink ref="B167" location="'Complex 0'!A1" display="Excel Capabilities" xr:uid="{38BA98C2-5B77-40E4-8D61-C38702A08224}"/>
    <hyperlink ref="B169" location="'Complex 1a'!A1" display="Polar format and nth roots" xr:uid="{4976E6B4-ADA0-4701-A759-6EFEC70EFFE3}"/>
    <hyperlink ref="B173" location="'Complex 2a'!A1" display="Excel format" xr:uid="{BADA65DE-447C-4B96-9398-857C2C995AA2}"/>
    <hyperlink ref="B50" location="Roots!A1" display="Using ROOTS function (Example 1)" xr:uid="{0D3269BB-98EE-4793-B976-8197A48CCA9F}"/>
    <hyperlink ref="B51" location="Roots!G1" display="Using ROOTS function (Example 2)" xr:uid="{69BB09AF-E6A1-4434-8547-474CE187BB6B}"/>
    <hyperlink ref="B54" location="'Roots 1'!A1" display="First two roots" xr:uid="{E5871EB4-EA9C-4682-A7DE-A0F15A43A0AF}"/>
    <hyperlink ref="B55" location="'Roots 2'!A1" display="Find next roots" xr:uid="{50CF2CE8-7D97-4E7A-B0AC-2B7C39523443}"/>
    <hyperlink ref="B46" location="'Cubic 1'!A1" display="Two complex roots" xr:uid="{996A6406-39F8-46CA-A656-01AB501C36CE}"/>
    <hyperlink ref="B47" location="'Cubic 2'!A1" display="Three real roots" xr:uid="{94EBC1FE-A6DB-42C6-A6EA-F3824577EA4F}"/>
    <hyperlink ref="B201" location="Markov!A1" display="Example 1" xr:uid="{FA5E74BD-A5E0-4A7A-A495-A8E497A759E2}"/>
    <hyperlink ref="B202" location="'Markov 1'!A1" display="Example 2" xr:uid="{9D6FA025-372B-47F7-95D8-25011A25D5F8}"/>
    <hyperlink ref="B206" location="Prime!A1" display="Examples" xr:uid="{4D8088E3-5A5E-407C-9733-CAA64B41BB7C}"/>
    <hyperlink ref="B13" location="Diag!A1" display="Diagonal of a square mtrix (Example C2.1)" xr:uid="{EA4B3A5D-F552-438E-AE24-9DDFF0DFEF05}"/>
    <hyperlink ref="B12" location="Length!A1" display="Length of a vector (Example C3.2)" xr:uid="{7B8B1BAD-FC01-47D3-A891-56B59BF491C7}"/>
    <hyperlink ref="B16" location="Inverse!A1" display="Inverse of a matrix (Example C2.1)" xr:uid="{157EDE9B-17FD-4B21-BA79-0CAFA0AED3C8}"/>
    <hyperlink ref="B21" location="'Det 1'!A1" display="Determinant (Example C3.1)" xr:uid="{CF5A9800-367F-43DE-B7DF-FBB3374A73F6}"/>
    <hyperlink ref="B22" location="'Det 2'!A1" display="Determinant using Gaussian elimination (Example C3.2)" xr:uid="{430F6B84-6310-4CAA-867F-5BECBB7FD0FB}"/>
    <hyperlink ref="B23" location="'Cramer Rule'!A1" display="Solution to linear equations via Cramer's rule (Example C3.3)" xr:uid="{F304357D-B8E9-45A5-8AC7-C634993AFC1F}"/>
    <hyperlink ref="B24" location="'Gauss Elim 1'!A1" display="Solution to linear equations via Gaussian elimination (Example C3.4)" xr:uid="{DE907ED2-B623-4D4D-9632-48314D1A04DC}"/>
    <hyperlink ref="B25" location="'Gauss Elim 1'!A14" display="Solution to homogeneous linear equations (Example C3.5)" xr:uid="{791E6E77-5931-4349-9FE7-01A8974FA0CC}"/>
    <hyperlink ref="B26" location="'Gauss Elim 1'!A25" display="Solution to homogeneous linear equations (Example C3.6)" xr:uid="{C0648A63-DC2A-4D4B-92EF-44EFB0D19128}"/>
    <hyperlink ref="B27" location="'Gauss Elim 1'!A36" display="Inverting a matrix via Gaussian elimination (Example C3.7)" xr:uid="{C65C601B-1786-47C8-B301-2755192F2332}"/>
    <hyperlink ref="B28" location="'Gauss Elim 2'!A1" display="Gaussian elimination via supplementary functions (Examples C3.4 - C3.7)" xr:uid="{84223B1A-5672-4567-B1FB-083BE754A0AF}"/>
    <hyperlink ref="B17" location="'Mat Power'!A1" display="Matrix Power" xr:uid="{2BF8AA79-2605-4BEB-91A3-A784581FCF98}"/>
    <hyperlink ref="B29" location="LinEqSolve!A1" display="Solving linear equation when there a multiple solutions" xr:uid="{8E8C637A-919C-4DD1-AEC5-F78E5471E32B}"/>
    <hyperlink ref="B34" location="Newton!A18" display="Newton's Method for one equation (Example C4.1)" xr:uid="{77D99B3A-CE52-4B2F-BE80-FB6829DBE23A}"/>
    <hyperlink ref="B35" location="Newton!E3" display="Newton's Method for multiple equations (Example C4.2)" xr:uid="{AFD7341C-30DD-4B76-A290-7493A0F3F6A9}"/>
    <hyperlink ref="B36" location="Newton!A1" display="Newton's Method for one equation (Example C4.2)" xr:uid="{345C2FB2-6D6B-4935-96E1-14520992B160}"/>
    <hyperlink ref="B39" location="'Goal Seek'!A1" display="Goal Seek to find eigenvalues (Example C5.1)" xr:uid="{69054FE8-174C-4E21-BB8E-1D2D19955E12}"/>
    <hyperlink ref="B40" location="'Mult Reg 2B'!A1" display="Solver to find regression coefficients (Example C5.2)" xr:uid="{418CAF8B-5B3F-45A4-A9CB-CE0C65C6B576}"/>
    <hyperlink ref="B41" location="NFL!A1" display="NFL example" xr:uid="{C0D4DC7B-83D3-490C-A304-67211A3EB640}"/>
    <hyperlink ref="B133:B137" location="PseudoInv!A1" display="Pseudo-inverse" xr:uid="{A974524D-EF2E-41D3-A7CA-1C3377E0E53F}"/>
    <hyperlink ref="B138" location="'PseudoInv 6'!A1" display="Gaussian elimination approach" xr:uid="{EF531BEC-209B-4CCA-BE0A-F77B96993580}"/>
    <hyperlink ref="B133" location="'PseudoInv 1'!A1" display="Full rank m &lt; n" xr:uid="{80A8D9F4-60BE-4C37-AF65-2344D55EA922}"/>
    <hyperlink ref="B134" location="'PseudoInv 2'!A1" display="Full rank n &lt; m" xr:uid="{48173CEB-E6F8-465D-B051-C8F3B49FCEB6}"/>
    <hyperlink ref="B135" location="'PseudoInv 3'!A1" display="Not full-rank singular" xr:uid="{593C1E94-17EC-4E0C-ADDE-6909EBB48AC5}"/>
    <hyperlink ref="B136" location="'PseudoInv 4'!A1" display="SVD approach (singular matrix)" xr:uid="{FA1269DA-9865-41B0-87B5-C830794E38CF}"/>
    <hyperlink ref="B137" location="'PseudoInv 5'!A1" display="SVD approach m &lt; n" xr:uid="{1ABA13AA-2604-447F-97F1-FA462A3BF016}"/>
    <hyperlink ref="B210" location="Surface!A1" display="Manually-constructed data (Figure 1)" xr:uid="{FE230096-4808-4CA4-A64A-E614EB6E2583}"/>
    <hyperlink ref="B211" location="'Surface 3'!A1" display="Data constructed by FUNC2D (Figures 2 and 3)" xr:uid="{73403193-2B67-4DE8-AB2C-41006E0155AE}"/>
    <hyperlink ref="B212" location="'Surface 1'!A1" display="More elements on y-axis than x-axis" xr:uid="{B181AC83-E9F8-4334-B999-8F7E28CBACA0}"/>
    <hyperlink ref="B213" location="'Surface 2'!A1" display="More elements on x-axis than y-axis" xr:uid="{731B5DDA-8198-4077-B555-F29060C23BF8}"/>
    <hyperlink ref="B217" location="Deriv!A1" display="DERIV function (Figure 1)" xr:uid="{6870493B-E210-4584-A1C4-7E76203B2776}"/>
    <hyperlink ref="B218" location="Deriv!A12" display="Gamma distribution example (Figure 2)" xr:uid="{6E3EA401-27CD-4B4B-99BB-E992E180DD1B}"/>
    <hyperlink ref="B223" location="'Integ 0'!A1" display="Definite integral with finite bounds (Figure 1)" xr:uid="{9CFCB5DC-1E56-412D-A245-E50B40A56ACD}"/>
    <hyperlink ref="B224" location="Integ!A1" display="Various examples, including definite integral with infinite bound (Figure 2)" xr:uid="{8E9090CA-A87C-4103-89DB-58675528B932}"/>
    <hyperlink ref="B225" location="'Integ 1'!A1" display="Find cdf from pdf (Figure 3)" xr:uid="{76AB1F2B-9E26-4E14-82B0-140EC1A2BEB5}"/>
    <hyperlink ref="B226" location="'Integ 1'!F1" display="Midpoint rule for integration (Figure 4)" xr:uid="{3D0042DF-8A24-430B-9D8D-E2BD492EA770}"/>
    <hyperlink ref="B73" location="MNEWTON3!A1" display="Function of three variables" xr:uid="{D10FC2B4-A691-41E1-984E-FC773160773A}"/>
    <hyperlink ref="B72" location="MNEWTON2!A1" display="Function of two variables" xr:uid="{99A903C9-613B-413F-A9B7-0667C8274D12}"/>
    <hyperlink ref="B60" location="'Roots A'!A1" display="Chart of a function" xr:uid="{1F581EE2-90C2-49C7-8E3A-1A79B8F6DA2E}"/>
    <hyperlink ref="B61" location="'Roots D'!A1" display="BRENT, NEWTON, BISECTION, SECANT (Figure 1)" xr:uid="{DE395B0F-7598-47DE-9A74-D02F8A7C59E1}"/>
    <hyperlink ref="B62" location="'Roots C'!A1" display="BRENT, NEWTON, BISECTION, SECANT (Root-Finding Functions Figure 2)" xr:uid="{D8817441-092C-4870-AEBB-7DE2A627353D}"/>
    <hyperlink ref="B70" location="'Roots D'!K25" display="Function of one variable (Max/Min of a Continuous Function Figures 1 and 2)" xr:uid="{59A2C9A4-6FC0-4160-A798-C01440836271}"/>
    <hyperlink ref="B76" location="'Roots D'!K39" display="Function of one variable (Max/Min of a Continuous Function Figure 3)" xr:uid="{A73D9CA6-4DB0-4D5C-BDC0-26336A249D80}"/>
    <hyperlink ref="B71" location="'Roots E'!A1" display="Inflection Point (Figure 1)" xr:uid="{1074B185-C496-4EFB-ADBF-4288A27A03D9}"/>
    <hyperlink ref="B219" location="'Roots B'!V8" display="Second derivative: DERIV2" xr:uid="{55821ED0-2F57-43FD-AA4D-61410569972D}"/>
    <hyperlink ref="B78" location="F2MIN!K39" display="Function of two variables (Global Max/Min of a Multivariate Function Figure 1)" xr:uid="{4BBC8DDB-1EFC-4014-AF50-9E435A78234D}"/>
    <hyperlink ref="B65" location="NEWTON2!A1" display="NEWTON2 function example (Roots of Multivariate Functions Figure 1)" xr:uid="{D46E08AA-8D66-4331-830F-4E1C0B5CA91F}"/>
    <hyperlink ref="B77" location="MNEWTON!A1" display="Function of one variable" xr:uid="{E369A273-0FF5-4940-A37C-8C8FA7B62AD7}"/>
    <hyperlink ref="B11" location="Matrix!A1" display="Miscellaneous worksheet functions" xr:uid="{6C381005-74D0-4D3B-9BD8-1EE6E871060C}"/>
    <hyperlink ref="B177" location="'LinEq 1'!A1" display="Complex linear equations (Example 1)" xr:uid="{FA6DDAC2-5521-4CD8-BC39-C5D3032A4689}"/>
    <hyperlink ref="B178" location="'LinEq 2'!A1" display="Complex linear equations (Example 2)" xr:uid="{3357711B-FA16-4668-9377-8713037CE44C}"/>
    <hyperlink ref="B179" location="'LinEq 3'!A1" display="Complex linear equations (Example 3)" xr:uid="{912A4DD4-3133-4AA9-966D-4ABFA65083A3}"/>
    <hyperlink ref="B184" location="EVal!A1" display="Example 1" xr:uid="{6359227D-930E-4BA1-985B-63F06C23EB43}"/>
    <hyperlink ref="B185" location="'Eig A'!A1" display="Example 2" xr:uid="{7955349E-36C1-4536-947E-BB2FE367726C}"/>
    <hyperlink ref="B186" location="'Eig B'!A1" display="Example 3" xr:uid="{E985712D-F915-415A-B63B-BE2A447E1A95}"/>
    <hyperlink ref="B189" location="'Eig A'!M11" display="Figure 1" xr:uid="{96E87317-9C58-4C5E-864B-FE9B35426FCC}"/>
    <hyperlink ref="B190" location="'Eig C'!A1" display="Repeated eigenvalue (Figure 2)" xr:uid="{3F85A372-ECBF-470D-BFF3-D902C6A6E1CB}"/>
    <hyperlink ref="B192" location="'Eig D'!A1" display="Repeated complex eigenvalues (Figure 4)" xr:uid="{68B4DB8D-3761-40D6-A0D9-1CCFA34C4E69}"/>
    <hyperlink ref="B193" location="'Eig E'!A1" display="Another example" xr:uid="{2D32662C-C310-4D15-9AA9-D76FE929B203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43D-6299-4D85-A710-12B15F255204}">
  <sheetPr codeName="Sheet3"/>
  <dimension ref="A1:I8"/>
  <sheetViews>
    <sheetView workbookViewId="0"/>
  </sheetViews>
  <sheetFormatPr defaultRowHeight="14.5" x14ac:dyDescent="0.35"/>
  <cols>
    <col min="1" max="1" width="2.6328125" customWidth="1"/>
    <col min="2" max="5" width="5.6328125" customWidth="1"/>
    <col min="6" max="6" width="6.26953125" customWidth="1"/>
    <col min="7" max="7" width="6.90625" customWidth="1"/>
    <col min="8" max="8" width="2.6328125" customWidth="1"/>
    <col min="9" max="9" width="16.26953125" customWidth="1"/>
  </cols>
  <sheetData>
    <row r="1" spans="1:9" x14ac:dyDescent="0.35">
      <c r="A1" s="10" t="s">
        <v>465</v>
      </c>
    </row>
    <row r="3" spans="1:9" x14ac:dyDescent="0.35">
      <c r="B3" s="62">
        <v>1</v>
      </c>
      <c r="C3" s="63">
        <v>2</v>
      </c>
      <c r="D3" s="63">
        <v>-1</v>
      </c>
      <c r="E3" s="64">
        <v>4</v>
      </c>
      <c r="G3" s="65">
        <f>ROWS(B3:E5)</f>
        <v>3</v>
      </c>
      <c r="I3" t="e" cm="1">
        <f t="array" aca="1" ref="I3" ca="1">FTEXT(G3)</f>
        <v>#NAME?</v>
      </c>
    </row>
    <row r="4" spans="1:9" x14ac:dyDescent="0.35">
      <c r="B4" s="30">
        <v>3</v>
      </c>
      <c r="C4" s="5">
        <v>5</v>
      </c>
      <c r="D4" s="5">
        <v>2</v>
      </c>
      <c r="E4" s="26">
        <v>7</v>
      </c>
      <c r="G4" s="52">
        <f>COLUMNS(B3:E5)</f>
        <v>4</v>
      </c>
      <c r="I4" t="e" cm="1">
        <f t="array" aca="1" ref="I4" ca="1">FTEXT(G4)</f>
        <v>#NAME?</v>
      </c>
    </row>
    <row r="5" spans="1:9" x14ac:dyDescent="0.35">
      <c r="B5" s="7">
        <v>5</v>
      </c>
      <c r="C5" s="8">
        <v>-2</v>
      </c>
      <c r="D5" s="8">
        <v>3</v>
      </c>
      <c r="E5" s="9">
        <v>-4</v>
      </c>
      <c r="G5" s="52">
        <f>INDEX(B3:E5,3,2)</f>
        <v>-2</v>
      </c>
      <c r="I5" t="e" cm="1">
        <f t="array" aca="1" ref="I5" ca="1">FTEXT(G5)</f>
        <v>#NAME?</v>
      </c>
    </row>
    <row r="6" spans="1:9" x14ac:dyDescent="0.35">
      <c r="G6" s="52" t="e" cm="1">
        <f t="array" aca="1" ref="G6" ca="1">TRACE(B3:E5)</f>
        <v>#NAME?</v>
      </c>
      <c r="I6" t="e" cm="1">
        <f t="array" aca="1" ref="I6" ca="1">FTEXT(G6)</f>
        <v>#NAME?</v>
      </c>
    </row>
    <row r="7" spans="1:9" x14ac:dyDescent="0.35">
      <c r="G7" s="52" t="e" cm="1">
        <f t="array" aca="1" ref="G7" ca="1">IsSquare(B3:E5)</f>
        <v>#NAME?</v>
      </c>
      <c r="I7" t="e" cm="1">
        <f t="array" aca="1" ref="I7" ca="1">FTEXT(G7)</f>
        <v>#NAME?</v>
      </c>
    </row>
    <row r="8" spans="1:9" x14ac:dyDescent="0.35">
      <c r="G8" s="14" t="e" cm="1">
        <f t="array" aca="1" ref="G8" ca="1">IsSquare(B3:D5)</f>
        <v>#NAME?</v>
      </c>
      <c r="I8" t="e" cm="1">
        <f t="array" aca="1" ref="I8" ca="1">FTEXT(G8)</f>
        <v>#NAME?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36A8-7E71-47C7-AD29-4A7E511217BE}">
  <sheetPr codeName="Sheet32"/>
  <dimension ref="A1:H15"/>
  <sheetViews>
    <sheetView workbookViewId="0">
      <selection activeCell="F14" sqref="F14"/>
    </sheetView>
  </sheetViews>
  <sheetFormatPr defaultRowHeight="14.5" x14ac:dyDescent="0.35"/>
  <cols>
    <col min="1" max="1" width="6.6328125" customWidth="1"/>
    <col min="3" max="3" width="7.1796875" customWidth="1"/>
    <col min="8" max="8" width="36.36328125" customWidth="1"/>
  </cols>
  <sheetData>
    <row r="1" spans="1:8" x14ac:dyDescent="0.35">
      <c r="A1" s="10" t="s">
        <v>390</v>
      </c>
    </row>
    <row r="2" spans="1:8" x14ac:dyDescent="0.35">
      <c r="A2" s="10"/>
    </row>
    <row r="3" spans="1:8" x14ac:dyDescent="0.35">
      <c r="B3" s="3" t="s">
        <v>16</v>
      </c>
      <c r="D3" s="3" t="s">
        <v>464</v>
      </c>
      <c r="F3" s="152" t="s">
        <v>464</v>
      </c>
    </row>
    <row r="4" spans="1:8" x14ac:dyDescent="0.35">
      <c r="B4" s="132">
        <v>6</v>
      </c>
      <c r="D4" s="132">
        <f>B4/$B$9</f>
        <v>0.7385489458759964</v>
      </c>
      <c r="F4" s="132" t="e">
        <f t="array" aca="1" ref="F4:F7" ca="1">NORM(B4:B7)</f>
        <v>#NAME?</v>
      </c>
      <c r="H4" t="e" cm="1">
        <f t="array" aca="1" ref="H4" ca="1">FTEXT(F4)</f>
        <v>#NAME?</v>
      </c>
    </row>
    <row r="5" spans="1:8" x14ac:dyDescent="0.35">
      <c r="B5" s="145">
        <v>-1</v>
      </c>
      <c r="D5" s="145">
        <f>B5/$B$9</f>
        <v>-0.12309149097933272</v>
      </c>
      <c r="F5" s="145" t="e">
        <f ca="1"/>
        <v>#NAME?</v>
      </c>
    </row>
    <row r="6" spans="1:8" x14ac:dyDescent="0.35">
      <c r="B6" s="145">
        <v>2</v>
      </c>
      <c r="D6" s="145">
        <f>B6/$B$9</f>
        <v>0.24618298195866545</v>
      </c>
      <c r="F6" s="145" t="e">
        <f ca="1"/>
        <v>#NAME?</v>
      </c>
    </row>
    <row r="7" spans="1:8" x14ac:dyDescent="0.35">
      <c r="B7" s="133">
        <v>5</v>
      </c>
      <c r="D7" s="133">
        <f>B7/$B$9</f>
        <v>0.61545745489666359</v>
      </c>
      <c r="F7" s="133" t="e">
        <f ca="1"/>
        <v>#NAME?</v>
      </c>
    </row>
    <row r="9" spans="1:8" x14ac:dyDescent="0.35">
      <c r="A9" t="s">
        <v>391</v>
      </c>
      <c r="B9">
        <f>SQRT(SUMSQ(B4:B7))</f>
        <v>8.1240384046359608</v>
      </c>
      <c r="D9">
        <f>SQRT(SUMSQ(D4:D7))</f>
        <v>0.99999999999999989</v>
      </c>
      <c r="F9" t="e" cm="1">
        <f t="array" aca="1" ref="F9" ca="1">LENGTH(B4:B7)</f>
        <v>#NAME?</v>
      </c>
      <c r="H9" t="e" cm="1">
        <f t="array" aca="1" ref="H9" ca="1">FTEXT(B9)</f>
        <v>#NAME?</v>
      </c>
    </row>
    <row r="11" spans="1:8" ht="16.5" x14ac:dyDescent="0.35">
      <c r="A11" t="s">
        <v>47</v>
      </c>
      <c r="B11">
        <f t="array" ref="B11">MMULT(TRANSPOSE(B4:B7),B4:B7)</f>
        <v>66</v>
      </c>
      <c r="F11" t="e">
        <f t="array" aca="1" ref="F11" ca="1">SSCP(B4:B7)</f>
        <v>#NAME?</v>
      </c>
      <c r="H11" t="e" cm="1">
        <f t="array" aca="1" ref="H11" ca="1">FTEXT(B11)</f>
        <v>#NAME?</v>
      </c>
    </row>
    <row r="12" spans="1:8" ht="16.5" x14ac:dyDescent="0.35">
      <c r="H12" t="e" cm="1">
        <f t="array" aca="1" ref="H12" ca="1">FTEXT(F11)</f>
        <v>#NAME?</v>
      </c>
    </row>
    <row r="13" spans="1:8" ht="16.5" x14ac:dyDescent="0.35"/>
    <row r="14" spans="1:8" ht="16.5" x14ac:dyDescent="0.35">
      <c r="A14" t="s">
        <v>392</v>
      </c>
      <c r="B14">
        <f>SQRT(B11)</f>
        <v>8.1240384046359608</v>
      </c>
      <c r="F14">
        <f t="array" ref="F14">SQRT(MMULT(TRANSPOSE(B4:B7),B4:B7))</f>
        <v>8.1240384046359608</v>
      </c>
      <c r="H14" t="e" cm="1">
        <f t="array" aca="1" ref="H14" ca="1">FTEXT(B14)</f>
        <v>#NAME?</v>
      </c>
    </row>
    <row r="15" spans="1:8" x14ac:dyDescent="0.35">
      <c r="H15" t="e" cm="1">
        <f t="array" aca="1" ref="H15" ca="1">FTEXT(F14)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5D51-EE71-488D-9C02-4EF3C811CB26}">
  <sheetPr codeName="Sheet54"/>
  <dimension ref="B1:Z23"/>
  <sheetViews>
    <sheetView topLeftCell="F1" workbookViewId="0">
      <selection activeCell="V5" sqref="V5"/>
    </sheetView>
  </sheetViews>
  <sheetFormatPr defaultRowHeight="14.5" x14ac:dyDescent="0.35"/>
  <cols>
    <col min="1" max="1" width="2.453125" customWidth="1"/>
    <col min="2" max="5" width="4" customWidth="1"/>
    <col min="6" max="6" width="7.1796875" customWidth="1"/>
    <col min="7" max="7" width="3.54296875" customWidth="1"/>
    <col min="8" max="8" width="5.6328125" customWidth="1"/>
    <col min="9" max="9" width="3.6328125" customWidth="1"/>
    <col min="10" max="10" width="24.7265625" customWidth="1"/>
    <col min="11" max="11" width="7.1796875" customWidth="1"/>
    <col min="12" max="12" width="5.6328125" customWidth="1"/>
    <col min="13" max="13" width="3.6328125" customWidth="1"/>
    <col min="14" max="14" width="36.08984375" customWidth="1"/>
    <col min="15" max="15" width="7.1796875" customWidth="1"/>
    <col min="16" max="18" width="4" customWidth="1"/>
    <col min="19" max="19" width="3.1796875" customWidth="1"/>
    <col min="20" max="20" width="16.90625" customWidth="1"/>
    <col min="21" max="21" width="7.1796875" customWidth="1"/>
    <col min="22" max="24" width="4" customWidth="1"/>
    <col min="25" max="25" width="3.1796875" customWidth="1"/>
  </cols>
  <sheetData>
    <row r="1" spans="2:26" x14ac:dyDescent="0.35">
      <c r="B1" s="10" t="s">
        <v>397</v>
      </c>
    </row>
    <row r="2" spans="2:26" s="148" customFormat="1" x14ac:dyDescent="0.35"/>
    <row r="3" spans="2:26" x14ac:dyDescent="0.35">
      <c r="B3" t="s">
        <v>398</v>
      </c>
      <c r="G3" s="204" t="s">
        <v>193</v>
      </c>
      <c r="H3" s="204"/>
      <c r="P3" t="s">
        <v>193</v>
      </c>
      <c r="V3" t="s">
        <v>302</v>
      </c>
    </row>
    <row r="5" spans="2:26" x14ac:dyDescent="0.35">
      <c r="B5" s="129">
        <v>2</v>
      </c>
      <c r="C5" s="97">
        <v>1</v>
      </c>
      <c r="D5" s="97">
        <v>4</v>
      </c>
      <c r="E5" s="131">
        <v>2</v>
      </c>
      <c r="G5">
        <v>1</v>
      </c>
      <c r="H5" s="65">
        <f t="array" ref="H5:H8">INDEX(B5:E8,G5:G8,G5:G8)</f>
        <v>2</v>
      </c>
      <c r="J5" t="e" cm="1">
        <f t="array" aca="1" ref="J5" ca="1">FTEXT(H5)</f>
        <v>#NAME?</v>
      </c>
      <c r="P5" s="15">
        <v>4</v>
      </c>
      <c r="Q5" s="37">
        <v>-5</v>
      </c>
      <c r="R5" s="38">
        <v>9</v>
      </c>
      <c r="V5" s="62" t="e">
        <f t="array" aca="1" ref="V5:X7" ca="1">Identity()</f>
        <v>#NAME?</v>
      </c>
      <c r="W5" s="63" t="e">
        <f ca="1"/>
        <v>#NAME?</v>
      </c>
      <c r="X5" s="64" t="e">
        <f ca="1"/>
        <v>#NAME?</v>
      </c>
      <c r="Z5" t="e" cm="1">
        <f t="array" aca="1" ref="Z5" ca="1">FTEXT(V5)</f>
        <v>#NAME?</v>
      </c>
    </row>
    <row r="6" spans="2:26" x14ac:dyDescent="0.35">
      <c r="B6" s="143">
        <v>0</v>
      </c>
      <c r="C6" s="3">
        <v>4</v>
      </c>
      <c r="D6" s="3">
        <v>7</v>
      </c>
      <c r="E6" s="144">
        <v>5</v>
      </c>
      <c r="G6">
        <f>G5+1</f>
        <v>2</v>
      </c>
      <c r="H6" s="52">
        <v>4</v>
      </c>
      <c r="V6" s="30" t="e">
        <f ca="1"/>
        <v>#NAME?</v>
      </c>
      <c r="W6" s="5" t="e">
        <f ca="1"/>
        <v>#NAME?</v>
      </c>
      <c r="X6" s="26" t="e">
        <f ca="1"/>
        <v>#NAME?</v>
      </c>
    </row>
    <row r="7" spans="2:26" x14ac:dyDescent="0.35">
      <c r="B7" s="143">
        <v>8</v>
      </c>
      <c r="C7" s="3">
        <v>5</v>
      </c>
      <c r="D7" s="3">
        <v>9</v>
      </c>
      <c r="E7" s="144">
        <v>0</v>
      </c>
      <c r="G7">
        <f>G6+1</f>
        <v>3</v>
      </c>
      <c r="H7" s="52">
        <v>9</v>
      </c>
      <c r="P7" s="62" t="e">
        <f t="array" aca="1" ref="P7:R9" ca="1">DIAGONAL(P5:R5)</f>
        <v>#NAME?</v>
      </c>
      <c r="Q7" s="63" t="e">
        <f ca="1"/>
        <v>#NAME?</v>
      </c>
      <c r="R7" s="64" t="e">
        <f ca="1"/>
        <v>#NAME?</v>
      </c>
      <c r="T7" t="e" cm="1">
        <f t="array" aca="1" ref="T7" ca="1">FTEXT(P7)</f>
        <v>#NAME?</v>
      </c>
      <c r="V7" s="7" t="e">
        <f ca="1"/>
        <v>#NAME?</v>
      </c>
      <c r="W7" s="8" t="e">
        <f ca="1"/>
        <v>#NAME?</v>
      </c>
      <c r="X7" s="9" t="e">
        <f ca="1"/>
        <v>#NAME?</v>
      </c>
    </row>
    <row r="8" spans="2:26" x14ac:dyDescent="0.35">
      <c r="B8" s="140">
        <v>7</v>
      </c>
      <c r="C8" s="138">
        <v>6</v>
      </c>
      <c r="D8" s="138">
        <v>8</v>
      </c>
      <c r="E8" s="141">
        <v>3</v>
      </c>
      <c r="G8">
        <f>G7+1</f>
        <v>4</v>
      </c>
      <c r="H8" s="14">
        <v>3</v>
      </c>
      <c r="P8" s="30" t="e">
        <f ca="1"/>
        <v>#NAME?</v>
      </c>
      <c r="Q8" s="5" t="e">
        <f ca="1"/>
        <v>#NAME?</v>
      </c>
      <c r="R8" s="26" t="e">
        <f ca="1"/>
        <v>#NAME?</v>
      </c>
    </row>
    <row r="9" spans="2:26" x14ac:dyDescent="0.35">
      <c r="P9" s="7" t="e">
        <f ca="1"/>
        <v>#NAME?</v>
      </c>
      <c r="Q9" s="8" t="e">
        <f ca="1"/>
        <v>#NAME?</v>
      </c>
      <c r="R9" s="9" t="e">
        <f ca="1"/>
        <v>#NAME?</v>
      </c>
    </row>
    <row r="10" spans="2:26" x14ac:dyDescent="0.35">
      <c r="H10" s="65" t="e">
        <f t="array" aca="1" ref="H10:H13" ca="1">INDEX(B5:E8,SEQ(4),SEQ(4))</f>
        <v>#NAME?</v>
      </c>
      <c r="J10" t="e" cm="1">
        <f t="array" aca="1" ref="J10" ca="1">FTEXT(H10)</f>
        <v>#NAME?</v>
      </c>
      <c r="L10" s="65">
        <f t="array" ref="L10:L13">INDEX(B5:E8,_xlfn.SEQUENCE(4),_xlfn.SEQUENCE(4))</f>
        <v>2</v>
      </c>
      <c r="N10" t="e" cm="1">
        <f t="array" aca="1" ref="N10" ca="1">FTEXT(L10)</f>
        <v>#NAME?</v>
      </c>
    </row>
    <row r="11" spans="2:26" x14ac:dyDescent="0.35">
      <c r="H11" s="52" t="e">
        <f ca="1"/>
        <v>#NAME?</v>
      </c>
      <c r="L11" s="52">
        <v>4</v>
      </c>
    </row>
    <row r="12" spans="2:26" x14ac:dyDescent="0.35">
      <c r="H12" s="52" t="e">
        <f ca="1"/>
        <v>#NAME?</v>
      </c>
      <c r="L12" s="52">
        <v>9</v>
      </c>
    </row>
    <row r="13" spans="2:26" x14ac:dyDescent="0.35">
      <c r="H13" s="14" t="e">
        <f ca="1"/>
        <v>#NAME?</v>
      </c>
      <c r="L13" s="14">
        <v>3</v>
      </c>
    </row>
    <row r="15" spans="2:26" x14ac:dyDescent="0.35">
      <c r="H15" s="65" t="e">
        <f t="array" aca="1" ref="H15:H18" ca="1">DIAG(B5:E8)</f>
        <v>#NAME?</v>
      </c>
      <c r="J15" t="e" cm="1">
        <f t="array" aca="1" ref="J15" ca="1">FTEXT(H15)</f>
        <v>#NAME?</v>
      </c>
    </row>
    <row r="16" spans="2:26" x14ac:dyDescent="0.35">
      <c r="H16" s="52" t="e">
        <f ca="1"/>
        <v>#NAME?</v>
      </c>
    </row>
    <row r="17" spans="8:10" x14ac:dyDescent="0.35">
      <c r="H17" s="52" t="e">
        <f ca="1"/>
        <v>#NAME?</v>
      </c>
    </row>
    <row r="18" spans="8:10" x14ac:dyDescent="0.35">
      <c r="H18" s="14" t="e">
        <f ca="1"/>
        <v>#NAME?</v>
      </c>
    </row>
    <row r="20" spans="8:10" x14ac:dyDescent="0.35">
      <c r="H20" s="65" t="e" cm="1">
        <f t="array" aca="1" ref="H20" ca="1">TRANSPOSE(DIAG(B5:E8))</f>
        <v>#NAME?</v>
      </c>
      <c r="J20" t="e" cm="1">
        <f t="array" aca="1" ref="J20" ca="1">FTEXT(H20)</f>
        <v>#NAME?</v>
      </c>
    </row>
    <row r="21" spans="8:10" x14ac:dyDescent="0.35">
      <c r="H21" s="52"/>
      <c r="J21" t="s">
        <v>466</v>
      </c>
    </row>
    <row r="22" spans="8:10" x14ac:dyDescent="0.35">
      <c r="H22" s="52"/>
    </row>
    <row r="23" spans="8:10" x14ac:dyDescent="0.35">
      <c r="H23" s="14"/>
    </row>
  </sheetData>
  <mergeCells count="1">
    <mergeCell ref="G3:H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5A29-182B-4DFB-A2F1-F940279FC47E}">
  <sheetPr codeName="Sheet53"/>
  <dimension ref="B1:S9"/>
  <sheetViews>
    <sheetView workbookViewId="0"/>
  </sheetViews>
  <sheetFormatPr defaultRowHeight="14.5" x14ac:dyDescent="0.35"/>
  <cols>
    <col min="1" max="1" width="3.1796875" customWidth="1"/>
    <col min="2" max="12" width="5.08984375" customWidth="1"/>
    <col min="13" max="13" width="4.81640625" customWidth="1"/>
    <col min="14" max="14" width="19.81640625" customWidth="1"/>
    <col min="16" max="17" width="5.08984375" customWidth="1"/>
    <col min="18" max="18" width="4.08984375" customWidth="1"/>
    <col min="19" max="19" width="45.81640625" customWidth="1"/>
  </cols>
  <sheetData>
    <row r="1" spans="2:19" x14ac:dyDescent="0.35">
      <c r="B1" s="10" t="s">
        <v>394</v>
      </c>
    </row>
    <row r="3" spans="2:19" s="12" customFormat="1" x14ac:dyDescent="0.35">
      <c r="B3" s="12" t="s">
        <v>16</v>
      </c>
      <c r="E3" s="12" t="s">
        <v>395</v>
      </c>
      <c r="H3" s="12" t="s">
        <v>396</v>
      </c>
      <c r="K3" s="12" t="s">
        <v>470</v>
      </c>
    </row>
    <row r="4" spans="2:19" x14ac:dyDescent="0.35">
      <c r="B4" s="94">
        <v>1</v>
      </c>
      <c r="C4" s="96">
        <v>3</v>
      </c>
      <c r="E4" s="94">
        <f t="array" ref="E4:F5">MMULT(B4:C5,B4:C5)</f>
        <v>-2</v>
      </c>
      <c r="F4" s="96">
        <v>9</v>
      </c>
      <c r="H4" s="94">
        <f t="array" ref="H4:I5">MMULT(E4:F5,B4:C5)</f>
        <v>-11</v>
      </c>
      <c r="I4" s="96">
        <v>12</v>
      </c>
      <c r="K4" s="94">
        <f t="array" ref="K4:L5">MMULT(H4:I5,B4:C5)</f>
        <v>-23</v>
      </c>
      <c r="L4" s="96">
        <v>-9</v>
      </c>
      <c r="N4" t="e" cm="1">
        <f t="array" aca="1" ref="N4" ca="1">FTEXT(K4)</f>
        <v>#NAME?</v>
      </c>
      <c r="P4" s="62">
        <f t="array" ref="P4:Q5">MMULT(B4:C5,MMULT(B4:C5,MMULT(B4:C5,B4:C5)))</f>
        <v>-23</v>
      </c>
      <c r="Q4" s="64">
        <v>-9</v>
      </c>
      <c r="S4" t="e" cm="1">
        <f t="array" aca="1" ref="S4" ca="1">FTEXT(P4)</f>
        <v>#NAME?</v>
      </c>
    </row>
    <row r="5" spans="2:19" x14ac:dyDescent="0.35">
      <c r="B5" s="7">
        <v>-1</v>
      </c>
      <c r="C5" s="9">
        <v>2</v>
      </c>
      <c r="E5" s="7">
        <v>-3</v>
      </c>
      <c r="F5" s="9">
        <v>1</v>
      </c>
      <c r="H5" s="7">
        <v>-4</v>
      </c>
      <c r="I5" s="9">
        <v>-7</v>
      </c>
      <c r="K5" s="7">
        <v>3</v>
      </c>
      <c r="L5" s="9">
        <v>-26</v>
      </c>
      <c r="P5" s="7">
        <v>3</v>
      </c>
      <c r="Q5" s="9">
        <v>-26</v>
      </c>
    </row>
    <row r="7" spans="2:19" s="12" customFormat="1" x14ac:dyDescent="0.35">
      <c r="B7" s="12" t="s">
        <v>16</v>
      </c>
      <c r="E7" s="12" t="s">
        <v>395</v>
      </c>
      <c r="H7" s="12" t="s">
        <v>396</v>
      </c>
      <c r="K7" s="12" t="s">
        <v>470</v>
      </c>
    </row>
    <row r="8" spans="2:19" x14ac:dyDescent="0.35">
      <c r="B8" s="94">
        <v>1</v>
      </c>
      <c r="C8" s="96">
        <v>3</v>
      </c>
      <c r="E8" s="94" t="e">
        <f t="array" aca="1" ref="E8:F9" ca="1">MPOWER(B8:C9,2)</f>
        <v>#NAME?</v>
      </c>
      <c r="F8" s="96" t="e">
        <f ca="1"/>
        <v>#NAME?</v>
      </c>
      <c r="H8" s="94" t="e">
        <f t="array" aca="1" ref="H8:I9" ca="1">MPOWER(B8:C9,3)</f>
        <v>#NAME?</v>
      </c>
      <c r="I8" s="96" t="e">
        <f ca="1"/>
        <v>#NAME?</v>
      </c>
      <c r="K8" s="94" t="e">
        <f t="array" aca="1" ref="K8:L9" ca="1">MPOWER(B8:C9,4)</f>
        <v>#NAME?</v>
      </c>
      <c r="L8" s="96" t="e">
        <f ca="1"/>
        <v>#NAME?</v>
      </c>
      <c r="N8" t="e" cm="1">
        <f t="array" aca="1" ref="N8" ca="1">FTEXT(K8)</f>
        <v>#NAME?</v>
      </c>
    </row>
    <row r="9" spans="2:19" x14ac:dyDescent="0.35">
      <c r="B9" s="7">
        <v>-1</v>
      </c>
      <c r="C9" s="9">
        <v>2</v>
      </c>
      <c r="E9" s="7" t="e">
        <f ca="1"/>
        <v>#NAME?</v>
      </c>
      <c r="F9" s="9" t="e">
        <f ca="1"/>
        <v>#NAME?</v>
      </c>
      <c r="H9" s="7" t="e">
        <f ca="1"/>
        <v>#NAME?</v>
      </c>
      <c r="I9" s="9" t="e">
        <f ca="1"/>
        <v>#NAME?</v>
      </c>
      <c r="K9" s="7" t="e">
        <f ca="1"/>
        <v>#NAME?</v>
      </c>
      <c r="L9" s="9" t="e">
        <f ca="1"/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30B1-1B44-481E-88C4-550226FF3AD7}">
  <sheetPr codeName="Sheet4"/>
  <dimension ref="A1:H6"/>
  <sheetViews>
    <sheetView workbookViewId="0">
      <selection activeCell="B1" sqref="B1"/>
    </sheetView>
  </sheetViews>
  <sheetFormatPr defaultRowHeight="14.5" x14ac:dyDescent="0.35"/>
  <cols>
    <col min="1" max="1" width="3.7265625" customWidth="1"/>
    <col min="2" max="4" width="5" customWidth="1"/>
    <col min="6" max="8" width="5" customWidth="1"/>
  </cols>
  <sheetData>
    <row r="1" spans="1:8" x14ac:dyDescent="0.35">
      <c r="A1" s="10" t="s">
        <v>467</v>
      </c>
    </row>
    <row r="3" spans="1:8" x14ac:dyDescent="0.35">
      <c r="A3" s="12"/>
      <c r="B3" s="12" t="s">
        <v>16</v>
      </c>
      <c r="C3" s="12"/>
      <c r="D3" s="12" t="s">
        <v>258</v>
      </c>
      <c r="F3" s="12" t="s">
        <v>468</v>
      </c>
      <c r="G3" s="12"/>
      <c r="H3" s="12" t="s">
        <v>468</v>
      </c>
    </row>
    <row r="4" spans="1:8" x14ac:dyDescent="0.35">
      <c r="B4" s="65">
        <v>3</v>
      </c>
      <c r="D4" s="65">
        <v>2</v>
      </c>
      <c r="F4" s="65">
        <f t="array" ref="F4:F6">B4:B6-D4:D6</f>
        <v>1</v>
      </c>
      <c r="H4" s="65" t="e">
        <f t="array" aca="1" ref="H4:H6" ca="1">MSUB(B4:B6,D4:D6)</f>
        <v>#NAME?</v>
      </c>
    </row>
    <row r="5" spans="1:8" x14ac:dyDescent="0.35">
      <c r="B5" s="52">
        <v>4</v>
      </c>
      <c r="D5" s="52">
        <v>1</v>
      </c>
      <c r="F5" s="52">
        <v>3</v>
      </c>
      <c r="H5" s="52" t="e">
        <f ca="1"/>
        <v>#NAME?</v>
      </c>
    </row>
    <row r="6" spans="1:8" x14ac:dyDescent="0.35">
      <c r="B6" s="14">
        <v>1</v>
      </c>
      <c r="D6" s="14"/>
      <c r="F6" s="14">
        <v>1</v>
      </c>
      <c r="H6" s="14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D9CA-7DA5-4116-A54D-1049ADFF6978}">
  <sheetPr codeName="Sheet50"/>
  <dimension ref="B1:F6"/>
  <sheetViews>
    <sheetView workbookViewId="0">
      <selection activeCell="B1" sqref="B1"/>
    </sheetView>
  </sheetViews>
  <sheetFormatPr defaultRowHeight="14.5" x14ac:dyDescent="0.35"/>
  <cols>
    <col min="1" max="1" width="3" customWidth="1"/>
  </cols>
  <sheetData>
    <row r="1" spans="2:6" x14ac:dyDescent="0.35">
      <c r="B1" s="10" t="s">
        <v>393</v>
      </c>
    </row>
    <row r="3" spans="2:6" ht="16.5" x14ac:dyDescent="0.35">
      <c r="B3" s="12" t="s">
        <v>16</v>
      </c>
      <c r="E3" t="s">
        <v>103</v>
      </c>
    </row>
    <row r="5" spans="2:6" x14ac:dyDescent="0.35">
      <c r="B5" s="94">
        <v>1</v>
      </c>
      <c r="C5" s="96">
        <v>1</v>
      </c>
      <c r="E5" s="94">
        <f t="array" ref="E5:F6">MINVERSE(B5:C6)</f>
        <v>0.66666666666666674</v>
      </c>
      <c r="F5" s="96">
        <v>-0.33333333333333331</v>
      </c>
    </row>
    <row r="6" spans="2:6" x14ac:dyDescent="0.35">
      <c r="B6" s="7">
        <v>-1</v>
      </c>
      <c r="C6" s="9">
        <v>2</v>
      </c>
      <c r="E6" s="7">
        <v>0.33333333333333331</v>
      </c>
      <c r="F6" s="9">
        <v>0.33333333333333331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948-DB59-47F0-B7C1-4C1868059BA3}">
  <sheetPr codeName="Sheet55"/>
  <dimension ref="B1:G5"/>
  <sheetViews>
    <sheetView workbookViewId="0">
      <selection activeCell="K8" sqref="K8"/>
    </sheetView>
  </sheetViews>
  <sheetFormatPr defaultRowHeight="14.5" x14ac:dyDescent="0.35"/>
  <cols>
    <col min="1" max="1" width="3" customWidth="1"/>
    <col min="2" max="4" width="5" customWidth="1"/>
    <col min="6" max="6" width="5.453125" customWidth="1"/>
    <col min="7" max="7" width="5.1796875" customWidth="1"/>
  </cols>
  <sheetData>
    <row r="1" spans="2:7" x14ac:dyDescent="0.35">
      <c r="B1" s="10" t="s">
        <v>399</v>
      </c>
    </row>
    <row r="3" spans="2:7" x14ac:dyDescent="0.35">
      <c r="B3" s="94">
        <v>6</v>
      </c>
      <c r="C3" s="95">
        <v>7</v>
      </c>
      <c r="D3" s="96">
        <v>8</v>
      </c>
      <c r="F3" t="s">
        <v>400</v>
      </c>
      <c r="G3" s="85">
        <f>MDETERM(B3:D5)</f>
        <v>-12.000000000000002</v>
      </c>
    </row>
    <row r="4" spans="2:7" x14ac:dyDescent="0.35">
      <c r="B4" s="30">
        <v>6</v>
      </c>
      <c r="C4">
        <v>4</v>
      </c>
      <c r="D4" s="26">
        <v>8</v>
      </c>
    </row>
    <row r="5" spans="2:7" x14ac:dyDescent="0.35">
      <c r="B5" s="7">
        <v>1</v>
      </c>
      <c r="C5" s="8">
        <v>1</v>
      </c>
      <c r="D5" s="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A466-CD25-4F06-B6A3-7BED26B67891}">
  <sheetPr codeName="Sheet56"/>
  <dimension ref="B1:AA18"/>
  <sheetViews>
    <sheetView workbookViewId="0"/>
  </sheetViews>
  <sheetFormatPr defaultRowHeight="14.5" x14ac:dyDescent="0.35"/>
  <cols>
    <col min="1" max="1" width="3.1796875" customWidth="1"/>
    <col min="2" max="5" width="4.81640625" customWidth="1"/>
    <col min="6" max="6" width="3.7265625" customWidth="1"/>
    <col min="7" max="7" width="5.7265625" style="3" customWidth="1"/>
    <col min="8" max="8" width="1.81640625" style="3" customWidth="1"/>
    <col min="9" max="9" width="5.7265625" style="3" customWidth="1"/>
    <col min="10" max="10" width="5.7265625" customWidth="1"/>
    <col min="11" max="13" width="4.81640625" customWidth="1"/>
    <col min="14" max="14" width="4.7265625" customWidth="1"/>
    <col min="15" max="15" width="3.7265625" customWidth="1"/>
    <col min="16" max="16" width="5.7265625" customWidth="1"/>
    <col min="17" max="17" width="1.81640625" customWidth="1"/>
    <col min="18" max="19" width="5.7265625" customWidth="1"/>
    <col min="20" max="23" width="4.81640625" customWidth="1"/>
    <col min="24" max="24" width="3.7265625" customWidth="1"/>
    <col min="25" max="25" width="5.7265625" customWidth="1"/>
    <col min="26" max="26" width="1.81640625" customWidth="1"/>
    <col min="27" max="27" width="5.7265625" customWidth="1"/>
  </cols>
  <sheetData>
    <row r="1" spans="2:27" x14ac:dyDescent="0.35">
      <c r="B1" s="10" t="s">
        <v>399</v>
      </c>
    </row>
    <row r="2" spans="2:27" x14ac:dyDescent="0.35">
      <c r="G2" s="3" t="s">
        <v>401</v>
      </c>
      <c r="I2" s="3" t="s">
        <v>402</v>
      </c>
      <c r="P2" s="3" t="s">
        <v>401</v>
      </c>
      <c r="Q2" s="3"/>
      <c r="R2" s="3" t="s">
        <v>402</v>
      </c>
      <c r="Y2" s="3" t="s">
        <v>401</v>
      </c>
      <c r="AA2" s="3" t="s">
        <v>402</v>
      </c>
    </row>
    <row r="3" spans="2:27" x14ac:dyDescent="0.35">
      <c r="B3" s="94">
        <v>2</v>
      </c>
      <c r="C3" s="95">
        <v>4</v>
      </c>
      <c r="D3" s="95">
        <v>6</v>
      </c>
      <c r="E3" s="96">
        <v>5</v>
      </c>
      <c r="G3" s="3">
        <v>1</v>
      </c>
      <c r="K3" s="94">
        <f>B3/$B3</f>
        <v>1</v>
      </c>
      <c r="L3" s="95">
        <f>C3/$B3</f>
        <v>2</v>
      </c>
      <c r="M3" s="95">
        <f>D3/$B3</f>
        <v>3</v>
      </c>
      <c r="N3" s="96">
        <f>E3/$B3</f>
        <v>2.5</v>
      </c>
      <c r="P3" s="3">
        <f>B3</f>
        <v>2</v>
      </c>
      <c r="Q3" s="3"/>
      <c r="R3" s="3">
        <v>3</v>
      </c>
      <c r="T3" s="94">
        <f>K3</f>
        <v>1</v>
      </c>
      <c r="U3" s="95">
        <f>L3</f>
        <v>2</v>
      </c>
      <c r="V3" s="95">
        <f>M3</f>
        <v>3</v>
      </c>
      <c r="W3" s="96">
        <f>N3</f>
        <v>2.5</v>
      </c>
      <c r="Y3" s="3">
        <f>P3</f>
        <v>2</v>
      </c>
      <c r="Z3" s="3"/>
      <c r="AA3" s="3">
        <v>4</v>
      </c>
    </row>
    <row r="4" spans="2:27" x14ac:dyDescent="0.35">
      <c r="B4" s="30">
        <v>4</v>
      </c>
      <c r="C4">
        <v>8</v>
      </c>
      <c r="D4">
        <v>7</v>
      </c>
      <c r="E4" s="26">
        <v>0</v>
      </c>
      <c r="K4" s="30">
        <f t="shared" ref="K4:N6" si="0">B4</f>
        <v>4</v>
      </c>
      <c r="L4">
        <f t="shared" si="0"/>
        <v>8</v>
      </c>
      <c r="M4">
        <f t="shared" si="0"/>
        <v>7</v>
      </c>
      <c r="N4" s="26">
        <f t="shared" si="0"/>
        <v>0</v>
      </c>
      <c r="P4" s="3"/>
      <c r="Q4" s="3"/>
      <c r="R4" s="3"/>
      <c r="T4" s="30">
        <f t="shared" ref="T4:W6" si="1">-$K4*K$3+K4</f>
        <v>0</v>
      </c>
      <c r="U4">
        <f t="shared" si="1"/>
        <v>0</v>
      </c>
      <c r="V4">
        <f t="shared" si="1"/>
        <v>-5</v>
      </c>
      <c r="W4" s="26">
        <f t="shared" si="1"/>
        <v>-10</v>
      </c>
      <c r="Y4" s="3"/>
      <c r="Z4" s="3"/>
      <c r="AA4" s="3"/>
    </row>
    <row r="5" spans="2:27" x14ac:dyDescent="0.35">
      <c r="B5" s="30">
        <v>2</v>
      </c>
      <c r="C5">
        <v>3</v>
      </c>
      <c r="D5">
        <v>4</v>
      </c>
      <c r="E5" s="26">
        <v>3</v>
      </c>
      <c r="K5" s="30">
        <f t="shared" si="0"/>
        <v>2</v>
      </c>
      <c r="L5">
        <f t="shared" si="0"/>
        <v>3</v>
      </c>
      <c r="M5">
        <f t="shared" si="0"/>
        <v>4</v>
      </c>
      <c r="N5" s="26">
        <f t="shared" si="0"/>
        <v>3</v>
      </c>
      <c r="P5" s="3"/>
      <c r="Q5" s="3"/>
      <c r="R5" s="3"/>
      <c r="T5" s="30">
        <f t="shared" si="1"/>
        <v>0</v>
      </c>
      <c r="U5">
        <f t="shared" si="1"/>
        <v>-1</v>
      </c>
      <c r="V5">
        <f t="shared" si="1"/>
        <v>-2</v>
      </c>
      <c r="W5" s="26">
        <f t="shared" si="1"/>
        <v>-2</v>
      </c>
      <c r="Y5" s="3"/>
      <c r="Z5" s="3"/>
      <c r="AA5" s="3"/>
    </row>
    <row r="6" spans="2:27" x14ac:dyDescent="0.35">
      <c r="B6" s="7">
        <v>3</v>
      </c>
      <c r="C6" s="8">
        <v>1</v>
      </c>
      <c r="D6" s="8">
        <v>1</v>
      </c>
      <c r="E6" s="9">
        <v>2</v>
      </c>
      <c r="K6" s="7">
        <f t="shared" si="0"/>
        <v>3</v>
      </c>
      <c r="L6" s="8">
        <f t="shared" si="0"/>
        <v>1</v>
      </c>
      <c r="M6" s="8">
        <f t="shared" si="0"/>
        <v>1</v>
      </c>
      <c r="N6" s="9">
        <f t="shared" si="0"/>
        <v>2</v>
      </c>
      <c r="P6" s="3"/>
      <c r="Q6" s="3"/>
      <c r="R6" s="3"/>
      <c r="T6" s="7">
        <f t="shared" si="1"/>
        <v>0</v>
      </c>
      <c r="U6" s="8">
        <f t="shared" si="1"/>
        <v>-5</v>
      </c>
      <c r="V6" s="8">
        <f t="shared" si="1"/>
        <v>-8</v>
      </c>
      <c r="W6" s="9">
        <f t="shared" si="1"/>
        <v>-5.5</v>
      </c>
      <c r="Y6" s="3"/>
      <c r="Z6" s="3"/>
      <c r="AA6" s="3"/>
    </row>
    <row r="8" spans="2:27" x14ac:dyDescent="0.35">
      <c r="B8" s="94">
        <f>T3</f>
        <v>1</v>
      </c>
      <c r="C8" s="95">
        <f>U3</f>
        <v>2</v>
      </c>
      <c r="D8" s="95">
        <f>V3</f>
        <v>3</v>
      </c>
      <c r="E8" s="96">
        <f>W3</f>
        <v>2.5</v>
      </c>
      <c r="G8" s="3">
        <f>-Y3</f>
        <v>-2</v>
      </c>
      <c r="I8" s="3">
        <v>2</v>
      </c>
      <c r="K8" s="94">
        <f>B8</f>
        <v>1</v>
      </c>
      <c r="L8" s="95">
        <f>C8</f>
        <v>2</v>
      </c>
      <c r="M8" s="95">
        <f>D8</f>
        <v>3</v>
      </c>
      <c r="N8" s="96">
        <f>E8</f>
        <v>2.5</v>
      </c>
      <c r="P8" s="3">
        <f>G8*C9</f>
        <v>2</v>
      </c>
      <c r="Q8" s="3"/>
      <c r="R8" s="3">
        <v>3</v>
      </c>
      <c r="T8" s="94">
        <f t="shared" ref="T8:W9" si="2">K8</f>
        <v>1</v>
      </c>
      <c r="U8" s="95">
        <f t="shared" si="2"/>
        <v>2</v>
      </c>
      <c r="V8" s="95">
        <f t="shared" si="2"/>
        <v>3</v>
      </c>
      <c r="W8" s="96">
        <f t="shared" si="2"/>
        <v>2.5</v>
      </c>
      <c r="Y8" s="3">
        <f>P8</f>
        <v>2</v>
      </c>
      <c r="Z8" s="3"/>
      <c r="AA8" s="3">
        <v>4</v>
      </c>
    </row>
    <row r="9" spans="2:27" x14ac:dyDescent="0.35">
      <c r="B9" s="30">
        <f>T5</f>
        <v>0</v>
      </c>
      <c r="C9">
        <f>U5</f>
        <v>-1</v>
      </c>
      <c r="D9">
        <f>V5</f>
        <v>-2</v>
      </c>
      <c r="E9" s="26">
        <f>W5</f>
        <v>-2</v>
      </c>
      <c r="K9" s="30">
        <f>B9/$C9</f>
        <v>0</v>
      </c>
      <c r="L9">
        <f>C9/$C9</f>
        <v>1</v>
      </c>
      <c r="M9">
        <f>D9/$C9</f>
        <v>2</v>
      </c>
      <c r="N9" s="26">
        <f>E9/$C9</f>
        <v>2</v>
      </c>
      <c r="P9" s="3"/>
      <c r="Q9" s="3"/>
      <c r="R9" s="3"/>
      <c r="T9" s="30">
        <f t="shared" si="2"/>
        <v>0</v>
      </c>
      <c r="U9">
        <f t="shared" si="2"/>
        <v>1</v>
      </c>
      <c r="V9">
        <f t="shared" si="2"/>
        <v>2</v>
      </c>
      <c r="W9" s="26">
        <f t="shared" si="2"/>
        <v>2</v>
      </c>
      <c r="Y9" s="3"/>
      <c r="Z9" s="3"/>
      <c r="AA9" s="3"/>
    </row>
    <row r="10" spans="2:27" x14ac:dyDescent="0.35">
      <c r="B10" s="30">
        <f>T4</f>
        <v>0</v>
      </c>
      <c r="C10">
        <f>U4</f>
        <v>0</v>
      </c>
      <c r="D10">
        <f>V4</f>
        <v>-5</v>
      </c>
      <c r="E10" s="26">
        <f>W4</f>
        <v>-10</v>
      </c>
      <c r="K10" s="30">
        <f t="shared" ref="K10:N11" si="3">B10</f>
        <v>0</v>
      </c>
      <c r="L10">
        <f t="shared" si="3"/>
        <v>0</v>
      </c>
      <c r="M10">
        <f t="shared" si="3"/>
        <v>-5</v>
      </c>
      <c r="N10" s="26">
        <f t="shared" si="3"/>
        <v>-10</v>
      </c>
      <c r="P10" s="3"/>
      <c r="Q10" s="3"/>
      <c r="R10" s="3"/>
      <c r="T10" s="30">
        <f t="shared" ref="T10:W11" si="4">-$L10*K$9+K10</f>
        <v>0</v>
      </c>
      <c r="U10">
        <f t="shared" si="4"/>
        <v>0</v>
      </c>
      <c r="V10">
        <f t="shared" si="4"/>
        <v>-5</v>
      </c>
      <c r="W10" s="26">
        <f t="shared" si="4"/>
        <v>-10</v>
      </c>
      <c r="Y10" s="3"/>
      <c r="Z10" s="3"/>
      <c r="AA10" s="3"/>
    </row>
    <row r="11" spans="2:27" x14ac:dyDescent="0.35">
      <c r="B11" s="7">
        <f>T6</f>
        <v>0</v>
      </c>
      <c r="C11" s="8">
        <f>U6</f>
        <v>-5</v>
      </c>
      <c r="D11" s="8">
        <f>V6</f>
        <v>-8</v>
      </c>
      <c r="E11" s="9">
        <f>W6</f>
        <v>-5.5</v>
      </c>
      <c r="K11" s="7">
        <f t="shared" si="3"/>
        <v>0</v>
      </c>
      <c r="L11" s="8">
        <f t="shared" si="3"/>
        <v>-5</v>
      </c>
      <c r="M11" s="8">
        <f t="shared" si="3"/>
        <v>-8</v>
      </c>
      <c r="N11" s="9">
        <f t="shared" si="3"/>
        <v>-5.5</v>
      </c>
      <c r="P11" s="3"/>
      <c r="Q11" s="3"/>
      <c r="R11" s="3"/>
      <c r="T11" s="7">
        <f t="shared" si="4"/>
        <v>0</v>
      </c>
      <c r="U11" s="8">
        <f t="shared" si="4"/>
        <v>0</v>
      </c>
      <c r="V11" s="8">
        <f t="shared" si="4"/>
        <v>2</v>
      </c>
      <c r="W11" s="9">
        <f t="shared" si="4"/>
        <v>4.5</v>
      </c>
      <c r="Y11" s="3"/>
      <c r="Z11" s="3"/>
      <c r="AA11" s="3"/>
    </row>
    <row r="13" spans="2:27" x14ac:dyDescent="0.35">
      <c r="B13" s="94">
        <f t="shared" ref="B13:E14" si="5">T8</f>
        <v>1</v>
      </c>
      <c r="C13" s="95">
        <f t="shared" si="5"/>
        <v>2</v>
      </c>
      <c r="D13" s="95">
        <f t="shared" si="5"/>
        <v>3</v>
      </c>
      <c r="E13" s="96">
        <f t="shared" si="5"/>
        <v>2.5</v>
      </c>
      <c r="G13" s="3">
        <f>Y8*V10</f>
        <v>-10</v>
      </c>
      <c r="I13" s="3">
        <v>3</v>
      </c>
      <c r="K13" s="94">
        <f t="shared" ref="K13:N15" si="6">B13</f>
        <v>1</v>
      </c>
      <c r="L13" s="95">
        <f t="shared" si="6"/>
        <v>2</v>
      </c>
      <c r="M13" s="95">
        <f t="shared" si="6"/>
        <v>3</v>
      </c>
      <c r="N13" s="96">
        <f t="shared" si="6"/>
        <v>2.5</v>
      </c>
      <c r="P13" s="3">
        <f>G13</f>
        <v>-10</v>
      </c>
      <c r="Q13" s="3"/>
      <c r="R13" s="3">
        <v>4</v>
      </c>
      <c r="T13" s="94">
        <f t="shared" ref="T13:W15" si="7">K13</f>
        <v>1</v>
      </c>
      <c r="U13" s="95">
        <f t="shared" si="7"/>
        <v>2</v>
      </c>
      <c r="V13" s="95">
        <f t="shared" si="7"/>
        <v>3</v>
      </c>
      <c r="W13" s="96">
        <f t="shared" si="7"/>
        <v>2.5</v>
      </c>
      <c r="Y13" s="3">
        <f>P13*N16</f>
        <v>-5</v>
      </c>
      <c r="AA13" s="3">
        <v>2</v>
      </c>
    </row>
    <row r="14" spans="2:27" x14ac:dyDescent="0.35">
      <c r="B14" s="30">
        <f t="shared" si="5"/>
        <v>0</v>
      </c>
      <c r="C14">
        <f t="shared" si="5"/>
        <v>1</v>
      </c>
      <c r="D14">
        <f t="shared" si="5"/>
        <v>2</v>
      </c>
      <c r="E14" s="26">
        <f t="shared" si="5"/>
        <v>2</v>
      </c>
      <c r="K14" s="30">
        <f t="shared" si="6"/>
        <v>0</v>
      </c>
      <c r="L14">
        <f t="shared" si="6"/>
        <v>1</v>
      </c>
      <c r="M14">
        <f t="shared" si="6"/>
        <v>2</v>
      </c>
      <c r="N14" s="26">
        <f t="shared" si="6"/>
        <v>2</v>
      </c>
      <c r="T14" s="30">
        <f t="shared" si="7"/>
        <v>0</v>
      </c>
      <c r="U14">
        <f t="shared" si="7"/>
        <v>1</v>
      </c>
      <c r="V14">
        <f t="shared" si="7"/>
        <v>2</v>
      </c>
      <c r="W14" s="26">
        <f t="shared" si="7"/>
        <v>2</v>
      </c>
    </row>
    <row r="15" spans="2:27" x14ac:dyDescent="0.35">
      <c r="B15" s="30">
        <f>T10/$V10</f>
        <v>0</v>
      </c>
      <c r="C15">
        <f>U10/$V10</f>
        <v>0</v>
      </c>
      <c r="D15">
        <f>V10/$V10</f>
        <v>1</v>
      </c>
      <c r="E15" s="26">
        <f>W10/$V10</f>
        <v>2</v>
      </c>
      <c r="K15" s="30">
        <f t="shared" si="6"/>
        <v>0</v>
      </c>
      <c r="L15">
        <f t="shared" si="6"/>
        <v>0</v>
      </c>
      <c r="M15">
        <f t="shared" si="6"/>
        <v>1</v>
      </c>
      <c r="N15" s="26">
        <f t="shared" si="6"/>
        <v>2</v>
      </c>
      <c r="T15" s="30">
        <f t="shared" si="7"/>
        <v>0</v>
      </c>
      <c r="U15">
        <f t="shared" si="7"/>
        <v>0</v>
      </c>
      <c r="V15">
        <f t="shared" si="7"/>
        <v>1</v>
      </c>
      <c r="W15" s="26">
        <f t="shared" si="7"/>
        <v>2</v>
      </c>
    </row>
    <row r="16" spans="2:27" x14ac:dyDescent="0.35">
      <c r="B16" s="7">
        <f>T11</f>
        <v>0</v>
      </c>
      <c r="C16" s="8">
        <f>U11</f>
        <v>0</v>
      </c>
      <c r="D16" s="8">
        <f>V11</f>
        <v>2</v>
      </c>
      <c r="E16" s="9">
        <f>W11</f>
        <v>4.5</v>
      </c>
      <c r="K16" s="7">
        <f>-$D16*B15+B16</f>
        <v>0</v>
      </c>
      <c r="L16" s="8">
        <f>-$D16*C15+C16</f>
        <v>0</v>
      </c>
      <c r="M16" s="8">
        <f>-$D16*D15+D16</f>
        <v>0</v>
      </c>
      <c r="N16" s="9">
        <f>-$D16*E15+E16</f>
        <v>0.5</v>
      </c>
      <c r="T16" s="7">
        <f>K16/$N16</f>
        <v>0</v>
      </c>
      <c r="U16" s="8">
        <f>L16/$N16</f>
        <v>0</v>
      </c>
      <c r="V16" s="8">
        <f>M16/$N16</f>
        <v>0</v>
      </c>
      <c r="W16" s="9">
        <f>N16/$N16</f>
        <v>1</v>
      </c>
    </row>
    <row r="18" spans="2:7" x14ac:dyDescent="0.35">
      <c r="B18" t="s">
        <v>403</v>
      </c>
      <c r="G18" s="3">
        <f>MDETERM(B3:E6)</f>
        <v>-5.0000000000000044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7FCF-3313-4A3C-8D9B-B7AFBDEF7E13}">
  <sheetPr codeName="Sheet57"/>
  <dimension ref="B1:I30"/>
  <sheetViews>
    <sheetView workbookViewId="0"/>
  </sheetViews>
  <sheetFormatPr defaultRowHeight="14.5" x14ac:dyDescent="0.35"/>
  <cols>
    <col min="1" max="1" width="3.7265625" customWidth="1"/>
    <col min="2" max="5" width="4.81640625" customWidth="1"/>
    <col min="6" max="6" width="3.7265625" customWidth="1"/>
    <col min="7" max="7" width="4.81640625" style="3" customWidth="1"/>
    <col min="8" max="8" width="4.81640625" customWidth="1"/>
  </cols>
  <sheetData>
    <row r="1" spans="2:9" x14ac:dyDescent="0.35">
      <c r="B1" s="10" t="s">
        <v>404</v>
      </c>
    </row>
    <row r="2" spans="2:9" x14ac:dyDescent="0.35">
      <c r="B2" s="10"/>
    </row>
    <row r="3" spans="2:9" ht="16.5" x14ac:dyDescent="0.35">
      <c r="B3" t="s">
        <v>16</v>
      </c>
      <c r="G3" s="3" t="s">
        <v>18</v>
      </c>
      <c r="I3" s="3" t="s">
        <v>405</v>
      </c>
    </row>
    <row r="4" spans="2:9" x14ac:dyDescent="0.35">
      <c r="B4" s="94">
        <v>1</v>
      </c>
      <c r="C4" s="95">
        <v>2</v>
      </c>
      <c r="D4" s="96">
        <v>0</v>
      </c>
      <c r="F4" s="65" t="s">
        <v>159</v>
      </c>
      <c r="G4" s="132">
        <v>0</v>
      </c>
      <c r="I4" s="65">
        <f t="array" ref="I4:I6">MMULT(MINVERSE(B4:D6),G4:G6)</f>
        <v>-0.66666666666666663</v>
      </c>
    </row>
    <row r="5" spans="2:9" x14ac:dyDescent="0.35">
      <c r="B5" s="30">
        <v>-1</v>
      </c>
      <c r="C5">
        <v>1</v>
      </c>
      <c r="D5" s="26">
        <v>1</v>
      </c>
      <c r="F5" s="52" t="s">
        <v>160</v>
      </c>
      <c r="G5" s="145">
        <v>1</v>
      </c>
      <c r="I5" s="52">
        <v>0.33333333333333331</v>
      </c>
    </row>
    <row r="6" spans="2:9" x14ac:dyDescent="0.35">
      <c r="B6" s="7">
        <v>1</v>
      </c>
      <c r="C6" s="8">
        <v>2</v>
      </c>
      <c r="D6" s="9">
        <v>3</v>
      </c>
      <c r="F6" s="14" t="s">
        <v>301</v>
      </c>
      <c r="G6" s="133">
        <v>0</v>
      </c>
      <c r="I6" s="14">
        <v>0</v>
      </c>
    </row>
    <row r="8" spans="2:9" x14ac:dyDescent="0.35">
      <c r="B8" t="s">
        <v>406</v>
      </c>
      <c r="C8" s="204">
        <f>D20/D15</f>
        <v>-0.66666666666666663</v>
      </c>
      <c r="D8" s="204"/>
    </row>
    <row r="9" spans="2:9" x14ac:dyDescent="0.35">
      <c r="B9" t="s">
        <v>407</v>
      </c>
      <c r="C9" s="204">
        <f>D25/D15</f>
        <v>0.33333333333333331</v>
      </c>
      <c r="D9" s="204"/>
    </row>
    <row r="10" spans="2:9" x14ac:dyDescent="0.35">
      <c r="B10" t="s">
        <v>408</v>
      </c>
      <c r="C10" s="204">
        <f>D30/D15</f>
        <v>0</v>
      </c>
      <c r="D10" s="204"/>
    </row>
    <row r="12" spans="2:9" x14ac:dyDescent="0.35">
      <c r="B12" s="94">
        <v>1</v>
      </c>
      <c r="C12" s="95">
        <v>2</v>
      </c>
      <c r="D12" s="96">
        <v>0</v>
      </c>
    </row>
    <row r="13" spans="2:9" x14ac:dyDescent="0.35">
      <c r="B13" s="30">
        <v>-1</v>
      </c>
      <c r="C13">
        <v>1</v>
      </c>
      <c r="D13" s="26">
        <v>1</v>
      </c>
    </row>
    <row r="14" spans="2:9" x14ac:dyDescent="0.35">
      <c r="B14" s="7">
        <v>1</v>
      </c>
      <c r="C14" s="8">
        <v>2</v>
      </c>
      <c r="D14" s="9">
        <v>3</v>
      </c>
    </row>
    <row r="15" spans="2:9" x14ac:dyDescent="0.35">
      <c r="B15" t="s">
        <v>409</v>
      </c>
      <c r="D15">
        <f>MDETERM(B4:D6)</f>
        <v>9</v>
      </c>
    </row>
    <row r="17" spans="2:4" x14ac:dyDescent="0.35">
      <c r="B17" s="129">
        <v>0</v>
      </c>
      <c r="C17" s="95">
        <v>2</v>
      </c>
      <c r="D17" s="96">
        <v>0</v>
      </c>
    </row>
    <row r="18" spans="2:4" x14ac:dyDescent="0.35">
      <c r="B18" s="143">
        <v>1</v>
      </c>
      <c r="C18">
        <v>1</v>
      </c>
      <c r="D18" s="26">
        <v>1</v>
      </c>
    </row>
    <row r="19" spans="2:4" x14ac:dyDescent="0.35">
      <c r="B19" s="140">
        <v>0</v>
      </c>
      <c r="C19" s="8">
        <v>2</v>
      </c>
      <c r="D19" s="9">
        <v>3</v>
      </c>
    </row>
    <row r="20" spans="2:4" ht="16.5" x14ac:dyDescent="0.45">
      <c r="B20" t="s">
        <v>410</v>
      </c>
      <c r="D20">
        <f>MDETERM(B17:D19)</f>
        <v>-6</v>
      </c>
    </row>
    <row r="22" spans="2:4" x14ac:dyDescent="0.35">
      <c r="B22" s="94">
        <v>1</v>
      </c>
      <c r="C22" s="153">
        <v>0</v>
      </c>
      <c r="D22" s="96">
        <v>0</v>
      </c>
    </row>
    <row r="23" spans="2:4" x14ac:dyDescent="0.35">
      <c r="B23" s="30">
        <v>-1</v>
      </c>
      <c r="C23" s="12">
        <v>1</v>
      </c>
      <c r="D23" s="26">
        <v>1</v>
      </c>
    </row>
    <row r="24" spans="2:4" x14ac:dyDescent="0.35">
      <c r="B24" s="7">
        <v>1</v>
      </c>
      <c r="C24" s="154">
        <v>0</v>
      </c>
      <c r="D24" s="9">
        <v>3</v>
      </c>
    </row>
    <row r="25" spans="2:4" ht="16.5" x14ac:dyDescent="0.45">
      <c r="B25" t="s">
        <v>411</v>
      </c>
      <c r="D25">
        <f>MDETERM(B22:D24)</f>
        <v>3</v>
      </c>
    </row>
    <row r="27" spans="2:4" x14ac:dyDescent="0.35">
      <c r="B27" s="94">
        <v>1</v>
      </c>
      <c r="C27" s="95">
        <v>2</v>
      </c>
      <c r="D27" s="131">
        <v>0</v>
      </c>
    </row>
    <row r="28" spans="2:4" x14ac:dyDescent="0.35">
      <c r="B28" s="30">
        <v>-1</v>
      </c>
      <c r="C28">
        <v>1</v>
      </c>
      <c r="D28" s="144">
        <v>1</v>
      </c>
    </row>
    <row r="29" spans="2:4" x14ac:dyDescent="0.35">
      <c r="B29" s="7">
        <v>1</v>
      </c>
      <c r="C29" s="8">
        <v>2</v>
      </c>
      <c r="D29" s="141">
        <v>0</v>
      </c>
    </row>
    <row r="30" spans="2:4" ht="16.5" x14ac:dyDescent="0.45">
      <c r="B30" t="s">
        <v>412</v>
      </c>
      <c r="D30">
        <f>MDETERM(B27:D29)</f>
        <v>0</v>
      </c>
    </row>
  </sheetData>
  <mergeCells count="3">
    <mergeCell ref="C8:D8"/>
    <mergeCell ref="C9:D9"/>
    <mergeCell ref="C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AA16-31EE-4302-8744-B847667A3071}">
  <sheetPr codeName="Sheet59"/>
  <dimension ref="B1:AA45"/>
  <sheetViews>
    <sheetView workbookViewId="0">
      <selection activeCell="K1" sqref="K1"/>
    </sheetView>
  </sheetViews>
  <sheetFormatPr defaultRowHeight="14.5" x14ac:dyDescent="0.35"/>
  <cols>
    <col min="1" max="1" width="2.7265625" customWidth="1"/>
    <col min="2" max="13" width="4.81640625" customWidth="1"/>
    <col min="14" max="14" width="4.81640625" style="3" customWidth="1"/>
    <col min="15" max="20" width="4.81640625" customWidth="1"/>
    <col min="21" max="21" width="4.81640625" style="3" customWidth="1"/>
    <col min="22" max="27" width="4.81640625" customWidth="1"/>
  </cols>
  <sheetData>
    <row r="1" spans="2:21" x14ac:dyDescent="0.35">
      <c r="B1" s="10" t="s">
        <v>413</v>
      </c>
    </row>
    <row r="3" spans="2:21" x14ac:dyDescent="0.35">
      <c r="B3" t="s">
        <v>414</v>
      </c>
    </row>
    <row r="5" spans="2:21" x14ac:dyDescent="0.35">
      <c r="G5" s="3" t="s">
        <v>402</v>
      </c>
      <c r="J5" s="119"/>
      <c r="N5" s="3" t="s">
        <v>402</v>
      </c>
      <c r="U5" s="3" t="s">
        <v>402</v>
      </c>
    </row>
    <row r="6" spans="2:21" x14ac:dyDescent="0.35">
      <c r="B6" s="94">
        <v>1</v>
      </c>
      <c r="C6" s="95">
        <v>2</v>
      </c>
      <c r="D6" s="95">
        <v>0</v>
      </c>
      <c r="E6" s="65">
        <v>4</v>
      </c>
      <c r="G6" s="3">
        <v>3</v>
      </c>
      <c r="I6" s="94">
        <f>B6</f>
        <v>1</v>
      </c>
      <c r="J6" s="95">
        <f>C6</f>
        <v>2</v>
      </c>
      <c r="K6" s="95">
        <f>D6</f>
        <v>0</v>
      </c>
      <c r="L6" s="65">
        <f>E6</f>
        <v>4</v>
      </c>
      <c r="N6" s="3">
        <v>2</v>
      </c>
      <c r="P6" s="94">
        <f>I6</f>
        <v>1</v>
      </c>
      <c r="Q6" s="95">
        <f>J6</f>
        <v>2</v>
      </c>
      <c r="R6" s="95">
        <f>K6</f>
        <v>0</v>
      </c>
      <c r="S6" s="65">
        <f>L6</f>
        <v>4</v>
      </c>
      <c r="U6" s="3">
        <v>3</v>
      </c>
    </row>
    <row r="7" spans="2:21" x14ac:dyDescent="0.35">
      <c r="B7" s="30">
        <v>-1</v>
      </c>
      <c r="C7">
        <v>2</v>
      </c>
      <c r="D7">
        <v>1</v>
      </c>
      <c r="E7" s="52">
        <v>3</v>
      </c>
      <c r="I7" s="30">
        <f>B6+B7</f>
        <v>0</v>
      </c>
      <c r="J7">
        <f>C6+C7</f>
        <v>4</v>
      </c>
      <c r="K7">
        <f>D6+D7</f>
        <v>1</v>
      </c>
      <c r="L7" s="52">
        <f>E6+E7</f>
        <v>7</v>
      </c>
      <c r="P7" s="30">
        <f>I7/$J7</f>
        <v>0</v>
      </c>
      <c r="Q7">
        <f>J7/$J7</f>
        <v>1</v>
      </c>
      <c r="R7">
        <f>K7/$J7</f>
        <v>0.25</v>
      </c>
      <c r="S7" s="52">
        <f>L7/$J7</f>
        <v>1.75</v>
      </c>
    </row>
    <row r="8" spans="2:21" x14ac:dyDescent="0.35">
      <c r="B8" s="7">
        <v>1</v>
      </c>
      <c r="C8" s="8">
        <v>1</v>
      </c>
      <c r="D8" s="8">
        <v>3</v>
      </c>
      <c r="E8" s="14">
        <v>-1</v>
      </c>
      <c r="I8" s="7">
        <f>-I6+B8</f>
        <v>0</v>
      </c>
      <c r="J8" s="8">
        <f>-J6+C8</f>
        <v>-1</v>
      </c>
      <c r="K8" s="8">
        <f>-K6+D8</f>
        <v>3</v>
      </c>
      <c r="L8" s="14">
        <f>-L6+E8</f>
        <v>-5</v>
      </c>
      <c r="P8" s="7">
        <f>I8</f>
        <v>0</v>
      </c>
      <c r="Q8" s="8">
        <f>J8</f>
        <v>-1</v>
      </c>
      <c r="R8" s="8">
        <f>K8</f>
        <v>3</v>
      </c>
      <c r="S8" s="14">
        <f>L8</f>
        <v>-5</v>
      </c>
    </row>
    <row r="9" spans="2:21" x14ac:dyDescent="0.35">
      <c r="G9" s="3" t="s">
        <v>402</v>
      </c>
      <c r="N9" s="3" t="s">
        <v>402</v>
      </c>
    </row>
    <row r="10" spans="2:21" x14ac:dyDescent="0.35">
      <c r="B10" s="94">
        <f>P6-$Q6*P7</f>
        <v>1</v>
      </c>
      <c r="C10" s="95">
        <f>Q6-$Q6*Q7</f>
        <v>0</v>
      </c>
      <c r="D10" s="95">
        <f>R6-$Q6*R7</f>
        <v>-0.5</v>
      </c>
      <c r="E10" s="65">
        <f>S6-$Q6*S7</f>
        <v>0.5</v>
      </c>
      <c r="G10" s="3">
        <v>2</v>
      </c>
      <c r="I10" s="94">
        <f t="shared" ref="I10:L11" si="0">B10</f>
        <v>1</v>
      </c>
      <c r="J10" s="95">
        <f t="shared" si="0"/>
        <v>0</v>
      </c>
      <c r="K10" s="95">
        <f t="shared" si="0"/>
        <v>-0.5</v>
      </c>
      <c r="L10" s="65">
        <f t="shared" si="0"/>
        <v>0.5</v>
      </c>
      <c r="N10" s="3">
        <v>3</v>
      </c>
      <c r="P10" s="94">
        <f>I10-I12*$K10</f>
        <v>1</v>
      </c>
      <c r="Q10" s="95">
        <f>J10-J12*$K10</f>
        <v>0</v>
      </c>
      <c r="R10" s="95">
        <f>K10-K12*$K10</f>
        <v>0</v>
      </c>
      <c r="S10" s="65">
        <f>L10-L12*$K10</f>
        <v>0</v>
      </c>
    </row>
    <row r="11" spans="2:21" x14ac:dyDescent="0.35">
      <c r="B11" s="30">
        <f>P7</f>
        <v>0</v>
      </c>
      <c r="C11">
        <f>Q7</f>
        <v>1</v>
      </c>
      <c r="D11">
        <f>R7</f>
        <v>0.25</v>
      </c>
      <c r="E11" s="52">
        <f>S7</f>
        <v>1.75</v>
      </c>
      <c r="I11" s="30">
        <f t="shared" si="0"/>
        <v>0</v>
      </c>
      <c r="J11">
        <f t="shared" si="0"/>
        <v>1</v>
      </c>
      <c r="K11">
        <f t="shared" si="0"/>
        <v>0.25</v>
      </c>
      <c r="L11" s="52">
        <f t="shared" si="0"/>
        <v>1.75</v>
      </c>
      <c r="P11" s="30">
        <f>I11-$K11*I12</f>
        <v>0</v>
      </c>
      <c r="Q11">
        <f>J11-$K11*J12</f>
        <v>1</v>
      </c>
      <c r="R11">
        <f>K11-$K11*K12</f>
        <v>0</v>
      </c>
      <c r="S11" s="52">
        <f>L11-$K11*L12</f>
        <v>2</v>
      </c>
    </row>
    <row r="12" spans="2:21" x14ac:dyDescent="0.35">
      <c r="B12" s="7">
        <f>P7+P8</f>
        <v>0</v>
      </c>
      <c r="C12" s="8">
        <f>Q7+Q8</f>
        <v>0</v>
      </c>
      <c r="D12" s="8">
        <f>R7+R8</f>
        <v>3.25</v>
      </c>
      <c r="E12" s="14">
        <f>S7+S8</f>
        <v>-3.25</v>
      </c>
      <c r="I12" s="7">
        <f>B12/$D12</f>
        <v>0</v>
      </c>
      <c r="J12" s="8">
        <f>C12/$D12</f>
        <v>0</v>
      </c>
      <c r="K12" s="8">
        <f>D12/$D12</f>
        <v>1</v>
      </c>
      <c r="L12" s="14">
        <f>E12/$D12</f>
        <v>-1</v>
      </c>
      <c r="P12" s="7">
        <f>I12</f>
        <v>0</v>
      </c>
      <c r="Q12" s="8">
        <f>J12</f>
        <v>0</v>
      </c>
      <c r="R12" s="8">
        <f>K12</f>
        <v>1</v>
      </c>
      <c r="S12" s="14">
        <f>L12</f>
        <v>-1</v>
      </c>
    </row>
    <row r="14" spans="2:21" x14ac:dyDescent="0.35">
      <c r="B14" t="s">
        <v>415</v>
      </c>
    </row>
    <row r="16" spans="2:21" x14ac:dyDescent="0.35">
      <c r="G16" s="3" t="s">
        <v>402</v>
      </c>
      <c r="J16" s="119"/>
      <c r="N16" s="3" t="s">
        <v>402</v>
      </c>
      <c r="U16" s="3" t="s">
        <v>402</v>
      </c>
    </row>
    <row r="17" spans="2:21" x14ac:dyDescent="0.35">
      <c r="B17" s="94">
        <v>1</v>
      </c>
      <c r="C17" s="95">
        <v>2</v>
      </c>
      <c r="D17" s="95">
        <v>4</v>
      </c>
      <c r="E17" s="65">
        <v>0</v>
      </c>
      <c r="G17" s="3">
        <v>3</v>
      </c>
      <c r="I17" s="94">
        <f>B17</f>
        <v>1</v>
      </c>
      <c r="J17" s="95">
        <f>C17</f>
        <v>2</v>
      </c>
      <c r="K17" s="95">
        <f>D17</f>
        <v>4</v>
      </c>
      <c r="L17" s="65">
        <f>E17</f>
        <v>0</v>
      </c>
      <c r="N17" s="3">
        <v>1</v>
      </c>
      <c r="P17" s="94">
        <f>I17</f>
        <v>1</v>
      </c>
      <c r="Q17" s="95">
        <f>J17</f>
        <v>2</v>
      </c>
      <c r="R17" s="95">
        <f>K17</f>
        <v>4</v>
      </c>
      <c r="S17" s="65">
        <f>L17</f>
        <v>0</v>
      </c>
      <c r="U17" s="3">
        <v>2</v>
      </c>
    </row>
    <row r="18" spans="2:21" x14ac:dyDescent="0.35">
      <c r="B18" s="30">
        <v>-1</v>
      </c>
      <c r="C18">
        <v>-2</v>
      </c>
      <c r="D18">
        <v>1</v>
      </c>
      <c r="E18" s="52">
        <v>0</v>
      </c>
      <c r="I18" s="30">
        <f>B17+B18</f>
        <v>0</v>
      </c>
      <c r="J18">
        <f>C17+C18</f>
        <v>0</v>
      </c>
      <c r="K18">
        <f>D17+D18</f>
        <v>5</v>
      </c>
      <c r="L18" s="52">
        <f>E17+E18</f>
        <v>0</v>
      </c>
      <c r="P18" s="30">
        <f>I19</f>
        <v>0</v>
      </c>
      <c r="Q18">
        <f>J19</f>
        <v>-1</v>
      </c>
      <c r="R18">
        <f>K19</f>
        <v>-2</v>
      </c>
      <c r="S18" s="52">
        <f>L19</f>
        <v>0</v>
      </c>
    </row>
    <row r="19" spans="2:21" x14ac:dyDescent="0.35">
      <c r="B19" s="7">
        <v>1</v>
      </c>
      <c r="C19" s="8">
        <v>1</v>
      </c>
      <c r="D19" s="8">
        <v>2</v>
      </c>
      <c r="E19" s="14">
        <v>0</v>
      </c>
      <c r="I19" s="7">
        <f>-I17+B19</f>
        <v>0</v>
      </c>
      <c r="J19" s="8">
        <f>-J17+C19</f>
        <v>-1</v>
      </c>
      <c r="K19" s="8">
        <f>-K17+D19</f>
        <v>-2</v>
      </c>
      <c r="L19" s="14">
        <f>-L17+E19</f>
        <v>0</v>
      </c>
      <c r="P19" s="7">
        <f>I18</f>
        <v>0</v>
      </c>
      <c r="Q19" s="8">
        <f>J18</f>
        <v>0</v>
      </c>
      <c r="R19" s="8">
        <f>K18</f>
        <v>5</v>
      </c>
      <c r="S19" s="14">
        <f>L18</f>
        <v>0</v>
      </c>
    </row>
    <row r="20" spans="2:21" x14ac:dyDescent="0.35">
      <c r="G20" s="3" t="s">
        <v>402</v>
      </c>
      <c r="N20" s="3" t="s">
        <v>402</v>
      </c>
    </row>
    <row r="21" spans="2:21" x14ac:dyDescent="0.35">
      <c r="B21" s="94">
        <f>P17</f>
        <v>1</v>
      </c>
      <c r="C21" s="95">
        <f>Q17</f>
        <v>2</v>
      </c>
      <c r="D21" s="95">
        <f>R17</f>
        <v>4</v>
      </c>
      <c r="E21" s="65">
        <f>S17</f>
        <v>0</v>
      </c>
      <c r="G21" s="3">
        <v>3</v>
      </c>
      <c r="I21" s="94">
        <f>B21-$C21*B22</f>
        <v>1</v>
      </c>
      <c r="J21" s="95">
        <f>C21-$C21*C22</f>
        <v>0</v>
      </c>
      <c r="K21" s="95">
        <f>D21-$C21*D22</f>
        <v>0</v>
      </c>
      <c r="L21" s="65">
        <f>E21-$C21*E22</f>
        <v>0</v>
      </c>
      <c r="N21" s="3">
        <v>3</v>
      </c>
      <c r="P21" s="94">
        <f>I21-I23*$K21</f>
        <v>1</v>
      </c>
      <c r="Q21" s="95">
        <f>J21-J23*$K21</f>
        <v>0</v>
      </c>
      <c r="R21" s="95">
        <f>K21-K23*$K21</f>
        <v>0</v>
      </c>
      <c r="S21" s="65">
        <f>L21-L23*$K21</f>
        <v>0</v>
      </c>
    </row>
    <row r="22" spans="2:21" x14ac:dyDescent="0.35">
      <c r="B22" s="30">
        <f>P18/$Q18</f>
        <v>0</v>
      </c>
      <c r="C22">
        <f>Q18/$Q18</f>
        <v>1</v>
      </c>
      <c r="D22">
        <f>R18/$Q18</f>
        <v>2</v>
      </c>
      <c r="E22" s="52">
        <f>S18/$Q18</f>
        <v>0</v>
      </c>
      <c r="I22" s="30">
        <f>B22</f>
        <v>0</v>
      </c>
      <c r="J22">
        <f>C22</f>
        <v>1</v>
      </c>
      <c r="K22">
        <f>D22</f>
        <v>2</v>
      </c>
      <c r="L22" s="52">
        <f>E22</f>
        <v>0</v>
      </c>
      <c r="P22" s="30">
        <f>I22-I23*$K22</f>
        <v>0</v>
      </c>
      <c r="Q22">
        <f>J22-J23*$K22</f>
        <v>1</v>
      </c>
      <c r="R22">
        <f>K22-K23*$K22</f>
        <v>0</v>
      </c>
      <c r="S22" s="52">
        <f>L22-L23*$K22</f>
        <v>0</v>
      </c>
    </row>
    <row r="23" spans="2:21" x14ac:dyDescent="0.35">
      <c r="B23" s="7">
        <f>P19</f>
        <v>0</v>
      </c>
      <c r="C23" s="8">
        <f>Q19</f>
        <v>0</v>
      </c>
      <c r="D23" s="8">
        <f>R19</f>
        <v>5</v>
      </c>
      <c r="E23" s="14">
        <f>S19</f>
        <v>0</v>
      </c>
      <c r="I23" s="7">
        <f>B23/$D23</f>
        <v>0</v>
      </c>
      <c r="J23" s="8">
        <f>C23/$D23</f>
        <v>0</v>
      </c>
      <c r="K23" s="8">
        <f>D23/$D23</f>
        <v>1</v>
      </c>
      <c r="L23" s="14">
        <f>E23/$D23</f>
        <v>0</v>
      </c>
      <c r="P23" s="7">
        <f>I23</f>
        <v>0</v>
      </c>
      <c r="Q23" s="8">
        <f>J23</f>
        <v>0</v>
      </c>
      <c r="R23" s="8">
        <f>K23</f>
        <v>1</v>
      </c>
      <c r="S23" s="14">
        <f>L23</f>
        <v>0</v>
      </c>
    </row>
    <row r="25" spans="2:21" x14ac:dyDescent="0.35">
      <c r="B25" t="s">
        <v>416</v>
      </c>
    </row>
    <row r="27" spans="2:21" x14ac:dyDescent="0.35">
      <c r="G27" s="3" t="s">
        <v>402</v>
      </c>
      <c r="J27" s="119"/>
      <c r="N27" s="3" t="s">
        <v>402</v>
      </c>
      <c r="U27" s="3" t="s">
        <v>402</v>
      </c>
    </row>
    <row r="28" spans="2:21" x14ac:dyDescent="0.35">
      <c r="B28" s="94">
        <v>1</v>
      </c>
      <c r="C28" s="95">
        <v>1</v>
      </c>
      <c r="D28" s="95">
        <v>2</v>
      </c>
      <c r="E28" s="65">
        <v>0</v>
      </c>
      <c r="G28" s="3">
        <v>3</v>
      </c>
      <c r="I28" s="94">
        <f>B28</f>
        <v>1</v>
      </c>
      <c r="J28" s="95">
        <f>C28</f>
        <v>1</v>
      </c>
      <c r="K28" s="95">
        <f>D28</f>
        <v>2</v>
      </c>
      <c r="L28" s="65">
        <f>E28</f>
        <v>0</v>
      </c>
      <c r="N28" s="3">
        <v>2</v>
      </c>
      <c r="P28" s="94">
        <f>I28</f>
        <v>1</v>
      </c>
      <c r="Q28" s="95">
        <f>J28</f>
        <v>1</v>
      </c>
      <c r="R28" s="95">
        <f>K28</f>
        <v>2</v>
      </c>
      <c r="S28" s="65">
        <f>L28</f>
        <v>0</v>
      </c>
      <c r="U28" s="3">
        <v>3</v>
      </c>
    </row>
    <row r="29" spans="2:21" x14ac:dyDescent="0.35">
      <c r="B29" s="30">
        <v>-1</v>
      </c>
      <c r="C29">
        <v>3</v>
      </c>
      <c r="D29">
        <v>-4</v>
      </c>
      <c r="E29" s="52">
        <v>0</v>
      </c>
      <c r="I29" s="30">
        <f>B28+B29</f>
        <v>0</v>
      </c>
      <c r="J29">
        <f>C28+C29</f>
        <v>4</v>
      </c>
      <c r="K29">
        <f>D28+D29</f>
        <v>-2</v>
      </c>
      <c r="L29" s="52">
        <f>E28+E29</f>
        <v>0</v>
      </c>
      <c r="P29" s="30">
        <f>I29/$J29</f>
        <v>0</v>
      </c>
      <c r="Q29">
        <f>J29/$J29</f>
        <v>1</v>
      </c>
      <c r="R29">
        <f>K29/$J29</f>
        <v>-0.5</v>
      </c>
      <c r="S29" s="52">
        <f>L29/$J29</f>
        <v>0</v>
      </c>
    </row>
    <row r="30" spans="2:21" x14ac:dyDescent="0.35">
      <c r="B30" s="7">
        <v>1</v>
      </c>
      <c r="C30" s="8">
        <v>-3</v>
      </c>
      <c r="D30" s="8">
        <v>4</v>
      </c>
      <c r="E30" s="14">
        <v>0</v>
      </c>
      <c r="I30" s="7">
        <f>-I28+B30</f>
        <v>0</v>
      </c>
      <c r="J30" s="8">
        <f>-J28+C30</f>
        <v>-4</v>
      </c>
      <c r="K30" s="8">
        <f>-K28+D30</f>
        <v>2</v>
      </c>
      <c r="L30" s="14">
        <f>-L28+E30</f>
        <v>0</v>
      </c>
      <c r="P30" s="7">
        <f>I29</f>
        <v>0</v>
      </c>
      <c r="Q30" s="8">
        <f>J29</f>
        <v>4</v>
      </c>
      <c r="R30" s="8">
        <f>K29</f>
        <v>-2</v>
      </c>
      <c r="S30" s="14">
        <f>L29</f>
        <v>0</v>
      </c>
    </row>
    <row r="31" spans="2:21" x14ac:dyDescent="0.35">
      <c r="G31" s="3" t="s">
        <v>402</v>
      </c>
      <c r="N31"/>
    </row>
    <row r="32" spans="2:21" x14ac:dyDescent="0.35">
      <c r="B32" s="94">
        <f>P28-P29</f>
        <v>1</v>
      </c>
      <c r="C32" s="95">
        <f>Q28-Q29</f>
        <v>0</v>
      </c>
      <c r="D32" s="95">
        <f>R28-R29</f>
        <v>2.5</v>
      </c>
      <c r="E32" s="65">
        <f>S28-S29</f>
        <v>0</v>
      </c>
      <c r="G32" s="3">
        <v>3</v>
      </c>
      <c r="N32"/>
    </row>
    <row r="33" spans="2:27" x14ac:dyDescent="0.35">
      <c r="B33" s="30">
        <f>P29</f>
        <v>0</v>
      </c>
      <c r="C33">
        <f>Q29</f>
        <v>1</v>
      </c>
      <c r="D33">
        <f>R29</f>
        <v>-0.5</v>
      </c>
      <c r="E33" s="52">
        <f>S29</f>
        <v>0</v>
      </c>
      <c r="N33"/>
    </row>
    <row r="34" spans="2:27" x14ac:dyDescent="0.35">
      <c r="B34" s="7">
        <f>P30-P29*$Q30</f>
        <v>0</v>
      </c>
      <c r="C34" s="8">
        <f>Q30-Q29*$Q30</f>
        <v>0</v>
      </c>
      <c r="D34" s="8">
        <f>R30-R29*$Q30</f>
        <v>0</v>
      </c>
      <c r="E34" s="14">
        <f>S30-S29*$Q30</f>
        <v>0</v>
      </c>
      <c r="N34"/>
    </row>
    <row r="35" spans="2:27" x14ac:dyDescent="0.35">
      <c r="N35"/>
    </row>
    <row r="36" spans="2:27" x14ac:dyDescent="0.35">
      <c r="B36" t="s">
        <v>417</v>
      </c>
    </row>
    <row r="38" spans="2:27" x14ac:dyDescent="0.35">
      <c r="I38" s="3" t="s">
        <v>402</v>
      </c>
      <c r="L38" s="119"/>
      <c r="N38"/>
      <c r="R38" s="3" t="s">
        <v>402</v>
      </c>
      <c r="U38"/>
      <c r="AA38" s="3" t="s">
        <v>402</v>
      </c>
    </row>
    <row r="39" spans="2:27" x14ac:dyDescent="0.35">
      <c r="B39" s="94">
        <v>1</v>
      </c>
      <c r="C39" s="95">
        <v>2</v>
      </c>
      <c r="D39" s="95">
        <v>0</v>
      </c>
      <c r="E39" s="94">
        <v>1</v>
      </c>
      <c r="F39" s="95">
        <v>0</v>
      </c>
      <c r="G39" s="96">
        <v>0</v>
      </c>
      <c r="I39" s="3">
        <v>3</v>
      </c>
      <c r="K39" s="94">
        <f t="shared" ref="K39:P39" si="1">B39</f>
        <v>1</v>
      </c>
      <c r="L39" s="95">
        <f t="shared" si="1"/>
        <v>2</v>
      </c>
      <c r="M39" s="95">
        <f t="shared" si="1"/>
        <v>0</v>
      </c>
      <c r="N39" s="94">
        <f t="shared" si="1"/>
        <v>1</v>
      </c>
      <c r="O39" s="95">
        <f t="shared" si="1"/>
        <v>0</v>
      </c>
      <c r="P39" s="96">
        <f t="shared" si="1"/>
        <v>0</v>
      </c>
      <c r="R39" s="3">
        <v>2</v>
      </c>
      <c r="T39" s="94">
        <f t="shared" ref="T39:Y39" si="2">K39</f>
        <v>1</v>
      </c>
      <c r="U39" s="95">
        <f t="shared" si="2"/>
        <v>2</v>
      </c>
      <c r="V39" s="95">
        <f t="shared" si="2"/>
        <v>0</v>
      </c>
      <c r="W39" s="94">
        <f t="shared" si="2"/>
        <v>1</v>
      </c>
      <c r="X39" s="95">
        <f t="shared" si="2"/>
        <v>0</v>
      </c>
      <c r="Y39" s="96">
        <f t="shared" si="2"/>
        <v>0</v>
      </c>
      <c r="AA39" s="3">
        <v>3</v>
      </c>
    </row>
    <row r="40" spans="2:27" x14ac:dyDescent="0.35">
      <c r="B40" s="30">
        <v>-1</v>
      </c>
      <c r="C40">
        <v>2</v>
      </c>
      <c r="D40">
        <v>1</v>
      </c>
      <c r="E40" s="30">
        <v>0</v>
      </c>
      <c r="F40">
        <v>1</v>
      </c>
      <c r="G40" s="26">
        <v>0</v>
      </c>
      <c r="K40" s="30">
        <f t="shared" ref="K40:P40" si="3">B39+B40</f>
        <v>0</v>
      </c>
      <c r="L40">
        <f t="shared" si="3"/>
        <v>4</v>
      </c>
      <c r="M40">
        <f t="shared" si="3"/>
        <v>1</v>
      </c>
      <c r="N40" s="30">
        <f t="shared" si="3"/>
        <v>1</v>
      </c>
      <c r="O40">
        <f t="shared" si="3"/>
        <v>1</v>
      </c>
      <c r="P40" s="26">
        <f t="shared" si="3"/>
        <v>0</v>
      </c>
      <c r="R40" s="3"/>
      <c r="T40" s="30">
        <f t="shared" ref="T40:Y40" si="4">K40/$L40</f>
        <v>0</v>
      </c>
      <c r="U40">
        <f t="shared" si="4"/>
        <v>1</v>
      </c>
      <c r="V40">
        <f t="shared" si="4"/>
        <v>0.25</v>
      </c>
      <c r="W40" s="30">
        <f t="shared" si="4"/>
        <v>0.25</v>
      </c>
      <c r="X40">
        <f t="shared" si="4"/>
        <v>0.25</v>
      </c>
      <c r="Y40" s="26">
        <f t="shared" si="4"/>
        <v>0</v>
      </c>
    </row>
    <row r="41" spans="2:27" x14ac:dyDescent="0.35">
      <c r="B41" s="7">
        <v>1</v>
      </c>
      <c r="C41" s="8">
        <v>1</v>
      </c>
      <c r="D41" s="8">
        <v>3</v>
      </c>
      <c r="E41" s="7">
        <v>0</v>
      </c>
      <c r="F41" s="8">
        <v>0</v>
      </c>
      <c r="G41" s="9">
        <v>1</v>
      </c>
      <c r="K41" s="7">
        <f t="shared" ref="K41:P41" si="5">-K39+B41</f>
        <v>0</v>
      </c>
      <c r="L41" s="8">
        <f t="shared" si="5"/>
        <v>-1</v>
      </c>
      <c r="M41" s="8">
        <f t="shared" si="5"/>
        <v>3</v>
      </c>
      <c r="N41" s="7">
        <f t="shared" si="5"/>
        <v>-1</v>
      </c>
      <c r="O41" s="8">
        <f t="shared" si="5"/>
        <v>0</v>
      </c>
      <c r="P41" s="9">
        <f t="shared" si="5"/>
        <v>1</v>
      </c>
      <c r="R41" s="3"/>
      <c r="T41" s="7">
        <f t="shared" ref="T41:Y41" si="6">K41</f>
        <v>0</v>
      </c>
      <c r="U41" s="8">
        <f t="shared" si="6"/>
        <v>-1</v>
      </c>
      <c r="V41" s="8">
        <f t="shared" si="6"/>
        <v>3</v>
      </c>
      <c r="W41" s="7">
        <f t="shared" si="6"/>
        <v>-1</v>
      </c>
      <c r="X41" s="8">
        <f t="shared" si="6"/>
        <v>0</v>
      </c>
      <c r="Y41" s="9">
        <f t="shared" si="6"/>
        <v>1</v>
      </c>
    </row>
    <row r="42" spans="2:27" x14ac:dyDescent="0.35">
      <c r="I42" s="3" t="s">
        <v>402</v>
      </c>
      <c r="N42"/>
      <c r="R42" s="3" t="s">
        <v>402</v>
      </c>
      <c r="U42"/>
      <c r="Y42" s="3"/>
    </row>
    <row r="43" spans="2:27" x14ac:dyDescent="0.35">
      <c r="B43" s="94">
        <f t="shared" ref="B43:G43" si="7">T39-$U39*T40</f>
        <v>1</v>
      </c>
      <c r="C43" s="95">
        <f t="shared" si="7"/>
        <v>0</v>
      </c>
      <c r="D43" s="95">
        <f t="shared" si="7"/>
        <v>-0.5</v>
      </c>
      <c r="E43" s="94">
        <f t="shared" si="7"/>
        <v>0.5</v>
      </c>
      <c r="F43" s="95">
        <f t="shared" si="7"/>
        <v>-0.5</v>
      </c>
      <c r="G43" s="96">
        <f t="shared" si="7"/>
        <v>0</v>
      </c>
      <c r="I43" s="3">
        <v>2</v>
      </c>
      <c r="K43" s="94">
        <f t="shared" ref="K43:P44" si="8">B43</f>
        <v>1</v>
      </c>
      <c r="L43" s="95">
        <f t="shared" si="8"/>
        <v>0</v>
      </c>
      <c r="M43" s="95">
        <f t="shared" si="8"/>
        <v>-0.5</v>
      </c>
      <c r="N43" s="94">
        <f t="shared" si="8"/>
        <v>0.5</v>
      </c>
      <c r="O43" s="95">
        <f t="shared" si="8"/>
        <v>-0.5</v>
      </c>
      <c r="P43" s="96">
        <f t="shared" si="8"/>
        <v>0</v>
      </c>
      <c r="R43" s="3">
        <v>3</v>
      </c>
      <c r="T43" s="94">
        <f t="shared" ref="T43:Y43" si="9">K43-K45*$M43</f>
        <v>1</v>
      </c>
      <c r="U43" s="95">
        <f t="shared" si="9"/>
        <v>0</v>
      </c>
      <c r="V43" s="95">
        <f t="shared" si="9"/>
        <v>0</v>
      </c>
      <c r="W43" s="94">
        <f t="shared" si="9"/>
        <v>0.38461538461538458</v>
      </c>
      <c r="X43" s="95">
        <f t="shared" si="9"/>
        <v>-0.46153846153846156</v>
      </c>
      <c r="Y43" s="96">
        <f t="shared" si="9"/>
        <v>0.15384615384615385</v>
      </c>
    </row>
    <row r="44" spans="2:27" x14ac:dyDescent="0.35">
      <c r="B44" s="30">
        <f t="shared" ref="B44:G44" si="10">T40</f>
        <v>0</v>
      </c>
      <c r="C44">
        <f t="shared" si="10"/>
        <v>1</v>
      </c>
      <c r="D44">
        <f t="shared" si="10"/>
        <v>0.25</v>
      </c>
      <c r="E44" s="30">
        <f t="shared" si="10"/>
        <v>0.25</v>
      </c>
      <c r="F44">
        <f t="shared" si="10"/>
        <v>0.25</v>
      </c>
      <c r="G44" s="26">
        <f t="shared" si="10"/>
        <v>0</v>
      </c>
      <c r="K44" s="30">
        <f t="shared" si="8"/>
        <v>0</v>
      </c>
      <c r="L44">
        <f t="shared" si="8"/>
        <v>1</v>
      </c>
      <c r="M44">
        <f t="shared" si="8"/>
        <v>0.25</v>
      </c>
      <c r="N44" s="30">
        <f t="shared" si="8"/>
        <v>0.25</v>
      </c>
      <c r="O44">
        <f t="shared" si="8"/>
        <v>0.25</v>
      </c>
      <c r="P44" s="26">
        <f t="shared" si="8"/>
        <v>0</v>
      </c>
      <c r="R44" s="3"/>
      <c r="T44" s="30">
        <f t="shared" ref="T44:Y44" si="11">K44-$M44*K45</f>
        <v>0</v>
      </c>
      <c r="U44">
        <f t="shared" si="11"/>
        <v>1</v>
      </c>
      <c r="V44">
        <f t="shared" si="11"/>
        <v>0</v>
      </c>
      <c r="W44" s="30">
        <f t="shared" si="11"/>
        <v>0.30769230769230771</v>
      </c>
      <c r="X44">
        <f t="shared" si="11"/>
        <v>0.23076923076923078</v>
      </c>
      <c r="Y44" s="26">
        <f t="shared" si="11"/>
        <v>-7.6923076923076927E-2</v>
      </c>
    </row>
    <row r="45" spans="2:27" x14ac:dyDescent="0.35">
      <c r="B45" s="7">
        <f t="shared" ref="B45:G45" si="12">T40+T41</f>
        <v>0</v>
      </c>
      <c r="C45" s="8">
        <f t="shared" si="12"/>
        <v>0</v>
      </c>
      <c r="D45" s="8">
        <f t="shared" si="12"/>
        <v>3.25</v>
      </c>
      <c r="E45" s="7">
        <f t="shared" si="12"/>
        <v>-0.75</v>
      </c>
      <c r="F45" s="8">
        <f t="shared" si="12"/>
        <v>0.25</v>
      </c>
      <c r="G45" s="9">
        <f t="shared" si="12"/>
        <v>1</v>
      </c>
      <c r="K45" s="7">
        <f t="shared" ref="K45:P45" si="13">B45/$D45</f>
        <v>0</v>
      </c>
      <c r="L45" s="8">
        <f t="shared" si="13"/>
        <v>0</v>
      </c>
      <c r="M45" s="8">
        <f t="shared" si="13"/>
        <v>1</v>
      </c>
      <c r="N45" s="7">
        <f t="shared" si="13"/>
        <v>-0.23076923076923078</v>
      </c>
      <c r="O45" s="8">
        <f t="shared" si="13"/>
        <v>7.6923076923076927E-2</v>
      </c>
      <c r="P45" s="9">
        <f t="shared" si="13"/>
        <v>0.30769230769230771</v>
      </c>
      <c r="R45" s="3"/>
      <c r="T45" s="7">
        <f t="shared" ref="T45:Y45" si="14">K45</f>
        <v>0</v>
      </c>
      <c r="U45" s="8">
        <f t="shared" si="14"/>
        <v>0</v>
      </c>
      <c r="V45" s="8">
        <f t="shared" si="14"/>
        <v>1</v>
      </c>
      <c r="W45" s="7">
        <f t="shared" si="14"/>
        <v>-0.23076923076923078</v>
      </c>
      <c r="X45" s="8">
        <f t="shared" si="14"/>
        <v>7.6923076923076927E-2</v>
      </c>
      <c r="Y45" s="9">
        <f t="shared" si="14"/>
        <v>0.30769230769230771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0619-1610-47FF-BE95-CAD990299354}">
  <sheetPr codeName="Sheet60"/>
  <dimension ref="B1:R87"/>
  <sheetViews>
    <sheetView workbookViewId="0"/>
  </sheetViews>
  <sheetFormatPr defaultRowHeight="14.5" x14ac:dyDescent="0.35"/>
  <cols>
    <col min="1" max="1" width="2.54296875" customWidth="1"/>
    <col min="2" max="11" width="4.81640625" customWidth="1"/>
    <col min="12" max="12" width="8.453125" customWidth="1"/>
    <col min="13" max="13" width="7.26953125" customWidth="1"/>
    <col min="14" max="14" width="7.26953125" style="3" customWidth="1"/>
    <col min="15" max="15" width="4.81640625" customWidth="1"/>
    <col min="16" max="18" width="7.26953125" customWidth="1"/>
  </cols>
  <sheetData>
    <row r="1" spans="2:14" x14ac:dyDescent="0.35">
      <c r="B1" s="10" t="s">
        <v>413</v>
      </c>
    </row>
    <row r="2" spans="2:14" x14ac:dyDescent="0.35">
      <c r="B2" s="10"/>
    </row>
    <row r="3" spans="2:14" x14ac:dyDescent="0.35">
      <c r="B3" t="s">
        <v>418</v>
      </c>
    </row>
    <row r="5" spans="2:14" x14ac:dyDescent="0.35">
      <c r="B5" s="94">
        <v>1</v>
      </c>
      <c r="C5" s="95">
        <v>2</v>
      </c>
      <c r="D5" s="95">
        <v>0</v>
      </c>
      <c r="E5" s="65">
        <v>4</v>
      </c>
      <c r="G5" s="94" t="e">
        <f t="array" aca="1" ref="G5:J7" ca="1">ELIM(B5:E7)</f>
        <v>#NAME?</v>
      </c>
      <c r="H5" s="95" t="e">
        <f ca="1"/>
        <v>#NAME?</v>
      </c>
      <c r="I5" s="95" t="e">
        <f ca="1"/>
        <v>#NAME?</v>
      </c>
      <c r="J5" s="65" t="e">
        <f ca="1"/>
        <v>#NAME?</v>
      </c>
      <c r="L5" s="65" t="e">
        <f t="array" aca="1" ref="L5:L7" ca="1">LINEQU(B5:E7)</f>
        <v>#NAME?</v>
      </c>
      <c r="N5" s="146" t="e" cm="1">
        <f t="array" aca="1" ref="N5" ca="1">MRANK(B5:E7)</f>
        <v>#NAME?</v>
      </c>
    </row>
    <row r="6" spans="2:14" x14ac:dyDescent="0.35">
      <c r="B6" s="30">
        <v>-1</v>
      </c>
      <c r="C6">
        <v>2</v>
      </c>
      <c r="D6">
        <v>1</v>
      </c>
      <c r="E6" s="52">
        <v>3</v>
      </c>
      <c r="G6" s="30" t="e">
        <f ca="1"/>
        <v>#NAME?</v>
      </c>
      <c r="H6" t="e">
        <f ca="1"/>
        <v>#NAME?</v>
      </c>
      <c r="I6" t="e">
        <f ca="1"/>
        <v>#NAME?</v>
      </c>
      <c r="J6" s="52" t="e">
        <f ca="1"/>
        <v>#NAME?</v>
      </c>
      <c r="L6" s="52" t="e">
        <f ca="1"/>
        <v>#NAME?</v>
      </c>
      <c r="N6" s="146" t="e" cm="1">
        <f t="array" aca="1" ref="N6" ca="1">MRANK(B5:D7)</f>
        <v>#NAME?</v>
      </c>
    </row>
    <row r="7" spans="2:14" x14ac:dyDescent="0.35">
      <c r="B7" s="7">
        <v>1</v>
      </c>
      <c r="C7" s="8">
        <v>1</v>
      </c>
      <c r="D7" s="8">
        <v>3</v>
      </c>
      <c r="E7" s="14">
        <v>-1</v>
      </c>
      <c r="G7" s="7" t="e">
        <f ca="1"/>
        <v>#NAME?</v>
      </c>
      <c r="H7" s="8" t="e">
        <f ca="1"/>
        <v>#NAME?</v>
      </c>
      <c r="I7" s="8" t="e">
        <f ca="1"/>
        <v>#NAME?</v>
      </c>
      <c r="J7" s="14" t="e">
        <f ca="1"/>
        <v>#NAME?</v>
      </c>
      <c r="L7" s="14" t="e">
        <f ca="1"/>
        <v>#NAME?</v>
      </c>
    </row>
    <row r="9" spans="2:14" x14ac:dyDescent="0.35">
      <c r="B9" t="s">
        <v>419</v>
      </c>
    </row>
    <row r="11" spans="2:14" x14ac:dyDescent="0.35">
      <c r="B11" s="205" t="s">
        <v>16</v>
      </c>
      <c r="C11" s="205"/>
      <c r="D11" s="205"/>
      <c r="E11" s="3" t="s">
        <v>18</v>
      </c>
      <c r="G11" s="205" t="s">
        <v>249</v>
      </c>
      <c r="H11" s="205"/>
      <c r="I11" s="205"/>
      <c r="J11" s="205"/>
      <c r="L11" s="3" t="s">
        <v>420</v>
      </c>
      <c r="N11" s="3" t="s">
        <v>421</v>
      </c>
    </row>
    <row r="12" spans="2:14" x14ac:dyDescent="0.35">
      <c r="B12" s="94">
        <v>1</v>
      </c>
      <c r="C12" s="95">
        <v>1</v>
      </c>
      <c r="D12" s="95">
        <v>0</v>
      </c>
      <c r="E12" s="65">
        <v>4</v>
      </c>
      <c r="G12" s="94" t="e">
        <f t="array" aca="1" ref="G12:J14" ca="1">ELIM(B12:E14)</f>
        <v>#NAME?</v>
      </c>
      <c r="H12" s="95" t="e">
        <f ca="1"/>
        <v>#NAME?</v>
      </c>
      <c r="I12" s="95" t="e">
        <f ca="1"/>
        <v>#NAME?</v>
      </c>
      <c r="J12" s="65" t="e">
        <f ca="1"/>
        <v>#NAME?</v>
      </c>
      <c r="L12" s="65" t="e">
        <f t="array" aca="1" ref="L12:L14" ca="1">LINEQU(B12:E14)</f>
        <v>#NAME?</v>
      </c>
      <c r="N12" s="146" t="e" cm="1">
        <f t="array" aca="1" ref="N12" ca="1">MRANK(B12:E14)</f>
        <v>#NAME?</v>
      </c>
    </row>
    <row r="13" spans="2:14" x14ac:dyDescent="0.35">
      <c r="B13" s="30">
        <v>-1</v>
      </c>
      <c r="C13">
        <v>2</v>
      </c>
      <c r="D13">
        <v>1</v>
      </c>
      <c r="E13" s="52">
        <v>3</v>
      </c>
      <c r="G13" s="30" t="e">
        <f ca="1"/>
        <v>#NAME?</v>
      </c>
      <c r="H13" t="e">
        <f ca="1"/>
        <v>#NAME?</v>
      </c>
      <c r="I13" t="e">
        <f ca="1"/>
        <v>#NAME?</v>
      </c>
      <c r="J13" s="52" t="e">
        <f ca="1"/>
        <v>#NAME?</v>
      </c>
      <c r="L13" s="52" t="e">
        <f ca="1"/>
        <v>#NAME?</v>
      </c>
      <c r="N13" s="146" t="e" cm="1">
        <f t="array" aca="1" ref="N13" ca="1">MRANK(B12:D14)</f>
        <v>#NAME?</v>
      </c>
    </row>
    <row r="14" spans="2:14" x14ac:dyDescent="0.35">
      <c r="B14" s="7">
        <v>2</v>
      </c>
      <c r="C14" s="8">
        <v>2</v>
      </c>
      <c r="D14" s="8">
        <v>0</v>
      </c>
      <c r="E14" s="14">
        <v>6</v>
      </c>
      <c r="G14" s="7" t="e">
        <f ca="1"/>
        <v>#NAME?</v>
      </c>
      <c r="H14" s="8" t="e">
        <f ca="1"/>
        <v>#NAME?</v>
      </c>
      <c r="I14" s="8" t="e">
        <f ca="1"/>
        <v>#NAME?</v>
      </c>
      <c r="J14" s="14" t="e">
        <f ca="1"/>
        <v>#NAME?</v>
      </c>
      <c r="L14" s="14" t="e">
        <f ca="1"/>
        <v>#NAME?</v>
      </c>
    </row>
    <row r="16" spans="2:14" x14ac:dyDescent="0.35">
      <c r="B16" t="s">
        <v>422</v>
      </c>
    </row>
    <row r="18" spans="2:16" x14ac:dyDescent="0.35">
      <c r="B18" s="94">
        <v>1</v>
      </c>
      <c r="C18" s="95">
        <v>1</v>
      </c>
      <c r="D18" s="95">
        <v>0</v>
      </c>
      <c r="E18" s="65">
        <v>4</v>
      </c>
      <c r="G18" s="94" t="e">
        <f t="array" aca="1" ref="G18:J20" ca="1">ELIM(B18:E20)</f>
        <v>#NAME?</v>
      </c>
      <c r="H18" s="95" t="e">
        <f ca="1"/>
        <v>#NAME?</v>
      </c>
      <c r="I18" s="95" t="e">
        <f ca="1"/>
        <v>#NAME?</v>
      </c>
      <c r="J18" s="65" t="e">
        <f ca="1"/>
        <v>#NAME?</v>
      </c>
      <c r="L18" s="65" t="e">
        <f t="array" aca="1" ref="L18:L20" ca="1">LINEQU(B18:E20)</f>
        <v>#NAME?</v>
      </c>
      <c r="N18" s="146" t="e" cm="1">
        <f t="array" aca="1" ref="N18" ca="1">MRANK(B18:E20)</f>
        <v>#NAME?</v>
      </c>
    </row>
    <row r="19" spans="2:16" x14ac:dyDescent="0.35">
      <c r="B19" s="30">
        <v>-1</v>
      </c>
      <c r="C19">
        <v>2</v>
      </c>
      <c r="D19">
        <v>1</v>
      </c>
      <c r="E19" s="52">
        <v>3</v>
      </c>
      <c r="G19" s="30" t="e">
        <f ca="1"/>
        <v>#NAME?</v>
      </c>
      <c r="H19" t="e">
        <f ca="1"/>
        <v>#NAME?</v>
      </c>
      <c r="I19" t="e">
        <f ca="1"/>
        <v>#NAME?</v>
      </c>
      <c r="J19" s="52" t="e">
        <f ca="1"/>
        <v>#NAME?</v>
      </c>
      <c r="L19" s="52" t="e">
        <f ca="1"/>
        <v>#NAME?</v>
      </c>
      <c r="N19" s="146" t="e" cm="1">
        <f t="array" aca="1" ref="N19" ca="1">MRANK(B18:D20)</f>
        <v>#NAME?</v>
      </c>
    </row>
    <row r="20" spans="2:16" x14ac:dyDescent="0.35">
      <c r="B20" s="7">
        <v>2</v>
      </c>
      <c r="C20" s="8">
        <v>-1</v>
      </c>
      <c r="D20" s="8">
        <v>-1</v>
      </c>
      <c r="E20" s="14">
        <v>1</v>
      </c>
      <c r="G20" s="7" t="e">
        <f ca="1"/>
        <v>#NAME?</v>
      </c>
      <c r="H20" s="8" t="e">
        <f ca="1"/>
        <v>#NAME?</v>
      </c>
      <c r="I20" s="8" t="e">
        <f ca="1"/>
        <v>#NAME?</v>
      </c>
      <c r="J20" s="14" t="e">
        <f ca="1"/>
        <v>#NAME?</v>
      </c>
      <c r="L20" s="14" t="e">
        <f ca="1"/>
        <v>#NAME?</v>
      </c>
    </row>
    <row r="22" spans="2:16" x14ac:dyDescent="0.35">
      <c r="B22" t="s">
        <v>423</v>
      </c>
    </row>
    <row r="24" spans="2:16" x14ac:dyDescent="0.35">
      <c r="B24" s="205" t="s">
        <v>16</v>
      </c>
      <c r="C24" s="205"/>
      <c r="D24" s="205"/>
      <c r="E24" s="3" t="s">
        <v>18</v>
      </c>
      <c r="G24" s="205" t="s">
        <v>249</v>
      </c>
      <c r="H24" s="205"/>
      <c r="I24" s="205"/>
      <c r="J24" s="205"/>
      <c r="L24" s="3" t="s">
        <v>420</v>
      </c>
    </row>
    <row r="25" spans="2:16" x14ac:dyDescent="0.35">
      <c r="B25" s="94">
        <v>1</v>
      </c>
      <c r="C25" s="95">
        <v>2</v>
      </c>
      <c r="D25" s="95">
        <v>0</v>
      </c>
      <c r="E25" s="65">
        <v>4</v>
      </c>
      <c r="G25" s="94" t="e">
        <f t="array" aca="1" ref="G25:J28" ca="1">ELIM(B25:E28)</f>
        <v>#NAME?</v>
      </c>
      <c r="H25" s="95" t="e">
        <f ca="1"/>
        <v>#NAME?</v>
      </c>
      <c r="I25" s="95" t="e">
        <f ca="1"/>
        <v>#NAME?</v>
      </c>
      <c r="J25" s="65" t="e">
        <f ca="1"/>
        <v>#NAME?</v>
      </c>
      <c r="L25" s="65" t="e">
        <f t="array" aca="1" ref="L25:L27" ca="1">LINEQU(B25:E28)</f>
        <v>#NAME?</v>
      </c>
      <c r="N25" s="146" t="e" cm="1">
        <f t="array" aca="1" ref="N25" ca="1">MRANK(B25:E28)</f>
        <v>#NAME?</v>
      </c>
    </row>
    <row r="26" spans="2:16" x14ac:dyDescent="0.35">
      <c r="B26" s="30">
        <v>-1</v>
      </c>
      <c r="C26">
        <v>2</v>
      </c>
      <c r="D26">
        <v>1</v>
      </c>
      <c r="E26" s="52">
        <v>3</v>
      </c>
      <c r="G26" s="30" t="e">
        <f ca="1"/>
        <v>#NAME?</v>
      </c>
      <c r="H26" t="e">
        <f ca="1"/>
        <v>#NAME?</v>
      </c>
      <c r="I26" t="e">
        <f ca="1"/>
        <v>#NAME?</v>
      </c>
      <c r="J26" s="52" t="e">
        <f ca="1"/>
        <v>#NAME?</v>
      </c>
      <c r="L26" s="52" t="e">
        <f ca="1"/>
        <v>#NAME?</v>
      </c>
      <c r="N26" s="146" t="e" cm="1">
        <f t="array" aca="1" ref="N26" ca="1">MRANK(B25:D27)</f>
        <v>#NAME?</v>
      </c>
    </row>
    <row r="27" spans="2:16" x14ac:dyDescent="0.35">
      <c r="B27" s="30">
        <v>0</v>
      </c>
      <c r="C27">
        <v>1</v>
      </c>
      <c r="D27">
        <v>-3</v>
      </c>
      <c r="E27" s="52">
        <v>5</v>
      </c>
      <c r="G27" s="30" t="e">
        <f ca="1"/>
        <v>#NAME?</v>
      </c>
      <c r="H27" t="e">
        <f ca="1"/>
        <v>#NAME?</v>
      </c>
      <c r="I27" t="e">
        <f ca="1"/>
        <v>#NAME?</v>
      </c>
      <c r="J27" s="52" t="e">
        <f ca="1"/>
        <v>#NAME?</v>
      </c>
      <c r="L27" s="14" t="e">
        <f ca="1"/>
        <v>#NAME?</v>
      </c>
    </row>
    <row r="28" spans="2:16" s="148" customFormat="1" x14ac:dyDescent="0.35">
      <c r="B28" s="7">
        <v>1</v>
      </c>
      <c r="C28" s="8">
        <v>1</v>
      </c>
      <c r="D28" s="8">
        <v>3</v>
      </c>
      <c r="E28" s="14">
        <v>-1</v>
      </c>
      <c r="F28"/>
      <c r="G28" s="7" t="e">
        <f ca="1"/>
        <v>#NAME?</v>
      </c>
      <c r="H28" s="8" t="e">
        <f ca="1"/>
        <v>#NAME?</v>
      </c>
      <c r="I28" s="8" t="e">
        <f ca="1"/>
        <v>#NAME?</v>
      </c>
      <c r="J28" s="14" t="e">
        <f ca="1"/>
        <v>#NAME?</v>
      </c>
      <c r="K28"/>
      <c r="L28"/>
      <c r="N28" s="156"/>
      <c r="P28"/>
    </row>
    <row r="29" spans="2:16" s="148" customFormat="1" x14ac:dyDescent="0.35">
      <c r="B29"/>
      <c r="C29"/>
      <c r="D29"/>
      <c r="E29"/>
      <c r="F29"/>
      <c r="G29"/>
      <c r="H29"/>
      <c r="I29"/>
      <c r="J29"/>
      <c r="K29"/>
      <c r="L29"/>
      <c r="N29" s="156"/>
      <c r="P29"/>
    </row>
    <row r="30" spans="2:16" s="148" customFormat="1" x14ac:dyDescent="0.35">
      <c r="B30" t="s">
        <v>424</v>
      </c>
      <c r="C30"/>
      <c r="D30"/>
      <c r="E30"/>
      <c r="F30"/>
      <c r="G30"/>
      <c r="H30"/>
      <c r="I30"/>
      <c r="J30"/>
      <c r="K30"/>
      <c r="L30"/>
      <c r="M30"/>
      <c r="N30" s="3"/>
      <c r="O30"/>
      <c r="P30"/>
    </row>
    <row r="31" spans="2:16" s="148" customFormat="1" x14ac:dyDescent="0.35">
      <c r="B31"/>
      <c r="C31"/>
      <c r="D31"/>
      <c r="E31"/>
      <c r="F31"/>
      <c r="G31"/>
      <c r="H31"/>
      <c r="I31"/>
      <c r="J31"/>
      <c r="K31"/>
      <c r="L31"/>
      <c r="M31"/>
      <c r="N31" s="3"/>
      <c r="O31"/>
      <c r="P31"/>
    </row>
    <row r="32" spans="2:16" x14ac:dyDescent="0.35">
      <c r="B32" s="205" t="s">
        <v>16</v>
      </c>
      <c r="C32" s="205"/>
      <c r="D32" s="205"/>
      <c r="E32" s="3" t="s">
        <v>18</v>
      </c>
      <c r="G32" s="205" t="s">
        <v>249</v>
      </c>
      <c r="H32" s="205"/>
      <c r="I32" s="205"/>
      <c r="J32" s="205"/>
      <c r="L32" s="3" t="s">
        <v>420</v>
      </c>
      <c r="N32" s="3" t="s">
        <v>421</v>
      </c>
    </row>
    <row r="33" spans="2:16" s="148" customFormat="1" x14ac:dyDescent="0.35">
      <c r="B33" s="94">
        <v>1</v>
      </c>
      <c r="C33" s="95">
        <v>0</v>
      </c>
      <c r="D33" s="95">
        <v>3</v>
      </c>
      <c r="E33" s="65">
        <v>4</v>
      </c>
      <c r="F33"/>
      <c r="G33" s="94" t="e">
        <f t="array" aca="1" ref="G33:J35" ca="1">ELIM(B33:E35)</f>
        <v>#NAME?</v>
      </c>
      <c r="H33" s="95" t="e">
        <f ca="1"/>
        <v>#NAME?</v>
      </c>
      <c r="I33" s="95" t="e">
        <f ca="1"/>
        <v>#NAME?</v>
      </c>
      <c r="J33" s="65" t="e">
        <f ca="1"/>
        <v>#NAME?</v>
      </c>
      <c r="K33"/>
      <c r="L33" s="65" t="e">
        <f t="array" aca="1" ref="L33:L35" ca="1">LINEQU(B33:E35)</f>
        <v>#NAME?</v>
      </c>
      <c r="M33"/>
      <c r="N33" s="146" t="e" cm="1">
        <f t="array" aca="1" ref="N33" ca="1">MRANK(B33:E35)</f>
        <v>#NAME?</v>
      </c>
      <c r="O33"/>
      <c r="P33"/>
    </row>
    <row r="34" spans="2:16" s="148" customFormat="1" x14ac:dyDescent="0.35">
      <c r="B34" s="30">
        <v>2</v>
      </c>
      <c r="C34">
        <v>0</v>
      </c>
      <c r="D34">
        <v>5</v>
      </c>
      <c r="E34" s="52">
        <v>5</v>
      </c>
      <c r="F34"/>
      <c r="G34" s="30" t="e">
        <f ca="1"/>
        <v>#NAME?</v>
      </c>
      <c r="H34" t="e">
        <f ca="1"/>
        <v>#NAME?</v>
      </c>
      <c r="I34" t="e">
        <f ca="1"/>
        <v>#NAME?</v>
      </c>
      <c r="J34" s="52" t="e">
        <f ca="1"/>
        <v>#NAME?</v>
      </c>
      <c r="K34"/>
      <c r="L34" s="52" t="e">
        <f ca="1"/>
        <v>#NAME?</v>
      </c>
      <c r="M34"/>
      <c r="N34" s="146" t="e" cm="1">
        <f t="array" aca="1" ref="N34" ca="1">MRANK(B33:D35)</f>
        <v>#NAME?</v>
      </c>
      <c r="O34"/>
      <c r="P34"/>
    </row>
    <row r="35" spans="2:16" s="148" customFormat="1" x14ac:dyDescent="0.35">
      <c r="B35" s="7">
        <v>3</v>
      </c>
      <c r="C35" s="8">
        <v>0</v>
      </c>
      <c r="D35" s="8">
        <v>8</v>
      </c>
      <c r="E35" s="14">
        <v>9</v>
      </c>
      <c r="F35"/>
      <c r="G35" s="7" t="e">
        <f ca="1"/>
        <v>#NAME?</v>
      </c>
      <c r="H35" s="8" t="e">
        <f ca="1"/>
        <v>#NAME?</v>
      </c>
      <c r="I35" s="8" t="e">
        <f ca="1"/>
        <v>#NAME?</v>
      </c>
      <c r="J35" s="14" t="e">
        <f ca="1"/>
        <v>#NAME?</v>
      </c>
      <c r="K35"/>
      <c r="L35" s="14" t="e">
        <f ca="1"/>
        <v>#NAME?</v>
      </c>
      <c r="M35"/>
      <c r="N35" s="3"/>
      <c r="O35"/>
      <c r="P35"/>
    </row>
    <row r="36" spans="2:16" s="148" customFormat="1" x14ac:dyDescent="0.35">
      <c r="B36"/>
      <c r="C36"/>
      <c r="D36"/>
      <c r="E36"/>
      <c r="F36"/>
      <c r="G36"/>
      <c r="H36"/>
      <c r="I36"/>
      <c r="J36"/>
      <c r="K36"/>
      <c r="L36"/>
      <c r="N36" s="156"/>
    </row>
    <row r="37" spans="2:16" s="148" customFormat="1" x14ac:dyDescent="0.35">
      <c r="B37" t="s">
        <v>425</v>
      </c>
      <c r="C37"/>
      <c r="D37"/>
      <c r="E37"/>
      <c r="F37"/>
      <c r="G37"/>
      <c r="H37"/>
      <c r="I37"/>
      <c r="J37"/>
      <c r="K37"/>
      <c r="L37"/>
      <c r="N37" s="156"/>
    </row>
    <row r="38" spans="2:16" s="148" customFormat="1" x14ac:dyDescent="0.35">
      <c r="B38"/>
      <c r="C38"/>
      <c r="D38"/>
      <c r="E38"/>
      <c r="F38"/>
      <c r="G38"/>
      <c r="H38"/>
      <c r="I38"/>
      <c r="J38"/>
      <c r="K38"/>
      <c r="L38"/>
      <c r="N38" s="156"/>
    </row>
    <row r="39" spans="2:16" s="148" customFormat="1" x14ac:dyDescent="0.35">
      <c r="B39" s="94">
        <v>1</v>
      </c>
      <c r="C39" s="95">
        <v>2</v>
      </c>
      <c r="D39" s="95">
        <v>0</v>
      </c>
      <c r="E39" s="65">
        <v>4</v>
      </c>
      <c r="F39"/>
      <c r="G39" s="94" t="e">
        <f t="array" aca="1" ref="G39:J42" ca="1">ELIM(B39:E42)</f>
        <v>#NAME?</v>
      </c>
      <c r="H39" s="95" t="e">
        <f ca="1"/>
        <v>#NAME?</v>
      </c>
      <c r="I39" s="95" t="e">
        <f ca="1"/>
        <v>#NAME?</v>
      </c>
      <c r="J39" s="65" t="e">
        <f ca="1"/>
        <v>#NAME?</v>
      </c>
      <c r="K39"/>
      <c r="L39" s="65" t="e">
        <f t="array" aca="1" ref="L39:L41" ca="1">LINEQU(B39:E42)</f>
        <v>#NAME?</v>
      </c>
      <c r="N39" s="146" t="e" cm="1">
        <f t="array" aca="1" ref="N39" ca="1">MRANK(B39:E42)</f>
        <v>#NAME?</v>
      </c>
      <c r="O39"/>
    </row>
    <row r="40" spans="2:16" s="148" customFormat="1" x14ac:dyDescent="0.35">
      <c r="B40" s="30">
        <v>-1</v>
      </c>
      <c r="C40">
        <v>2</v>
      </c>
      <c r="D40">
        <v>1</v>
      </c>
      <c r="E40" s="52">
        <v>3</v>
      </c>
      <c r="F40"/>
      <c r="G40" s="30" t="e">
        <f ca="1"/>
        <v>#NAME?</v>
      </c>
      <c r="H40" t="e">
        <f ca="1"/>
        <v>#NAME?</v>
      </c>
      <c r="I40" t="e">
        <f ca="1"/>
        <v>#NAME?</v>
      </c>
      <c r="J40" s="52" t="e">
        <f ca="1"/>
        <v>#NAME?</v>
      </c>
      <c r="K40"/>
      <c r="L40" s="52" t="e">
        <f ca="1"/>
        <v>#NAME?</v>
      </c>
      <c r="N40" s="146" t="e" cm="1">
        <f t="array" aca="1" ref="N40" ca="1">MRANK(B39:D41)</f>
        <v>#NAME?</v>
      </c>
      <c r="O40"/>
    </row>
    <row r="41" spans="2:16" s="148" customFormat="1" x14ac:dyDescent="0.35">
      <c r="B41" s="30">
        <v>0</v>
      </c>
      <c r="C41">
        <v>1</v>
      </c>
      <c r="D41">
        <v>-3</v>
      </c>
      <c r="E41" s="52">
        <v>2</v>
      </c>
      <c r="F41"/>
      <c r="G41" s="30" t="e">
        <f ca="1"/>
        <v>#NAME?</v>
      </c>
      <c r="H41" t="e">
        <f ca="1"/>
        <v>#NAME?</v>
      </c>
      <c r="I41" t="e">
        <f ca="1"/>
        <v>#NAME?</v>
      </c>
      <c r="J41" s="52" t="e">
        <f ca="1"/>
        <v>#NAME?</v>
      </c>
      <c r="K41"/>
      <c r="L41" s="14" t="e">
        <f ca="1"/>
        <v>#NAME?</v>
      </c>
      <c r="N41" s="156"/>
    </row>
    <row r="42" spans="2:16" x14ac:dyDescent="0.35">
      <c r="B42" s="7">
        <v>2</v>
      </c>
      <c r="C42" s="8">
        <v>2</v>
      </c>
      <c r="D42" s="8">
        <v>0</v>
      </c>
      <c r="E42" s="14">
        <v>6</v>
      </c>
      <c r="G42" s="7" t="e">
        <f ca="1"/>
        <v>#NAME?</v>
      </c>
      <c r="H42" s="8" t="e">
        <f ca="1"/>
        <v>#NAME?</v>
      </c>
      <c r="I42" s="8" t="e">
        <f ca="1"/>
        <v>#NAME?</v>
      </c>
      <c r="J42" s="14" t="e">
        <f ca="1"/>
        <v>#NAME?</v>
      </c>
    </row>
    <row r="44" spans="2:16" x14ac:dyDescent="0.35">
      <c r="B44" t="s">
        <v>426</v>
      </c>
    </row>
    <row r="46" spans="2:16" x14ac:dyDescent="0.35">
      <c r="B46" s="94">
        <v>1</v>
      </c>
      <c r="C46" s="95">
        <v>2</v>
      </c>
      <c r="D46" s="95">
        <v>4</v>
      </c>
      <c r="E46" s="65">
        <v>0</v>
      </c>
      <c r="G46" s="94" t="e">
        <f t="array" aca="1" ref="G46:J48" ca="1">ELIM(B46:E48)</f>
        <v>#NAME?</v>
      </c>
      <c r="H46" s="95" t="e">
        <f ca="1"/>
        <v>#NAME?</v>
      </c>
      <c r="I46" s="95" t="e">
        <f ca="1"/>
        <v>#NAME?</v>
      </c>
      <c r="J46" s="65" t="e">
        <f ca="1"/>
        <v>#NAME?</v>
      </c>
      <c r="L46" s="65" t="e">
        <f t="array" aca="1" ref="L46:L48" ca="1">LINEQU(B46:E48)</f>
        <v>#NAME?</v>
      </c>
      <c r="N46" s="146" t="e" cm="1">
        <f t="array" aca="1" ref="N46" ca="1">MRANK(B46:E48)</f>
        <v>#NAME?</v>
      </c>
    </row>
    <row r="47" spans="2:16" x14ac:dyDescent="0.35">
      <c r="B47" s="30">
        <v>-1</v>
      </c>
      <c r="C47">
        <v>-2</v>
      </c>
      <c r="D47">
        <v>1</v>
      </c>
      <c r="E47" s="52">
        <v>0</v>
      </c>
      <c r="G47" s="30" t="e">
        <f ca="1"/>
        <v>#NAME?</v>
      </c>
      <c r="H47" t="e">
        <f ca="1"/>
        <v>#NAME?</v>
      </c>
      <c r="I47" t="e">
        <f ca="1"/>
        <v>#NAME?</v>
      </c>
      <c r="J47" s="52" t="e">
        <f ca="1"/>
        <v>#NAME?</v>
      </c>
      <c r="L47" s="52" t="e">
        <f ca="1"/>
        <v>#NAME?</v>
      </c>
      <c r="N47" s="146" t="e" cm="1">
        <f t="array" aca="1" ref="N47" ca="1">MRANK(B46:D48)</f>
        <v>#NAME?</v>
      </c>
    </row>
    <row r="48" spans="2:16" x14ac:dyDescent="0.35">
      <c r="B48" s="7">
        <v>1</v>
      </c>
      <c r="C48" s="8">
        <v>1</v>
      </c>
      <c r="D48" s="8">
        <v>2</v>
      </c>
      <c r="E48" s="14">
        <v>0</v>
      </c>
      <c r="G48" s="7" t="e">
        <f ca="1"/>
        <v>#NAME?</v>
      </c>
      <c r="H48" s="8" t="e">
        <f ca="1"/>
        <v>#NAME?</v>
      </c>
      <c r="I48" s="8" t="e">
        <f ca="1"/>
        <v>#NAME?</v>
      </c>
      <c r="J48" s="14" t="e">
        <f ca="1"/>
        <v>#NAME?</v>
      </c>
      <c r="L48" s="14" t="e">
        <f ca="1"/>
        <v>#NAME?</v>
      </c>
    </row>
    <row r="50" spans="2:18" x14ac:dyDescent="0.35">
      <c r="B50" t="s">
        <v>427</v>
      </c>
    </row>
    <row r="52" spans="2:18" x14ac:dyDescent="0.35">
      <c r="B52" s="94">
        <v>1</v>
      </c>
      <c r="C52" s="95">
        <v>1</v>
      </c>
      <c r="D52" s="95">
        <v>2</v>
      </c>
      <c r="E52" s="65">
        <v>0</v>
      </c>
      <c r="G52" s="94" t="e">
        <f t="array" aca="1" ref="G52:J54" ca="1">ELIM(B52:E54)</f>
        <v>#NAME?</v>
      </c>
      <c r="H52" s="95" t="e">
        <f ca="1"/>
        <v>#NAME?</v>
      </c>
      <c r="I52" s="95" t="e">
        <f ca="1"/>
        <v>#NAME?</v>
      </c>
      <c r="J52" s="65" t="e">
        <f ca="1"/>
        <v>#NAME?</v>
      </c>
      <c r="L52" s="65" t="e">
        <f t="array" aca="1" ref="L52:L54" ca="1">LINEQU(B52:E54)</f>
        <v>#NAME?</v>
      </c>
      <c r="N52" s="146" t="e" cm="1">
        <f t="array" aca="1" ref="N52" ca="1">MRANK(B52:E54)</f>
        <v>#NAME?</v>
      </c>
    </row>
    <row r="53" spans="2:18" x14ac:dyDescent="0.35">
      <c r="B53" s="30">
        <v>-1</v>
      </c>
      <c r="C53">
        <v>3</v>
      </c>
      <c r="D53">
        <v>-4</v>
      </c>
      <c r="E53" s="52">
        <v>0</v>
      </c>
      <c r="G53" s="30" t="e">
        <f ca="1"/>
        <v>#NAME?</v>
      </c>
      <c r="H53" t="e">
        <f ca="1"/>
        <v>#NAME?</v>
      </c>
      <c r="I53" t="e">
        <f ca="1"/>
        <v>#NAME?</v>
      </c>
      <c r="J53" s="52" t="e">
        <f ca="1"/>
        <v>#NAME?</v>
      </c>
      <c r="L53" s="52" t="e">
        <f ca="1"/>
        <v>#NAME?</v>
      </c>
      <c r="N53" s="146" t="e" cm="1">
        <f t="array" aca="1" ref="N53" ca="1">MRANK(B52:D54)</f>
        <v>#NAME?</v>
      </c>
    </row>
    <row r="54" spans="2:18" x14ac:dyDescent="0.35">
      <c r="B54" s="7">
        <v>1</v>
      </c>
      <c r="C54" s="8">
        <v>-3</v>
      </c>
      <c r="D54" s="8">
        <v>4</v>
      </c>
      <c r="E54" s="14">
        <v>0</v>
      </c>
      <c r="G54" s="7" t="e">
        <f ca="1"/>
        <v>#NAME?</v>
      </c>
      <c r="H54" s="8" t="e">
        <f ca="1"/>
        <v>#NAME?</v>
      </c>
      <c r="I54" s="8" t="e">
        <f ca="1"/>
        <v>#NAME?</v>
      </c>
      <c r="J54" s="14" t="e">
        <f ca="1"/>
        <v>#NAME?</v>
      </c>
      <c r="L54" s="14" t="e">
        <f ca="1"/>
        <v>#NAME?</v>
      </c>
    </row>
    <row r="56" spans="2:18" x14ac:dyDescent="0.35">
      <c r="B56" t="s">
        <v>428</v>
      </c>
    </row>
    <row r="58" spans="2:18" x14ac:dyDescent="0.35">
      <c r="B58" s="94">
        <v>1</v>
      </c>
      <c r="C58" s="95">
        <v>2</v>
      </c>
      <c r="D58" s="95">
        <v>0</v>
      </c>
      <c r="E58" s="94">
        <v>1</v>
      </c>
      <c r="F58" s="95">
        <v>0</v>
      </c>
      <c r="G58" s="96">
        <v>0</v>
      </c>
      <c r="I58" s="94" t="e">
        <f t="array" aca="1" ref="I58:N60" ca="1">ELIM(B58:G60)</f>
        <v>#NAME?</v>
      </c>
      <c r="J58" s="95" t="e">
        <f ca="1"/>
        <v>#NAME?</v>
      </c>
      <c r="K58" s="95" t="e">
        <f ca="1"/>
        <v>#NAME?</v>
      </c>
      <c r="L58" s="94" t="e">
        <f ca="1"/>
        <v>#NAME?</v>
      </c>
      <c r="M58" s="95" t="e">
        <f ca="1"/>
        <v>#NAME?</v>
      </c>
      <c r="N58" s="131" t="e">
        <f ca="1"/>
        <v>#NAME?</v>
      </c>
      <c r="P58" s="94">
        <f t="array" ref="P58:R60">MINVERSE(B58:D60)</f>
        <v>0.38461538461538458</v>
      </c>
      <c r="Q58" s="95">
        <v>-0.46153846153846156</v>
      </c>
      <c r="R58" s="96">
        <v>0.15384615384615385</v>
      </c>
    </row>
    <row r="59" spans="2:18" x14ac:dyDescent="0.35">
      <c r="B59" s="30">
        <v>-1</v>
      </c>
      <c r="C59">
        <v>2</v>
      </c>
      <c r="D59">
        <v>1</v>
      </c>
      <c r="E59" s="30">
        <v>0</v>
      </c>
      <c r="F59">
        <v>1</v>
      </c>
      <c r="G59" s="26">
        <v>0</v>
      </c>
      <c r="I59" s="30" t="e">
        <f ca="1"/>
        <v>#NAME?</v>
      </c>
      <c r="J59" t="e">
        <f ca="1"/>
        <v>#NAME?</v>
      </c>
      <c r="K59" t="e">
        <f ca="1"/>
        <v>#NAME?</v>
      </c>
      <c r="L59" s="30" t="e">
        <f ca="1"/>
        <v>#NAME?</v>
      </c>
      <c r="M59" t="e">
        <f ca="1"/>
        <v>#NAME?</v>
      </c>
      <c r="N59" s="144" t="e">
        <f ca="1"/>
        <v>#NAME?</v>
      </c>
      <c r="P59" s="30">
        <v>0.30769230769230771</v>
      </c>
      <c r="Q59">
        <v>0.23076923076923078</v>
      </c>
      <c r="R59" s="26">
        <v>-7.6923076923076927E-2</v>
      </c>
    </row>
    <row r="60" spans="2:18" x14ac:dyDescent="0.35">
      <c r="B60" s="7">
        <v>1</v>
      </c>
      <c r="C60" s="8">
        <v>1</v>
      </c>
      <c r="D60" s="8">
        <v>3</v>
      </c>
      <c r="E60" s="7">
        <v>0</v>
      </c>
      <c r="F60" s="8">
        <v>0</v>
      </c>
      <c r="G60" s="9">
        <v>1</v>
      </c>
      <c r="I60" s="7" t="e">
        <f ca="1"/>
        <v>#NAME?</v>
      </c>
      <c r="J60" s="8" t="e">
        <f ca="1"/>
        <v>#NAME?</v>
      </c>
      <c r="K60" s="8" t="e">
        <f ca="1"/>
        <v>#NAME?</v>
      </c>
      <c r="L60" s="7" t="e">
        <f ca="1"/>
        <v>#NAME?</v>
      </c>
      <c r="M60" s="8" t="e">
        <f ca="1"/>
        <v>#NAME?</v>
      </c>
      <c r="N60" s="141" t="e">
        <f ca="1"/>
        <v>#NAME?</v>
      </c>
      <c r="P60" s="7">
        <v>-0.23076923076923078</v>
      </c>
      <c r="Q60" s="8">
        <v>7.6923076923076927E-2</v>
      </c>
      <c r="R60" s="9">
        <v>0.30769230769230771</v>
      </c>
    </row>
    <row r="62" spans="2:18" x14ac:dyDescent="0.35">
      <c r="B62" t="s">
        <v>429</v>
      </c>
    </row>
    <row r="64" spans="2:18" x14ac:dyDescent="0.35">
      <c r="B64" s="94">
        <v>1</v>
      </c>
      <c r="C64" s="95">
        <v>1</v>
      </c>
      <c r="D64" s="95">
        <v>2</v>
      </c>
      <c r="E64" s="94">
        <v>1</v>
      </c>
      <c r="F64" s="95">
        <v>0</v>
      </c>
      <c r="G64" s="96">
        <v>0</v>
      </c>
      <c r="I64" s="94" t="e">
        <f t="array" aca="1" ref="I64:N66" ca="1">ELIM(B64:G66)</f>
        <v>#NAME?</v>
      </c>
      <c r="J64" s="95" t="e">
        <f ca="1"/>
        <v>#NAME?</v>
      </c>
      <c r="K64" s="95" t="e">
        <f ca="1"/>
        <v>#NAME?</v>
      </c>
      <c r="L64" s="94" t="e">
        <f ca="1"/>
        <v>#NAME?</v>
      </c>
      <c r="M64" s="95" t="e">
        <f ca="1"/>
        <v>#NAME?</v>
      </c>
      <c r="N64" s="131" t="e">
        <f ca="1"/>
        <v>#NAME?</v>
      </c>
      <c r="P64" s="94" t="e">
        <f t="array" ref="P64:R66">MINVERSE(B64:D66)</f>
        <v>#NUM!</v>
      </c>
      <c r="Q64" s="95" t="e">
        <v>#NUM!</v>
      </c>
      <c r="R64" s="96" t="e">
        <v>#NUM!</v>
      </c>
    </row>
    <row r="65" spans="2:18" x14ac:dyDescent="0.35">
      <c r="B65" s="30">
        <v>-1</v>
      </c>
      <c r="C65">
        <v>3</v>
      </c>
      <c r="D65">
        <v>-4</v>
      </c>
      <c r="E65" s="30">
        <v>0</v>
      </c>
      <c r="F65">
        <v>1</v>
      </c>
      <c r="G65" s="26">
        <v>0</v>
      </c>
      <c r="I65" s="30" t="e">
        <f ca="1"/>
        <v>#NAME?</v>
      </c>
      <c r="J65" t="e">
        <f ca="1"/>
        <v>#NAME?</v>
      </c>
      <c r="K65" t="e">
        <f ca="1"/>
        <v>#NAME?</v>
      </c>
      <c r="L65" s="30" t="e">
        <f ca="1"/>
        <v>#NAME?</v>
      </c>
      <c r="M65" t="e">
        <f ca="1"/>
        <v>#NAME?</v>
      </c>
      <c r="N65" s="144" t="e">
        <f ca="1"/>
        <v>#NAME?</v>
      </c>
      <c r="P65" s="30" t="e">
        <v>#NUM!</v>
      </c>
      <c r="Q65" t="e">
        <v>#NUM!</v>
      </c>
      <c r="R65" s="26" t="e">
        <v>#NUM!</v>
      </c>
    </row>
    <row r="66" spans="2:18" x14ac:dyDescent="0.35">
      <c r="B66" s="7">
        <v>1</v>
      </c>
      <c r="C66" s="8">
        <v>-3</v>
      </c>
      <c r="D66" s="8">
        <v>4</v>
      </c>
      <c r="E66" s="7">
        <v>0</v>
      </c>
      <c r="F66" s="8">
        <v>0</v>
      </c>
      <c r="G66" s="9">
        <v>1</v>
      </c>
      <c r="I66" s="7" t="e">
        <f ca="1"/>
        <v>#NAME?</v>
      </c>
      <c r="J66" s="8" t="e">
        <f ca="1"/>
        <v>#NAME?</v>
      </c>
      <c r="K66" s="8" t="e">
        <f ca="1"/>
        <v>#NAME?</v>
      </c>
      <c r="L66" s="7" t="e">
        <f ca="1"/>
        <v>#NAME?</v>
      </c>
      <c r="M66" s="8" t="e">
        <f ca="1"/>
        <v>#NAME?</v>
      </c>
      <c r="N66" s="141" t="e">
        <f ca="1"/>
        <v>#NAME?</v>
      </c>
      <c r="P66" s="7" t="e">
        <v>#NUM!</v>
      </c>
      <c r="Q66" s="8" t="e">
        <v>#NUM!</v>
      </c>
      <c r="R66" s="9" t="e">
        <v>#NUM!</v>
      </c>
    </row>
    <row r="68" spans="2:18" x14ac:dyDescent="0.35">
      <c r="B68" t="s">
        <v>430</v>
      </c>
    </row>
    <row r="70" spans="2:18" x14ac:dyDescent="0.35">
      <c r="B70" s="26"/>
      <c r="C70" s="95">
        <v>2</v>
      </c>
      <c r="D70" s="95">
        <v>0</v>
      </c>
      <c r="E70" s="65">
        <v>4</v>
      </c>
      <c r="H70" s="94" t="e">
        <f t="array" aca="1" ref="H70:J73" ca="1">ELIM(C70:E73)</f>
        <v>#NAME?</v>
      </c>
      <c r="I70" s="95" t="e">
        <f ca="1"/>
        <v>#NAME?</v>
      </c>
      <c r="J70" s="65" t="e">
        <f ca="1"/>
        <v>#NAME?</v>
      </c>
      <c r="L70" s="65" t="e">
        <f t="array" aca="1" ref="L70:L71" ca="1">LINEQU(C70:E73)</f>
        <v>#NAME?</v>
      </c>
      <c r="N70" s="146" t="e" cm="1">
        <f t="array" aca="1" ref="N70" ca="1">MRANK(C70:E73)</f>
        <v>#NAME?</v>
      </c>
    </row>
    <row r="71" spans="2:18" x14ac:dyDescent="0.35">
      <c r="B71" s="26"/>
      <c r="C71">
        <v>2</v>
      </c>
      <c r="D71">
        <v>1</v>
      </c>
      <c r="E71" s="52">
        <v>3</v>
      </c>
      <c r="H71" s="30" t="e">
        <f ca="1"/>
        <v>#NAME?</v>
      </c>
      <c r="I71" t="e">
        <f ca="1"/>
        <v>#NAME?</v>
      </c>
      <c r="J71" s="52" t="e">
        <f ca="1"/>
        <v>#NAME?</v>
      </c>
      <c r="L71" s="14" t="e">
        <f ca="1"/>
        <v>#NAME?</v>
      </c>
      <c r="N71" s="133" t="e" cm="1">
        <f t="array" aca="1" ref="N71" ca="1">MRANK(C70:D73)</f>
        <v>#NAME?</v>
      </c>
    </row>
    <row r="72" spans="2:18" x14ac:dyDescent="0.35">
      <c r="B72" s="26"/>
      <c r="C72">
        <v>1</v>
      </c>
      <c r="D72">
        <v>-3</v>
      </c>
      <c r="E72" s="52">
        <v>5</v>
      </c>
      <c r="H72" s="30" t="e">
        <f ca="1"/>
        <v>#NAME?</v>
      </c>
      <c r="I72" t="e">
        <f ca="1"/>
        <v>#NAME?</v>
      </c>
      <c r="J72" s="52" t="e">
        <f ca="1"/>
        <v>#NAME?</v>
      </c>
    </row>
    <row r="73" spans="2:18" x14ac:dyDescent="0.35">
      <c r="B73" s="26"/>
      <c r="C73" s="8">
        <v>1</v>
      </c>
      <c r="D73" s="8">
        <v>3</v>
      </c>
      <c r="E73" s="14">
        <v>-1</v>
      </c>
      <c r="H73" s="7" t="e">
        <f ca="1"/>
        <v>#NAME?</v>
      </c>
      <c r="I73" s="8" t="e">
        <f ca="1"/>
        <v>#NAME?</v>
      </c>
      <c r="J73" s="14" t="e">
        <f ca="1"/>
        <v>#NAME?</v>
      </c>
    </row>
    <row r="75" spans="2:18" x14ac:dyDescent="0.35">
      <c r="B75" t="s">
        <v>431</v>
      </c>
    </row>
    <row r="77" spans="2:18" x14ac:dyDescent="0.35">
      <c r="B77" s="26"/>
      <c r="C77" s="95">
        <v>2</v>
      </c>
      <c r="D77" s="95">
        <v>0</v>
      </c>
      <c r="E77" s="65">
        <v>4</v>
      </c>
      <c r="H77" s="94" t="e">
        <f t="array" aca="1" ref="H77:J80" ca="1">ELIM(C77:E80)</f>
        <v>#NAME?</v>
      </c>
      <c r="I77" s="95" t="e">
        <f ca="1"/>
        <v>#NAME?</v>
      </c>
      <c r="J77" s="65" t="e">
        <f ca="1"/>
        <v>#NAME?</v>
      </c>
      <c r="L77" s="65" t="e">
        <f t="array" aca="1" ref="L77:L78" ca="1">LINEQU(C77:E80)</f>
        <v>#NAME?</v>
      </c>
      <c r="N77" s="146" t="e" cm="1">
        <f t="array" aca="1" ref="N77" ca="1">MRANK(C77:E80)</f>
        <v>#NAME?</v>
      </c>
    </row>
    <row r="78" spans="2:18" x14ac:dyDescent="0.35">
      <c r="B78" s="26"/>
      <c r="C78">
        <v>2</v>
      </c>
      <c r="D78">
        <v>1</v>
      </c>
      <c r="E78" s="52">
        <v>3</v>
      </c>
      <c r="H78" s="30" t="e">
        <f ca="1"/>
        <v>#NAME?</v>
      </c>
      <c r="I78" t="e">
        <f ca="1"/>
        <v>#NAME?</v>
      </c>
      <c r="J78" s="52" t="e">
        <f ca="1"/>
        <v>#NAME?</v>
      </c>
      <c r="L78" s="14" t="e">
        <f ca="1"/>
        <v>#NAME?</v>
      </c>
      <c r="N78" s="133" t="e" cm="1">
        <f t="array" aca="1" ref="N78" ca="1">MRANK(C77:D80)</f>
        <v>#NAME?</v>
      </c>
    </row>
    <row r="79" spans="2:18" x14ac:dyDescent="0.35">
      <c r="B79" s="26"/>
      <c r="C79">
        <v>1</v>
      </c>
      <c r="D79">
        <v>-3</v>
      </c>
      <c r="E79" s="52">
        <v>5</v>
      </c>
      <c r="H79" s="30" t="e">
        <f ca="1"/>
        <v>#NAME?</v>
      </c>
      <c r="I79" t="e">
        <f ca="1"/>
        <v>#NAME?</v>
      </c>
      <c r="J79" s="52" t="e">
        <f ca="1"/>
        <v>#NAME?</v>
      </c>
    </row>
    <row r="80" spans="2:18" x14ac:dyDescent="0.35">
      <c r="B80" s="26"/>
      <c r="C80" s="8">
        <v>1</v>
      </c>
      <c r="D80" s="8">
        <v>2</v>
      </c>
      <c r="E80" s="14">
        <v>-1</v>
      </c>
      <c r="H80" s="7" t="e">
        <f ca="1"/>
        <v>#NAME?</v>
      </c>
      <c r="I80" s="8" t="e">
        <f ca="1"/>
        <v>#NAME?</v>
      </c>
      <c r="J80" s="14" t="e">
        <f ca="1"/>
        <v>#NAME?</v>
      </c>
    </row>
    <row r="82" spans="2:14" x14ac:dyDescent="0.35">
      <c r="B82" t="s">
        <v>432</v>
      </c>
    </row>
    <row r="84" spans="2:14" x14ac:dyDescent="0.35">
      <c r="B84" s="26"/>
      <c r="C84" s="95">
        <v>2</v>
      </c>
      <c r="D84" s="95">
        <v>1</v>
      </c>
      <c r="E84" s="65">
        <v>5</v>
      </c>
      <c r="H84" s="94" t="e">
        <f t="array" aca="1" ref="H84:J87" ca="1">ELIM(C84:E87)</f>
        <v>#NAME?</v>
      </c>
      <c r="I84" s="95" t="e">
        <f ca="1"/>
        <v>#NAME?</v>
      </c>
      <c r="J84" s="65" t="e">
        <f ca="1"/>
        <v>#NAME?</v>
      </c>
      <c r="L84" s="65" t="e">
        <f t="array" aca="1" ref="L84:L85" ca="1">LINEQU(C84:E87)</f>
        <v>#NAME?</v>
      </c>
      <c r="N84" s="146" t="e" cm="1">
        <f t="array" aca="1" ref="N84" ca="1">MRANK(C84:E87)</f>
        <v>#NAME?</v>
      </c>
    </row>
    <row r="85" spans="2:14" x14ac:dyDescent="0.35">
      <c r="B85" s="26"/>
      <c r="C85">
        <v>4</v>
      </c>
      <c r="D85">
        <v>2</v>
      </c>
      <c r="E85" s="52">
        <v>10</v>
      </c>
      <c r="H85" s="30" t="e">
        <f ca="1"/>
        <v>#NAME?</v>
      </c>
      <c r="I85" t="e">
        <f ca="1"/>
        <v>#NAME?</v>
      </c>
      <c r="J85" s="52" t="e">
        <f ca="1"/>
        <v>#NAME?</v>
      </c>
      <c r="L85" s="14" t="e">
        <f ca="1"/>
        <v>#NAME?</v>
      </c>
      <c r="N85" s="133" t="e" cm="1">
        <f t="array" aca="1" ref="N85" ca="1">MRANK(C84:D87)</f>
        <v>#NAME?</v>
      </c>
    </row>
    <row r="86" spans="2:14" x14ac:dyDescent="0.35">
      <c r="B86" s="26"/>
      <c r="C86">
        <v>-1</v>
      </c>
      <c r="D86">
        <v>-0.5</v>
      </c>
      <c r="E86" s="52">
        <v>-2.5</v>
      </c>
      <c r="H86" s="30" t="e">
        <f ca="1"/>
        <v>#NAME?</v>
      </c>
      <c r="I86" t="e">
        <f ca="1"/>
        <v>#NAME?</v>
      </c>
      <c r="J86" s="52" t="e">
        <f ca="1"/>
        <v>#NAME?</v>
      </c>
    </row>
    <row r="87" spans="2:14" x14ac:dyDescent="0.35">
      <c r="B87" s="26"/>
      <c r="C87" s="8">
        <v>3</v>
      </c>
      <c r="D87" s="8">
        <v>1.5</v>
      </c>
      <c r="E87" s="14">
        <v>7.5</v>
      </c>
      <c r="H87" s="7" t="e">
        <f ca="1"/>
        <v>#NAME?</v>
      </c>
      <c r="I87" s="8" t="e">
        <f ca="1"/>
        <v>#NAME?</v>
      </c>
      <c r="J87" s="14" t="e">
        <f ca="1"/>
        <v>#NAME?</v>
      </c>
    </row>
  </sheetData>
  <mergeCells count="6">
    <mergeCell ref="B11:D11"/>
    <mergeCell ref="G11:J11"/>
    <mergeCell ref="B24:D24"/>
    <mergeCell ref="G24:J24"/>
    <mergeCell ref="B32:D32"/>
    <mergeCell ref="G32:J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94B7-5007-41A0-8DA1-8C887BEF2F69}">
  <sheetPr codeName="Sheet62"/>
  <dimension ref="A1:AF55"/>
  <sheetViews>
    <sheetView workbookViewId="0"/>
  </sheetViews>
  <sheetFormatPr defaultRowHeight="14.5" x14ac:dyDescent="0.35"/>
  <cols>
    <col min="1" max="6" width="5.1796875" customWidth="1"/>
    <col min="7" max="7" width="4.6328125" customWidth="1"/>
    <col min="8" max="13" width="5.1796875" customWidth="1"/>
    <col min="14" max="14" width="4.6328125" customWidth="1"/>
    <col min="17" max="19" width="8.7265625" customWidth="1"/>
    <col min="20" max="20" width="5.1796875" customWidth="1"/>
  </cols>
  <sheetData>
    <row r="1" spans="1:32" x14ac:dyDescent="0.35">
      <c r="A1" s="10" t="s">
        <v>433</v>
      </c>
    </row>
    <row r="2" spans="1:32" x14ac:dyDescent="0.35">
      <c r="H2" t="e" cm="1">
        <f t="array" aca="1" ref="H2" ca="1">FTEXT(H3)</f>
        <v>#NAME?</v>
      </c>
      <c r="O2" t="e" cm="1">
        <f t="array" aca="1" ref="O2" ca="1">FTEXT(O3)</f>
        <v>#NAME?</v>
      </c>
      <c r="Q2" t="e" cm="1">
        <f t="array" aca="1" ref="Q2" ca="1">FTEXT(Q3)</f>
        <v>#NAME?</v>
      </c>
    </row>
    <row r="3" spans="1:32" x14ac:dyDescent="0.35">
      <c r="A3" s="101">
        <v>1</v>
      </c>
      <c r="B3" s="101">
        <v>3</v>
      </c>
      <c r="C3" s="101">
        <v>-1</v>
      </c>
      <c r="D3" s="101">
        <v>3</v>
      </c>
      <c r="E3" s="101">
        <v>4</v>
      </c>
      <c r="F3" s="101">
        <v>0</v>
      </c>
      <c r="H3" s="94" t="e">
        <f t="array" aca="1" ref="H3:M7" ca="1">ELIM(A3:F7)</f>
        <v>#NAME?</v>
      </c>
      <c r="I3" s="95" t="e">
        <f ca="1"/>
        <v>#NAME?</v>
      </c>
      <c r="J3" s="95" t="e">
        <f ca="1"/>
        <v>#NAME?</v>
      </c>
      <c r="K3" s="95" t="e">
        <f ca="1"/>
        <v>#NAME?</v>
      </c>
      <c r="L3" s="95" t="e">
        <f ca="1"/>
        <v>#NAME?</v>
      </c>
      <c r="M3" s="96" t="e">
        <f ca="1"/>
        <v>#NAME?</v>
      </c>
      <c r="O3" s="65" t="e">
        <f t="array" aca="1" ref="O3:O7" ca="1">LINEQU(A3:F7)</f>
        <v>#NAME?</v>
      </c>
      <c r="Q3" s="65" t="e">
        <f t="array" aca="1" ref="Q3:Q7" ca="1">LinEqSolve(A3:F7)</f>
        <v>#NAME?</v>
      </c>
      <c r="U3" t="e" cm="1">
        <f t="array" aca="1" ref="U3" ca="1">MRANK(A3:F7)</f>
        <v>#NAME?</v>
      </c>
    </row>
    <row r="4" spans="1:32" x14ac:dyDescent="0.35">
      <c r="A4" s="101">
        <v>2</v>
      </c>
      <c r="B4" s="101">
        <v>6</v>
      </c>
      <c r="C4" s="101">
        <v>0</v>
      </c>
      <c r="D4" s="101">
        <v>2</v>
      </c>
      <c r="E4" s="101">
        <v>-2</v>
      </c>
      <c r="F4" s="101">
        <v>0</v>
      </c>
      <c r="H4" s="30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s="26" t="e">
        <f ca="1"/>
        <v>#NAME?</v>
      </c>
      <c r="O4" s="52" t="e">
        <f ca="1"/>
        <v>#NAME?</v>
      </c>
      <c r="Q4" s="52" t="e">
        <f ca="1"/>
        <v>#NAME?</v>
      </c>
    </row>
    <row r="5" spans="1:32" x14ac:dyDescent="0.35">
      <c r="A5" s="101">
        <v>4</v>
      </c>
      <c r="B5" s="101">
        <v>-1</v>
      </c>
      <c r="C5" s="101">
        <v>7</v>
      </c>
      <c r="D5" s="101">
        <v>5</v>
      </c>
      <c r="E5" s="101">
        <v>3</v>
      </c>
      <c r="F5" s="101">
        <v>0</v>
      </c>
      <c r="H5" s="30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s="26" t="e">
        <f ca="1"/>
        <v>#NAME?</v>
      </c>
      <c r="O5" s="52" t="e">
        <f ca="1"/>
        <v>#NAME?</v>
      </c>
      <c r="Q5" s="52" t="e">
        <f ca="1"/>
        <v>#NAME?</v>
      </c>
    </row>
    <row r="6" spans="1:32" x14ac:dyDescent="0.35">
      <c r="A6" s="101">
        <v>5</v>
      </c>
      <c r="B6" s="101">
        <v>5</v>
      </c>
      <c r="C6" s="101">
        <v>3</v>
      </c>
      <c r="D6" s="101">
        <v>4</v>
      </c>
      <c r="E6" s="101">
        <v>9</v>
      </c>
      <c r="F6" s="101">
        <v>0</v>
      </c>
      <c r="H6" s="30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s="26" t="e">
        <f ca="1"/>
        <v>#NAME?</v>
      </c>
      <c r="O6" s="52" t="e">
        <f ca="1"/>
        <v>#NAME?</v>
      </c>
      <c r="Q6" s="52" t="e">
        <f ca="1"/>
        <v>#NAME?</v>
      </c>
    </row>
    <row r="7" spans="1:32" x14ac:dyDescent="0.35">
      <c r="A7" s="101">
        <v>6</v>
      </c>
      <c r="B7" s="101">
        <v>2</v>
      </c>
      <c r="C7" s="101">
        <v>5</v>
      </c>
      <c r="D7" s="101">
        <v>4</v>
      </c>
      <c r="E7" s="101">
        <v>1</v>
      </c>
      <c r="F7" s="101">
        <v>0</v>
      </c>
      <c r="H7" s="7" t="e">
        <f ca="1"/>
        <v>#NAME?</v>
      </c>
      <c r="I7" s="8" t="e">
        <f ca="1"/>
        <v>#NAME?</v>
      </c>
      <c r="J7" s="8" t="e">
        <f ca="1"/>
        <v>#NAME?</v>
      </c>
      <c r="K7" s="8" t="e">
        <f ca="1"/>
        <v>#NAME?</v>
      </c>
      <c r="L7" s="8" t="e">
        <f ca="1"/>
        <v>#NAME?</v>
      </c>
      <c r="M7" s="9" t="e">
        <f ca="1"/>
        <v>#NAME?</v>
      </c>
      <c r="O7" s="14" t="e">
        <f ca="1"/>
        <v>#NAME?</v>
      </c>
      <c r="Q7" s="14" t="e">
        <f ca="1"/>
        <v>#NAME?</v>
      </c>
    </row>
    <row r="9" spans="1:32" x14ac:dyDescent="0.35">
      <c r="H9" t="e" cm="1">
        <f t="array" aca="1" ref="H9" ca="1">FTEXT(H10)</f>
        <v>#NAME?</v>
      </c>
      <c r="O9" t="e" cm="1">
        <f t="array" aca="1" ref="O9" ca="1">FTEXT(O10)</f>
        <v>#NAME?</v>
      </c>
      <c r="Q9" t="e" cm="1">
        <f t="array" aca="1" ref="Q9" ca="1">FTEXT(Q10)</f>
        <v>#NAME?</v>
      </c>
      <c r="W9" t="e" cm="1">
        <f t="array" aca="1" ref="W9" ca="1">FTEXT(W10)</f>
        <v>#NAME?</v>
      </c>
      <c r="Z9" t="e" cm="1">
        <f t="array" aca="1" ref="Z9" ca="1">FTEXT(Z10)</f>
        <v>#NAME?</v>
      </c>
      <c r="AF9" t="e" cm="1">
        <f t="array" aca="1" ref="AF9" ca="1">FTEXT(AF10)</f>
        <v>#NAME?</v>
      </c>
    </row>
    <row r="10" spans="1:32" x14ac:dyDescent="0.35">
      <c r="A10" s="101">
        <v>1</v>
      </c>
      <c r="B10" s="101">
        <v>-1</v>
      </c>
      <c r="C10" s="101">
        <v>0</v>
      </c>
      <c r="D10" s="101">
        <v>1</v>
      </c>
      <c r="E10" s="101">
        <v>0</v>
      </c>
      <c r="F10" s="101">
        <v>0</v>
      </c>
      <c r="H10" s="94" t="e">
        <f t="array" aca="1" ref="H10:M14" ca="1">ELIM(A10:F14)</f>
        <v>#NAME?</v>
      </c>
      <c r="I10" s="95" t="e">
        <f ca="1"/>
        <v>#NAME?</v>
      </c>
      <c r="J10" s="95" t="e">
        <f ca="1"/>
        <v>#NAME?</v>
      </c>
      <c r="K10" s="95" t="e">
        <f ca="1"/>
        <v>#NAME?</v>
      </c>
      <c r="L10" s="95" t="e">
        <f ca="1"/>
        <v>#NAME?</v>
      </c>
      <c r="M10" s="96" t="e">
        <f ca="1"/>
        <v>#NAME?</v>
      </c>
      <c r="O10" s="65" t="e">
        <f t="array" aca="1" ref="O10:O14" ca="1">LINEQU(A10:F14)</f>
        <v>#NAME?</v>
      </c>
      <c r="Q10" s="94" t="e">
        <f t="array" aca="1" ref="Q10:S14" ca="1">LinEqSolve(A10:F14)</f>
        <v>#NAME?</v>
      </c>
      <c r="R10" s="95" t="e">
        <f ca="1"/>
        <v>#NAME?</v>
      </c>
      <c r="S10" s="96" t="e">
        <f ca="1"/>
        <v>#NAME?</v>
      </c>
      <c r="U10" t="e" cm="1">
        <f t="array" aca="1" ref="U10" ca="1">MRANK(A10:F14)</f>
        <v>#NAME?</v>
      </c>
      <c r="W10" s="85" t="e" cm="1">
        <f t="array" aca="1" ref="W10" ca="1">LUSolve(A10:E14,F10:F14)</f>
        <v>#NAME?</v>
      </c>
      <c r="Z10" s="85" t="e" cm="1">
        <f t="array" aca="1" ref="Z10" ca="1">LUInverse(A10:E14)</f>
        <v>#NAME?</v>
      </c>
      <c r="AF10" s="85" t="e" cm="1">
        <f t="array" aca="1" ref="AF10" ca="1">LUDet(A10:E14)</f>
        <v>#NAME?</v>
      </c>
    </row>
    <row r="11" spans="1:32" x14ac:dyDescent="0.35">
      <c r="A11" s="101">
        <v>-2</v>
      </c>
      <c r="B11" s="101">
        <v>2</v>
      </c>
      <c r="C11" s="101">
        <v>-1</v>
      </c>
      <c r="D11" s="101">
        <v>-4</v>
      </c>
      <c r="E11" s="101">
        <v>0</v>
      </c>
      <c r="F11" s="101">
        <v>0</v>
      </c>
      <c r="H11" s="30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s="26" t="e">
        <f ca="1"/>
        <v>#NAME?</v>
      </c>
      <c r="O11" s="52" t="e">
        <f ca="1"/>
        <v>#NAME?</v>
      </c>
      <c r="Q11" s="30" t="e">
        <f ca="1"/>
        <v>#NAME?</v>
      </c>
      <c r="R11" t="e">
        <f ca="1"/>
        <v>#NAME?</v>
      </c>
      <c r="S11" s="26" t="e">
        <f ca="1"/>
        <v>#NAME?</v>
      </c>
    </row>
    <row r="12" spans="1:32" x14ac:dyDescent="0.35">
      <c r="A12" s="101">
        <v>1</v>
      </c>
      <c r="B12" s="101">
        <v>-1</v>
      </c>
      <c r="C12" s="101">
        <v>1</v>
      </c>
      <c r="D12" s="101">
        <v>3</v>
      </c>
      <c r="E12" s="101">
        <v>0</v>
      </c>
      <c r="F12" s="101">
        <v>0</v>
      </c>
      <c r="H12" s="30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s="26" t="e">
        <f ca="1"/>
        <v>#NAME?</v>
      </c>
      <c r="O12" s="52" t="e">
        <f ca="1"/>
        <v>#NAME?</v>
      </c>
      <c r="Q12" s="30" t="e">
        <f ca="1"/>
        <v>#NAME?</v>
      </c>
      <c r="R12" t="e">
        <f ca="1"/>
        <v>#NAME?</v>
      </c>
      <c r="S12" s="26" t="e">
        <f ca="1"/>
        <v>#NAME?</v>
      </c>
    </row>
    <row r="13" spans="1:32" x14ac:dyDescent="0.35">
      <c r="A13" s="101">
        <v>-1</v>
      </c>
      <c r="B13" s="101">
        <v>1</v>
      </c>
      <c r="C13" s="101">
        <v>1</v>
      </c>
      <c r="D13" s="101">
        <v>1</v>
      </c>
      <c r="E13" s="101">
        <v>0</v>
      </c>
      <c r="F13" s="101">
        <v>0</v>
      </c>
      <c r="H13" s="30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s="26" t="e">
        <f ca="1"/>
        <v>#NAME?</v>
      </c>
      <c r="O13" s="52" t="e">
        <f ca="1"/>
        <v>#NAME?</v>
      </c>
      <c r="Q13" s="30" t="e">
        <f ca="1"/>
        <v>#NAME?</v>
      </c>
      <c r="R13" t="e">
        <f ca="1"/>
        <v>#NAME?</v>
      </c>
      <c r="S13" s="26" t="e">
        <f ca="1"/>
        <v>#NAME?</v>
      </c>
    </row>
    <row r="14" spans="1:32" x14ac:dyDescent="0.35">
      <c r="A14" s="101">
        <v>-3</v>
      </c>
      <c r="B14" s="101">
        <v>-2</v>
      </c>
      <c r="C14" s="101">
        <v>5</v>
      </c>
      <c r="D14" s="101">
        <v>-4</v>
      </c>
      <c r="E14" s="101">
        <v>1</v>
      </c>
      <c r="F14" s="101">
        <v>0</v>
      </c>
      <c r="H14" s="7" t="e">
        <f ca="1"/>
        <v>#NAME?</v>
      </c>
      <c r="I14" s="8" t="e">
        <f ca="1"/>
        <v>#NAME?</v>
      </c>
      <c r="J14" s="8" t="e">
        <f ca="1"/>
        <v>#NAME?</v>
      </c>
      <c r="K14" s="8" t="e">
        <f ca="1"/>
        <v>#NAME?</v>
      </c>
      <c r="L14" s="8" t="e">
        <f ca="1"/>
        <v>#NAME?</v>
      </c>
      <c r="M14" s="9" t="e">
        <f ca="1"/>
        <v>#NAME?</v>
      </c>
      <c r="O14" s="14" t="e">
        <f ca="1"/>
        <v>#NAME?</v>
      </c>
      <c r="Q14" s="7" t="e">
        <f ca="1"/>
        <v>#NAME?</v>
      </c>
      <c r="R14" s="8" t="e">
        <f ca="1"/>
        <v>#NAME?</v>
      </c>
      <c r="S14" s="9" t="e">
        <f ca="1"/>
        <v>#NAME?</v>
      </c>
    </row>
    <row r="16" spans="1:32" x14ac:dyDescent="0.35">
      <c r="H16" t="e" cm="1">
        <f t="array" aca="1" ref="H16" ca="1">FTEXT(H17)</f>
        <v>#NAME?</v>
      </c>
      <c r="O16" t="e" cm="1">
        <f t="array" aca="1" ref="O16" ca="1">FTEXT(O17)</f>
        <v>#NAME?</v>
      </c>
      <c r="Q16" t="e" cm="1">
        <f t="array" aca="1" ref="Q16" ca="1">FTEXT(Q17)</f>
        <v>#NAME?</v>
      </c>
      <c r="W16" t="e" cm="1">
        <f t="array" aca="1" ref="W16" ca="1">FTEXT(W17)</f>
        <v>#NAME?</v>
      </c>
      <c r="Z16" t="e" cm="1">
        <f t="array" aca="1" ref="Z16" ca="1">FTEXT(Z17)</f>
        <v>#NAME?</v>
      </c>
      <c r="AF16" t="e" cm="1">
        <f t="array" aca="1" ref="AF16" ca="1">FTEXT(AF17)</f>
        <v>#NAME?</v>
      </c>
    </row>
    <row r="17" spans="1:32" x14ac:dyDescent="0.35">
      <c r="A17" s="101">
        <v>1</v>
      </c>
      <c r="B17" s="101">
        <v>3</v>
      </c>
      <c r="C17" s="101">
        <v>-1</v>
      </c>
      <c r="D17" s="101">
        <v>3</v>
      </c>
      <c r="E17" s="101">
        <v>4</v>
      </c>
      <c r="F17" s="101">
        <v>3</v>
      </c>
      <c r="H17" s="94" t="e">
        <f t="array" aca="1" ref="H17:M21" ca="1">ELIM(A17:F21)</f>
        <v>#NAME?</v>
      </c>
      <c r="I17" s="95" t="e">
        <f ca="1"/>
        <v>#NAME?</v>
      </c>
      <c r="J17" s="95" t="e">
        <f ca="1"/>
        <v>#NAME?</v>
      </c>
      <c r="K17" s="95" t="e">
        <f ca="1"/>
        <v>#NAME?</v>
      </c>
      <c r="L17" s="95" t="e">
        <f ca="1"/>
        <v>#NAME?</v>
      </c>
      <c r="M17" s="96" t="e">
        <f ca="1"/>
        <v>#NAME?</v>
      </c>
      <c r="O17" s="65" t="e">
        <f t="array" aca="1" ref="O17:O21" ca="1">LINEQU(A17:F21)</f>
        <v>#NAME?</v>
      </c>
      <c r="Q17" s="65" t="e">
        <f t="array" aca="1" ref="Q17:Q21" ca="1">LinEqSolve(A17:F21)</f>
        <v>#NAME?</v>
      </c>
      <c r="U17" t="e" cm="1">
        <f t="array" aca="1" ref="U17" ca="1">MRANK(A17:F21)</f>
        <v>#NAME?</v>
      </c>
      <c r="W17" s="65" t="e">
        <f t="array" aca="1" ref="W17:W21" ca="1">LUSolve(A17:E21,F17:F21)</f>
        <v>#NAME?</v>
      </c>
      <c r="Z17" s="94" t="e">
        <f t="array" aca="1" ref="Z17:AC21" ca="1">LUInverse(A17:E21)</f>
        <v>#NAME?</v>
      </c>
      <c r="AA17" s="95" t="e">
        <f ca="1"/>
        <v>#NAME?</v>
      </c>
      <c r="AB17" s="95" t="e">
        <f ca="1"/>
        <v>#NAME?</v>
      </c>
      <c r="AC17" s="95" t="e">
        <f ca="1"/>
        <v>#NAME?</v>
      </c>
      <c r="AD17" s="96"/>
      <c r="AF17" s="85" t="e" cm="1">
        <f t="array" aca="1" ref="AF17" ca="1">LUDet(A17:E21)</f>
        <v>#NAME?</v>
      </c>
    </row>
    <row r="18" spans="1:32" x14ac:dyDescent="0.35">
      <c r="A18" s="101">
        <v>2</v>
      </c>
      <c r="B18" s="101">
        <v>6</v>
      </c>
      <c r="C18" s="101">
        <v>0</v>
      </c>
      <c r="D18" s="101">
        <v>2</v>
      </c>
      <c r="E18" s="101">
        <v>-2</v>
      </c>
      <c r="F18" s="101">
        <v>0</v>
      </c>
      <c r="H18" s="30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s="26" t="e">
        <f ca="1"/>
        <v>#NAME?</v>
      </c>
      <c r="O18" s="52" t="e">
        <f ca="1"/>
        <v>#NAME?</v>
      </c>
      <c r="Q18" s="52" t="e">
        <f ca="1"/>
        <v>#NAME?</v>
      </c>
      <c r="W18" s="52" t="e">
        <f ca="1"/>
        <v>#NAME?</v>
      </c>
      <c r="Z18" s="30" t="e">
        <f ca="1"/>
        <v>#NAME?</v>
      </c>
      <c r="AA18" t="e">
        <f ca="1"/>
        <v>#NAME?</v>
      </c>
      <c r="AB18" t="e">
        <f ca="1"/>
        <v>#NAME?</v>
      </c>
      <c r="AC18" t="e">
        <f ca="1"/>
        <v>#NAME?</v>
      </c>
      <c r="AD18" s="26"/>
    </row>
    <row r="19" spans="1:32" x14ac:dyDescent="0.35">
      <c r="A19" s="101">
        <v>4</v>
      </c>
      <c r="B19" s="101">
        <v>-1</v>
      </c>
      <c r="C19" s="101">
        <v>7</v>
      </c>
      <c r="D19" s="101">
        <v>5</v>
      </c>
      <c r="E19" s="101">
        <v>3</v>
      </c>
      <c r="F19" s="101">
        <v>2</v>
      </c>
      <c r="H19" s="30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s="26" t="e">
        <f ca="1"/>
        <v>#NAME?</v>
      </c>
      <c r="O19" s="52" t="e">
        <f ca="1"/>
        <v>#NAME?</v>
      </c>
      <c r="Q19" s="52" t="e">
        <f ca="1"/>
        <v>#NAME?</v>
      </c>
      <c r="W19" s="52" t="e">
        <f ca="1"/>
        <v>#NAME?</v>
      </c>
      <c r="Z19" s="30" t="e">
        <f ca="1"/>
        <v>#NAME?</v>
      </c>
      <c r="AA19" t="e">
        <f ca="1"/>
        <v>#NAME?</v>
      </c>
      <c r="AB19" t="e">
        <f ca="1"/>
        <v>#NAME?</v>
      </c>
      <c r="AC19" t="e">
        <f ca="1"/>
        <v>#NAME?</v>
      </c>
      <c r="AD19" s="26"/>
    </row>
    <row r="20" spans="1:32" x14ac:dyDescent="0.35">
      <c r="A20" s="101">
        <v>5</v>
      </c>
      <c r="B20" s="101">
        <v>5</v>
      </c>
      <c r="C20" s="101">
        <v>3</v>
      </c>
      <c r="D20" s="101">
        <v>4</v>
      </c>
      <c r="E20" s="101">
        <v>9</v>
      </c>
      <c r="F20" s="101">
        <v>-1</v>
      </c>
      <c r="H20" s="3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s="26" t="e">
        <f ca="1"/>
        <v>#NAME?</v>
      </c>
      <c r="O20" s="52" t="e">
        <f ca="1"/>
        <v>#NAME?</v>
      </c>
      <c r="Q20" s="52" t="e">
        <f ca="1"/>
        <v>#NAME?</v>
      </c>
      <c r="W20" s="52" t="e">
        <f ca="1"/>
        <v>#NAME?</v>
      </c>
      <c r="Z20" s="30" t="e">
        <f ca="1"/>
        <v>#NAME?</v>
      </c>
      <c r="AA20" t="e">
        <f ca="1"/>
        <v>#NAME?</v>
      </c>
      <c r="AB20" t="e">
        <f ca="1"/>
        <v>#NAME?</v>
      </c>
      <c r="AC20" t="e">
        <f ca="1"/>
        <v>#NAME?</v>
      </c>
      <c r="AD20" s="26"/>
    </row>
    <row r="21" spans="1:32" x14ac:dyDescent="0.35">
      <c r="A21" s="101">
        <v>6</v>
      </c>
      <c r="B21" s="101">
        <v>2</v>
      </c>
      <c r="C21" s="101">
        <v>5</v>
      </c>
      <c r="D21" s="101">
        <v>4</v>
      </c>
      <c r="E21" s="101">
        <v>1</v>
      </c>
      <c r="F21" s="101">
        <v>5</v>
      </c>
      <c r="H21" s="7" t="e">
        <f ca="1"/>
        <v>#NAME?</v>
      </c>
      <c r="I21" s="8" t="e">
        <f ca="1"/>
        <v>#NAME?</v>
      </c>
      <c r="J21" s="8" t="e">
        <f ca="1"/>
        <v>#NAME?</v>
      </c>
      <c r="K21" s="8" t="e">
        <f ca="1"/>
        <v>#NAME?</v>
      </c>
      <c r="L21" s="8" t="e">
        <f ca="1"/>
        <v>#NAME?</v>
      </c>
      <c r="M21" s="9" t="e">
        <f ca="1"/>
        <v>#NAME?</v>
      </c>
      <c r="O21" s="14" t="e">
        <f ca="1"/>
        <v>#NAME?</v>
      </c>
      <c r="Q21" s="14" t="e">
        <f ca="1"/>
        <v>#NAME?</v>
      </c>
      <c r="W21" s="14" t="e">
        <f ca="1"/>
        <v>#NAME?</v>
      </c>
      <c r="Z21" s="7" t="e">
        <f ca="1"/>
        <v>#NAME?</v>
      </c>
      <c r="AA21" s="8" t="e">
        <f ca="1"/>
        <v>#NAME?</v>
      </c>
      <c r="AB21" s="8" t="e">
        <f ca="1"/>
        <v>#NAME?</v>
      </c>
      <c r="AC21" s="8" t="e">
        <f ca="1"/>
        <v>#NAME?</v>
      </c>
      <c r="AD21" s="9"/>
    </row>
    <row r="23" spans="1:32" x14ac:dyDescent="0.35">
      <c r="H23" t="e" cm="1">
        <f t="array" aca="1" ref="H23" ca="1">FTEXT(H24)</f>
        <v>#NAME?</v>
      </c>
      <c r="O23" t="e" cm="1">
        <f t="array" aca="1" ref="O23" ca="1">FTEXT(O24)</f>
        <v>#NAME?</v>
      </c>
      <c r="Q23" t="e" cm="1">
        <f t="array" aca="1" ref="Q23" ca="1">FTEXT(Q24)</f>
        <v>#NAME?</v>
      </c>
      <c r="Z23" t="e" cm="1">
        <f t="array" aca="1" ref="Z23" ca="1">FTEXT(Z24)</f>
        <v>#NAME?</v>
      </c>
      <c r="AF23" t="e" cm="1">
        <f t="array" aca="1" ref="AF23" ca="1">FTEXT(AF24)</f>
        <v>#NAME?</v>
      </c>
    </row>
    <row r="24" spans="1:32" x14ac:dyDescent="0.35">
      <c r="A24" s="101">
        <v>1</v>
      </c>
      <c r="B24" s="101">
        <v>-1</v>
      </c>
      <c r="C24" s="101">
        <v>0</v>
      </c>
      <c r="D24" s="101">
        <v>1</v>
      </c>
      <c r="E24" s="101">
        <v>0</v>
      </c>
      <c r="F24" s="101">
        <v>1</v>
      </c>
      <c r="H24" s="94" t="e">
        <f t="array" aca="1" ref="H24:M28" ca="1">ELIM(A24:F28)</f>
        <v>#NAME?</v>
      </c>
      <c r="I24" s="95" t="e">
        <f ca="1"/>
        <v>#NAME?</v>
      </c>
      <c r="J24" s="95" t="e">
        <f ca="1"/>
        <v>#NAME?</v>
      </c>
      <c r="K24" s="95" t="e">
        <f ca="1"/>
        <v>#NAME?</v>
      </c>
      <c r="L24" s="95" t="e">
        <f ca="1"/>
        <v>#NAME?</v>
      </c>
      <c r="M24" s="96" t="e">
        <f ca="1"/>
        <v>#NAME?</v>
      </c>
      <c r="O24" s="65" t="e" cm="1">
        <f t="array" aca="1" ref="O24" ca="1">LINEQU(A24:F28)</f>
        <v>#NAME?</v>
      </c>
      <c r="Q24" s="65" t="e" cm="1">
        <f t="array" aca="1" ref="Q24" ca="1">LinEqSolve(A24:F28)</f>
        <v>#NAME?</v>
      </c>
      <c r="U24" t="e" cm="1">
        <f t="array" aca="1" ref="U24" ca="1">MRANK(A24:F28)</f>
        <v>#NAME?</v>
      </c>
      <c r="Z24" s="94">
        <f t="array" ref="Z24:AD28">MINVERSE(A17:E21)</f>
        <v>7.761437908496728E-2</v>
      </c>
      <c r="AA24" s="95">
        <v>-0.20955882352941171</v>
      </c>
      <c r="AB24" s="95">
        <v>-0.29411764705882354</v>
      </c>
      <c r="AC24" s="95">
        <v>-3.267973856209147E-2</v>
      </c>
      <c r="AD24" s="96">
        <v>0.44689542483660127</v>
      </c>
      <c r="AF24" s="85">
        <f>MDETERM(A17:E21)</f>
        <v>2448</v>
      </c>
    </row>
    <row r="25" spans="1:32" x14ac:dyDescent="0.35">
      <c r="A25" s="101">
        <v>-2</v>
      </c>
      <c r="B25" s="101">
        <v>2</v>
      </c>
      <c r="C25" s="101">
        <v>-1</v>
      </c>
      <c r="D25" s="101">
        <v>-4</v>
      </c>
      <c r="E25" s="101">
        <v>0</v>
      </c>
      <c r="F25" s="101">
        <v>3</v>
      </c>
      <c r="H25" s="30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s="26" t="e">
        <f ca="1"/>
        <v>#NAME?</v>
      </c>
      <c r="O25" s="52"/>
      <c r="Q25" s="52"/>
      <c r="Z25" s="30">
        <v>-0.15441176470588239</v>
      </c>
      <c r="AA25">
        <v>0.21691176470588239</v>
      </c>
      <c r="AB25">
        <v>5.8823529411764705E-2</v>
      </c>
      <c r="AC25">
        <v>0.11764705882352941</v>
      </c>
      <c r="AD25" s="26">
        <v>-0.18382352941176472</v>
      </c>
    </row>
    <row r="26" spans="1:32" x14ac:dyDescent="0.35">
      <c r="A26" s="101">
        <v>1</v>
      </c>
      <c r="B26" s="101">
        <v>-1</v>
      </c>
      <c r="C26" s="101">
        <v>1</v>
      </c>
      <c r="D26" s="101">
        <v>3</v>
      </c>
      <c r="E26" s="101">
        <v>0</v>
      </c>
      <c r="F26" s="101">
        <v>0</v>
      </c>
      <c r="H26" s="30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s="26" t="e">
        <f ca="1"/>
        <v>#NAME?</v>
      </c>
      <c r="O26" s="52"/>
      <c r="Q26" s="52"/>
      <c r="Z26" s="30">
        <v>-0.32598039215686275</v>
      </c>
      <c r="AA26">
        <v>0.18014705882352938</v>
      </c>
      <c r="AB26">
        <v>0.23529411764705882</v>
      </c>
      <c r="AC26">
        <v>0.1372549019607843</v>
      </c>
      <c r="AD26" s="26">
        <v>-0.27696078431372551</v>
      </c>
    </row>
    <row r="27" spans="1:32" x14ac:dyDescent="0.35">
      <c r="A27" s="101">
        <v>-1</v>
      </c>
      <c r="B27" s="101">
        <v>1</v>
      </c>
      <c r="C27" s="101">
        <v>1</v>
      </c>
      <c r="D27" s="101">
        <v>1</v>
      </c>
      <c r="E27" s="101">
        <v>0</v>
      </c>
      <c r="F27" s="101">
        <v>1</v>
      </c>
      <c r="H27" s="30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s="26" t="e">
        <f ca="1"/>
        <v>#NAME?</v>
      </c>
      <c r="O27" s="52"/>
      <c r="Q27" s="52"/>
      <c r="Z27" s="30">
        <v>0.37173202614379092</v>
      </c>
      <c r="AA27">
        <v>-3.6764705882353188E-3</v>
      </c>
      <c r="AB27">
        <v>0.11764705882352938</v>
      </c>
      <c r="AC27">
        <v>-0.20915032679738563</v>
      </c>
      <c r="AD27" s="26">
        <v>3.5130718954248422E-2</v>
      </c>
    </row>
    <row r="28" spans="1:32" x14ac:dyDescent="0.35">
      <c r="A28" s="101">
        <v>-3</v>
      </c>
      <c r="B28" s="101">
        <v>-2</v>
      </c>
      <c r="C28" s="101">
        <v>5</v>
      </c>
      <c r="D28" s="101">
        <v>-4</v>
      </c>
      <c r="E28" s="101">
        <v>1</v>
      </c>
      <c r="F28" s="101">
        <v>-2</v>
      </c>
      <c r="H28" s="7" t="e">
        <f ca="1"/>
        <v>#NAME?</v>
      </c>
      <c r="I28" s="8" t="e">
        <f ca="1"/>
        <v>#NAME?</v>
      </c>
      <c r="J28" s="8" t="e">
        <f ca="1"/>
        <v>#NAME?</v>
      </c>
      <c r="K28" s="8" t="e">
        <f ca="1"/>
        <v>#NAME?</v>
      </c>
      <c r="L28" s="8" t="e">
        <f ca="1"/>
        <v>#NAME?</v>
      </c>
      <c r="M28" s="9" t="e">
        <f ca="1"/>
        <v>#NAME?</v>
      </c>
      <c r="O28" s="14"/>
      <c r="Q28" s="14"/>
      <c r="Z28" s="7">
        <v>-1.3888888888888899E-2</v>
      </c>
      <c r="AA28" s="8">
        <v>-6.2499999999999986E-2</v>
      </c>
      <c r="AB28" s="8">
        <v>1.3877787807814457E-17</v>
      </c>
      <c r="AC28" s="8">
        <v>0.1111111111111111</v>
      </c>
      <c r="AD28" s="9">
        <v>-6.9444444444444461E-2</v>
      </c>
    </row>
    <row r="30" spans="1:32" x14ac:dyDescent="0.35">
      <c r="H30" t="e" cm="1">
        <f t="array" aca="1" ref="H30" ca="1">FTEXT(H31)</f>
        <v>#NAME?</v>
      </c>
      <c r="O30" t="e" cm="1">
        <f t="array" aca="1" ref="O30" ca="1">FTEXT(O31)</f>
        <v>#NAME?</v>
      </c>
      <c r="Q30" t="e" cm="1">
        <f t="array" aca="1" ref="Q30" ca="1">FTEXT(Q31)</f>
        <v>#NAME?</v>
      </c>
    </row>
    <row r="31" spans="1:32" x14ac:dyDescent="0.35">
      <c r="A31" s="101">
        <v>1</v>
      </c>
      <c r="B31" s="101">
        <v>-1</v>
      </c>
      <c r="C31" s="101">
        <v>0</v>
      </c>
      <c r="D31" s="101">
        <v>1</v>
      </c>
      <c r="E31" s="101">
        <v>0</v>
      </c>
      <c r="F31" s="101">
        <v>0</v>
      </c>
      <c r="H31" s="94" t="e">
        <f t="array" aca="1" ref="H31:M35" ca="1">ELIM(A31:F35)</f>
        <v>#NAME?</v>
      </c>
      <c r="I31" s="95" t="e">
        <f ca="1"/>
        <v>#NAME?</v>
      </c>
      <c r="J31" s="95" t="e">
        <f ca="1"/>
        <v>#NAME?</v>
      </c>
      <c r="K31" s="95" t="e">
        <f ca="1"/>
        <v>#NAME?</v>
      </c>
      <c r="L31" s="95" t="e">
        <f ca="1"/>
        <v>#NAME?</v>
      </c>
      <c r="M31" s="96" t="e">
        <f ca="1"/>
        <v>#NAME?</v>
      </c>
      <c r="O31" s="65" t="e" cm="1">
        <f t="array" aca="1" ref="O31" ca="1">LINEQU(A31:F35)</f>
        <v>#NAME?</v>
      </c>
      <c r="Q31" s="94" t="e" cm="1">
        <f t="array" aca="1" ref="Q31" ca="1">LinEqSolve(A31:F35)</f>
        <v>#NAME?</v>
      </c>
      <c r="R31" s="95"/>
      <c r="S31" s="96"/>
      <c r="U31" t="e" cm="1">
        <f t="array" aca="1" ref="U31" ca="1">MRANK(A31:F35)</f>
        <v>#NAME?</v>
      </c>
    </row>
    <row r="32" spans="1:32" x14ac:dyDescent="0.35">
      <c r="A32" s="101">
        <v>-2</v>
      </c>
      <c r="B32" s="101">
        <v>2</v>
      </c>
      <c r="C32" s="101">
        <v>-1</v>
      </c>
      <c r="D32" s="101">
        <v>-4</v>
      </c>
      <c r="E32" s="101">
        <v>0</v>
      </c>
      <c r="F32" s="101">
        <v>-1</v>
      </c>
      <c r="H32" s="30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s="26" t="e">
        <f ca="1"/>
        <v>#NAME?</v>
      </c>
      <c r="O32" s="52"/>
      <c r="Q32" s="30"/>
      <c r="S32" s="26"/>
    </row>
    <row r="33" spans="1:23" x14ac:dyDescent="0.35">
      <c r="A33" s="101">
        <v>1</v>
      </c>
      <c r="B33" s="101">
        <v>-1</v>
      </c>
      <c r="C33" s="101">
        <v>1</v>
      </c>
      <c r="D33" s="101">
        <v>3</v>
      </c>
      <c r="E33" s="101">
        <v>0</v>
      </c>
      <c r="F33" s="101">
        <v>2</v>
      </c>
      <c r="H33" s="30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s="26" t="e">
        <f ca="1"/>
        <v>#NAME?</v>
      </c>
      <c r="O33" s="52"/>
      <c r="Q33" s="30"/>
      <c r="S33" s="26"/>
    </row>
    <row r="34" spans="1:23" x14ac:dyDescent="0.35">
      <c r="A34" s="101">
        <v>-1</v>
      </c>
      <c r="B34" s="101">
        <v>3</v>
      </c>
      <c r="C34" s="101">
        <v>1</v>
      </c>
      <c r="D34" s="101">
        <v>1</v>
      </c>
      <c r="E34" s="101">
        <v>0</v>
      </c>
      <c r="F34" s="101">
        <v>4</v>
      </c>
      <c r="H34" s="30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s="26" t="e">
        <f ca="1"/>
        <v>#NAME?</v>
      </c>
      <c r="O34" s="52"/>
      <c r="Q34" s="30"/>
      <c r="S34" s="26"/>
    </row>
    <row r="35" spans="1:23" x14ac:dyDescent="0.35">
      <c r="A35" s="101">
        <v>-3</v>
      </c>
      <c r="B35" s="101">
        <v>-2</v>
      </c>
      <c r="C35" s="101">
        <v>3</v>
      </c>
      <c r="D35" s="101">
        <v>-1</v>
      </c>
      <c r="E35" s="101">
        <v>1</v>
      </c>
      <c r="F35" s="101">
        <v>1</v>
      </c>
      <c r="H35" s="7" t="e">
        <f ca="1"/>
        <v>#NAME?</v>
      </c>
      <c r="I35" s="8" t="e">
        <f ca="1"/>
        <v>#NAME?</v>
      </c>
      <c r="J35" s="8" t="e">
        <f ca="1"/>
        <v>#NAME?</v>
      </c>
      <c r="K35" s="8" t="e">
        <f ca="1"/>
        <v>#NAME?</v>
      </c>
      <c r="L35" s="8" t="e">
        <f ca="1"/>
        <v>#NAME?</v>
      </c>
      <c r="M35" s="9" t="e">
        <f ca="1"/>
        <v>#NAME?</v>
      </c>
      <c r="O35" s="14"/>
      <c r="Q35" s="7"/>
      <c r="R35" s="8"/>
      <c r="S35" s="9"/>
    </row>
    <row r="37" spans="1:23" x14ac:dyDescent="0.35">
      <c r="H37" t="e" cm="1">
        <f t="array" aca="1" ref="H37" ca="1">FTEXT(H38)</f>
        <v>#NAME?</v>
      </c>
      <c r="O37" t="e" cm="1">
        <f t="array" aca="1" ref="O37" ca="1">FTEXT(O38)</f>
        <v>#NAME?</v>
      </c>
      <c r="Q37" t="e" cm="1">
        <f t="array" aca="1" ref="Q37" ca="1">FTEXT(Q38)</f>
        <v>#NAME?</v>
      </c>
      <c r="W37" t="e" cm="1">
        <f t="array" aca="1" ref="W37" ca="1">FTEXT(W38)</f>
        <v>#NAME?</v>
      </c>
    </row>
    <row r="38" spans="1:23" x14ac:dyDescent="0.35">
      <c r="A38" s="101">
        <v>1</v>
      </c>
      <c r="B38" s="101">
        <v>-1</v>
      </c>
      <c r="C38" s="101">
        <v>0</v>
      </c>
      <c r="D38" s="101">
        <v>1</v>
      </c>
      <c r="E38" s="101">
        <v>3</v>
      </c>
      <c r="F38" s="101">
        <v>2</v>
      </c>
      <c r="H38" s="94" t="e" cm="1">
        <f t="array" aca="1" ref="H38" ca="1">ELIM(A38:F42)</f>
        <v>#NAME?</v>
      </c>
      <c r="I38" s="95"/>
      <c r="J38" s="95"/>
      <c r="K38" s="95"/>
      <c r="L38" s="95"/>
      <c r="M38" s="96"/>
      <c r="O38" s="65" t="e" cm="1">
        <f t="array" aca="1" ref="O38" ca="1">LINEQU(A38:F42)</f>
        <v>#NAME?</v>
      </c>
      <c r="Q38" s="94" t="e" cm="1">
        <f t="array" aca="1" ref="Q38" ca="1">LinEqSolve(A38:F42)</f>
        <v>#NAME?</v>
      </c>
      <c r="R38" s="95"/>
      <c r="S38" s="96"/>
      <c r="U38" t="e" cm="1">
        <f t="array" aca="1" ref="U38" ca="1">MRANK(A38:F42)</f>
        <v>#NAME?</v>
      </c>
      <c r="W38" s="85" t="e" cm="1">
        <f t="array" aca="1" ref="W38" ca="1">LUSolve(A38:E42,F38:F42)</f>
        <v>#NAME?</v>
      </c>
    </row>
    <row r="39" spans="1:23" x14ac:dyDescent="0.35">
      <c r="A39" s="101">
        <v>-2</v>
      </c>
      <c r="B39" s="101">
        <v>2</v>
      </c>
      <c r="C39" s="101">
        <v>-1</v>
      </c>
      <c r="D39" s="101">
        <v>-4</v>
      </c>
      <c r="E39" s="101">
        <v>1</v>
      </c>
      <c r="F39" s="101">
        <v>2</v>
      </c>
      <c r="H39" s="30"/>
      <c r="M39" s="26"/>
      <c r="O39" s="52"/>
      <c r="Q39" s="30"/>
      <c r="S39" s="26"/>
    </row>
    <row r="40" spans="1:23" x14ac:dyDescent="0.35">
      <c r="A40" s="101">
        <v>1</v>
      </c>
      <c r="B40" s="101">
        <v>-1</v>
      </c>
      <c r="C40" s="101">
        <v>1</v>
      </c>
      <c r="D40" s="101">
        <v>3</v>
      </c>
      <c r="E40" s="101">
        <v>0</v>
      </c>
      <c r="F40" s="101">
        <v>2</v>
      </c>
      <c r="H40" s="30"/>
      <c r="M40" s="26"/>
      <c r="O40" s="52"/>
      <c r="Q40" s="30"/>
      <c r="S40" s="26"/>
    </row>
    <row r="41" spans="1:23" x14ac:dyDescent="0.35">
      <c r="A41" s="101">
        <f>A38-2*A40</f>
        <v>-1</v>
      </c>
      <c r="B41" s="101">
        <f t="shared" ref="B41:F41" si="0">B38-2*B40</f>
        <v>1</v>
      </c>
      <c r="C41" s="101">
        <f t="shared" si="0"/>
        <v>-2</v>
      </c>
      <c r="D41" s="101">
        <f t="shared" si="0"/>
        <v>-5</v>
      </c>
      <c r="E41" s="101">
        <f t="shared" si="0"/>
        <v>3</v>
      </c>
      <c r="F41" s="101">
        <f t="shared" si="0"/>
        <v>-2</v>
      </c>
      <c r="H41" s="30"/>
      <c r="M41" s="26"/>
      <c r="O41" s="52"/>
      <c r="Q41" s="30"/>
      <c r="S41" s="26"/>
    </row>
    <row r="42" spans="1:23" x14ac:dyDescent="0.35">
      <c r="A42" s="101">
        <f>SUM(A38:A40)+2*A39</f>
        <v>-4</v>
      </c>
      <c r="B42" s="101">
        <f t="shared" ref="B42:F42" si="1">SUM(B38:B40)+2*B39</f>
        <v>4</v>
      </c>
      <c r="C42" s="101">
        <f t="shared" si="1"/>
        <v>-2</v>
      </c>
      <c r="D42" s="101">
        <f t="shared" si="1"/>
        <v>-8</v>
      </c>
      <c r="E42" s="101">
        <f t="shared" si="1"/>
        <v>6</v>
      </c>
      <c r="F42" s="101">
        <f t="shared" si="1"/>
        <v>10</v>
      </c>
      <c r="H42" s="7"/>
      <c r="I42" s="8"/>
      <c r="J42" s="8"/>
      <c r="K42" s="8"/>
      <c r="L42" s="8"/>
      <c r="M42" s="9"/>
      <c r="O42" s="14"/>
      <c r="Q42" s="7"/>
      <c r="R42" s="8"/>
      <c r="S42" s="9"/>
    </row>
    <row r="44" spans="1:23" x14ac:dyDescent="0.35">
      <c r="H44" t="e" cm="1">
        <f t="array" aca="1" ref="H44" ca="1">FTEXT(H45)</f>
        <v>#NAME?</v>
      </c>
      <c r="O44" t="e" cm="1">
        <f t="array" aca="1" ref="O44" ca="1">FTEXT(O45)</f>
        <v>#NAME?</v>
      </c>
      <c r="Q44" t="e" cm="1">
        <f t="array" aca="1" ref="Q44" ca="1">FTEXT(Q45)</f>
        <v>#NAME?</v>
      </c>
    </row>
    <row r="45" spans="1:23" x14ac:dyDescent="0.35">
      <c r="A45" s="101">
        <v>1</v>
      </c>
      <c r="B45" s="101">
        <v>2</v>
      </c>
      <c r="C45" s="101">
        <v>1</v>
      </c>
      <c r="D45" s="101">
        <v>-1</v>
      </c>
      <c r="E45" s="101">
        <v>4</v>
      </c>
      <c r="H45" s="15" t="e" cm="1">
        <f t="array" aca="1" ref="H45" ca="1">ELIM(A45:E45)</f>
        <v>#NAME?</v>
      </c>
      <c r="I45" s="37"/>
      <c r="J45" s="37"/>
      <c r="K45" s="37"/>
      <c r="L45" s="38"/>
      <c r="O45" s="85" t="e" cm="1">
        <f t="array" aca="1" ref="O45" ca="1">LINEQU(A45:E45)</f>
        <v>#NAME?</v>
      </c>
      <c r="Q45" s="94" t="e" cm="1">
        <f t="array" aca="1" ref="Q45" ca="1">LinEqSolve(A45:E45)</f>
        <v>#NAME?</v>
      </c>
      <c r="R45" s="95"/>
      <c r="S45" s="95"/>
      <c r="T45" s="96"/>
      <c r="U45" t="e" cm="1">
        <f t="array" aca="1" ref="U45" ca="1">MRANK(A45:E45)</f>
        <v>#NAME?</v>
      </c>
    </row>
    <row r="46" spans="1:23" x14ac:dyDescent="0.35">
      <c r="Q46" s="30"/>
      <c r="T46" s="26"/>
    </row>
    <row r="47" spans="1:23" x14ac:dyDescent="0.35">
      <c r="Q47" s="30"/>
      <c r="T47" s="26"/>
    </row>
    <row r="48" spans="1:23" x14ac:dyDescent="0.35">
      <c r="Q48" s="7"/>
      <c r="R48" s="8"/>
      <c r="S48" s="8"/>
      <c r="T48" s="9"/>
    </row>
    <row r="50" spans="1:20" x14ac:dyDescent="0.35">
      <c r="H50" t="e" cm="1">
        <f t="array" aca="1" ref="H50" ca="1">FTEXT(H51)</f>
        <v>#NAME?</v>
      </c>
      <c r="O50" t="e" cm="1">
        <f t="array" aca="1" ref="O50" ca="1">FTEXT(O51)</f>
        <v>#NAME?</v>
      </c>
      <c r="Q50" t="e" cm="1">
        <f t="array" aca="1" ref="Q50" ca="1">FTEXT(Q51)</f>
        <v>#NAME?</v>
      </c>
    </row>
    <row r="51" spans="1:20" x14ac:dyDescent="0.35">
      <c r="A51" s="157">
        <v>1</v>
      </c>
      <c r="B51" s="157">
        <v>-1</v>
      </c>
      <c r="C51" s="157">
        <v>0</v>
      </c>
      <c r="D51" s="157">
        <v>1</v>
      </c>
      <c r="E51" s="157">
        <v>2</v>
      </c>
      <c r="F51" s="157">
        <v>0</v>
      </c>
      <c r="H51" s="94" t="e" cm="1">
        <f t="array" aca="1" ref="H51" ca="1">ELIM(A51:F55)</f>
        <v>#NAME?</v>
      </c>
      <c r="I51" s="95"/>
      <c r="J51" s="95"/>
      <c r="K51" s="95"/>
      <c r="L51" s="95"/>
      <c r="M51" s="96"/>
      <c r="O51" s="85" t="e" cm="1">
        <f t="array" aca="1" ref="O51" ca="1">LINEQU(A51:F55)</f>
        <v>#NAME?</v>
      </c>
      <c r="Q51" s="94" t="e" cm="1">
        <f t="array" aca="1" ref="Q51" ca="1">LinEqSolve(A51:F55)</f>
        <v>#NAME?</v>
      </c>
      <c r="R51" s="95"/>
      <c r="S51" s="95"/>
      <c r="T51" s="96"/>
    </row>
    <row r="52" spans="1:20" x14ac:dyDescent="0.35">
      <c r="A52" s="157">
        <v>-2</v>
      </c>
      <c r="B52" s="157">
        <v>2</v>
      </c>
      <c r="C52" s="157">
        <v>-1</v>
      </c>
      <c r="D52" s="157">
        <v>-4</v>
      </c>
      <c r="E52" s="157">
        <v>-3</v>
      </c>
      <c r="F52" s="157">
        <v>0</v>
      </c>
      <c r="H52" s="30"/>
      <c r="M52" s="26"/>
      <c r="Q52" s="30"/>
      <c r="T52" s="26"/>
    </row>
    <row r="53" spans="1:20" x14ac:dyDescent="0.35">
      <c r="A53" s="157">
        <v>1</v>
      </c>
      <c r="B53" s="157">
        <v>-1</v>
      </c>
      <c r="C53" s="157">
        <v>1</v>
      </c>
      <c r="D53" s="157">
        <v>3</v>
      </c>
      <c r="E53" s="157">
        <v>1</v>
      </c>
      <c r="F53" s="157">
        <v>0</v>
      </c>
      <c r="H53" s="30"/>
      <c r="M53" s="26"/>
      <c r="Q53" s="30"/>
      <c r="T53" s="26"/>
    </row>
    <row r="54" spans="1:20" x14ac:dyDescent="0.35">
      <c r="A54" s="157">
        <v>-1</v>
      </c>
      <c r="B54" s="157">
        <v>1</v>
      </c>
      <c r="C54" s="157">
        <v>1</v>
      </c>
      <c r="D54" s="157">
        <v>1</v>
      </c>
      <c r="E54" s="157">
        <v>-3</v>
      </c>
      <c r="F54" s="157">
        <v>0</v>
      </c>
      <c r="H54" s="30"/>
      <c r="M54" s="26"/>
      <c r="Q54" s="30"/>
      <c r="T54" s="26"/>
    </row>
    <row r="55" spans="1:20" x14ac:dyDescent="0.35">
      <c r="H55" s="7"/>
      <c r="I55" s="8"/>
      <c r="J55" s="8"/>
      <c r="K55" s="8"/>
      <c r="L55" s="8"/>
      <c r="M55" s="9"/>
      <c r="Q55" s="7"/>
      <c r="R55" s="8"/>
      <c r="S55" s="8"/>
      <c r="T55" s="9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C119-3632-4930-A14B-85D90F1D4570}">
  <sheetPr codeName="Sheet61"/>
  <dimension ref="A1:S28"/>
  <sheetViews>
    <sheetView workbookViewId="0"/>
  </sheetViews>
  <sheetFormatPr defaultRowHeight="14.5" x14ac:dyDescent="0.35"/>
  <cols>
    <col min="1" max="1" width="8.26953125" customWidth="1"/>
    <col min="5" max="5" width="7" customWidth="1"/>
    <col min="7" max="7" width="9.1796875" customWidth="1"/>
    <col min="8" max="8" width="4.54296875" customWidth="1"/>
    <col min="11" max="11" width="4.453125" customWidth="1"/>
    <col min="14" max="14" width="4.26953125" customWidth="1"/>
    <col min="17" max="17" width="4.26953125" customWidth="1"/>
  </cols>
  <sheetData>
    <row r="1" spans="1:19" x14ac:dyDescent="0.35">
      <c r="A1" s="10" t="s">
        <v>480</v>
      </c>
    </row>
    <row r="3" spans="1:19" x14ac:dyDescent="0.35">
      <c r="A3" t="s">
        <v>481</v>
      </c>
      <c r="E3" t="s">
        <v>482</v>
      </c>
    </row>
    <row r="5" spans="1:19" ht="17.5" x14ac:dyDescent="0.45">
      <c r="A5" t="s">
        <v>483</v>
      </c>
      <c r="B5" t="s">
        <v>484</v>
      </c>
      <c r="E5" s="12" t="s">
        <v>485</v>
      </c>
      <c r="F5" t="s">
        <v>486</v>
      </c>
      <c r="H5" s="12" t="s">
        <v>487</v>
      </c>
      <c r="I5" s="151" t="s">
        <v>488</v>
      </c>
      <c r="J5" s="12" t="s">
        <v>489</v>
      </c>
      <c r="K5" s="17">
        <v>1</v>
      </c>
    </row>
    <row r="6" spans="1:19" ht="17.5" x14ac:dyDescent="0.45">
      <c r="A6" t="s">
        <v>490</v>
      </c>
      <c r="B6" t="s">
        <v>491</v>
      </c>
      <c r="E6" s="12" t="s">
        <v>492</v>
      </c>
      <c r="F6" t="s">
        <v>493</v>
      </c>
      <c r="H6" s="12" t="s">
        <v>494</v>
      </c>
      <c r="I6" s="17">
        <v>1</v>
      </c>
      <c r="J6" s="12" t="s">
        <v>495</v>
      </c>
      <c r="K6" s="17">
        <v>1</v>
      </c>
    </row>
    <row r="8" spans="1:19" x14ac:dyDescent="0.35">
      <c r="A8" s="135" t="s">
        <v>496</v>
      </c>
      <c r="B8" s="135" t="s">
        <v>159</v>
      </c>
      <c r="E8" t="s">
        <v>496</v>
      </c>
      <c r="F8">
        <v>0</v>
      </c>
      <c r="I8">
        <v>1</v>
      </c>
      <c r="L8">
        <v>2</v>
      </c>
      <c r="O8">
        <v>3</v>
      </c>
      <c r="R8">
        <v>4</v>
      </c>
    </row>
    <row r="9" spans="1:19" x14ac:dyDescent="0.35">
      <c r="A9" s="158">
        <v>0</v>
      </c>
      <c r="B9">
        <v>2</v>
      </c>
      <c r="E9" t="s">
        <v>159</v>
      </c>
      <c r="F9">
        <v>1</v>
      </c>
      <c r="I9">
        <f t="array" ref="I9:I10">F9:F10-MMULT(F17:G18,F11:F12)</f>
        <v>0.80682426410998542</v>
      </c>
      <c r="L9">
        <f t="array" ref="L9:L10">I9:I10-MMULT(I17:J18,I11:I12)</f>
        <v>0.79213495965638669</v>
      </c>
      <c r="O9">
        <f t="array" ref="O9:O10">L9:L10-MMULT(L17:M18,L11:L12)</f>
        <v>0.79205997036599018</v>
      </c>
      <c r="R9">
        <f t="array" ref="R9:R10">O9:O10-MMULT(O17:P18,O11:O12)</f>
        <v>0.79205996843067694</v>
      </c>
    </row>
    <row r="10" spans="1:19" x14ac:dyDescent="0.35">
      <c r="A10" s="158">
        <f t="shared" ref="A10:A15" si="0">A9+1</f>
        <v>1</v>
      </c>
      <c r="B10">
        <f t="shared" ref="B10:B15" si="1">B9-(EXP(B9)+B9-3)/(EXP(B9)+1)</f>
        <v>1.2384058440442351</v>
      </c>
      <c r="E10" t="s">
        <v>160</v>
      </c>
      <c r="F10">
        <v>1</v>
      </c>
      <c r="I10">
        <v>2.1931757358900148</v>
      </c>
      <c r="L10">
        <v>2.2078650403436133</v>
      </c>
      <c r="O10">
        <v>2.2079400296340097</v>
      </c>
      <c r="R10">
        <v>2.2079400315693229</v>
      </c>
    </row>
    <row r="11" spans="1:19" x14ac:dyDescent="0.35">
      <c r="A11" s="158">
        <f t="shared" si="0"/>
        <v>2</v>
      </c>
      <c r="B11">
        <f t="shared" si="1"/>
        <v>0.85897359073089996</v>
      </c>
      <c r="E11" t="s">
        <v>497</v>
      </c>
      <c r="F11">
        <f>F10-EXP(F9)</f>
        <v>-1.7182818284590451</v>
      </c>
      <c r="I11">
        <f>I10-EXP(I9)</f>
        <v>-4.7604812137273189E-2</v>
      </c>
      <c r="L11">
        <f>L10-EXP(L9)</f>
        <v>-2.4057356350404291E-4</v>
      </c>
      <c r="O11">
        <f>O10-EXP(O9)</f>
        <v>-6.2083689300607148E-9</v>
      </c>
      <c r="R11">
        <f>R10-EXP(R9)</f>
        <v>0</v>
      </c>
    </row>
    <row r="12" spans="1:19" x14ac:dyDescent="0.35">
      <c r="A12" s="158">
        <f t="shared" si="0"/>
        <v>3</v>
      </c>
      <c r="B12">
        <f t="shared" si="1"/>
        <v>0.79359804956294999</v>
      </c>
      <c r="E12" t="s">
        <v>498</v>
      </c>
      <c r="F12">
        <f>F9+F10-3</f>
        <v>-1</v>
      </c>
      <c r="I12">
        <f>I9+I10-3</f>
        <v>0</v>
      </c>
      <c r="L12">
        <f>L9+L10-3</f>
        <v>0</v>
      </c>
      <c r="O12">
        <f>O9+O10-3</f>
        <v>0</v>
      </c>
      <c r="R12">
        <f>R9+R10-3</f>
        <v>0</v>
      </c>
    </row>
    <row r="13" spans="1:19" x14ac:dyDescent="0.35">
      <c r="A13" s="158">
        <f t="shared" si="0"/>
        <v>4</v>
      </c>
      <c r="B13">
        <f t="shared" si="1"/>
        <v>0.79206078252553502</v>
      </c>
    </row>
    <row r="14" spans="1:19" x14ac:dyDescent="0.35">
      <c r="A14" s="158">
        <f t="shared" si="0"/>
        <v>5</v>
      </c>
      <c r="B14">
        <f t="shared" si="1"/>
        <v>0.7920599684309052</v>
      </c>
      <c r="E14" t="s">
        <v>499</v>
      </c>
      <c r="F14" s="62">
        <f>-EXP(F9)</f>
        <v>-2.7182818284590451</v>
      </c>
      <c r="G14" s="64">
        <v>1</v>
      </c>
      <c r="I14" s="62">
        <f>-EXP(I9)</f>
        <v>-2.240780548027288</v>
      </c>
      <c r="J14" s="64">
        <v>1</v>
      </c>
      <c r="L14" s="62">
        <f>-EXP(L9)</f>
        <v>-2.2081056139071173</v>
      </c>
      <c r="M14" s="64">
        <v>1</v>
      </c>
      <c r="O14" s="62">
        <f>-EXP(O9)</f>
        <v>-2.2079400358423786</v>
      </c>
      <c r="P14" s="64">
        <v>1</v>
      </c>
      <c r="R14" s="62">
        <f>-EXP(R9)</f>
        <v>-2.2079400315693229</v>
      </c>
      <c r="S14" s="64">
        <v>1</v>
      </c>
    </row>
    <row r="15" spans="1:19" x14ac:dyDescent="0.35">
      <c r="A15" s="92">
        <f t="shared" si="0"/>
        <v>6</v>
      </c>
      <c r="B15" s="28">
        <f t="shared" si="1"/>
        <v>0.79205996843067694</v>
      </c>
      <c r="F15" s="7">
        <v>1</v>
      </c>
      <c r="G15" s="9">
        <v>1</v>
      </c>
      <c r="I15" s="7">
        <v>1</v>
      </c>
      <c r="J15" s="9">
        <v>1</v>
      </c>
      <c r="L15" s="7">
        <v>1</v>
      </c>
      <c r="M15" s="9">
        <v>1</v>
      </c>
      <c r="O15" s="7">
        <v>1</v>
      </c>
      <c r="P15" s="9">
        <v>1</v>
      </c>
      <c r="R15" s="7">
        <v>1</v>
      </c>
      <c r="S15" s="9">
        <v>1</v>
      </c>
    </row>
    <row r="17" spans="1:19" ht="16.5" x14ac:dyDescent="0.35">
      <c r="E17" t="s">
        <v>500</v>
      </c>
      <c r="F17" s="62">
        <f t="array" ref="F17:G18">MINVERSE(F14:G15)</f>
        <v>-0.26894142136999516</v>
      </c>
      <c r="G17" s="64">
        <v>0.26894142136999516</v>
      </c>
      <c r="I17" s="62">
        <f t="array" ref="I17:J18">MINVERSE(I14:J15)</f>
        <v>-0.3085676383143916</v>
      </c>
      <c r="J17" s="64">
        <v>0.3085676383143916</v>
      </c>
      <c r="L17" s="62">
        <f t="array" ref="L17:M18">MINVERSE(L14:M15)</f>
        <v>-0.31171043611064625</v>
      </c>
      <c r="M17" s="64">
        <v>0.31171043611064625</v>
      </c>
      <c r="O17" s="62">
        <f t="array" ref="O17:P18">MINVERSE(O14:P15)</f>
        <v>-0.311726525068106</v>
      </c>
      <c r="P17" s="64">
        <v>0.311726525068106</v>
      </c>
      <c r="R17" s="62">
        <f t="array" ref="R17:S18">MINVERSE(R14:S15)</f>
        <v>-0.31172652548333341</v>
      </c>
      <c r="S17" s="64">
        <v>0.31172652548333341</v>
      </c>
    </row>
    <row r="18" spans="1:19" ht="16.5" x14ac:dyDescent="0.35">
      <c r="A18" t="s">
        <v>483</v>
      </c>
      <c r="B18" t="s">
        <v>501</v>
      </c>
      <c r="F18" s="7">
        <v>0.2689414213699951</v>
      </c>
      <c r="G18" s="9">
        <v>0.7310585786300049</v>
      </c>
      <c r="I18" s="7">
        <v>0.3085676383143916</v>
      </c>
      <c r="J18" s="9">
        <v>0.6914323616856084</v>
      </c>
      <c r="L18" s="7">
        <v>0.31171043611064625</v>
      </c>
      <c r="M18" s="9">
        <v>0.68828956388935381</v>
      </c>
      <c r="O18" s="7">
        <v>0.31172652506810594</v>
      </c>
      <c r="P18" s="9">
        <v>0.68827347493189406</v>
      </c>
      <c r="R18" s="7">
        <v>0.31172652548333346</v>
      </c>
      <c r="S18" s="9">
        <v>0.68827347451666654</v>
      </c>
    </row>
    <row r="19" spans="1:19" x14ac:dyDescent="0.35">
      <c r="A19" t="s">
        <v>490</v>
      </c>
      <c r="B19" t="s">
        <v>502</v>
      </c>
    </row>
    <row r="21" spans="1:19" x14ac:dyDescent="0.35">
      <c r="A21" s="135" t="s">
        <v>496</v>
      </c>
      <c r="B21" s="135" t="s">
        <v>159</v>
      </c>
      <c r="E21" t="s">
        <v>159</v>
      </c>
      <c r="F21" s="65">
        <f>B15</f>
        <v>0.79205996843067694</v>
      </c>
    </row>
    <row r="22" spans="1:19" x14ac:dyDescent="0.35">
      <c r="A22" s="158">
        <v>0</v>
      </c>
      <c r="B22">
        <v>2</v>
      </c>
      <c r="E22" t="s">
        <v>160</v>
      </c>
      <c r="F22" s="14">
        <f>3-F21</f>
        <v>2.2079400315693229</v>
      </c>
    </row>
    <row r="23" spans="1:19" x14ac:dyDescent="0.35">
      <c r="A23" s="158">
        <f t="shared" ref="A23:A28" si="2">A22+1</f>
        <v>1</v>
      </c>
      <c r="B23">
        <f t="shared" ref="B23:B28" si="3">B22-(B22^2-25)/(2*B22)</f>
        <v>7.25</v>
      </c>
    </row>
    <row r="24" spans="1:19" x14ac:dyDescent="0.35">
      <c r="A24" s="158">
        <f t="shared" si="2"/>
        <v>2</v>
      </c>
      <c r="B24">
        <f t="shared" si="3"/>
        <v>5.3491379310344822</v>
      </c>
    </row>
    <row r="25" spans="1:19" x14ac:dyDescent="0.35">
      <c r="A25" s="158">
        <f t="shared" si="2"/>
        <v>3</v>
      </c>
      <c r="B25">
        <f t="shared" si="3"/>
        <v>5.0113941065325518</v>
      </c>
    </row>
    <row r="26" spans="1:19" x14ac:dyDescent="0.35">
      <c r="A26" s="158">
        <f t="shared" si="2"/>
        <v>4</v>
      </c>
      <c r="B26">
        <f t="shared" si="3"/>
        <v>5.0000129530486843</v>
      </c>
    </row>
    <row r="27" spans="1:19" x14ac:dyDescent="0.35">
      <c r="A27" s="158">
        <f t="shared" si="2"/>
        <v>5</v>
      </c>
      <c r="B27">
        <f t="shared" si="3"/>
        <v>5.0000000000167777</v>
      </c>
    </row>
    <row r="28" spans="1:19" x14ac:dyDescent="0.35">
      <c r="A28" s="92">
        <f t="shared" si="2"/>
        <v>6</v>
      </c>
      <c r="B28" s="28">
        <f t="shared" si="3"/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F3B4-5EF8-4844-93F3-DAEDE20E0724}">
  <sheetPr codeName="Sheet63"/>
  <dimension ref="A1:N35"/>
  <sheetViews>
    <sheetView workbookViewId="0">
      <selection activeCell="A18" sqref="A18"/>
    </sheetView>
  </sheetViews>
  <sheetFormatPr defaultRowHeight="14.5" x14ac:dyDescent="0.35"/>
  <sheetData>
    <row r="1" spans="1:14" x14ac:dyDescent="0.35">
      <c r="A1" s="10" t="s">
        <v>503</v>
      </c>
    </row>
    <row r="3" spans="1:14" x14ac:dyDescent="0.35">
      <c r="A3" t="s">
        <v>16</v>
      </c>
      <c r="F3" t="s">
        <v>23</v>
      </c>
      <c r="K3" t="s">
        <v>504</v>
      </c>
    </row>
    <row r="4" spans="1:14" x14ac:dyDescent="0.35">
      <c r="A4" s="62">
        <v>11.605357142857152</v>
      </c>
      <c r="B4" s="63">
        <v>2.3696428571428569</v>
      </c>
      <c r="C4" s="63">
        <v>-6.4232142857142875</v>
      </c>
      <c r="D4" s="64">
        <v>-7.5517857142857139</v>
      </c>
      <c r="F4" s="62">
        <v>1</v>
      </c>
      <c r="G4" s="63">
        <v>0</v>
      </c>
      <c r="H4" s="63">
        <v>0</v>
      </c>
      <c r="I4" s="64">
        <v>0</v>
      </c>
      <c r="K4" s="60">
        <v>22.958965332709731</v>
      </c>
      <c r="L4" s="90">
        <v>5.0580459738737513</v>
      </c>
      <c r="M4" s="90">
        <v>0.5901315505593363</v>
      </c>
      <c r="N4" s="61">
        <v>-3.3029134982598565E-15</v>
      </c>
    </row>
    <row r="5" spans="1:14" x14ac:dyDescent="0.35">
      <c r="A5" s="30">
        <v>2.3696428571428569</v>
      </c>
      <c r="B5">
        <v>5.448214285714279</v>
      </c>
      <c r="C5">
        <v>-3.9303571428571402</v>
      </c>
      <c r="D5" s="26">
        <v>-3.8875000000000028</v>
      </c>
      <c r="F5" s="30">
        <v>0</v>
      </c>
      <c r="G5">
        <v>1</v>
      </c>
      <c r="H5">
        <v>0</v>
      </c>
      <c r="I5" s="26">
        <v>0</v>
      </c>
      <c r="K5" s="161">
        <v>0.66161018507841729</v>
      </c>
      <c r="L5">
        <v>-0.5540037078053619</v>
      </c>
      <c r="M5">
        <v>-7.3156371823683883E-2</v>
      </c>
      <c r="N5" s="162">
        <v>-0.49999999999999961</v>
      </c>
    </row>
    <row r="6" spans="1:14" x14ac:dyDescent="0.35">
      <c r="A6" s="30">
        <v>-6.4232142857142875</v>
      </c>
      <c r="B6">
        <v>-3.9303571428571402</v>
      </c>
      <c r="C6">
        <v>5.2339285714285708</v>
      </c>
      <c r="D6" s="26">
        <v>5.1196428571428534</v>
      </c>
      <c r="F6" s="30">
        <v>0</v>
      </c>
      <c r="G6">
        <v>0</v>
      </c>
      <c r="H6">
        <v>1</v>
      </c>
      <c r="I6" s="26">
        <v>0</v>
      </c>
      <c r="K6" s="161">
        <v>0.30530890997537491</v>
      </c>
      <c r="L6">
        <v>0.80849805922602413</v>
      </c>
      <c r="M6">
        <v>5.5833302942682635E-2</v>
      </c>
      <c r="N6" s="162">
        <v>-0.50000000000000044</v>
      </c>
    </row>
    <row r="7" spans="1:14" x14ac:dyDescent="0.35">
      <c r="A7" s="7">
        <v>-7.5517857142857139</v>
      </c>
      <c r="B7" s="28">
        <v>-3.8875000000000028</v>
      </c>
      <c r="C7" s="28">
        <v>5.1196428571428534</v>
      </c>
      <c r="D7" s="9">
        <v>6.3196428571428527</v>
      </c>
      <c r="F7" s="7">
        <v>0</v>
      </c>
      <c r="G7" s="28">
        <v>0</v>
      </c>
      <c r="H7" s="28">
        <v>0</v>
      </c>
      <c r="I7" s="9">
        <v>1</v>
      </c>
      <c r="K7" s="161">
        <v>-0.45524461973669939</v>
      </c>
      <c r="L7">
        <v>-0.18652234974289764</v>
      </c>
      <c r="M7">
        <v>0.71271435319289655</v>
      </c>
      <c r="N7" s="162">
        <v>-0.49999999999999789</v>
      </c>
    </row>
    <row r="8" spans="1:14" x14ac:dyDescent="0.35">
      <c r="K8" s="23">
        <v>-0.51167447531701127</v>
      </c>
      <c r="L8" s="24">
        <v>-6.7972001677543123E-2</v>
      </c>
      <c r="M8" s="24">
        <v>-0.69539128431188757</v>
      </c>
      <c r="N8" s="25">
        <v>-0.500000000000002</v>
      </c>
    </row>
    <row r="9" spans="1:14" x14ac:dyDescent="0.35">
      <c r="A9" t="s">
        <v>505</v>
      </c>
      <c r="B9" t="s">
        <v>506</v>
      </c>
      <c r="D9" t="s">
        <v>507</v>
      </c>
      <c r="F9" t="s">
        <v>508</v>
      </c>
    </row>
    <row r="11" spans="1:14" x14ac:dyDescent="0.35">
      <c r="A11">
        <v>10</v>
      </c>
      <c r="B11">
        <v>5.0580465786852145</v>
      </c>
      <c r="D11">
        <f>MDETERM(F11:I14)</f>
        <v>-2.4467168906601759E-4</v>
      </c>
      <c r="F11" s="62">
        <f t="array" ref="F11:I14">$A$4:$D$7-B11*$F$4:$I$7</f>
        <v>6.5473105641719371</v>
      </c>
      <c r="G11" s="95">
        <v>2.3696428571428569</v>
      </c>
      <c r="H11" s="95">
        <v>-6.4232142857142875</v>
      </c>
      <c r="I11" s="64">
        <v>-7.5517857142857139</v>
      </c>
    </row>
    <row r="12" spans="1:14" x14ac:dyDescent="0.35">
      <c r="F12" s="163">
        <v>2.3696428571428569</v>
      </c>
      <c r="G12">
        <v>0.39016770702906456</v>
      </c>
      <c r="H12">
        <v>-3.9303571428571402</v>
      </c>
      <c r="I12" s="26">
        <v>-3.8875000000000028</v>
      </c>
    </row>
    <row r="13" spans="1:14" x14ac:dyDescent="0.35">
      <c r="F13" s="163">
        <v>-6.4232142857142875</v>
      </c>
      <c r="G13">
        <v>-3.9303571428571402</v>
      </c>
      <c r="H13">
        <v>0.17588199274335636</v>
      </c>
      <c r="I13" s="26">
        <v>5.1196428571428534</v>
      </c>
    </row>
    <row r="14" spans="1:14" x14ac:dyDescent="0.35">
      <c r="F14" s="7">
        <v>-7.5517857142857139</v>
      </c>
      <c r="G14" s="8">
        <v>-3.8875000000000028</v>
      </c>
      <c r="H14" s="8">
        <v>5.1196428571428534</v>
      </c>
      <c r="I14" s="9">
        <v>1.2615962784576382</v>
      </c>
    </row>
    <row r="16" spans="1:14" x14ac:dyDescent="0.35">
      <c r="A16" t="s">
        <v>505</v>
      </c>
      <c r="B16" t="s">
        <v>506</v>
      </c>
      <c r="D16" t="s">
        <v>507</v>
      </c>
      <c r="F16" t="s">
        <v>508</v>
      </c>
    </row>
    <row r="18" spans="1:9" x14ac:dyDescent="0.35">
      <c r="A18">
        <v>20</v>
      </c>
      <c r="B18">
        <v>22.958965321908675</v>
      </c>
      <c r="D18">
        <f>MDETERM(F18:I21)</f>
        <v>-9.930600001314934E-5</v>
      </c>
      <c r="F18" s="62">
        <f t="array" ref="F18:I21">$A$4:$D$7-B18*$F$4:$I$7</f>
        <v>-11.353608179051523</v>
      </c>
      <c r="G18" s="95">
        <v>2.3696428571428569</v>
      </c>
      <c r="H18" s="95">
        <v>-6.4232142857142875</v>
      </c>
      <c r="I18" s="64">
        <v>-7.5517857142857139</v>
      </c>
    </row>
    <row r="19" spans="1:9" x14ac:dyDescent="0.35">
      <c r="F19" s="163">
        <v>2.3696428571428569</v>
      </c>
      <c r="G19">
        <v>-17.510751036194396</v>
      </c>
      <c r="H19">
        <v>-3.9303571428571402</v>
      </c>
      <c r="I19" s="26">
        <v>-3.8875000000000028</v>
      </c>
    </row>
    <row r="20" spans="1:9" x14ac:dyDescent="0.35">
      <c r="F20" s="163">
        <v>-6.4232142857142875</v>
      </c>
      <c r="G20">
        <v>-3.9303571428571402</v>
      </c>
      <c r="H20">
        <v>-17.725036750480104</v>
      </c>
      <c r="I20" s="26">
        <v>5.1196428571428534</v>
      </c>
    </row>
    <row r="21" spans="1:9" x14ac:dyDescent="0.35">
      <c r="F21" s="7">
        <v>-7.5517857142857139</v>
      </c>
      <c r="G21" s="8">
        <v>-3.8875000000000028</v>
      </c>
      <c r="H21" s="8">
        <v>5.1196428571428534</v>
      </c>
      <c r="I21" s="9">
        <v>-16.639322464765822</v>
      </c>
    </row>
    <row r="23" spans="1:9" x14ac:dyDescent="0.35">
      <c r="A23" t="s">
        <v>505</v>
      </c>
      <c r="B23" t="s">
        <v>506</v>
      </c>
      <c r="D23" t="s">
        <v>507</v>
      </c>
      <c r="F23" t="s">
        <v>508</v>
      </c>
    </row>
    <row r="25" spans="1:9" x14ac:dyDescent="0.35">
      <c r="A25">
        <v>0</v>
      </c>
      <c r="B25">
        <v>0</v>
      </c>
      <c r="D25">
        <f>MDETERM(F25:I28)</f>
        <v>-2.1303559823245579E-13</v>
      </c>
      <c r="F25" s="62">
        <f t="array" ref="F25:I28">$A$4:$D$7-B25*$F$4:$I$7</f>
        <v>11.605357142857152</v>
      </c>
      <c r="G25" s="95">
        <v>2.3696428571428569</v>
      </c>
      <c r="H25" s="95">
        <v>-6.4232142857142875</v>
      </c>
      <c r="I25" s="64">
        <v>-7.5517857142857139</v>
      </c>
    </row>
    <row r="26" spans="1:9" x14ac:dyDescent="0.35">
      <c r="F26" s="163">
        <v>2.3696428571428569</v>
      </c>
      <c r="G26">
        <v>5.448214285714279</v>
      </c>
      <c r="H26">
        <v>-3.9303571428571402</v>
      </c>
      <c r="I26" s="26">
        <v>-3.8875000000000028</v>
      </c>
    </row>
    <row r="27" spans="1:9" x14ac:dyDescent="0.35">
      <c r="F27" s="163">
        <v>-6.4232142857142875</v>
      </c>
      <c r="G27">
        <v>-3.9303571428571402</v>
      </c>
      <c r="H27">
        <v>5.2339285714285708</v>
      </c>
      <c r="I27" s="26">
        <v>5.1196428571428534</v>
      </c>
    </row>
    <row r="28" spans="1:9" x14ac:dyDescent="0.35">
      <c r="F28" s="7">
        <v>-7.5517857142857139</v>
      </c>
      <c r="G28" s="8">
        <v>-3.8875000000000028</v>
      </c>
      <c r="H28" s="8">
        <v>5.1196428571428534</v>
      </c>
      <c r="I28" s="9">
        <v>6.3196428571428527</v>
      </c>
    </row>
    <row r="30" spans="1:9" x14ac:dyDescent="0.35">
      <c r="A30" t="s">
        <v>505</v>
      </c>
      <c r="B30" t="s">
        <v>506</v>
      </c>
      <c r="D30" t="s">
        <v>507</v>
      </c>
      <c r="F30" t="s">
        <v>508</v>
      </c>
    </row>
    <row r="32" spans="1:9" x14ac:dyDescent="0.35">
      <c r="A32">
        <v>1</v>
      </c>
      <c r="B32">
        <v>0.59013194983161432</v>
      </c>
      <c r="D32">
        <f>MDETERM(F32:I35)</f>
        <v>2.3548672431741652E-5</v>
      </c>
      <c r="F32" s="62">
        <f t="array" ref="F32:I35">$A$4:$D$7-B32*$F$4:$I$7</f>
        <v>11.015225193025538</v>
      </c>
      <c r="G32" s="95">
        <v>2.3696428571428569</v>
      </c>
      <c r="H32" s="95">
        <v>-6.4232142857142875</v>
      </c>
      <c r="I32" s="64">
        <v>-7.5517857142857139</v>
      </c>
    </row>
    <row r="33" spans="6:9" x14ac:dyDescent="0.35">
      <c r="F33" s="163">
        <v>2.3696428571428569</v>
      </c>
      <c r="G33">
        <v>4.8580823358826644</v>
      </c>
      <c r="H33">
        <v>-3.9303571428571402</v>
      </c>
      <c r="I33" s="26">
        <v>-3.8875000000000028</v>
      </c>
    </row>
    <row r="34" spans="6:9" x14ac:dyDescent="0.35">
      <c r="F34" s="163">
        <v>-6.4232142857142875</v>
      </c>
      <c r="G34">
        <v>-3.9303571428571402</v>
      </c>
      <c r="H34">
        <v>4.6437966215969562</v>
      </c>
      <c r="I34" s="26">
        <v>5.1196428571428534</v>
      </c>
    </row>
    <row r="35" spans="6:9" x14ac:dyDescent="0.35">
      <c r="F35" s="7">
        <v>-7.5517857142857139</v>
      </c>
      <c r="G35" s="8">
        <v>-3.8875000000000028</v>
      </c>
      <c r="H35" s="8">
        <v>5.1196428571428534</v>
      </c>
      <c r="I35" s="9">
        <v>5.729510907311238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544E-B781-4EB3-8A60-DA72C0DABA46}">
  <sheetPr codeName="Sheet64"/>
  <dimension ref="A1:M271"/>
  <sheetViews>
    <sheetView workbookViewId="0">
      <selection activeCell="A18" sqref="A18"/>
    </sheetView>
  </sheetViews>
  <sheetFormatPr defaultRowHeight="14.5" x14ac:dyDescent="0.35"/>
  <cols>
    <col min="1" max="1" width="9.54296875" customWidth="1"/>
    <col min="2" max="2" width="21.7265625" customWidth="1"/>
    <col min="3" max="3" width="2.453125" style="158" customWidth="1"/>
    <col min="4" max="4" width="21.7265625" customWidth="1"/>
    <col min="5" max="7" width="7.453125" customWidth="1"/>
    <col min="8" max="10" width="9" customWidth="1"/>
    <col min="11" max="11" width="18.81640625" customWidth="1"/>
    <col min="12" max="12" width="21.7265625" customWidth="1"/>
  </cols>
  <sheetData>
    <row r="1" spans="1:13" ht="15" thickBot="1" x14ac:dyDescent="0.4">
      <c r="A1" s="164" t="s">
        <v>509</v>
      </c>
      <c r="B1" s="164" t="s">
        <v>510</v>
      </c>
      <c r="C1" s="164" t="s">
        <v>6</v>
      </c>
      <c r="D1" s="164" t="s">
        <v>511</v>
      </c>
      <c r="E1" s="164" t="s">
        <v>512</v>
      </c>
      <c r="F1" s="164" t="s">
        <v>513</v>
      </c>
      <c r="G1" s="164" t="s">
        <v>514</v>
      </c>
      <c r="H1" s="164" t="s">
        <v>515</v>
      </c>
      <c r="I1" s="164" t="s">
        <v>516</v>
      </c>
      <c r="J1" s="164" t="s">
        <v>517</v>
      </c>
      <c r="L1" t="s">
        <v>518</v>
      </c>
      <c r="M1">
        <v>2.2004662334883984</v>
      </c>
    </row>
    <row r="2" spans="1:13" ht="15" thickBot="1" x14ac:dyDescent="0.4">
      <c r="A2" s="165">
        <v>38961</v>
      </c>
      <c r="B2" t="s">
        <v>519</v>
      </c>
      <c r="C2" s="166"/>
      <c r="D2" t="s">
        <v>520</v>
      </c>
      <c r="E2" s="167">
        <v>18</v>
      </c>
      <c r="F2" s="168">
        <v>12</v>
      </c>
      <c r="G2" s="169">
        <f>E2-F2</f>
        <v>6</v>
      </c>
      <c r="H2">
        <f>INDEX($M$3:$M$34,MATCH(B2,$L$3:$L$34,0))-INDEX($M$3:$M$34,MATCH(D2,$L$3:$L$34,0))+IF(C2="",M$1,-M$1)</f>
        <v>2.1995847308041978</v>
      </c>
      <c r="I2">
        <f>ABS(G2-H2)</f>
        <v>3.8004152691958022</v>
      </c>
      <c r="J2" s="170">
        <f>SUM(I2:I256)</f>
        <v>2277.608414808863</v>
      </c>
      <c r="L2" s="164" t="s">
        <v>521</v>
      </c>
      <c r="M2" s="164" t="s">
        <v>522</v>
      </c>
    </row>
    <row r="3" spans="1:13" ht="15" thickBot="1" x14ac:dyDescent="0.4">
      <c r="A3" s="171">
        <v>40057</v>
      </c>
      <c r="B3" t="s">
        <v>523</v>
      </c>
      <c r="C3" s="172"/>
      <c r="D3" t="s">
        <v>524</v>
      </c>
      <c r="E3" s="173">
        <v>27</v>
      </c>
      <c r="F3" s="174">
        <v>20</v>
      </c>
      <c r="G3" s="169">
        <f t="shared" ref="G3:G66" si="0">E3-F3</f>
        <v>7</v>
      </c>
      <c r="H3">
        <f t="shared" ref="H3:H66" si="1">INDEX($M$3:$M$34,MATCH(B3,$L$3:$L$34,0))-INDEX($M$3:$M$34,MATCH(D3,$L$3:$L$34,0))+IF(C3="",M$1,-M$1)</f>
        <v>-4.0121656744461074</v>
      </c>
      <c r="I3">
        <f t="shared" ref="I3:I66" si="2">ABS(G3-H3)</f>
        <v>11.012165674446107</v>
      </c>
      <c r="L3" t="s">
        <v>525</v>
      </c>
      <c r="M3">
        <v>-7.7730227524768507</v>
      </c>
    </row>
    <row r="4" spans="1:13" ht="15" thickBot="1" x14ac:dyDescent="0.4">
      <c r="A4" s="171">
        <v>40057</v>
      </c>
      <c r="B4" t="s">
        <v>526</v>
      </c>
      <c r="C4" s="172" t="s">
        <v>527</v>
      </c>
      <c r="D4" t="s">
        <v>528</v>
      </c>
      <c r="E4" s="174">
        <v>21</v>
      </c>
      <c r="F4" s="174">
        <v>21</v>
      </c>
      <c r="G4" s="169">
        <f t="shared" si="0"/>
        <v>0</v>
      </c>
      <c r="H4">
        <f t="shared" si="1"/>
        <v>-0.33698927962569125</v>
      </c>
      <c r="I4">
        <f t="shared" si="2"/>
        <v>0.33698927962569125</v>
      </c>
      <c r="J4" s="164" t="s">
        <v>516</v>
      </c>
      <c r="L4" t="s">
        <v>520</v>
      </c>
      <c r="M4">
        <v>-0.35331808690409477</v>
      </c>
    </row>
    <row r="5" spans="1:13" ht="15" thickBot="1" x14ac:dyDescent="0.4">
      <c r="A5" s="171">
        <v>40057</v>
      </c>
      <c r="B5" t="s">
        <v>529</v>
      </c>
      <c r="C5" s="172"/>
      <c r="D5" t="s">
        <v>530</v>
      </c>
      <c r="E5" s="173">
        <v>27</v>
      </c>
      <c r="F5" s="174">
        <v>20</v>
      </c>
      <c r="G5" s="169">
        <f t="shared" si="0"/>
        <v>7</v>
      </c>
      <c r="H5">
        <f t="shared" si="1"/>
        <v>7.1453337508489572</v>
      </c>
      <c r="I5">
        <f t="shared" si="2"/>
        <v>0.14533375084895717</v>
      </c>
      <c r="J5">
        <f>J2/COUNT(G2:G256)</f>
        <v>8.9317977051327961</v>
      </c>
      <c r="L5" t="s">
        <v>531</v>
      </c>
      <c r="M5">
        <v>5.599785518337363</v>
      </c>
    </row>
    <row r="6" spans="1:13" ht="15" thickBot="1" x14ac:dyDescent="0.4">
      <c r="A6" s="171">
        <v>40057</v>
      </c>
      <c r="B6" t="s">
        <v>532</v>
      </c>
      <c r="C6" s="172"/>
      <c r="D6" t="s">
        <v>533</v>
      </c>
      <c r="E6" s="173">
        <v>24</v>
      </c>
      <c r="F6" s="174">
        <v>16</v>
      </c>
      <c r="G6" s="169">
        <f t="shared" si="0"/>
        <v>8</v>
      </c>
      <c r="H6">
        <f t="shared" si="1"/>
        <v>8.0022756117128964</v>
      </c>
      <c r="I6">
        <f t="shared" si="2"/>
        <v>2.2756117128963638E-3</v>
      </c>
      <c r="L6" t="s">
        <v>534</v>
      </c>
      <c r="M6">
        <v>-5.8475892963242666</v>
      </c>
    </row>
    <row r="7" spans="1:13" ht="15" thickBot="1" x14ac:dyDescent="0.4">
      <c r="A7" s="171">
        <v>40057</v>
      </c>
      <c r="B7" t="s">
        <v>535</v>
      </c>
      <c r="C7" s="172" t="s">
        <v>527</v>
      </c>
      <c r="D7" t="s">
        <v>536</v>
      </c>
      <c r="E7" s="173">
        <v>20</v>
      </c>
      <c r="F7" s="174">
        <v>15</v>
      </c>
      <c r="G7" s="169">
        <f t="shared" si="0"/>
        <v>5</v>
      </c>
      <c r="H7">
        <f t="shared" si="1"/>
        <v>-7.6704255042362401</v>
      </c>
      <c r="I7">
        <f t="shared" si="2"/>
        <v>12.67042550423624</v>
      </c>
      <c r="L7" t="s">
        <v>537</v>
      </c>
      <c r="M7">
        <v>-1.8267302845543785</v>
      </c>
    </row>
    <row r="8" spans="1:13" ht="15" thickBot="1" x14ac:dyDescent="0.4">
      <c r="A8" s="171">
        <v>40057</v>
      </c>
      <c r="B8" t="s">
        <v>538</v>
      </c>
      <c r="C8" s="172" t="s">
        <v>527</v>
      </c>
      <c r="D8" t="s">
        <v>539</v>
      </c>
      <c r="E8" s="173">
        <v>48</v>
      </c>
      <c r="F8" s="174">
        <v>40</v>
      </c>
      <c r="G8" s="169">
        <f t="shared" si="0"/>
        <v>8</v>
      </c>
      <c r="H8">
        <f t="shared" si="1"/>
        <v>-15.596927535420129</v>
      </c>
      <c r="I8">
        <f t="shared" si="2"/>
        <v>23.596927535420129</v>
      </c>
      <c r="L8" t="s">
        <v>540</v>
      </c>
      <c r="M8">
        <v>4.7292273894982744</v>
      </c>
    </row>
    <row r="9" spans="1:13" ht="15" thickBot="1" x14ac:dyDescent="0.4">
      <c r="A9" s="171">
        <v>40057</v>
      </c>
      <c r="B9" t="s">
        <v>541</v>
      </c>
      <c r="C9" s="172" t="s">
        <v>527</v>
      </c>
      <c r="D9" t="s">
        <v>542</v>
      </c>
      <c r="E9" s="173">
        <v>34</v>
      </c>
      <c r="F9" s="174">
        <v>23</v>
      </c>
      <c r="G9" s="169">
        <f t="shared" si="0"/>
        <v>11</v>
      </c>
      <c r="H9">
        <f t="shared" si="1"/>
        <v>-0.96708494025831415</v>
      </c>
      <c r="I9">
        <f t="shared" si="2"/>
        <v>11.967084940258314</v>
      </c>
      <c r="L9" t="s">
        <v>541</v>
      </c>
      <c r="M9">
        <v>-0.92084133468163909</v>
      </c>
    </row>
    <row r="10" spans="1:13" ht="15" thickBot="1" x14ac:dyDescent="0.4">
      <c r="A10" s="171">
        <v>40057</v>
      </c>
      <c r="B10" t="s">
        <v>531</v>
      </c>
      <c r="C10" s="172"/>
      <c r="D10" t="s">
        <v>534</v>
      </c>
      <c r="E10" s="173">
        <v>47</v>
      </c>
      <c r="F10" s="174">
        <v>3</v>
      </c>
      <c r="G10" s="169">
        <f t="shared" si="0"/>
        <v>44</v>
      </c>
      <c r="H10">
        <f t="shared" si="1"/>
        <v>13.647841048150028</v>
      </c>
      <c r="I10">
        <f t="shared" si="2"/>
        <v>30.352158951849972</v>
      </c>
      <c r="L10" t="s">
        <v>528</v>
      </c>
      <c r="M10">
        <v>1.5319796872214295</v>
      </c>
    </row>
    <row r="11" spans="1:13" ht="15" thickBot="1" x14ac:dyDescent="0.4">
      <c r="A11" s="171">
        <v>40057</v>
      </c>
      <c r="B11" t="s">
        <v>543</v>
      </c>
      <c r="C11" s="172" t="s">
        <v>527</v>
      </c>
      <c r="D11" t="s">
        <v>544</v>
      </c>
      <c r="E11" s="173">
        <v>38</v>
      </c>
      <c r="F11" s="174">
        <v>28</v>
      </c>
      <c r="G11" s="169">
        <f t="shared" si="0"/>
        <v>10</v>
      </c>
      <c r="H11">
        <f t="shared" si="1"/>
        <v>-0.18090138688836488</v>
      </c>
      <c r="I11">
        <f t="shared" si="2"/>
        <v>10.180901386888365</v>
      </c>
      <c r="L11" t="s">
        <v>545</v>
      </c>
      <c r="M11">
        <v>2.2459821525039936</v>
      </c>
    </row>
    <row r="12" spans="1:13" ht="15" thickBot="1" x14ac:dyDescent="0.4">
      <c r="A12" s="171">
        <v>40057</v>
      </c>
      <c r="B12" t="s">
        <v>537</v>
      </c>
      <c r="C12" s="172"/>
      <c r="D12" t="s">
        <v>545</v>
      </c>
      <c r="E12" s="173">
        <v>16</v>
      </c>
      <c r="F12" s="174">
        <v>8</v>
      </c>
      <c r="G12" s="169">
        <f t="shared" si="0"/>
        <v>8</v>
      </c>
      <c r="H12">
        <f t="shared" si="1"/>
        <v>-1.8722462035699734</v>
      </c>
      <c r="I12">
        <f t="shared" si="2"/>
        <v>9.8722462035699738</v>
      </c>
      <c r="L12" t="s">
        <v>546</v>
      </c>
      <c r="M12">
        <v>-0.67455892663027528</v>
      </c>
    </row>
    <row r="13" spans="1:13" ht="15" thickBot="1" x14ac:dyDescent="0.4">
      <c r="A13" s="171">
        <v>40057</v>
      </c>
      <c r="B13" t="s">
        <v>547</v>
      </c>
      <c r="C13" s="172" t="s">
        <v>527</v>
      </c>
      <c r="D13" t="s">
        <v>525</v>
      </c>
      <c r="E13" s="173">
        <v>24</v>
      </c>
      <c r="F13" s="174">
        <v>6</v>
      </c>
      <c r="G13" s="169">
        <f t="shared" si="0"/>
        <v>18</v>
      </c>
      <c r="H13">
        <f t="shared" si="1"/>
        <v>3.8258984396796412</v>
      </c>
      <c r="I13">
        <f t="shared" si="2"/>
        <v>14.174101560320359</v>
      </c>
      <c r="L13" t="s">
        <v>548</v>
      </c>
      <c r="M13">
        <v>-4.4707733711327373</v>
      </c>
    </row>
    <row r="14" spans="1:13" ht="15" thickBot="1" x14ac:dyDescent="0.4">
      <c r="A14" s="171">
        <v>40057</v>
      </c>
      <c r="B14" t="s">
        <v>546</v>
      </c>
      <c r="C14" s="172"/>
      <c r="D14" t="s">
        <v>549</v>
      </c>
      <c r="E14" s="173">
        <v>27</v>
      </c>
      <c r="F14" s="174">
        <v>24</v>
      </c>
      <c r="G14" s="169">
        <f t="shared" si="0"/>
        <v>3</v>
      </c>
      <c r="H14">
        <f t="shared" si="1"/>
        <v>-1.6211126652218963</v>
      </c>
      <c r="I14">
        <f t="shared" si="2"/>
        <v>4.6211126652218963</v>
      </c>
      <c r="L14" t="s">
        <v>550</v>
      </c>
      <c r="M14">
        <v>-6.969919096550288E-2</v>
      </c>
    </row>
    <row r="15" spans="1:13" ht="15" thickBot="1" x14ac:dyDescent="0.4">
      <c r="A15" s="171">
        <v>40057</v>
      </c>
      <c r="B15" t="s">
        <v>550</v>
      </c>
      <c r="C15" s="172"/>
      <c r="D15" t="s">
        <v>540</v>
      </c>
      <c r="E15" s="173">
        <v>24</v>
      </c>
      <c r="F15" s="174">
        <v>23</v>
      </c>
      <c r="G15" s="169">
        <f t="shared" si="0"/>
        <v>1</v>
      </c>
      <c r="H15">
        <f t="shared" si="1"/>
        <v>-2.5984603469753789</v>
      </c>
      <c r="I15">
        <f t="shared" si="2"/>
        <v>3.5984603469753789</v>
      </c>
      <c r="L15" t="s">
        <v>530</v>
      </c>
      <c r="M15">
        <v>3.0455165348941424</v>
      </c>
    </row>
    <row r="16" spans="1:13" ht="15" thickBot="1" x14ac:dyDescent="0.4">
      <c r="A16" s="171">
        <v>40422</v>
      </c>
      <c r="B16" t="s">
        <v>551</v>
      </c>
      <c r="C16" s="172" t="s">
        <v>527</v>
      </c>
      <c r="D16" t="s">
        <v>548</v>
      </c>
      <c r="E16" s="173">
        <v>48</v>
      </c>
      <c r="F16" s="174">
        <v>17</v>
      </c>
      <c r="G16" s="169">
        <f t="shared" si="0"/>
        <v>31</v>
      </c>
      <c r="H16">
        <f t="shared" si="1"/>
        <v>-5.0335966093788471</v>
      </c>
      <c r="I16">
        <f t="shared" si="2"/>
        <v>36.033596609378847</v>
      </c>
      <c r="L16" t="s">
        <v>542</v>
      </c>
      <c r="M16">
        <v>-2.1542226279117234</v>
      </c>
    </row>
    <row r="17" spans="1:13" ht="15" thickBot="1" x14ac:dyDescent="0.4">
      <c r="A17" s="171">
        <v>40422</v>
      </c>
      <c r="B17" t="s">
        <v>552</v>
      </c>
      <c r="C17" s="172" t="s">
        <v>527</v>
      </c>
      <c r="D17" t="s">
        <v>553</v>
      </c>
      <c r="E17" s="173">
        <v>33</v>
      </c>
      <c r="F17" s="174">
        <v>13</v>
      </c>
      <c r="G17" s="169">
        <f t="shared" si="0"/>
        <v>20</v>
      </c>
      <c r="H17">
        <f t="shared" si="1"/>
        <v>14.461764004496956</v>
      </c>
      <c r="I17">
        <f t="shared" si="2"/>
        <v>5.5382359955030438</v>
      </c>
      <c r="L17" t="s">
        <v>535</v>
      </c>
      <c r="M17">
        <v>-6.6232903625624795</v>
      </c>
    </row>
    <row r="18" spans="1:13" ht="15" thickBot="1" x14ac:dyDescent="0.4">
      <c r="A18" s="171">
        <v>41518</v>
      </c>
      <c r="B18" t="s">
        <v>541</v>
      </c>
      <c r="C18" s="172"/>
      <c r="D18" t="s">
        <v>531</v>
      </c>
      <c r="E18" s="173">
        <v>34</v>
      </c>
      <c r="F18" s="174">
        <v>23</v>
      </c>
      <c r="G18" s="169">
        <f t="shared" si="0"/>
        <v>11</v>
      </c>
      <c r="H18">
        <f t="shared" si="1"/>
        <v>-4.3201606195306042</v>
      </c>
      <c r="I18">
        <f t="shared" si="2"/>
        <v>15.320160619530604</v>
      </c>
      <c r="L18" t="s">
        <v>543</v>
      </c>
      <c r="M18">
        <v>6.4058612337969736</v>
      </c>
    </row>
    <row r="19" spans="1:13" ht="15" thickBot="1" x14ac:dyDescent="0.4">
      <c r="A19" s="171">
        <v>42614</v>
      </c>
      <c r="B19" t="s">
        <v>532</v>
      </c>
      <c r="C19" s="172" t="s">
        <v>527</v>
      </c>
      <c r="D19" t="s">
        <v>550</v>
      </c>
      <c r="E19" s="174">
        <v>29</v>
      </c>
      <c r="F19" s="174">
        <v>29</v>
      </c>
      <c r="G19" s="169">
        <f t="shared" si="0"/>
        <v>0</v>
      </c>
      <c r="H19">
        <f t="shared" si="1"/>
        <v>-1.1151421251174298E-3</v>
      </c>
      <c r="I19">
        <f t="shared" si="2"/>
        <v>1.1151421251174298E-3</v>
      </c>
      <c r="L19" t="s">
        <v>544</v>
      </c>
      <c r="M19">
        <v>4.38629638719694</v>
      </c>
    </row>
    <row r="20" spans="1:13" ht="15" thickBot="1" x14ac:dyDescent="0.4">
      <c r="A20" s="171">
        <v>42614</v>
      </c>
      <c r="B20" t="s">
        <v>523</v>
      </c>
      <c r="C20" s="172" t="s">
        <v>527</v>
      </c>
      <c r="D20" t="s">
        <v>551</v>
      </c>
      <c r="E20" s="173">
        <v>20</v>
      </c>
      <c r="F20" s="174">
        <v>12</v>
      </c>
      <c r="G20" s="169">
        <f t="shared" si="0"/>
        <v>8</v>
      </c>
      <c r="H20">
        <f t="shared" si="1"/>
        <v>-1.4721041954865304</v>
      </c>
      <c r="I20">
        <f t="shared" si="2"/>
        <v>9.4721041954865299</v>
      </c>
      <c r="L20" t="s">
        <v>552</v>
      </c>
      <c r="M20">
        <v>7.2190556917910396</v>
      </c>
    </row>
    <row r="21" spans="1:13" ht="15" thickBot="1" x14ac:dyDescent="0.4">
      <c r="A21" s="171">
        <v>42614</v>
      </c>
      <c r="B21" t="s">
        <v>520</v>
      </c>
      <c r="C21" s="172"/>
      <c r="D21" t="s">
        <v>537</v>
      </c>
      <c r="E21" s="173">
        <v>31</v>
      </c>
      <c r="F21" s="174">
        <v>24</v>
      </c>
      <c r="G21" s="169">
        <f t="shared" si="0"/>
        <v>7</v>
      </c>
      <c r="H21">
        <f t="shared" si="1"/>
        <v>3.6738784311386823</v>
      </c>
      <c r="I21">
        <f t="shared" si="2"/>
        <v>3.3261215688613177</v>
      </c>
      <c r="L21" t="s">
        <v>523</v>
      </c>
      <c r="M21">
        <v>-6.5755417090213175</v>
      </c>
    </row>
    <row r="22" spans="1:13" ht="15" thickBot="1" x14ac:dyDescent="0.4">
      <c r="A22" s="171">
        <v>42614</v>
      </c>
      <c r="B22" t="s">
        <v>524</v>
      </c>
      <c r="C22" s="172"/>
      <c r="D22" t="s">
        <v>530</v>
      </c>
      <c r="E22" s="173">
        <v>20</v>
      </c>
      <c r="F22" s="174">
        <v>17</v>
      </c>
      <c r="G22" s="169">
        <f t="shared" si="0"/>
        <v>3</v>
      </c>
      <c r="H22">
        <f t="shared" si="1"/>
        <v>-1.2079601024925553</v>
      </c>
      <c r="I22">
        <f t="shared" si="2"/>
        <v>4.2079601024925548</v>
      </c>
      <c r="L22" t="s">
        <v>532</v>
      </c>
      <c r="M22">
        <v>2.1296519003977781</v>
      </c>
    </row>
    <row r="23" spans="1:13" ht="15" thickBot="1" x14ac:dyDescent="0.4">
      <c r="A23" s="171">
        <v>42614</v>
      </c>
      <c r="B23" t="s">
        <v>539</v>
      </c>
      <c r="C23" s="172"/>
      <c r="D23" t="s">
        <v>528</v>
      </c>
      <c r="E23" s="173">
        <v>21</v>
      </c>
      <c r="F23" s="174">
        <v>18</v>
      </c>
      <c r="G23" s="169">
        <f t="shared" si="0"/>
        <v>3</v>
      </c>
      <c r="H23">
        <f t="shared" si="1"/>
        <v>12.116569754708459</v>
      </c>
      <c r="I23">
        <f t="shared" si="2"/>
        <v>9.1165697547084594</v>
      </c>
      <c r="L23" t="s">
        <v>529</v>
      </c>
      <c r="M23">
        <v>7.9903840522547007</v>
      </c>
    </row>
    <row r="24" spans="1:13" ht="15" thickBot="1" x14ac:dyDescent="0.4">
      <c r="A24" s="171">
        <v>42614</v>
      </c>
      <c r="B24" t="s">
        <v>538</v>
      </c>
      <c r="C24" s="172"/>
      <c r="D24" t="s">
        <v>519</v>
      </c>
      <c r="E24" s="173">
        <v>27</v>
      </c>
      <c r="F24" s="174">
        <v>21</v>
      </c>
      <c r="G24" s="169">
        <f t="shared" si="0"/>
        <v>6</v>
      </c>
      <c r="H24">
        <f t="shared" si="1"/>
        <v>0.60628772958645483</v>
      </c>
      <c r="I24">
        <f t="shared" si="2"/>
        <v>5.3937122704135447</v>
      </c>
      <c r="L24" t="s">
        <v>539</v>
      </c>
      <c r="M24">
        <v>11.44808320844149</v>
      </c>
    </row>
    <row r="25" spans="1:13" ht="15" thickBot="1" x14ac:dyDescent="0.4">
      <c r="A25" s="171">
        <v>42614</v>
      </c>
      <c r="B25" t="s">
        <v>544</v>
      </c>
      <c r="C25" s="172" t="s">
        <v>527</v>
      </c>
      <c r="D25" t="s">
        <v>534</v>
      </c>
      <c r="E25" s="173">
        <v>31</v>
      </c>
      <c r="F25" s="174">
        <v>20</v>
      </c>
      <c r="G25" s="169">
        <f t="shared" si="0"/>
        <v>11</v>
      </c>
      <c r="H25">
        <f t="shared" si="1"/>
        <v>8.0334194500328078</v>
      </c>
      <c r="I25">
        <f t="shared" si="2"/>
        <v>2.9665805499671922</v>
      </c>
      <c r="L25" t="s">
        <v>536</v>
      </c>
      <c r="M25">
        <v>-1.1533310918146382</v>
      </c>
    </row>
    <row r="26" spans="1:13" ht="15" thickBot="1" x14ac:dyDescent="0.4">
      <c r="A26" s="171">
        <v>42614</v>
      </c>
      <c r="B26" t="s">
        <v>542</v>
      </c>
      <c r="C26" s="172" t="s">
        <v>527</v>
      </c>
      <c r="D26" t="s">
        <v>547</v>
      </c>
      <c r="E26" s="173">
        <v>21</v>
      </c>
      <c r="F26" s="174">
        <v>9</v>
      </c>
      <c r="G26" s="169">
        <f t="shared" si="0"/>
        <v>12</v>
      </c>
      <c r="H26">
        <f t="shared" si="1"/>
        <v>-2.6080307820913111</v>
      </c>
      <c r="I26">
        <f t="shared" si="2"/>
        <v>14.608030782091312</v>
      </c>
      <c r="L26" t="s">
        <v>551</v>
      </c>
      <c r="M26">
        <v>-7.3039037470231856</v>
      </c>
    </row>
    <row r="27" spans="1:13" ht="15" thickBot="1" x14ac:dyDescent="0.4">
      <c r="A27" s="171">
        <v>42614</v>
      </c>
      <c r="B27" t="s">
        <v>543</v>
      </c>
      <c r="C27" s="172" t="s">
        <v>527</v>
      </c>
      <c r="D27" t="s">
        <v>526</v>
      </c>
      <c r="E27" s="173">
        <v>42</v>
      </c>
      <c r="F27" s="174">
        <v>37</v>
      </c>
      <c r="G27" s="169">
        <f t="shared" si="0"/>
        <v>5</v>
      </c>
      <c r="H27">
        <f t="shared" si="1"/>
        <v>0.80993835922443846</v>
      </c>
      <c r="I27">
        <f t="shared" si="2"/>
        <v>4.1900616407755615</v>
      </c>
      <c r="L27" t="s">
        <v>553</v>
      </c>
      <c r="M27">
        <v>-9.4431745461943173</v>
      </c>
    </row>
    <row r="28" spans="1:13" ht="15" thickBot="1" x14ac:dyDescent="0.4">
      <c r="A28" s="171">
        <v>42614</v>
      </c>
      <c r="B28" t="s">
        <v>533</v>
      </c>
      <c r="C28" s="172"/>
      <c r="D28" t="s">
        <v>548</v>
      </c>
      <c r="E28" s="173">
        <v>30</v>
      </c>
      <c r="F28" s="174">
        <v>27</v>
      </c>
      <c r="G28" s="169">
        <f t="shared" si="0"/>
        <v>3</v>
      </c>
      <c r="H28">
        <f t="shared" si="1"/>
        <v>2.9990821267944168</v>
      </c>
      <c r="I28">
        <f t="shared" si="2"/>
        <v>9.178732055832306E-4</v>
      </c>
      <c r="L28" t="s">
        <v>519</v>
      </c>
      <c r="M28">
        <v>-0.35419958958829534</v>
      </c>
    </row>
    <row r="29" spans="1:13" ht="15" thickBot="1" x14ac:dyDescent="0.4">
      <c r="A29" s="171">
        <v>42614</v>
      </c>
      <c r="B29" t="s">
        <v>552</v>
      </c>
      <c r="C29" s="172"/>
      <c r="D29" t="s">
        <v>525</v>
      </c>
      <c r="E29" s="173">
        <v>34</v>
      </c>
      <c r="F29" s="174">
        <v>0</v>
      </c>
      <c r="G29" s="169">
        <f t="shared" si="0"/>
        <v>34</v>
      </c>
      <c r="H29">
        <f t="shared" si="1"/>
        <v>17.192544677756288</v>
      </c>
      <c r="I29">
        <f t="shared" si="2"/>
        <v>16.807455322243712</v>
      </c>
      <c r="L29" t="s">
        <v>526</v>
      </c>
      <c r="M29">
        <v>3.3954566410841367</v>
      </c>
    </row>
    <row r="30" spans="1:13" ht="15" thickBot="1" x14ac:dyDescent="0.4">
      <c r="A30" s="171">
        <v>42614</v>
      </c>
      <c r="B30" t="s">
        <v>546</v>
      </c>
      <c r="C30" s="172"/>
      <c r="D30" t="s">
        <v>553</v>
      </c>
      <c r="E30" s="173">
        <v>20</v>
      </c>
      <c r="F30" s="174">
        <v>19</v>
      </c>
      <c r="G30" s="169">
        <f t="shared" si="0"/>
        <v>1</v>
      </c>
      <c r="H30">
        <f t="shared" si="1"/>
        <v>10.96908185305244</v>
      </c>
      <c r="I30">
        <f t="shared" si="2"/>
        <v>9.9690818530524403</v>
      </c>
      <c r="L30" t="s">
        <v>533</v>
      </c>
      <c r="M30">
        <v>-3.672157477826719</v>
      </c>
    </row>
    <row r="31" spans="1:13" ht="15" thickBot="1" x14ac:dyDescent="0.4">
      <c r="A31" s="171">
        <v>42614</v>
      </c>
      <c r="B31" t="s">
        <v>535</v>
      </c>
      <c r="C31" s="172"/>
      <c r="D31" t="s">
        <v>529</v>
      </c>
      <c r="E31" s="173">
        <v>31</v>
      </c>
      <c r="F31" s="174">
        <v>20</v>
      </c>
      <c r="G31" s="169">
        <f t="shared" si="0"/>
        <v>11</v>
      </c>
      <c r="H31">
        <f t="shared" si="1"/>
        <v>-12.41320818132878</v>
      </c>
      <c r="I31">
        <f t="shared" si="2"/>
        <v>23.41320818132878</v>
      </c>
      <c r="L31" t="s">
        <v>549</v>
      </c>
      <c r="M31">
        <v>3.1470199720800194</v>
      </c>
    </row>
    <row r="32" spans="1:13" ht="15" thickBot="1" x14ac:dyDescent="0.4">
      <c r="A32" s="171">
        <v>42614</v>
      </c>
      <c r="B32" t="s">
        <v>545</v>
      </c>
      <c r="C32" s="172"/>
      <c r="D32" t="s">
        <v>536</v>
      </c>
      <c r="E32" s="173">
        <v>20</v>
      </c>
      <c r="F32" s="174">
        <v>13</v>
      </c>
      <c r="G32" s="169">
        <f t="shared" si="0"/>
        <v>7</v>
      </c>
      <c r="H32">
        <f t="shared" si="1"/>
        <v>5.5997794778070302</v>
      </c>
      <c r="I32">
        <f t="shared" si="2"/>
        <v>1.4002205221929698</v>
      </c>
      <c r="L32" t="s">
        <v>538</v>
      </c>
      <c r="M32">
        <v>-1.9483780934902388</v>
      </c>
    </row>
    <row r="33" spans="1:13" ht="15" thickBot="1" x14ac:dyDescent="0.4">
      <c r="A33" s="171">
        <v>42979</v>
      </c>
      <c r="B33" t="s">
        <v>540</v>
      </c>
      <c r="C33" s="172"/>
      <c r="D33" t="s">
        <v>549</v>
      </c>
      <c r="E33" s="173">
        <v>24</v>
      </c>
      <c r="F33" s="174">
        <v>17</v>
      </c>
      <c r="G33" s="169">
        <f t="shared" si="0"/>
        <v>7</v>
      </c>
      <c r="H33">
        <f t="shared" si="1"/>
        <v>3.7826736509066534</v>
      </c>
      <c r="I33">
        <f t="shared" si="2"/>
        <v>3.2173263490933466</v>
      </c>
      <c r="L33" t="s">
        <v>524</v>
      </c>
      <c r="M33">
        <v>-0.36290980108681115</v>
      </c>
    </row>
    <row r="34" spans="1:13" ht="15" thickBot="1" x14ac:dyDescent="0.4">
      <c r="A34" s="171">
        <v>44075</v>
      </c>
      <c r="B34" t="s">
        <v>528</v>
      </c>
      <c r="C34" s="172"/>
      <c r="D34" t="s">
        <v>551</v>
      </c>
      <c r="E34" s="173">
        <v>21</v>
      </c>
      <c r="F34" s="174">
        <v>17</v>
      </c>
      <c r="G34" s="169">
        <f t="shared" si="0"/>
        <v>4</v>
      </c>
      <c r="H34">
        <f t="shared" si="1"/>
        <v>11.036349667733013</v>
      </c>
      <c r="I34">
        <f t="shared" si="2"/>
        <v>7.0363496677330133</v>
      </c>
      <c r="L34" s="8" t="s">
        <v>547</v>
      </c>
      <c r="M34" s="8">
        <v>-1.7466580793088107</v>
      </c>
    </row>
    <row r="35" spans="1:13" ht="15" thickBot="1" x14ac:dyDescent="0.4">
      <c r="A35" s="171">
        <v>45170</v>
      </c>
      <c r="B35" t="s">
        <v>543</v>
      </c>
      <c r="C35" s="172"/>
      <c r="D35" t="s">
        <v>533</v>
      </c>
      <c r="E35" s="173">
        <v>38</v>
      </c>
      <c r="F35" s="174">
        <v>27</v>
      </c>
      <c r="G35" s="169">
        <f t="shared" si="0"/>
        <v>11</v>
      </c>
      <c r="H35">
        <f t="shared" si="1"/>
        <v>12.278484945112091</v>
      </c>
      <c r="I35">
        <f t="shared" si="2"/>
        <v>1.2784849451120905</v>
      </c>
    </row>
    <row r="36" spans="1:13" ht="15" thickBot="1" x14ac:dyDescent="0.4">
      <c r="A36" s="171">
        <v>45170</v>
      </c>
      <c r="B36" t="s">
        <v>519</v>
      </c>
      <c r="C36" s="172"/>
      <c r="D36" t="s">
        <v>542</v>
      </c>
      <c r="E36" s="173">
        <v>20</v>
      </c>
      <c r="F36" s="174">
        <v>16</v>
      </c>
      <c r="G36" s="169">
        <f t="shared" si="0"/>
        <v>4</v>
      </c>
      <c r="H36">
        <f t="shared" si="1"/>
        <v>4.0004892718118263</v>
      </c>
      <c r="I36">
        <f t="shared" si="2"/>
        <v>4.8927181182634172E-4</v>
      </c>
      <c r="L36" t="s">
        <v>554</v>
      </c>
      <c r="M36">
        <f>AVERAGE(M3:M34)</f>
        <v>0</v>
      </c>
    </row>
    <row r="37" spans="1:13" ht="15" thickBot="1" x14ac:dyDescent="0.4">
      <c r="A37" s="171">
        <v>45170</v>
      </c>
      <c r="B37" t="s">
        <v>547</v>
      </c>
      <c r="C37" s="172"/>
      <c r="D37" t="s">
        <v>550</v>
      </c>
      <c r="E37" s="173">
        <v>31</v>
      </c>
      <c r="F37" s="174">
        <v>17</v>
      </c>
      <c r="G37" s="169">
        <f t="shared" si="0"/>
        <v>14</v>
      </c>
      <c r="H37">
        <f t="shared" si="1"/>
        <v>0.52350734514509067</v>
      </c>
      <c r="I37">
        <f t="shared" si="2"/>
        <v>13.476492654854908</v>
      </c>
    </row>
    <row r="38" spans="1:13" ht="15" thickBot="1" x14ac:dyDescent="0.4">
      <c r="A38" s="171">
        <v>45170</v>
      </c>
      <c r="B38" t="s">
        <v>537</v>
      </c>
      <c r="C38" s="172"/>
      <c r="D38" t="s">
        <v>541</v>
      </c>
      <c r="E38" s="173">
        <v>31</v>
      </c>
      <c r="F38" s="174">
        <v>21</v>
      </c>
      <c r="G38" s="169">
        <f t="shared" si="0"/>
        <v>10</v>
      </c>
      <c r="H38">
        <f t="shared" si="1"/>
        <v>1.294577283615659</v>
      </c>
      <c r="I38">
        <f t="shared" si="2"/>
        <v>8.7054227163843407</v>
      </c>
    </row>
    <row r="39" spans="1:13" ht="15" thickBot="1" x14ac:dyDescent="0.4">
      <c r="A39" s="171">
        <v>45170</v>
      </c>
      <c r="B39" t="s">
        <v>523</v>
      </c>
      <c r="C39" s="172"/>
      <c r="D39" t="s">
        <v>553</v>
      </c>
      <c r="E39" s="173">
        <v>28</v>
      </c>
      <c r="F39" s="174">
        <v>20</v>
      </c>
      <c r="G39" s="169">
        <f t="shared" si="0"/>
        <v>8</v>
      </c>
      <c r="H39">
        <f t="shared" si="1"/>
        <v>5.0680990706613986</v>
      </c>
      <c r="I39">
        <f t="shared" si="2"/>
        <v>2.9319009293386014</v>
      </c>
    </row>
    <row r="40" spans="1:13" ht="15" thickBot="1" x14ac:dyDescent="0.4">
      <c r="A40" s="171">
        <v>45170</v>
      </c>
      <c r="B40" t="s">
        <v>536</v>
      </c>
      <c r="C40" s="172" t="s">
        <v>527</v>
      </c>
      <c r="D40" t="s">
        <v>530</v>
      </c>
      <c r="E40" s="173">
        <v>27</v>
      </c>
      <c r="F40" s="174">
        <v>22</v>
      </c>
      <c r="G40" s="169">
        <f t="shared" si="0"/>
        <v>5</v>
      </c>
      <c r="H40">
        <f t="shared" si="1"/>
        <v>-6.3993138601971786</v>
      </c>
      <c r="I40">
        <f t="shared" si="2"/>
        <v>11.399313860197179</v>
      </c>
    </row>
    <row r="41" spans="1:13" ht="15" thickBot="1" x14ac:dyDescent="0.4">
      <c r="A41" s="171">
        <v>45170</v>
      </c>
      <c r="B41" t="s">
        <v>531</v>
      </c>
      <c r="C41" s="172"/>
      <c r="D41" t="s">
        <v>546</v>
      </c>
      <c r="E41" s="173">
        <v>27</v>
      </c>
      <c r="F41" s="174">
        <v>14</v>
      </c>
      <c r="G41" s="169">
        <f t="shared" si="0"/>
        <v>13</v>
      </c>
      <c r="H41">
        <f t="shared" si="1"/>
        <v>8.474810678456036</v>
      </c>
      <c r="I41">
        <f t="shared" si="2"/>
        <v>4.525189321543964</v>
      </c>
    </row>
    <row r="42" spans="1:13" ht="15" thickBot="1" x14ac:dyDescent="0.4">
      <c r="A42" s="171">
        <v>45170</v>
      </c>
      <c r="B42" t="s">
        <v>539</v>
      </c>
      <c r="C42" s="172" t="s">
        <v>527</v>
      </c>
      <c r="D42" t="s">
        <v>520</v>
      </c>
      <c r="E42" s="173">
        <v>43</v>
      </c>
      <c r="F42" s="174">
        <v>37</v>
      </c>
      <c r="G42" s="169">
        <f t="shared" si="0"/>
        <v>6</v>
      </c>
      <c r="H42">
        <f t="shared" si="1"/>
        <v>9.6009350618571858</v>
      </c>
      <c r="I42">
        <f t="shared" si="2"/>
        <v>3.6009350618571858</v>
      </c>
    </row>
    <row r="43" spans="1:13" ht="15" thickBot="1" x14ac:dyDescent="0.4">
      <c r="A43" s="171">
        <v>45170</v>
      </c>
      <c r="B43" t="s">
        <v>524</v>
      </c>
      <c r="C43" s="172" t="s">
        <v>527</v>
      </c>
      <c r="D43" t="s">
        <v>535</v>
      </c>
      <c r="E43" s="173">
        <v>9</v>
      </c>
      <c r="F43" s="174">
        <v>6</v>
      </c>
      <c r="G43" s="169">
        <f t="shared" si="0"/>
        <v>3</v>
      </c>
      <c r="H43">
        <f t="shared" si="1"/>
        <v>4.0599143279872703</v>
      </c>
      <c r="I43">
        <f t="shared" si="2"/>
        <v>1.0599143279872703</v>
      </c>
    </row>
    <row r="44" spans="1:13" ht="15" thickBot="1" x14ac:dyDescent="0.4">
      <c r="A44" s="171">
        <v>45170</v>
      </c>
      <c r="B44" t="s">
        <v>534</v>
      </c>
      <c r="C44" s="172" t="s">
        <v>527</v>
      </c>
      <c r="D44" t="s">
        <v>532</v>
      </c>
      <c r="E44" s="173">
        <v>27</v>
      </c>
      <c r="F44" s="174">
        <v>6</v>
      </c>
      <c r="G44" s="169">
        <f t="shared" si="0"/>
        <v>21</v>
      </c>
      <c r="H44">
        <f t="shared" si="1"/>
        <v>-10.177707430210443</v>
      </c>
      <c r="I44">
        <f t="shared" si="2"/>
        <v>31.177707430210443</v>
      </c>
    </row>
    <row r="45" spans="1:13" ht="15" thickBot="1" x14ac:dyDescent="0.4">
      <c r="A45" s="171">
        <v>45170</v>
      </c>
      <c r="B45" t="s">
        <v>552</v>
      </c>
      <c r="C45" s="172"/>
      <c r="D45" t="s">
        <v>544</v>
      </c>
      <c r="E45" s="173">
        <v>35</v>
      </c>
      <c r="F45" s="174">
        <v>23</v>
      </c>
      <c r="G45" s="169">
        <f t="shared" si="0"/>
        <v>12</v>
      </c>
      <c r="H45">
        <f t="shared" si="1"/>
        <v>5.0332255380824975</v>
      </c>
      <c r="I45">
        <f t="shared" si="2"/>
        <v>6.9667744619175025</v>
      </c>
    </row>
    <row r="46" spans="1:13" ht="15" thickBot="1" x14ac:dyDescent="0.4">
      <c r="A46" s="171">
        <v>45170</v>
      </c>
      <c r="B46" t="s">
        <v>549</v>
      </c>
      <c r="C46" s="172"/>
      <c r="D46" t="s">
        <v>545</v>
      </c>
      <c r="E46" s="173">
        <v>24</v>
      </c>
      <c r="F46" s="174">
        <v>13</v>
      </c>
      <c r="G46" s="169">
        <f t="shared" si="0"/>
        <v>11</v>
      </c>
      <c r="H46">
        <f t="shared" si="1"/>
        <v>3.1015040530644242</v>
      </c>
      <c r="I46">
        <f t="shared" si="2"/>
        <v>7.8984959469355758</v>
      </c>
    </row>
    <row r="47" spans="1:13" ht="15" thickBot="1" x14ac:dyDescent="0.4">
      <c r="A47" s="171">
        <v>45170</v>
      </c>
      <c r="B47" t="s">
        <v>540</v>
      </c>
      <c r="C47" s="172" t="s">
        <v>527</v>
      </c>
      <c r="D47" t="s">
        <v>525</v>
      </c>
      <c r="E47" s="173">
        <v>16</v>
      </c>
      <c r="F47" s="174">
        <v>14</v>
      </c>
      <c r="G47" s="169">
        <f t="shared" si="0"/>
        <v>2</v>
      </c>
      <c r="H47">
        <f t="shared" si="1"/>
        <v>10.301783908486726</v>
      </c>
      <c r="I47">
        <f t="shared" si="2"/>
        <v>8.3017839084867262</v>
      </c>
    </row>
    <row r="48" spans="1:13" ht="15" thickBot="1" x14ac:dyDescent="0.4">
      <c r="A48" s="171">
        <v>45170</v>
      </c>
      <c r="B48" t="s">
        <v>548</v>
      </c>
      <c r="C48" s="172"/>
      <c r="D48" t="s">
        <v>529</v>
      </c>
      <c r="E48" s="173">
        <v>26</v>
      </c>
      <c r="F48" s="174">
        <v>10</v>
      </c>
      <c r="G48" s="169">
        <f t="shared" si="0"/>
        <v>16</v>
      </c>
      <c r="H48">
        <f t="shared" si="1"/>
        <v>-10.260691189899038</v>
      </c>
      <c r="I48">
        <f t="shared" si="2"/>
        <v>26.260691189899038</v>
      </c>
    </row>
    <row r="49" spans="1:9" ht="15" thickBot="1" x14ac:dyDescent="0.4">
      <c r="A49" s="171">
        <v>45536</v>
      </c>
      <c r="B49" t="s">
        <v>526</v>
      </c>
      <c r="C49" s="172" t="s">
        <v>527</v>
      </c>
      <c r="D49" t="s">
        <v>538</v>
      </c>
      <c r="E49" s="173">
        <v>30</v>
      </c>
      <c r="F49" s="174">
        <v>27</v>
      </c>
      <c r="G49" s="169">
        <f t="shared" si="0"/>
        <v>3</v>
      </c>
      <c r="H49">
        <f t="shared" si="1"/>
        <v>3.1433685010859773</v>
      </c>
      <c r="I49">
        <f t="shared" si="2"/>
        <v>0.14336850108597732</v>
      </c>
    </row>
    <row r="50" spans="1:9" ht="15" thickBot="1" x14ac:dyDescent="0.4">
      <c r="A50" s="171">
        <v>46631</v>
      </c>
      <c r="B50" t="s">
        <v>552</v>
      </c>
      <c r="C50" s="172"/>
      <c r="D50" t="s">
        <v>532</v>
      </c>
      <c r="E50" s="173">
        <v>38</v>
      </c>
      <c r="F50" s="174">
        <v>31</v>
      </c>
      <c r="G50" s="169">
        <f t="shared" si="0"/>
        <v>7</v>
      </c>
      <c r="H50">
        <f t="shared" si="1"/>
        <v>7.2898700248816599</v>
      </c>
      <c r="I50">
        <f t="shared" si="2"/>
        <v>0.28987002488165992</v>
      </c>
    </row>
    <row r="51" spans="1:9" ht="15" thickBot="1" x14ac:dyDescent="0.4">
      <c r="A51" s="171">
        <v>11202</v>
      </c>
      <c r="B51" t="s">
        <v>541</v>
      </c>
      <c r="C51" s="172" t="s">
        <v>527</v>
      </c>
      <c r="D51" t="s">
        <v>520</v>
      </c>
      <c r="E51" s="173">
        <v>37</v>
      </c>
      <c r="F51" s="174">
        <v>36</v>
      </c>
      <c r="G51" s="169">
        <f t="shared" si="0"/>
        <v>1</v>
      </c>
      <c r="H51">
        <f t="shared" si="1"/>
        <v>-2.7679894812659427</v>
      </c>
      <c r="I51">
        <f t="shared" si="2"/>
        <v>3.7679894812659427</v>
      </c>
    </row>
    <row r="52" spans="1:9" ht="15" thickBot="1" x14ac:dyDescent="0.4">
      <c r="A52" s="171">
        <v>11202</v>
      </c>
      <c r="B52" t="s">
        <v>530</v>
      </c>
      <c r="C52" s="172" t="s">
        <v>527</v>
      </c>
      <c r="D52" t="s">
        <v>542</v>
      </c>
      <c r="E52" s="173">
        <v>37</v>
      </c>
      <c r="F52" s="174">
        <v>34</v>
      </c>
      <c r="G52" s="169">
        <f t="shared" si="0"/>
        <v>3</v>
      </c>
      <c r="H52">
        <f t="shared" si="1"/>
        <v>2.9992729293174674</v>
      </c>
      <c r="I52">
        <f t="shared" si="2"/>
        <v>7.2707068253263785E-4</v>
      </c>
    </row>
    <row r="53" spans="1:9" ht="15" thickBot="1" x14ac:dyDescent="0.4">
      <c r="A53" s="171">
        <v>11202</v>
      </c>
      <c r="B53" t="s">
        <v>535</v>
      </c>
      <c r="C53" s="172"/>
      <c r="D53" t="s">
        <v>551</v>
      </c>
      <c r="E53" s="173">
        <v>31</v>
      </c>
      <c r="F53" s="174">
        <v>12</v>
      </c>
      <c r="G53" s="169">
        <f t="shared" si="0"/>
        <v>19</v>
      </c>
      <c r="H53">
        <f t="shared" si="1"/>
        <v>2.8810796179491045</v>
      </c>
      <c r="I53">
        <f t="shared" si="2"/>
        <v>16.118920382050895</v>
      </c>
    </row>
    <row r="54" spans="1:9" ht="15" thickBot="1" x14ac:dyDescent="0.4">
      <c r="A54" s="171">
        <v>11202</v>
      </c>
      <c r="B54" t="s">
        <v>550</v>
      </c>
      <c r="C54" s="172"/>
      <c r="D54" t="s">
        <v>534</v>
      </c>
      <c r="E54" s="173">
        <v>22</v>
      </c>
      <c r="F54" s="174">
        <v>0</v>
      </c>
      <c r="G54" s="169">
        <f t="shared" si="0"/>
        <v>22</v>
      </c>
      <c r="H54">
        <f t="shared" si="1"/>
        <v>7.9783563388471617</v>
      </c>
      <c r="I54">
        <f t="shared" si="2"/>
        <v>14.021643661152838</v>
      </c>
    </row>
    <row r="55" spans="1:9" ht="15" thickBot="1" x14ac:dyDescent="0.4">
      <c r="A55" s="171">
        <v>11202</v>
      </c>
      <c r="B55" t="s">
        <v>524</v>
      </c>
      <c r="C55" s="172"/>
      <c r="D55" t="s">
        <v>519</v>
      </c>
      <c r="E55" s="173">
        <v>26</v>
      </c>
      <c r="F55" s="174">
        <v>23</v>
      </c>
      <c r="G55" s="169">
        <f t="shared" si="0"/>
        <v>3</v>
      </c>
      <c r="H55">
        <f t="shared" si="1"/>
        <v>2.1917560219898826</v>
      </c>
      <c r="I55">
        <f t="shared" si="2"/>
        <v>0.80824397801011738</v>
      </c>
    </row>
    <row r="56" spans="1:9" ht="15" thickBot="1" x14ac:dyDescent="0.4">
      <c r="A56" s="171">
        <v>11202</v>
      </c>
      <c r="B56" t="s">
        <v>529</v>
      </c>
      <c r="C56" s="172"/>
      <c r="D56" t="s">
        <v>523</v>
      </c>
      <c r="E56" s="173">
        <v>38</v>
      </c>
      <c r="F56" s="174">
        <v>7</v>
      </c>
      <c r="G56" s="169">
        <f t="shared" si="0"/>
        <v>31</v>
      </c>
      <c r="H56">
        <f t="shared" si="1"/>
        <v>16.766391994764415</v>
      </c>
      <c r="I56">
        <f t="shared" si="2"/>
        <v>14.233608005235585</v>
      </c>
    </row>
    <row r="57" spans="1:9" ht="15" thickBot="1" x14ac:dyDescent="0.4">
      <c r="A57" s="171">
        <v>11202</v>
      </c>
      <c r="B57" t="s">
        <v>540</v>
      </c>
      <c r="C57" s="172"/>
      <c r="D57" t="s">
        <v>538</v>
      </c>
      <c r="E57" s="173">
        <v>48</v>
      </c>
      <c r="F57" s="174">
        <v>10</v>
      </c>
      <c r="G57" s="169">
        <f t="shared" si="0"/>
        <v>38</v>
      </c>
      <c r="H57">
        <f t="shared" si="1"/>
        <v>8.8780717164769118</v>
      </c>
      <c r="I57">
        <f t="shared" si="2"/>
        <v>29.12192828352309</v>
      </c>
    </row>
    <row r="58" spans="1:9" ht="15" thickBot="1" x14ac:dyDescent="0.4">
      <c r="A58" s="171">
        <v>11202</v>
      </c>
      <c r="B58" t="s">
        <v>545</v>
      </c>
      <c r="C58" s="172"/>
      <c r="D58" t="s">
        <v>548</v>
      </c>
      <c r="E58" s="173">
        <v>26</v>
      </c>
      <c r="F58" s="174">
        <v>24</v>
      </c>
      <c r="G58" s="169">
        <f t="shared" si="0"/>
        <v>2</v>
      </c>
      <c r="H58">
        <f t="shared" si="1"/>
        <v>8.9172217571251302</v>
      </c>
      <c r="I58">
        <f t="shared" si="2"/>
        <v>6.9172217571251302</v>
      </c>
    </row>
    <row r="59" spans="1:9" ht="15" thickBot="1" x14ac:dyDescent="0.4">
      <c r="A59" s="171">
        <v>11202</v>
      </c>
      <c r="B59" t="s">
        <v>553</v>
      </c>
      <c r="C59" s="172"/>
      <c r="D59" t="s">
        <v>528</v>
      </c>
      <c r="E59" s="173">
        <v>45</v>
      </c>
      <c r="F59" s="174">
        <v>42</v>
      </c>
      <c r="G59" s="169">
        <f t="shared" si="0"/>
        <v>3</v>
      </c>
      <c r="H59">
        <f t="shared" si="1"/>
        <v>-8.7746879999273482</v>
      </c>
      <c r="I59">
        <f t="shared" si="2"/>
        <v>11.774687999927348</v>
      </c>
    </row>
    <row r="60" spans="1:9" ht="15" thickBot="1" x14ac:dyDescent="0.4">
      <c r="A60" s="171">
        <v>11202</v>
      </c>
      <c r="B60" t="s">
        <v>549</v>
      </c>
      <c r="C60" s="172" t="s">
        <v>527</v>
      </c>
      <c r="D60" t="s">
        <v>525</v>
      </c>
      <c r="E60" s="173">
        <v>20</v>
      </c>
      <c r="F60" s="174">
        <v>17</v>
      </c>
      <c r="G60" s="169">
        <f t="shared" si="0"/>
        <v>3</v>
      </c>
      <c r="H60">
        <f t="shared" si="1"/>
        <v>8.7195764910684712</v>
      </c>
      <c r="I60">
        <f t="shared" si="2"/>
        <v>5.7195764910684712</v>
      </c>
    </row>
    <row r="61" spans="1:9" ht="15" thickBot="1" x14ac:dyDescent="0.4">
      <c r="A61" s="171">
        <v>11202</v>
      </c>
      <c r="B61" t="s">
        <v>544</v>
      </c>
      <c r="C61" s="172"/>
      <c r="D61" t="s">
        <v>533</v>
      </c>
      <c r="E61" s="173">
        <v>29</v>
      </c>
      <c r="F61" s="174">
        <v>27</v>
      </c>
      <c r="G61" s="169">
        <f t="shared" si="0"/>
        <v>2</v>
      </c>
      <c r="H61">
        <f t="shared" si="1"/>
        <v>10.258920098512057</v>
      </c>
      <c r="I61">
        <f t="shared" si="2"/>
        <v>8.258920098512057</v>
      </c>
    </row>
    <row r="62" spans="1:9" ht="15" thickBot="1" x14ac:dyDescent="0.4">
      <c r="A62" s="171">
        <v>11202</v>
      </c>
      <c r="B62" t="s">
        <v>539</v>
      </c>
      <c r="C62" s="172" t="s">
        <v>527</v>
      </c>
      <c r="D62" t="s">
        <v>536</v>
      </c>
      <c r="E62" s="173">
        <v>33</v>
      </c>
      <c r="F62" s="174">
        <v>18</v>
      </c>
      <c r="G62" s="169">
        <f t="shared" si="0"/>
        <v>15</v>
      </c>
      <c r="H62">
        <f t="shared" si="1"/>
        <v>10.400948066767729</v>
      </c>
      <c r="I62">
        <f t="shared" si="2"/>
        <v>4.5990519332322712</v>
      </c>
    </row>
    <row r="63" spans="1:9" ht="15" thickBot="1" x14ac:dyDescent="0.4">
      <c r="A63" s="171">
        <v>11202</v>
      </c>
      <c r="B63" t="s">
        <v>531</v>
      </c>
      <c r="C63" s="172" t="s">
        <v>527</v>
      </c>
      <c r="D63" t="s">
        <v>526</v>
      </c>
      <c r="E63" s="173">
        <v>26</v>
      </c>
      <c r="F63" s="174">
        <v>14</v>
      </c>
      <c r="G63" s="169">
        <f t="shared" si="0"/>
        <v>12</v>
      </c>
      <c r="H63">
        <f t="shared" si="1"/>
        <v>3.8626437648279222E-3</v>
      </c>
      <c r="I63">
        <f t="shared" si="2"/>
        <v>11.996137356235172</v>
      </c>
    </row>
    <row r="64" spans="1:9" ht="15" thickBot="1" x14ac:dyDescent="0.4">
      <c r="A64" s="171">
        <v>37165</v>
      </c>
      <c r="B64" t="s">
        <v>543</v>
      </c>
      <c r="C64" s="172" t="s">
        <v>527</v>
      </c>
      <c r="D64" t="s">
        <v>546</v>
      </c>
      <c r="E64" s="173">
        <v>27</v>
      </c>
      <c r="F64" s="174">
        <v>23</v>
      </c>
      <c r="G64" s="169">
        <f t="shared" si="0"/>
        <v>4</v>
      </c>
      <c r="H64">
        <f t="shared" si="1"/>
        <v>4.8799539269388497</v>
      </c>
      <c r="I64">
        <f t="shared" si="2"/>
        <v>0.87995392693884966</v>
      </c>
    </row>
    <row r="65" spans="1:9" ht="15" thickBot="1" x14ac:dyDescent="0.4">
      <c r="A65" s="171">
        <v>38261</v>
      </c>
      <c r="B65" t="s">
        <v>529</v>
      </c>
      <c r="C65" s="172"/>
      <c r="D65" t="s">
        <v>542</v>
      </c>
      <c r="E65" s="173">
        <v>38</v>
      </c>
      <c r="F65" s="174">
        <v>24</v>
      </c>
      <c r="G65" s="169">
        <f t="shared" si="0"/>
        <v>14</v>
      </c>
      <c r="H65">
        <f t="shared" si="1"/>
        <v>12.345072913654823</v>
      </c>
      <c r="I65">
        <f t="shared" si="2"/>
        <v>1.654927086345177</v>
      </c>
    </row>
    <row r="66" spans="1:9" ht="15" thickBot="1" x14ac:dyDescent="0.4">
      <c r="A66" s="171">
        <v>39356</v>
      </c>
      <c r="B66" t="s">
        <v>537</v>
      </c>
      <c r="C66" s="172"/>
      <c r="D66" t="s">
        <v>536</v>
      </c>
      <c r="E66" s="173">
        <v>33</v>
      </c>
      <c r="F66" s="174">
        <v>31</v>
      </c>
      <c r="G66" s="169">
        <f t="shared" si="0"/>
        <v>2</v>
      </c>
      <c r="H66">
        <f t="shared" si="1"/>
        <v>1.5270670407486582</v>
      </c>
      <c r="I66">
        <f t="shared" si="2"/>
        <v>0.47293295925134182</v>
      </c>
    </row>
    <row r="67" spans="1:9" ht="15" thickBot="1" x14ac:dyDescent="0.4">
      <c r="A67" s="171">
        <v>39356</v>
      </c>
      <c r="B67" t="s">
        <v>543</v>
      </c>
      <c r="C67" s="172"/>
      <c r="D67" t="s">
        <v>535</v>
      </c>
      <c r="E67" s="173">
        <v>30</v>
      </c>
      <c r="F67" s="174">
        <v>14</v>
      </c>
      <c r="G67" s="169">
        <f t="shared" ref="G67:G130" si="3">E67-F67</f>
        <v>16</v>
      </c>
      <c r="H67">
        <f t="shared" ref="H67:H130" si="4">INDEX($M$3:$M$34,MATCH(B67,$L$3:$L$34,0))-INDEX($M$3:$M$34,MATCH(D67,$L$3:$L$34,0))+IF(C67="",M$1,-M$1)</f>
        <v>15.229617829847852</v>
      </c>
      <c r="I67">
        <f t="shared" ref="I67:I130" si="5">ABS(G67-H67)</f>
        <v>0.77038217015214805</v>
      </c>
    </row>
    <row r="68" spans="1:9" ht="15" thickBot="1" x14ac:dyDescent="0.4">
      <c r="A68" s="171">
        <v>39356</v>
      </c>
      <c r="B68" t="s">
        <v>541</v>
      </c>
      <c r="C68" s="172"/>
      <c r="D68" t="s">
        <v>523</v>
      </c>
      <c r="E68" s="173">
        <v>27</v>
      </c>
      <c r="F68" s="174">
        <v>17</v>
      </c>
      <c r="G68" s="169">
        <f t="shared" si="3"/>
        <v>10</v>
      </c>
      <c r="H68">
        <f t="shared" si="4"/>
        <v>7.8551666078280764</v>
      </c>
      <c r="I68">
        <f t="shared" si="5"/>
        <v>2.1448333921719236</v>
      </c>
    </row>
    <row r="69" spans="1:9" ht="15" thickBot="1" x14ac:dyDescent="0.4">
      <c r="A69" s="171">
        <v>39356</v>
      </c>
      <c r="B69" t="s">
        <v>526</v>
      </c>
      <c r="C69" s="172"/>
      <c r="D69" t="s">
        <v>520</v>
      </c>
      <c r="E69" s="173">
        <v>41</v>
      </c>
      <c r="F69" s="174">
        <v>17</v>
      </c>
      <c r="G69" s="169">
        <f t="shared" si="3"/>
        <v>24</v>
      </c>
      <c r="H69">
        <f t="shared" si="4"/>
        <v>5.9492409614766295</v>
      </c>
      <c r="I69">
        <f t="shared" si="5"/>
        <v>18.05075903852337</v>
      </c>
    </row>
    <row r="70" spans="1:9" ht="15" thickBot="1" x14ac:dyDescent="0.4">
      <c r="A70" s="171">
        <v>39356</v>
      </c>
      <c r="B70" t="s">
        <v>528</v>
      </c>
      <c r="C70" s="172"/>
      <c r="D70" t="s">
        <v>531</v>
      </c>
      <c r="E70" s="173">
        <v>12</v>
      </c>
      <c r="F70" s="174">
        <v>9</v>
      </c>
      <c r="G70" s="169">
        <f t="shared" si="3"/>
        <v>3</v>
      </c>
      <c r="H70">
        <f t="shared" si="4"/>
        <v>-1.8673395976275349</v>
      </c>
      <c r="I70">
        <f t="shared" si="5"/>
        <v>4.8673395976275344</v>
      </c>
    </row>
    <row r="71" spans="1:9" ht="15" thickBot="1" x14ac:dyDescent="0.4">
      <c r="A71" s="171">
        <v>39356</v>
      </c>
      <c r="B71" t="s">
        <v>551</v>
      </c>
      <c r="C71" s="172"/>
      <c r="D71" t="s">
        <v>546</v>
      </c>
      <c r="E71" s="173">
        <v>34</v>
      </c>
      <c r="F71" s="174">
        <v>16</v>
      </c>
      <c r="G71" s="169">
        <f t="shared" si="3"/>
        <v>18</v>
      </c>
      <c r="H71">
        <f t="shared" si="4"/>
        <v>-4.4288785869045117</v>
      </c>
      <c r="I71">
        <f t="shared" si="5"/>
        <v>22.42887858690451</v>
      </c>
    </row>
    <row r="72" spans="1:9" ht="15" thickBot="1" x14ac:dyDescent="0.4">
      <c r="A72" s="171">
        <v>39356</v>
      </c>
      <c r="B72" t="s">
        <v>534</v>
      </c>
      <c r="C72" s="172"/>
      <c r="D72" t="s">
        <v>524</v>
      </c>
      <c r="E72" s="173">
        <v>13</v>
      </c>
      <c r="F72" s="174">
        <v>12</v>
      </c>
      <c r="G72" s="169">
        <f t="shared" si="3"/>
        <v>1</v>
      </c>
      <c r="H72">
        <f t="shared" si="4"/>
        <v>-3.2842132617490569</v>
      </c>
      <c r="I72">
        <f t="shared" si="5"/>
        <v>4.2842132617490574</v>
      </c>
    </row>
    <row r="73" spans="1:9" ht="15" thickBot="1" x14ac:dyDescent="0.4">
      <c r="A73" s="171">
        <v>39356</v>
      </c>
      <c r="B73" t="s">
        <v>548</v>
      </c>
      <c r="C73" s="172"/>
      <c r="D73" t="s">
        <v>550</v>
      </c>
      <c r="E73" s="173">
        <v>31</v>
      </c>
      <c r="F73" s="174">
        <v>23</v>
      </c>
      <c r="G73" s="169">
        <f t="shared" si="3"/>
        <v>8</v>
      </c>
      <c r="H73">
        <f t="shared" si="4"/>
        <v>-2.200607946678836</v>
      </c>
      <c r="I73">
        <f t="shared" si="5"/>
        <v>10.200607946678836</v>
      </c>
    </row>
    <row r="74" spans="1:9" ht="15" thickBot="1" x14ac:dyDescent="0.4">
      <c r="A74" s="171">
        <v>39356</v>
      </c>
      <c r="B74" t="s">
        <v>544</v>
      </c>
      <c r="C74" s="172"/>
      <c r="D74" t="s">
        <v>553</v>
      </c>
      <c r="E74" s="173">
        <v>26</v>
      </c>
      <c r="F74" s="174">
        <v>10</v>
      </c>
      <c r="G74" s="169">
        <f t="shared" si="3"/>
        <v>16</v>
      </c>
      <c r="H74">
        <f t="shared" si="4"/>
        <v>16.029937166879655</v>
      </c>
      <c r="I74">
        <f t="shared" si="5"/>
        <v>2.9937166879655308E-2</v>
      </c>
    </row>
    <row r="75" spans="1:9" ht="15" thickBot="1" x14ac:dyDescent="0.4">
      <c r="A75" s="171">
        <v>39356</v>
      </c>
      <c r="B75" t="s">
        <v>525</v>
      </c>
      <c r="C75" s="172" t="s">
        <v>527</v>
      </c>
      <c r="D75" t="s">
        <v>533</v>
      </c>
      <c r="E75" s="173">
        <v>28</v>
      </c>
      <c r="F75" s="174">
        <v>18</v>
      </c>
      <c r="G75" s="169">
        <f t="shared" si="3"/>
        <v>10</v>
      </c>
      <c r="H75">
        <f t="shared" si="4"/>
        <v>-6.3013315081385297</v>
      </c>
      <c r="I75">
        <f t="shared" si="5"/>
        <v>16.301331508138531</v>
      </c>
    </row>
    <row r="76" spans="1:9" ht="15" thickBot="1" x14ac:dyDescent="0.4">
      <c r="A76" s="171">
        <v>39356</v>
      </c>
      <c r="B76" t="s">
        <v>552</v>
      </c>
      <c r="C76" s="172" t="s">
        <v>527</v>
      </c>
      <c r="D76" t="s">
        <v>549</v>
      </c>
      <c r="E76" s="173">
        <v>33</v>
      </c>
      <c r="F76" s="174">
        <v>31</v>
      </c>
      <c r="G76" s="169">
        <f t="shared" si="3"/>
        <v>2</v>
      </c>
      <c r="H76">
        <f t="shared" si="4"/>
        <v>1.8715694862226218</v>
      </c>
      <c r="I76">
        <f t="shared" si="5"/>
        <v>0.12843051377737824</v>
      </c>
    </row>
    <row r="77" spans="1:9" ht="15" thickBot="1" x14ac:dyDescent="0.4">
      <c r="A77" s="171">
        <v>39356</v>
      </c>
      <c r="B77" t="s">
        <v>532</v>
      </c>
      <c r="C77" s="172" t="s">
        <v>527</v>
      </c>
      <c r="D77" t="s">
        <v>519</v>
      </c>
      <c r="E77" s="173">
        <v>23</v>
      </c>
      <c r="F77" s="174">
        <v>21</v>
      </c>
      <c r="G77" s="169">
        <f t="shared" si="3"/>
        <v>2</v>
      </c>
      <c r="H77">
        <f t="shared" si="4"/>
        <v>0.2833852564976751</v>
      </c>
      <c r="I77">
        <f t="shared" si="5"/>
        <v>1.7166147435023249</v>
      </c>
    </row>
    <row r="78" spans="1:9" ht="15" thickBot="1" x14ac:dyDescent="0.4">
      <c r="A78" s="171">
        <v>39356</v>
      </c>
      <c r="B78" t="s">
        <v>530</v>
      </c>
      <c r="C78" s="172"/>
      <c r="D78" t="s">
        <v>545</v>
      </c>
      <c r="E78" s="173">
        <v>19</v>
      </c>
      <c r="F78" s="174">
        <v>16</v>
      </c>
      <c r="G78" s="169">
        <f t="shared" si="3"/>
        <v>3</v>
      </c>
      <c r="H78">
        <f t="shared" si="4"/>
        <v>3.0000006158785473</v>
      </c>
      <c r="I78">
        <f t="shared" si="5"/>
        <v>6.1587854727207514E-7</v>
      </c>
    </row>
    <row r="79" spans="1:9" ht="15" thickBot="1" x14ac:dyDescent="0.4">
      <c r="A79" s="171">
        <v>39722</v>
      </c>
      <c r="B79" t="s">
        <v>539</v>
      </c>
      <c r="C79" s="172"/>
      <c r="D79" t="s">
        <v>547</v>
      </c>
      <c r="E79" s="173">
        <v>43</v>
      </c>
      <c r="F79" s="174">
        <v>19</v>
      </c>
      <c r="G79" s="169">
        <f t="shared" si="3"/>
        <v>24</v>
      </c>
      <c r="H79">
        <f t="shared" si="4"/>
        <v>15.395207521238699</v>
      </c>
      <c r="I79">
        <f t="shared" si="5"/>
        <v>8.6047924787613006</v>
      </c>
    </row>
    <row r="80" spans="1:9" ht="15" thickBot="1" x14ac:dyDescent="0.4">
      <c r="A80" s="171">
        <v>40817</v>
      </c>
      <c r="B80" t="s">
        <v>519</v>
      </c>
      <c r="C80" s="172" t="s">
        <v>527</v>
      </c>
      <c r="D80" t="s">
        <v>536</v>
      </c>
      <c r="E80" s="173">
        <v>34</v>
      </c>
      <c r="F80" s="174">
        <v>13</v>
      </c>
      <c r="G80" s="169">
        <f t="shared" si="3"/>
        <v>21</v>
      </c>
      <c r="H80">
        <f t="shared" si="4"/>
        <v>-1.4013347312620557</v>
      </c>
      <c r="I80">
        <f t="shared" si="5"/>
        <v>22.401334731262054</v>
      </c>
    </row>
    <row r="81" spans="1:9" ht="15" thickBot="1" x14ac:dyDescent="0.4">
      <c r="A81" s="171">
        <v>41913</v>
      </c>
      <c r="B81" t="s">
        <v>547</v>
      </c>
      <c r="C81" s="172"/>
      <c r="D81" t="s">
        <v>537</v>
      </c>
      <c r="E81" s="173">
        <v>23</v>
      </c>
      <c r="F81" s="174">
        <v>17</v>
      </c>
      <c r="G81" s="169">
        <f t="shared" si="3"/>
        <v>6</v>
      </c>
      <c r="H81">
        <f t="shared" si="4"/>
        <v>2.2805384387339664</v>
      </c>
      <c r="I81">
        <f t="shared" si="5"/>
        <v>3.7194615612660336</v>
      </c>
    </row>
    <row r="82" spans="1:9" ht="15" thickBot="1" x14ac:dyDescent="0.4">
      <c r="A82" s="171">
        <v>41913</v>
      </c>
      <c r="B82" t="s">
        <v>523</v>
      </c>
      <c r="C82" s="172"/>
      <c r="D82" t="s">
        <v>540</v>
      </c>
      <c r="E82" s="173">
        <v>31</v>
      </c>
      <c r="F82" s="174">
        <v>28</v>
      </c>
      <c r="G82" s="169">
        <f t="shared" si="3"/>
        <v>3</v>
      </c>
      <c r="H82">
        <f t="shared" si="4"/>
        <v>-9.1043028650311939</v>
      </c>
      <c r="I82">
        <f t="shared" si="5"/>
        <v>12.104302865031194</v>
      </c>
    </row>
    <row r="83" spans="1:9" ht="15" thickBot="1" x14ac:dyDescent="0.4">
      <c r="A83" s="171">
        <v>41913</v>
      </c>
      <c r="B83" t="s">
        <v>544</v>
      </c>
      <c r="C83" s="172" t="s">
        <v>527</v>
      </c>
      <c r="D83" t="s">
        <v>528</v>
      </c>
      <c r="E83" s="173">
        <v>38</v>
      </c>
      <c r="F83" s="174">
        <v>14</v>
      </c>
      <c r="G83" s="169">
        <f t="shared" si="3"/>
        <v>24</v>
      </c>
      <c r="H83">
        <f t="shared" si="4"/>
        <v>0.65385046648711187</v>
      </c>
      <c r="I83">
        <f t="shared" si="5"/>
        <v>23.346149533512889</v>
      </c>
    </row>
    <row r="84" spans="1:9" ht="15" thickBot="1" x14ac:dyDescent="0.4">
      <c r="A84" s="171">
        <v>41913</v>
      </c>
      <c r="B84" t="s">
        <v>551</v>
      </c>
      <c r="C84" s="172"/>
      <c r="D84" t="s">
        <v>542</v>
      </c>
      <c r="E84" s="173">
        <v>42</v>
      </c>
      <c r="F84" s="174">
        <v>34</v>
      </c>
      <c r="G84" s="169">
        <f t="shared" si="3"/>
        <v>8</v>
      </c>
      <c r="H84">
        <f t="shared" si="4"/>
        <v>-2.9492148856230638</v>
      </c>
      <c r="I84">
        <f t="shared" si="5"/>
        <v>10.949214885623064</v>
      </c>
    </row>
    <row r="85" spans="1:9" ht="15" thickBot="1" x14ac:dyDescent="0.4">
      <c r="A85" s="171">
        <v>41913</v>
      </c>
      <c r="B85" t="s">
        <v>549</v>
      </c>
      <c r="C85" s="172" t="s">
        <v>527</v>
      </c>
      <c r="D85" t="s">
        <v>553</v>
      </c>
      <c r="E85" s="173">
        <v>27</v>
      </c>
      <c r="F85" s="174">
        <v>3</v>
      </c>
      <c r="G85" s="169">
        <f t="shared" si="3"/>
        <v>24</v>
      </c>
      <c r="H85">
        <f t="shared" si="4"/>
        <v>10.389728284785939</v>
      </c>
      <c r="I85">
        <f t="shared" si="5"/>
        <v>13.610271715214061</v>
      </c>
    </row>
    <row r="86" spans="1:9" ht="15" thickBot="1" x14ac:dyDescent="0.4">
      <c r="A86" s="171">
        <v>41913</v>
      </c>
      <c r="B86" t="s">
        <v>532</v>
      </c>
      <c r="C86" s="172"/>
      <c r="D86" t="s">
        <v>525</v>
      </c>
      <c r="E86" s="173">
        <v>27</v>
      </c>
      <c r="F86" s="174">
        <v>17</v>
      </c>
      <c r="G86" s="169">
        <f t="shared" si="3"/>
        <v>10</v>
      </c>
      <c r="H86">
        <f t="shared" si="4"/>
        <v>12.103140886363027</v>
      </c>
      <c r="I86">
        <f t="shared" si="5"/>
        <v>2.1031408863630272</v>
      </c>
    </row>
    <row r="87" spans="1:9" ht="15" thickBot="1" x14ac:dyDescent="0.4">
      <c r="A87" s="171">
        <v>41913</v>
      </c>
      <c r="B87" t="s">
        <v>520</v>
      </c>
      <c r="C87" s="172"/>
      <c r="D87" t="s">
        <v>538</v>
      </c>
      <c r="E87" s="173">
        <v>34</v>
      </c>
      <c r="F87" s="174">
        <v>29</v>
      </c>
      <c r="G87" s="169">
        <f t="shared" si="3"/>
        <v>5</v>
      </c>
      <c r="H87">
        <f t="shared" si="4"/>
        <v>3.7955262400745422</v>
      </c>
      <c r="I87">
        <f t="shared" si="5"/>
        <v>1.2044737599254578</v>
      </c>
    </row>
    <row r="88" spans="1:9" ht="15" thickBot="1" x14ac:dyDescent="0.4">
      <c r="A88" s="171">
        <v>41913</v>
      </c>
      <c r="B88" t="s">
        <v>526</v>
      </c>
      <c r="C88" s="172" t="s">
        <v>527</v>
      </c>
      <c r="D88" t="s">
        <v>541</v>
      </c>
      <c r="E88" s="173">
        <v>28</v>
      </c>
      <c r="F88" s="174">
        <v>21</v>
      </c>
      <c r="G88" s="169">
        <f t="shared" si="3"/>
        <v>7</v>
      </c>
      <c r="H88">
        <f t="shared" si="4"/>
        <v>2.1158317422773778</v>
      </c>
      <c r="I88">
        <f t="shared" si="5"/>
        <v>4.8841682577226226</v>
      </c>
    </row>
    <row r="89" spans="1:9" ht="15" thickBot="1" x14ac:dyDescent="0.4">
      <c r="A89" s="171">
        <v>41913</v>
      </c>
      <c r="B89" t="s">
        <v>530</v>
      </c>
      <c r="C89" s="172"/>
      <c r="D89" t="s">
        <v>534</v>
      </c>
      <c r="E89" s="173">
        <v>20</v>
      </c>
      <c r="F89" s="174">
        <v>13</v>
      </c>
      <c r="G89" s="169">
        <f t="shared" si="3"/>
        <v>7</v>
      </c>
      <c r="H89">
        <f t="shared" si="4"/>
        <v>11.093572064706809</v>
      </c>
      <c r="I89">
        <f t="shared" si="5"/>
        <v>4.0935720647068088</v>
      </c>
    </row>
    <row r="90" spans="1:9" ht="15" thickBot="1" x14ac:dyDescent="0.4">
      <c r="A90" s="171">
        <v>41913</v>
      </c>
      <c r="B90" t="s">
        <v>552</v>
      </c>
      <c r="C90" s="172" t="s">
        <v>527</v>
      </c>
      <c r="D90" t="s">
        <v>546</v>
      </c>
      <c r="E90" s="173">
        <v>23</v>
      </c>
      <c r="F90" s="174">
        <v>20</v>
      </c>
      <c r="G90" s="169">
        <f t="shared" si="3"/>
        <v>3</v>
      </c>
      <c r="H90">
        <f t="shared" si="4"/>
        <v>5.6931483849329165</v>
      </c>
      <c r="I90">
        <f t="shared" si="5"/>
        <v>2.6931483849329165</v>
      </c>
    </row>
    <row r="91" spans="1:9" ht="15" thickBot="1" x14ac:dyDescent="0.4">
      <c r="A91" s="171">
        <v>41913</v>
      </c>
      <c r="B91" t="s">
        <v>531</v>
      </c>
      <c r="C91" s="172" t="s">
        <v>527</v>
      </c>
      <c r="D91" t="s">
        <v>524</v>
      </c>
      <c r="E91" s="173">
        <v>21</v>
      </c>
      <c r="F91" s="174">
        <v>0</v>
      </c>
      <c r="G91" s="169">
        <f t="shared" si="3"/>
        <v>21</v>
      </c>
      <c r="H91">
        <f t="shared" si="4"/>
        <v>3.7622290859357759</v>
      </c>
      <c r="I91">
        <f t="shared" si="5"/>
        <v>17.237770914064225</v>
      </c>
    </row>
    <row r="92" spans="1:9" ht="15" thickBot="1" x14ac:dyDescent="0.4">
      <c r="A92" s="171">
        <v>41913</v>
      </c>
      <c r="B92" t="s">
        <v>545</v>
      </c>
      <c r="C92" s="172"/>
      <c r="D92" t="s">
        <v>535</v>
      </c>
      <c r="E92" s="173">
        <v>40</v>
      </c>
      <c r="F92" s="174">
        <v>7</v>
      </c>
      <c r="G92" s="169">
        <f t="shared" si="3"/>
        <v>33</v>
      </c>
      <c r="H92">
        <f t="shared" si="4"/>
        <v>11.069738748554872</v>
      </c>
      <c r="I92">
        <f t="shared" si="5"/>
        <v>21.930261251445128</v>
      </c>
    </row>
    <row r="93" spans="1:9" ht="15" thickBot="1" x14ac:dyDescent="0.4">
      <c r="A93" s="171">
        <v>41913</v>
      </c>
      <c r="B93" t="s">
        <v>529</v>
      </c>
      <c r="C93" s="172"/>
      <c r="D93" t="s">
        <v>543</v>
      </c>
      <c r="E93" s="173">
        <v>43</v>
      </c>
      <c r="F93" s="174">
        <v>40</v>
      </c>
      <c r="G93" s="169">
        <f t="shared" si="3"/>
        <v>3</v>
      </c>
      <c r="H93">
        <f t="shared" si="4"/>
        <v>3.7849890519461256</v>
      </c>
      <c r="I93">
        <f t="shared" si="5"/>
        <v>0.78498905194612556</v>
      </c>
    </row>
    <row r="94" spans="1:9" ht="15" thickBot="1" x14ac:dyDescent="0.4">
      <c r="A94" s="171">
        <v>42278</v>
      </c>
      <c r="B94" t="s">
        <v>550</v>
      </c>
      <c r="C94" s="172"/>
      <c r="D94" t="s">
        <v>533</v>
      </c>
      <c r="E94" s="173">
        <v>33</v>
      </c>
      <c r="F94" s="174">
        <v>30</v>
      </c>
      <c r="G94" s="169">
        <f t="shared" si="3"/>
        <v>3</v>
      </c>
      <c r="H94">
        <f t="shared" si="4"/>
        <v>5.8029245203496149</v>
      </c>
      <c r="I94">
        <f t="shared" si="5"/>
        <v>2.8029245203496149</v>
      </c>
    </row>
    <row r="95" spans="1:9" ht="15" thickBot="1" x14ac:dyDescent="0.4">
      <c r="A95" s="171">
        <v>43374</v>
      </c>
      <c r="B95" t="s">
        <v>546</v>
      </c>
      <c r="C95" s="172" t="s">
        <v>527</v>
      </c>
      <c r="D95" t="s">
        <v>525</v>
      </c>
      <c r="E95" s="173">
        <v>45</v>
      </c>
      <c r="F95" s="174">
        <v>10</v>
      </c>
      <c r="G95" s="169">
        <f t="shared" si="3"/>
        <v>35</v>
      </c>
      <c r="H95">
        <f t="shared" si="4"/>
        <v>4.8979975923581769</v>
      </c>
      <c r="I95">
        <f t="shared" si="5"/>
        <v>30.102002407641823</v>
      </c>
    </row>
    <row r="96" spans="1:9" ht="15" thickBot="1" x14ac:dyDescent="0.4">
      <c r="A96" s="171">
        <v>44470</v>
      </c>
      <c r="B96" t="s">
        <v>544</v>
      </c>
      <c r="C96" s="172"/>
      <c r="D96" t="s">
        <v>524</v>
      </c>
      <c r="E96" s="173">
        <v>20</v>
      </c>
      <c r="F96" s="174">
        <v>19</v>
      </c>
      <c r="G96" s="169">
        <f t="shared" si="3"/>
        <v>1</v>
      </c>
      <c r="H96">
        <f t="shared" si="4"/>
        <v>6.9496724217721493</v>
      </c>
      <c r="I96">
        <f t="shared" si="5"/>
        <v>5.9496724217721493</v>
      </c>
    </row>
    <row r="97" spans="1:9" ht="15" thickBot="1" x14ac:dyDescent="0.4">
      <c r="A97" s="171">
        <v>44470</v>
      </c>
      <c r="B97" t="s">
        <v>548</v>
      </c>
      <c r="C97" s="172" t="s">
        <v>527</v>
      </c>
      <c r="D97" t="s">
        <v>523</v>
      </c>
      <c r="E97" s="173">
        <v>32</v>
      </c>
      <c r="F97" s="174">
        <v>21</v>
      </c>
      <c r="G97" s="169">
        <f t="shared" si="3"/>
        <v>11</v>
      </c>
      <c r="H97">
        <f t="shared" si="4"/>
        <v>-9.5697895599818228E-2</v>
      </c>
      <c r="I97">
        <f t="shared" si="5"/>
        <v>11.095697895599818</v>
      </c>
    </row>
    <row r="98" spans="1:9" ht="15" thickBot="1" x14ac:dyDescent="0.4">
      <c r="A98" s="171">
        <v>44470</v>
      </c>
      <c r="B98" t="s">
        <v>537</v>
      </c>
      <c r="C98" s="172" t="s">
        <v>527</v>
      </c>
      <c r="D98" t="s">
        <v>519</v>
      </c>
      <c r="E98" s="173">
        <v>21</v>
      </c>
      <c r="F98" s="174">
        <v>17</v>
      </c>
      <c r="G98" s="169">
        <f t="shared" si="3"/>
        <v>4</v>
      </c>
      <c r="H98">
        <f t="shared" si="4"/>
        <v>-3.6729969284544817</v>
      </c>
      <c r="I98">
        <f t="shared" si="5"/>
        <v>7.6729969284544817</v>
      </c>
    </row>
    <row r="99" spans="1:9" ht="15" thickBot="1" x14ac:dyDescent="0.4">
      <c r="A99" s="171">
        <v>44470</v>
      </c>
      <c r="B99" t="s">
        <v>529</v>
      </c>
      <c r="C99" s="172" t="s">
        <v>527</v>
      </c>
      <c r="D99" t="s">
        <v>540</v>
      </c>
      <c r="E99" s="173">
        <v>38</v>
      </c>
      <c r="F99" s="174">
        <v>31</v>
      </c>
      <c r="G99" s="169">
        <f t="shared" si="3"/>
        <v>7</v>
      </c>
      <c r="H99">
        <f t="shared" si="4"/>
        <v>1.0606904292680279</v>
      </c>
      <c r="I99">
        <f t="shared" si="5"/>
        <v>5.9393095707319716</v>
      </c>
    </row>
    <row r="100" spans="1:9" ht="15" thickBot="1" x14ac:dyDescent="0.4">
      <c r="A100" s="171">
        <v>44470</v>
      </c>
      <c r="B100" t="s">
        <v>542</v>
      </c>
      <c r="C100" s="172"/>
      <c r="D100" t="s">
        <v>534</v>
      </c>
      <c r="E100" s="173">
        <v>37</v>
      </c>
      <c r="F100" s="174">
        <v>5</v>
      </c>
      <c r="G100" s="169">
        <f t="shared" si="3"/>
        <v>32</v>
      </c>
      <c r="H100">
        <f t="shared" si="4"/>
        <v>5.8938329019009412</v>
      </c>
      <c r="I100">
        <f t="shared" si="5"/>
        <v>26.106167098099057</v>
      </c>
    </row>
    <row r="101" spans="1:9" ht="15" thickBot="1" x14ac:dyDescent="0.4">
      <c r="A101" s="171">
        <v>44470</v>
      </c>
      <c r="B101" t="s">
        <v>538</v>
      </c>
      <c r="C101" s="172"/>
      <c r="D101" t="s">
        <v>528</v>
      </c>
      <c r="E101" s="173">
        <v>26</v>
      </c>
      <c r="F101" s="174">
        <v>23</v>
      </c>
      <c r="G101" s="169">
        <f t="shared" si="3"/>
        <v>3</v>
      </c>
      <c r="H101">
        <f t="shared" si="4"/>
        <v>-1.2798915472232699</v>
      </c>
      <c r="I101">
        <f t="shared" si="5"/>
        <v>4.2798915472232704</v>
      </c>
    </row>
    <row r="102" spans="1:9" ht="15" thickBot="1" x14ac:dyDescent="0.4">
      <c r="A102" s="171">
        <v>44470</v>
      </c>
      <c r="B102" t="s">
        <v>530</v>
      </c>
      <c r="C102" s="172" t="s">
        <v>527</v>
      </c>
      <c r="D102" t="s">
        <v>535</v>
      </c>
      <c r="E102" s="173">
        <v>20</v>
      </c>
      <c r="F102" s="174">
        <v>7</v>
      </c>
      <c r="G102" s="169">
        <f t="shared" si="3"/>
        <v>13</v>
      </c>
      <c r="H102">
        <f t="shared" si="4"/>
        <v>7.4683406639682239</v>
      </c>
      <c r="I102">
        <f t="shared" si="5"/>
        <v>5.5316593360317761</v>
      </c>
    </row>
    <row r="103" spans="1:9" ht="15" thickBot="1" x14ac:dyDescent="0.4">
      <c r="A103" s="171">
        <v>44470</v>
      </c>
      <c r="B103" t="s">
        <v>532</v>
      </c>
      <c r="C103" s="172" t="s">
        <v>527</v>
      </c>
      <c r="D103" t="s">
        <v>551</v>
      </c>
      <c r="E103" s="173">
        <v>37</v>
      </c>
      <c r="F103" s="174">
        <v>17</v>
      </c>
      <c r="G103" s="169">
        <f t="shared" si="3"/>
        <v>20</v>
      </c>
      <c r="H103">
        <f t="shared" si="4"/>
        <v>7.2330894139325643</v>
      </c>
      <c r="I103">
        <f t="shared" si="5"/>
        <v>12.766910586067436</v>
      </c>
    </row>
    <row r="104" spans="1:9" ht="15" thickBot="1" x14ac:dyDescent="0.4">
      <c r="A104" s="171">
        <v>44470</v>
      </c>
      <c r="B104" t="s">
        <v>539</v>
      </c>
      <c r="C104" s="172" t="s">
        <v>527</v>
      </c>
      <c r="D104" t="s">
        <v>531</v>
      </c>
      <c r="E104" s="173">
        <v>24</v>
      </c>
      <c r="F104" s="174">
        <v>23</v>
      </c>
      <c r="G104" s="169">
        <f t="shared" si="3"/>
        <v>1</v>
      </c>
      <c r="H104">
        <f t="shared" si="4"/>
        <v>3.6478314566157288</v>
      </c>
      <c r="I104">
        <f t="shared" si="5"/>
        <v>2.6478314566157288</v>
      </c>
    </row>
    <row r="105" spans="1:9" ht="15" thickBot="1" x14ac:dyDescent="0.4">
      <c r="A105" s="171">
        <v>44470</v>
      </c>
      <c r="B105" t="s">
        <v>552</v>
      </c>
      <c r="C105" s="172" t="s">
        <v>527</v>
      </c>
      <c r="D105" t="s">
        <v>533</v>
      </c>
      <c r="E105" s="173">
        <v>39</v>
      </c>
      <c r="F105" s="174">
        <v>10</v>
      </c>
      <c r="G105" s="169">
        <f t="shared" si="3"/>
        <v>29</v>
      </c>
      <c r="H105">
        <f t="shared" si="4"/>
        <v>8.6907469361293597</v>
      </c>
      <c r="I105">
        <f t="shared" si="5"/>
        <v>20.309253063870642</v>
      </c>
    </row>
    <row r="106" spans="1:9" ht="15" thickBot="1" x14ac:dyDescent="0.4">
      <c r="A106" s="171">
        <v>44470</v>
      </c>
      <c r="B106" t="s">
        <v>547</v>
      </c>
      <c r="C106" s="172"/>
      <c r="D106" t="s">
        <v>545</v>
      </c>
      <c r="E106" s="173">
        <v>20</v>
      </c>
      <c r="F106" s="174">
        <v>17</v>
      </c>
      <c r="G106" s="169">
        <f t="shared" si="3"/>
        <v>3</v>
      </c>
      <c r="H106">
        <f t="shared" si="4"/>
        <v>-1.7921739983244058</v>
      </c>
      <c r="I106">
        <f t="shared" si="5"/>
        <v>4.7921739983244063</v>
      </c>
    </row>
    <row r="107" spans="1:9" ht="15" thickBot="1" x14ac:dyDescent="0.4">
      <c r="A107" s="171">
        <v>44470</v>
      </c>
      <c r="B107" t="s">
        <v>543</v>
      </c>
      <c r="C107" s="172"/>
      <c r="D107" t="s">
        <v>541</v>
      </c>
      <c r="E107" s="173">
        <v>45</v>
      </c>
      <c r="F107" s="174">
        <v>10</v>
      </c>
      <c r="G107" s="169">
        <f t="shared" si="3"/>
        <v>35</v>
      </c>
      <c r="H107">
        <f t="shared" si="4"/>
        <v>9.5271688019670115</v>
      </c>
      <c r="I107">
        <f t="shared" si="5"/>
        <v>25.472831198032988</v>
      </c>
    </row>
    <row r="108" spans="1:9" ht="15" thickBot="1" x14ac:dyDescent="0.4">
      <c r="A108" s="171">
        <v>44835</v>
      </c>
      <c r="B108" t="s">
        <v>520</v>
      </c>
      <c r="C108" s="172"/>
      <c r="D108" t="s">
        <v>536</v>
      </c>
      <c r="E108" s="173">
        <v>23</v>
      </c>
      <c r="F108" s="174">
        <v>20</v>
      </c>
      <c r="G108" s="169">
        <f t="shared" si="3"/>
        <v>3</v>
      </c>
      <c r="H108">
        <f t="shared" si="4"/>
        <v>3.0004792383989418</v>
      </c>
      <c r="I108">
        <f t="shared" si="5"/>
        <v>4.7923839894181697E-4</v>
      </c>
    </row>
    <row r="109" spans="1:9" ht="15" thickBot="1" x14ac:dyDescent="0.4">
      <c r="A109" s="171">
        <v>45931</v>
      </c>
      <c r="B109" t="s">
        <v>530</v>
      </c>
      <c r="C109" s="172"/>
      <c r="D109" t="s">
        <v>523</v>
      </c>
      <c r="E109" s="173">
        <v>42</v>
      </c>
      <c r="F109" s="174">
        <v>23</v>
      </c>
      <c r="G109" s="169">
        <f t="shared" si="3"/>
        <v>19</v>
      </c>
      <c r="H109">
        <f t="shared" si="4"/>
        <v>11.821524477403859</v>
      </c>
      <c r="I109">
        <f t="shared" si="5"/>
        <v>7.1784755225961412</v>
      </c>
    </row>
    <row r="110" spans="1:9" ht="15" thickBot="1" x14ac:dyDescent="0.4">
      <c r="A110" s="171">
        <v>47027</v>
      </c>
      <c r="B110" t="s">
        <v>519</v>
      </c>
      <c r="C110" s="172" t="s">
        <v>527</v>
      </c>
      <c r="D110" t="s">
        <v>535</v>
      </c>
      <c r="E110" s="173">
        <v>24</v>
      </c>
      <c r="F110" s="174">
        <v>18</v>
      </c>
      <c r="G110" s="169">
        <f t="shared" si="3"/>
        <v>6</v>
      </c>
      <c r="H110">
        <f t="shared" si="4"/>
        <v>4.0686245394857856</v>
      </c>
      <c r="I110">
        <f t="shared" si="5"/>
        <v>1.9313754605142144</v>
      </c>
    </row>
    <row r="111" spans="1:9" ht="15" thickBot="1" x14ac:dyDescent="0.4">
      <c r="A111" s="171">
        <v>47027</v>
      </c>
      <c r="B111" t="s">
        <v>549</v>
      </c>
      <c r="C111" s="172" t="s">
        <v>527</v>
      </c>
      <c r="D111" t="s">
        <v>548</v>
      </c>
      <c r="E111" s="173">
        <v>28</v>
      </c>
      <c r="F111" s="174">
        <v>14</v>
      </c>
      <c r="G111" s="169">
        <f t="shared" si="3"/>
        <v>14</v>
      </c>
      <c r="H111">
        <f t="shared" si="4"/>
        <v>5.4173271097243578</v>
      </c>
      <c r="I111">
        <f t="shared" si="5"/>
        <v>8.5826728902756422</v>
      </c>
    </row>
    <row r="112" spans="1:9" ht="15" thickBot="1" x14ac:dyDescent="0.4">
      <c r="A112" s="171">
        <v>47027</v>
      </c>
      <c r="B112" t="s">
        <v>537</v>
      </c>
      <c r="C112" s="172"/>
      <c r="D112" t="s">
        <v>531</v>
      </c>
      <c r="E112" s="173">
        <v>36</v>
      </c>
      <c r="F112" s="174">
        <v>21</v>
      </c>
      <c r="G112" s="169">
        <f t="shared" si="3"/>
        <v>15</v>
      </c>
      <c r="H112">
        <f t="shared" si="4"/>
        <v>-5.2260495694033438</v>
      </c>
      <c r="I112">
        <f t="shared" si="5"/>
        <v>20.226049569403344</v>
      </c>
    </row>
    <row r="113" spans="1:9" ht="15" thickBot="1" x14ac:dyDescent="0.4">
      <c r="A113" s="171">
        <v>47027</v>
      </c>
      <c r="B113" t="s">
        <v>540</v>
      </c>
      <c r="C113" s="172"/>
      <c r="D113" t="s">
        <v>551</v>
      </c>
      <c r="E113" s="173">
        <v>24</v>
      </c>
      <c r="F113" s="174">
        <v>10</v>
      </c>
      <c r="G113" s="169">
        <f t="shared" si="3"/>
        <v>14</v>
      </c>
      <c r="H113">
        <f t="shared" si="4"/>
        <v>14.233597370009859</v>
      </c>
      <c r="I113">
        <f t="shared" si="5"/>
        <v>0.23359737000985881</v>
      </c>
    </row>
    <row r="114" spans="1:9" ht="15" thickBot="1" x14ac:dyDescent="0.4">
      <c r="A114" s="171">
        <v>47027</v>
      </c>
      <c r="B114" t="s">
        <v>547</v>
      </c>
      <c r="C114" s="172" t="s">
        <v>527</v>
      </c>
      <c r="D114" t="s">
        <v>536</v>
      </c>
      <c r="E114" s="173">
        <v>20</v>
      </c>
      <c r="F114" s="174">
        <v>13</v>
      </c>
      <c r="G114" s="169">
        <f t="shared" si="3"/>
        <v>7</v>
      </c>
      <c r="H114">
        <f t="shared" si="4"/>
        <v>-2.7937932209825709</v>
      </c>
      <c r="I114">
        <f t="shared" si="5"/>
        <v>9.7937932209825718</v>
      </c>
    </row>
    <row r="115" spans="1:9" ht="15" thickBot="1" x14ac:dyDescent="0.4">
      <c r="A115" s="171">
        <v>47027</v>
      </c>
      <c r="B115" t="s">
        <v>541</v>
      </c>
      <c r="C115" s="172"/>
      <c r="D115" t="s">
        <v>538</v>
      </c>
      <c r="E115" s="173">
        <v>37</v>
      </c>
      <c r="F115" s="174">
        <v>34</v>
      </c>
      <c r="G115" s="169">
        <f t="shared" si="3"/>
        <v>3</v>
      </c>
      <c r="H115">
        <f t="shared" si="4"/>
        <v>3.2280029922969984</v>
      </c>
      <c r="I115">
        <f t="shared" si="5"/>
        <v>0.22800299229699839</v>
      </c>
    </row>
    <row r="116" spans="1:9" ht="15" thickBot="1" x14ac:dyDescent="0.4">
      <c r="A116" s="171">
        <v>47027</v>
      </c>
      <c r="B116" t="s">
        <v>543</v>
      </c>
      <c r="C116" s="172"/>
      <c r="D116" t="s">
        <v>546</v>
      </c>
      <c r="E116" s="173">
        <v>30</v>
      </c>
      <c r="F116" s="174">
        <v>23</v>
      </c>
      <c r="G116" s="169">
        <f t="shared" si="3"/>
        <v>7</v>
      </c>
      <c r="H116">
        <f t="shared" si="4"/>
        <v>9.2808863939156474</v>
      </c>
      <c r="I116">
        <f t="shared" si="5"/>
        <v>2.2808863939156474</v>
      </c>
    </row>
    <row r="117" spans="1:9" ht="15" thickBot="1" x14ac:dyDescent="0.4">
      <c r="A117" s="171">
        <v>47027</v>
      </c>
      <c r="B117" t="s">
        <v>526</v>
      </c>
      <c r="C117" s="172"/>
      <c r="D117" t="s">
        <v>528</v>
      </c>
      <c r="E117" s="173">
        <v>33</v>
      </c>
      <c r="F117" s="174">
        <v>18</v>
      </c>
      <c r="G117" s="169">
        <f t="shared" si="3"/>
        <v>15</v>
      </c>
      <c r="H117">
        <f t="shared" si="4"/>
        <v>4.0639431873511054</v>
      </c>
      <c r="I117">
        <f t="shared" si="5"/>
        <v>10.936056812648895</v>
      </c>
    </row>
    <row r="118" spans="1:9" ht="15" thickBot="1" x14ac:dyDescent="0.4">
      <c r="A118" s="171">
        <v>47027</v>
      </c>
      <c r="B118" t="s">
        <v>542</v>
      </c>
      <c r="C118" s="172" t="s">
        <v>527</v>
      </c>
      <c r="D118" t="s">
        <v>553</v>
      </c>
      <c r="E118" s="173">
        <v>42</v>
      </c>
      <c r="F118" s="174">
        <v>28</v>
      </c>
      <c r="G118" s="169">
        <f t="shared" si="3"/>
        <v>14</v>
      </c>
      <c r="H118">
        <f t="shared" si="4"/>
        <v>5.0884856847941951</v>
      </c>
      <c r="I118">
        <f t="shared" si="5"/>
        <v>8.9115143152058049</v>
      </c>
    </row>
    <row r="119" spans="1:9" ht="15" thickBot="1" x14ac:dyDescent="0.4">
      <c r="A119" s="171">
        <v>47027</v>
      </c>
      <c r="B119" t="s">
        <v>552</v>
      </c>
      <c r="C119" s="172"/>
      <c r="D119" t="s">
        <v>550</v>
      </c>
      <c r="E119" s="173">
        <v>29</v>
      </c>
      <c r="F119" s="174">
        <v>27</v>
      </c>
      <c r="G119" s="169">
        <f t="shared" si="3"/>
        <v>2</v>
      </c>
      <c r="H119">
        <f t="shared" si="4"/>
        <v>9.4892211162449414</v>
      </c>
      <c r="I119">
        <f t="shared" si="5"/>
        <v>7.4892211162449414</v>
      </c>
    </row>
    <row r="120" spans="1:9" ht="15" thickBot="1" x14ac:dyDescent="0.4">
      <c r="A120" s="171">
        <v>47027</v>
      </c>
      <c r="B120" t="s">
        <v>525</v>
      </c>
      <c r="C120" s="172"/>
      <c r="D120" t="s">
        <v>533</v>
      </c>
      <c r="E120" s="173">
        <v>18</v>
      </c>
      <c r="F120" s="174">
        <v>15</v>
      </c>
      <c r="G120" s="169">
        <f t="shared" si="3"/>
        <v>3</v>
      </c>
      <c r="H120">
        <f t="shared" si="4"/>
        <v>-1.9003990411617333</v>
      </c>
      <c r="I120">
        <f t="shared" si="5"/>
        <v>4.9003990411617337</v>
      </c>
    </row>
    <row r="121" spans="1:9" ht="15" thickBot="1" x14ac:dyDescent="0.4">
      <c r="A121" s="171">
        <v>47027</v>
      </c>
      <c r="B121" t="s">
        <v>539</v>
      </c>
      <c r="C121" s="172" t="s">
        <v>527</v>
      </c>
      <c r="D121" t="s">
        <v>532</v>
      </c>
      <c r="E121" s="173">
        <v>30</v>
      </c>
      <c r="F121" s="174">
        <v>20</v>
      </c>
      <c r="G121" s="169">
        <f t="shared" si="3"/>
        <v>10</v>
      </c>
      <c r="H121">
        <f t="shared" si="4"/>
        <v>7.1179650745553129</v>
      </c>
      <c r="I121">
        <f t="shared" si="5"/>
        <v>2.8820349254446871</v>
      </c>
    </row>
    <row r="122" spans="1:9" ht="15" thickBot="1" x14ac:dyDescent="0.4">
      <c r="A122" s="171">
        <v>47392</v>
      </c>
      <c r="B122" t="s">
        <v>529</v>
      </c>
      <c r="C122" s="172" t="s">
        <v>527</v>
      </c>
      <c r="D122" t="s">
        <v>534</v>
      </c>
      <c r="E122" s="173">
        <v>25</v>
      </c>
      <c r="F122" s="174">
        <v>6</v>
      </c>
      <c r="G122" s="169">
        <f t="shared" si="3"/>
        <v>19</v>
      </c>
      <c r="H122">
        <f t="shared" si="4"/>
        <v>11.637507115090568</v>
      </c>
      <c r="I122">
        <f t="shared" si="5"/>
        <v>7.3624928849094324</v>
      </c>
    </row>
    <row r="123" spans="1:9" ht="15" thickBot="1" x14ac:dyDescent="0.4">
      <c r="A123" s="171">
        <v>37196</v>
      </c>
      <c r="B123" t="s">
        <v>533</v>
      </c>
      <c r="C123" s="172"/>
      <c r="D123" t="s">
        <v>553</v>
      </c>
      <c r="E123" s="173">
        <v>34</v>
      </c>
      <c r="F123" s="174">
        <v>3</v>
      </c>
      <c r="G123" s="169">
        <f t="shared" si="3"/>
        <v>31</v>
      </c>
      <c r="H123">
        <f t="shared" si="4"/>
        <v>7.9714833018559972</v>
      </c>
      <c r="I123">
        <f t="shared" si="5"/>
        <v>23.028516698144003</v>
      </c>
    </row>
    <row r="124" spans="1:9" ht="15" thickBot="1" x14ac:dyDescent="0.4">
      <c r="A124" s="171">
        <v>38292</v>
      </c>
      <c r="B124" t="s">
        <v>537</v>
      </c>
      <c r="C124" s="172"/>
      <c r="D124" t="s">
        <v>538</v>
      </c>
      <c r="E124" s="173">
        <v>42</v>
      </c>
      <c r="F124" s="174">
        <v>28</v>
      </c>
      <c r="G124" s="169">
        <f t="shared" si="3"/>
        <v>14</v>
      </c>
      <c r="H124">
        <f t="shared" si="4"/>
        <v>2.3221140424242588</v>
      </c>
      <c r="I124">
        <f t="shared" si="5"/>
        <v>11.677885957575741</v>
      </c>
    </row>
    <row r="125" spans="1:9" ht="15" thickBot="1" x14ac:dyDescent="0.4">
      <c r="A125" s="171">
        <v>38292</v>
      </c>
      <c r="B125" t="s">
        <v>532</v>
      </c>
      <c r="C125" s="172"/>
      <c r="D125" t="s">
        <v>548</v>
      </c>
      <c r="E125" s="173">
        <v>24</v>
      </c>
      <c r="F125" s="174">
        <v>9</v>
      </c>
      <c r="G125" s="169">
        <f t="shared" si="3"/>
        <v>15</v>
      </c>
      <c r="H125">
        <f t="shared" si="4"/>
        <v>8.8008915050189138</v>
      </c>
      <c r="I125">
        <f t="shared" si="5"/>
        <v>6.1991084949810862</v>
      </c>
    </row>
    <row r="126" spans="1:9" ht="15" thickBot="1" x14ac:dyDescent="0.4">
      <c r="A126" s="171">
        <v>38292</v>
      </c>
      <c r="B126" t="s">
        <v>526</v>
      </c>
      <c r="C126" s="172" t="s">
        <v>527</v>
      </c>
      <c r="D126" t="s">
        <v>531</v>
      </c>
      <c r="E126" s="173">
        <v>23</v>
      </c>
      <c r="F126" s="174">
        <v>16</v>
      </c>
      <c r="G126" s="169">
        <f t="shared" si="3"/>
        <v>7</v>
      </c>
      <c r="H126">
        <f t="shared" si="4"/>
        <v>-4.4047951107416248</v>
      </c>
      <c r="I126">
        <f t="shared" si="5"/>
        <v>11.404795110741624</v>
      </c>
    </row>
    <row r="127" spans="1:9" ht="15" thickBot="1" x14ac:dyDescent="0.4">
      <c r="A127" s="171">
        <v>38292</v>
      </c>
      <c r="B127" t="s">
        <v>520</v>
      </c>
      <c r="C127" s="172" t="s">
        <v>527</v>
      </c>
      <c r="D127" t="s">
        <v>547</v>
      </c>
      <c r="E127" s="173">
        <v>38</v>
      </c>
      <c r="F127" s="174">
        <v>14</v>
      </c>
      <c r="G127" s="169">
        <f t="shared" si="3"/>
        <v>24</v>
      </c>
      <c r="H127">
        <f t="shared" si="4"/>
        <v>-0.80712624108368258</v>
      </c>
      <c r="I127">
        <f t="shared" si="5"/>
        <v>24.807126241083683</v>
      </c>
    </row>
    <row r="128" spans="1:9" ht="15" thickBot="1" x14ac:dyDescent="0.4">
      <c r="A128" s="171">
        <v>38292</v>
      </c>
      <c r="B128" t="s">
        <v>540</v>
      </c>
      <c r="C128" s="172" t="s">
        <v>527</v>
      </c>
      <c r="D128" t="s">
        <v>534</v>
      </c>
      <c r="E128" s="173">
        <v>41</v>
      </c>
      <c r="F128" s="174">
        <v>9</v>
      </c>
      <c r="G128" s="169">
        <f t="shared" si="3"/>
        <v>32</v>
      </c>
      <c r="H128">
        <f t="shared" si="4"/>
        <v>8.3763504523341421</v>
      </c>
      <c r="I128">
        <f t="shared" si="5"/>
        <v>23.623649547665856</v>
      </c>
    </row>
    <row r="129" spans="1:9" ht="15" thickBot="1" x14ac:dyDescent="0.4">
      <c r="A129" s="171">
        <v>38292</v>
      </c>
      <c r="B129" t="s">
        <v>543</v>
      </c>
      <c r="C129" s="172" t="s">
        <v>527</v>
      </c>
      <c r="D129" t="s">
        <v>528</v>
      </c>
      <c r="E129" s="173">
        <v>37</v>
      </c>
      <c r="F129" s="174">
        <v>21</v>
      </c>
      <c r="G129" s="169">
        <f t="shared" si="3"/>
        <v>16</v>
      </c>
      <c r="H129">
        <f t="shared" si="4"/>
        <v>2.6734153130871454</v>
      </c>
      <c r="I129">
        <f t="shared" si="5"/>
        <v>13.326584686912854</v>
      </c>
    </row>
    <row r="130" spans="1:9" ht="15" thickBot="1" x14ac:dyDescent="0.4">
      <c r="A130" s="171">
        <v>38292</v>
      </c>
      <c r="B130" t="s">
        <v>523</v>
      </c>
      <c r="C130" s="172"/>
      <c r="D130" t="s">
        <v>551</v>
      </c>
      <c r="E130" s="173">
        <v>13</v>
      </c>
      <c r="F130" s="174">
        <v>6</v>
      </c>
      <c r="G130" s="169">
        <f t="shared" si="3"/>
        <v>7</v>
      </c>
      <c r="H130">
        <f t="shared" si="4"/>
        <v>2.9288282714902665</v>
      </c>
      <c r="I130">
        <f t="shared" si="5"/>
        <v>4.071171728509734</v>
      </c>
    </row>
    <row r="131" spans="1:9" ht="15" thickBot="1" x14ac:dyDescent="0.4">
      <c r="A131" s="171">
        <v>38292</v>
      </c>
      <c r="B131" t="s">
        <v>544</v>
      </c>
      <c r="C131" s="172" t="s">
        <v>527</v>
      </c>
      <c r="D131" t="s">
        <v>549</v>
      </c>
      <c r="E131" s="173">
        <v>25</v>
      </c>
      <c r="F131" s="174">
        <v>17</v>
      </c>
      <c r="G131" s="169">
        <f t="shared" ref="G131:G194" si="6">E131-F131</f>
        <v>8</v>
      </c>
      <c r="H131">
        <f t="shared" ref="H131:H194" si="7">INDEX($M$3:$M$34,MATCH(B131,$L$3:$L$34,0))-INDEX($M$3:$M$34,MATCH(D131,$L$3:$L$34,0))+IF(C131="",M$1,-M$1)</f>
        <v>-0.96118981837147777</v>
      </c>
      <c r="I131">
        <f t="shared" ref="I131:I194" si="8">ABS(G131-H131)</f>
        <v>8.9611898183714782</v>
      </c>
    </row>
    <row r="132" spans="1:9" ht="15" thickBot="1" x14ac:dyDescent="0.4">
      <c r="A132" s="171">
        <v>38292</v>
      </c>
      <c r="B132" t="s">
        <v>530</v>
      </c>
      <c r="C132" s="172" t="s">
        <v>527</v>
      </c>
      <c r="D132" t="s">
        <v>546</v>
      </c>
      <c r="E132" s="173">
        <v>19</v>
      </c>
      <c r="F132" s="174">
        <v>17</v>
      </c>
      <c r="G132" s="169">
        <f t="shared" si="6"/>
        <v>2</v>
      </c>
      <c r="H132">
        <f t="shared" si="7"/>
        <v>1.5196092280360194</v>
      </c>
      <c r="I132">
        <f t="shared" si="8"/>
        <v>0.48039077196398061</v>
      </c>
    </row>
    <row r="133" spans="1:9" ht="15" thickBot="1" x14ac:dyDescent="0.4">
      <c r="A133" s="171">
        <v>38292</v>
      </c>
      <c r="B133" t="s">
        <v>539</v>
      </c>
      <c r="C133" s="172"/>
      <c r="D133" t="s">
        <v>552</v>
      </c>
      <c r="E133" s="173">
        <v>45</v>
      </c>
      <c r="F133" s="174">
        <v>35</v>
      </c>
      <c r="G133" s="169">
        <f t="shared" si="6"/>
        <v>10</v>
      </c>
      <c r="H133">
        <f t="shared" si="7"/>
        <v>6.4294937501388496</v>
      </c>
      <c r="I133">
        <f t="shared" si="8"/>
        <v>3.5705062498611504</v>
      </c>
    </row>
    <row r="134" spans="1:9" ht="15" thickBot="1" x14ac:dyDescent="0.4">
      <c r="A134" s="171">
        <v>38292</v>
      </c>
      <c r="B134" t="s">
        <v>529</v>
      </c>
      <c r="C134" s="172"/>
      <c r="D134" t="s">
        <v>550</v>
      </c>
      <c r="E134" s="173">
        <v>31</v>
      </c>
      <c r="F134" s="174">
        <v>17</v>
      </c>
      <c r="G134" s="169">
        <f t="shared" si="6"/>
        <v>14</v>
      </c>
      <c r="H134">
        <f t="shared" si="7"/>
        <v>10.260549476708603</v>
      </c>
      <c r="I134">
        <f t="shared" si="8"/>
        <v>3.7394505232913975</v>
      </c>
    </row>
    <row r="135" spans="1:9" ht="15" thickBot="1" x14ac:dyDescent="0.4">
      <c r="A135" s="171">
        <v>38657</v>
      </c>
      <c r="B135" t="s">
        <v>524</v>
      </c>
      <c r="C135" s="172" t="s">
        <v>527</v>
      </c>
      <c r="D135" t="s">
        <v>545</v>
      </c>
      <c r="E135" s="173">
        <v>28</v>
      </c>
      <c r="F135" s="174">
        <v>14</v>
      </c>
      <c r="G135" s="169">
        <f t="shared" si="6"/>
        <v>14</v>
      </c>
      <c r="H135">
        <f t="shared" si="7"/>
        <v>-4.8093581870792033</v>
      </c>
      <c r="I135">
        <f t="shared" si="8"/>
        <v>18.809358187079205</v>
      </c>
    </row>
    <row r="136" spans="1:9" ht="15" thickBot="1" x14ac:dyDescent="0.4">
      <c r="A136" s="171">
        <v>39753</v>
      </c>
      <c r="B136" t="s">
        <v>526</v>
      </c>
      <c r="C136" s="172"/>
      <c r="D136" t="s">
        <v>537</v>
      </c>
      <c r="E136" s="173">
        <v>52</v>
      </c>
      <c r="F136" s="174">
        <v>21</v>
      </c>
      <c r="G136" s="169">
        <f t="shared" si="6"/>
        <v>31</v>
      </c>
      <c r="H136">
        <f t="shared" si="7"/>
        <v>7.4226531591269129</v>
      </c>
      <c r="I136">
        <f t="shared" si="8"/>
        <v>23.577346840873087</v>
      </c>
    </row>
    <row r="137" spans="1:9" ht="15" thickBot="1" x14ac:dyDescent="0.4">
      <c r="A137" s="171">
        <v>40848</v>
      </c>
      <c r="B137" t="s">
        <v>547</v>
      </c>
      <c r="C137" s="172" t="s">
        <v>527</v>
      </c>
      <c r="D137" t="s">
        <v>538</v>
      </c>
      <c r="E137" s="173">
        <v>16</v>
      </c>
      <c r="F137" s="174">
        <v>3</v>
      </c>
      <c r="G137" s="169">
        <f t="shared" si="6"/>
        <v>13</v>
      </c>
      <c r="H137">
        <f t="shared" si="7"/>
        <v>-1.9987462193069703</v>
      </c>
      <c r="I137">
        <f t="shared" si="8"/>
        <v>14.99874621930697</v>
      </c>
    </row>
    <row r="138" spans="1:9" ht="15" thickBot="1" x14ac:dyDescent="0.4">
      <c r="A138" s="171">
        <v>40848</v>
      </c>
      <c r="B138" t="s">
        <v>543</v>
      </c>
      <c r="C138" s="172"/>
      <c r="D138" t="s">
        <v>525</v>
      </c>
      <c r="E138" s="173">
        <v>26</v>
      </c>
      <c r="F138" s="174">
        <v>14</v>
      </c>
      <c r="G138" s="169">
        <f t="shared" si="6"/>
        <v>12</v>
      </c>
      <c r="H138">
        <f t="shared" si="7"/>
        <v>16.379350219762223</v>
      </c>
      <c r="I138">
        <f t="shared" si="8"/>
        <v>4.3793502197622232</v>
      </c>
    </row>
    <row r="139" spans="1:9" ht="15" thickBot="1" x14ac:dyDescent="0.4">
      <c r="A139" s="171">
        <v>40848</v>
      </c>
      <c r="B139" t="s">
        <v>540</v>
      </c>
      <c r="C139" s="172"/>
      <c r="D139" t="s">
        <v>548</v>
      </c>
      <c r="E139" s="173">
        <v>34</v>
      </c>
      <c r="F139" s="174">
        <v>22</v>
      </c>
      <c r="G139" s="169">
        <f t="shared" si="6"/>
        <v>12</v>
      </c>
      <c r="H139">
        <f t="shared" si="7"/>
        <v>11.400466994119411</v>
      </c>
      <c r="I139">
        <f t="shared" si="8"/>
        <v>0.59953300588058944</v>
      </c>
    </row>
    <row r="140" spans="1:9" ht="15" thickBot="1" x14ac:dyDescent="0.4">
      <c r="A140" s="171">
        <v>40848</v>
      </c>
      <c r="B140" t="s">
        <v>528</v>
      </c>
      <c r="C140" s="172"/>
      <c r="D140" t="s">
        <v>520</v>
      </c>
      <c r="E140" s="173">
        <v>28</v>
      </c>
      <c r="F140" s="174">
        <v>16</v>
      </c>
      <c r="G140" s="169">
        <f t="shared" si="6"/>
        <v>12</v>
      </c>
      <c r="H140">
        <f t="shared" si="7"/>
        <v>4.085764007613923</v>
      </c>
      <c r="I140">
        <f t="shared" si="8"/>
        <v>7.914235992386077</v>
      </c>
    </row>
    <row r="141" spans="1:9" ht="15" thickBot="1" x14ac:dyDescent="0.4">
      <c r="A141" s="171">
        <v>40848</v>
      </c>
      <c r="B141" t="s">
        <v>539</v>
      </c>
      <c r="C141" s="172" t="s">
        <v>527</v>
      </c>
      <c r="D141" t="s">
        <v>541</v>
      </c>
      <c r="E141" s="173">
        <v>51</v>
      </c>
      <c r="F141" s="174">
        <v>14</v>
      </c>
      <c r="G141" s="169">
        <f t="shared" si="6"/>
        <v>37</v>
      </c>
      <c r="H141">
        <f t="shared" si="7"/>
        <v>10.16845830963473</v>
      </c>
      <c r="I141">
        <f t="shared" si="8"/>
        <v>26.83154169036527</v>
      </c>
    </row>
    <row r="142" spans="1:9" ht="15" thickBot="1" x14ac:dyDescent="0.4">
      <c r="A142" s="171">
        <v>40848</v>
      </c>
      <c r="B142" t="s">
        <v>542</v>
      </c>
      <c r="C142" s="172"/>
      <c r="D142" t="s">
        <v>535</v>
      </c>
      <c r="E142" s="173">
        <v>29</v>
      </c>
      <c r="F142" s="174">
        <v>26</v>
      </c>
      <c r="G142" s="169">
        <f t="shared" si="6"/>
        <v>3</v>
      </c>
      <c r="H142">
        <f t="shared" si="7"/>
        <v>6.6695339681391541</v>
      </c>
      <c r="I142">
        <f t="shared" si="8"/>
        <v>3.6695339681391541</v>
      </c>
    </row>
    <row r="143" spans="1:9" ht="15" thickBot="1" x14ac:dyDescent="0.4">
      <c r="A143" s="171">
        <v>40848</v>
      </c>
      <c r="B143" t="s">
        <v>534</v>
      </c>
      <c r="C143" s="172" t="s">
        <v>527</v>
      </c>
      <c r="D143" t="s">
        <v>551</v>
      </c>
      <c r="E143" s="173">
        <v>41</v>
      </c>
      <c r="F143" s="174">
        <v>10</v>
      </c>
      <c r="G143" s="169">
        <f t="shared" si="6"/>
        <v>31</v>
      </c>
      <c r="H143">
        <f t="shared" si="7"/>
        <v>-0.74415178278947947</v>
      </c>
      <c r="I143">
        <f t="shared" si="8"/>
        <v>31.74415178278948</v>
      </c>
    </row>
    <row r="144" spans="1:9" ht="15" thickBot="1" x14ac:dyDescent="0.4">
      <c r="A144" s="171">
        <v>40848</v>
      </c>
      <c r="B144" t="s">
        <v>524</v>
      </c>
      <c r="C144" s="172"/>
      <c r="D144" t="s">
        <v>529</v>
      </c>
      <c r="E144" s="173">
        <v>34</v>
      </c>
      <c r="F144" s="174">
        <v>10</v>
      </c>
      <c r="G144" s="169">
        <f t="shared" si="6"/>
        <v>24</v>
      </c>
      <c r="H144">
        <f t="shared" si="7"/>
        <v>-6.1528276198531131</v>
      </c>
      <c r="I144">
        <f t="shared" si="8"/>
        <v>30.152827619853113</v>
      </c>
    </row>
    <row r="145" spans="1:9" ht="15" thickBot="1" x14ac:dyDescent="0.4">
      <c r="A145" s="171">
        <v>40848</v>
      </c>
      <c r="B145" t="s">
        <v>544</v>
      </c>
      <c r="C145" s="172" t="s">
        <v>527</v>
      </c>
      <c r="D145" t="s">
        <v>553</v>
      </c>
      <c r="E145" s="173">
        <v>20</v>
      </c>
      <c r="F145" s="174">
        <v>6</v>
      </c>
      <c r="G145" s="169">
        <f t="shared" si="6"/>
        <v>14</v>
      </c>
      <c r="H145">
        <f t="shared" si="7"/>
        <v>11.629004699902858</v>
      </c>
      <c r="I145">
        <f t="shared" si="8"/>
        <v>2.3709953000971424</v>
      </c>
    </row>
    <row r="146" spans="1:9" ht="15" thickBot="1" x14ac:dyDescent="0.4">
      <c r="A146" s="171">
        <v>40848</v>
      </c>
      <c r="B146" t="s">
        <v>550</v>
      </c>
      <c r="C146" s="172"/>
      <c r="D146" t="s">
        <v>523</v>
      </c>
      <c r="E146" s="173">
        <v>31</v>
      </c>
      <c r="F146" s="174">
        <v>12</v>
      </c>
      <c r="G146" s="169">
        <f t="shared" si="6"/>
        <v>19</v>
      </c>
      <c r="H146">
        <f t="shared" si="7"/>
        <v>8.7063087515442135</v>
      </c>
      <c r="I146">
        <f t="shared" si="8"/>
        <v>10.293691248455787</v>
      </c>
    </row>
    <row r="147" spans="1:9" ht="15" thickBot="1" x14ac:dyDescent="0.4">
      <c r="A147" s="171">
        <v>40848</v>
      </c>
      <c r="B147" t="s">
        <v>552</v>
      </c>
      <c r="C147" s="172"/>
      <c r="D147" t="s">
        <v>549</v>
      </c>
      <c r="E147" s="173">
        <v>36</v>
      </c>
      <c r="F147" s="174">
        <v>31</v>
      </c>
      <c r="G147" s="169">
        <f t="shared" si="6"/>
        <v>5</v>
      </c>
      <c r="H147">
        <f t="shared" si="7"/>
        <v>6.2725019531994182</v>
      </c>
      <c r="I147">
        <f t="shared" si="8"/>
        <v>1.2725019531994182</v>
      </c>
    </row>
    <row r="148" spans="1:9" ht="15" thickBot="1" x14ac:dyDescent="0.4">
      <c r="A148" s="171">
        <v>40848</v>
      </c>
      <c r="B148" t="s">
        <v>545</v>
      </c>
      <c r="C148" s="172" t="s">
        <v>527</v>
      </c>
      <c r="D148" t="s">
        <v>519</v>
      </c>
      <c r="E148" s="173">
        <v>27</v>
      </c>
      <c r="F148" s="174">
        <v>20</v>
      </c>
      <c r="G148" s="169">
        <f t="shared" si="6"/>
        <v>7</v>
      </c>
      <c r="H148">
        <f t="shared" si="7"/>
        <v>0.3997155086038906</v>
      </c>
      <c r="I148">
        <f t="shared" si="8"/>
        <v>6.6002844913961098</v>
      </c>
    </row>
    <row r="149" spans="1:9" ht="15" thickBot="1" x14ac:dyDescent="0.4">
      <c r="A149" s="171">
        <v>41214</v>
      </c>
      <c r="B149" t="s">
        <v>536</v>
      </c>
      <c r="C149" s="172" t="s">
        <v>527</v>
      </c>
      <c r="D149" t="s">
        <v>533</v>
      </c>
      <c r="E149" s="173">
        <v>27</v>
      </c>
      <c r="F149" s="174">
        <v>23</v>
      </c>
      <c r="G149" s="169">
        <f t="shared" si="6"/>
        <v>4</v>
      </c>
      <c r="H149">
        <f t="shared" si="7"/>
        <v>0.31836015252368233</v>
      </c>
      <c r="I149">
        <f t="shared" si="8"/>
        <v>3.6816398474763177</v>
      </c>
    </row>
    <row r="150" spans="1:9" ht="15" thickBot="1" x14ac:dyDescent="0.4">
      <c r="A150" s="171">
        <v>42309</v>
      </c>
      <c r="B150" t="s">
        <v>549</v>
      </c>
      <c r="C150" s="172"/>
      <c r="D150" t="s">
        <v>550</v>
      </c>
      <c r="E150" s="173">
        <v>27</v>
      </c>
      <c r="F150" s="174">
        <v>24</v>
      </c>
      <c r="G150" s="169">
        <f t="shared" si="6"/>
        <v>3</v>
      </c>
      <c r="H150">
        <f t="shared" si="7"/>
        <v>5.4171853965339203</v>
      </c>
      <c r="I150">
        <f t="shared" si="8"/>
        <v>2.4171853965339203</v>
      </c>
    </row>
    <row r="151" spans="1:9" ht="15" thickBot="1" x14ac:dyDescent="0.4">
      <c r="A151" s="171">
        <v>43405</v>
      </c>
      <c r="B151" t="s">
        <v>531</v>
      </c>
      <c r="C151" s="172"/>
      <c r="D151" t="s">
        <v>541</v>
      </c>
      <c r="E151" s="173">
        <v>24</v>
      </c>
      <c r="F151" s="174">
        <v>21</v>
      </c>
      <c r="G151" s="169">
        <f t="shared" si="6"/>
        <v>3</v>
      </c>
      <c r="H151">
        <f t="shared" si="7"/>
        <v>8.7210930865074001</v>
      </c>
      <c r="I151">
        <f t="shared" si="8"/>
        <v>5.7210930865074001</v>
      </c>
    </row>
    <row r="152" spans="1:9" ht="15" thickBot="1" x14ac:dyDescent="0.4">
      <c r="A152" s="171">
        <v>43405</v>
      </c>
      <c r="B152" t="s">
        <v>545</v>
      </c>
      <c r="C152" s="172" t="s">
        <v>527</v>
      </c>
      <c r="D152" t="s">
        <v>520</v>
      </c>
      <c r="E152" s="173">
        <v>22</v>
      </c>
      <c r="F152" s="174">
        <v>19</v>
      </c>
      <c r="G152" s="169">
        <f t="shared" si="6"/>
        <v>3</v>
      </c>
      <c r="H152">
        <f t="shared" si="7"/>
        <v>0.39883400591968998</v>
      </c>
      <c r="I152">
        <f t="shared" si="8"/>
        <v>2.60116599408031</v>
      </c>
    </row>
    <row r="153" spans="1:9" ht="15" thickBot="1" x14ac:dyDescent="0.4">
      <c r="A153" s="171">
        <v>43405</v>
      </c>
      <c r="B153" t="s">
        <v>542</v>
      </c>
      <c r="C153" s="172"/>
      <c r="D153" t="s">
        <v>524</v>
      </c>
      <c r="E153" s="173">
        <v>38</v>
      </c>
      <c r="F153" s="174">
        <v>10</v>
      </c>
      <c r="G153" s="169">
        <f t="shared" si="6"/>
        <v>28</v>
      </c>
      <c r="H153">
        <f t="shared" si="7"/>
        <v>0.40915340666348632</v>
      </c>
      <c r="I153">
        <f t="shared" si="8"/>
        <v>27.590846593336515</v>
      </c>
    </row>
    <row r="154" spans="1:9" ht="15" thickBot="1" x14ac:dyDescent="0.4">
      <c r="A154" s="171">
        <v>43405</v>
      </c>
      <c r="B154" t="s">
        <v>530</v>
      </c>
      <c r="C154" s="172" t="s">
        <v>527</v>
      </c>
      <c r="D154" t="s">
        <v>547</v>
      </c>
      <c r="E154" s="173">
        <v>23</v>
      </c>
      <c r="F154" s="174">
        <v>21</v>
      </c>
      <c r="G154" s="169">
        <f t="shared" si="6"/>
        <v>2</v>
      </c>
      <c r="H154">
        <f t="shared" si="7"/>
        <v>2.5917083807145542</v>
      </c>
      <c r="I154">
        <f t="shared" si="8"/>
        <v>0.59170838071455423</v>
      </c>
    </row>
    <row r="155" spans="1:9" ht="15" thickBot="1" x14ac:dyDescent="0.4">
      <c r="A155" s="171">
        <v>43405</v>
      </c>
      <c r="B155" t="s">
        <v>548</v>
      </c>
      <c r="C155" s="172"/>
      <c r="D155" t="s">
        <v>537</v>
      </c>
      <c r="E155" s="173">
        <v>20</v>
      </c>
      <c r="F155" s="174">
        <v>19</v>
      </c>
      <c r="G155" s="169">
        <f t="shared" si="6"/>
        <v>1</v>
      </c>
      <c r="H155">
        <f t="shared" si="7"/>
        <v>-0.4435768530899602</v>
      </c>
      <c r="I155">
        <f t="shared" si="8"/>
        <v>1.4435768530899602</v>
      </c>
    </row>
    <row r="156" spans="1:9" ht="15" thickBot="1" x14ac:dyDescent="0.4">
      <c r="A156" s="171">
        <v>43405</v>
      </c>
      <c r="B156" t="s">
        <v>536</v>
      </c>
      <c r="C156" s="172"/>
      <c r="D156" t="s">
        <v>538</v>
      </c>
      <c r="E156" s="173">
        <v>38</v>
      </c>
      <c r="F156" s="174">
        <v>35</v>
      </c>
      <c r="G156" s="169">
        <f t="shared" si="6"/>
        <v>3</v>
      </c>
      <c r="H156">
        <f t="shared" si="7"/>
        <v>2.9955132351639993</v>
      </c>
      <c r="I156">
        <f t="shared" si="8"/>
        <v>4.486764836000745E-3</v>
      </c>
    </row>
    <row r="157" spans="1:9" ht="15" thickBot="1" x14ac:dyDescent="0.4">
      <c r="A157" s="171">
        <v>43405</v>
      </c>
      <c r="B157" t="s">
        <v>526</v>
      </c>
      <c r="C157" s="172" t="s">
        <v>527</v>
      </c>
      <c r="D157" t="s">
        <v>535</v>
      </c>
      <c r="E157" s="173">
        <v>20</v>
      </c>
      <c r="F157" s="174">
        <v>16</v>
      </c>
      <c r="G157" s="169">
        <f t="shared" si="6"/>
        <v>4</v>
      </c>
      <c r="H157">
        <f t="shared" si="7"/>
        <v>7.8182807701582178</v>
      </c>
      <c r="I157">
        <f t="shared" si="8"/>
        <v>3.8182807701582178</v>
      </c>
    </row>
    <row r="158" spans="1:9" ht="15" thickBot="1" x14ac:dyDescent="0.4">
      <c r="A158" s="171">
        <v>43405</v>
      </c>
      <c r="B158" t="s">
        <v>546</v>
      </c>
      <c r="C158" s="172" t="s">
        <v>527</v>
      </c>
      <c r="D158" t="s">
        <v>544</v>
      </c>
      <c r="E158" s="173">
        <v>23</v>
      </c>
      <c r="F158" s="174">
        <v>22</v>
      </c>
      <c r="G158" s="169">
        <f t="shared" si="6"/>
        <v>1</v>
      </c>
      <c r="H158">
        <f t="shared" si="7"/>
        <v>-7.2613215473156139</v>
      </c>
      <c r="I158">
        <f t="shared" si="8"/>
        <v>8.2613215473156139</v>
      </c>
    </row>
    <row r="159" spans="1:9" ht="15" thickBot="1" x14ac:dyDescent="0.4">
      <c r="A159" s="171">
        <v>43405</v>
      </c>
      <c r="B159" t="s">
        <v>553</v>
      </c>
      <c r="C159" s="172" t="s">
        <v>527</v>
      </c>
      <c r="D159" t="s">
        <v>525</v>
      </c>
      <c r="E159" s="173">
        <v>23</v>
      </c>
      <c r="F159" s="174">
        <v>21</v>
      </c>
      <c r="G159" s="169">
        <f t="shared" si="6"/>
        <v>2</v>
      </c>
      <c r="H159">
        <f t="shared" si="7"/>
        <v>-3.870618027205865</v>
      </c>
      <c r="I159">
        <f t="shared" si="8"/>
        <v>5.8706180272058646</v>
      </c>
    </row>
    <row r="160" spans="1:9" ht="15" thickBot="1" x14ac:dyDescent="0.4">
      <c r="A160" s="171">
        <v>43405</v>
      </c>
      <c r="B160" t="s">
        <v>539</v>
      </c>
      <c r="C160" s="172"/>
      <c r="D160" t="s">
        <v>519</v>
      </c>
      <c r="E160" s="173">
        <v>48</v>
      </c>
      <c r="F160" s="174">
        <v>7</v>
      </c>
      <c r="G160" s="169">
        <f t="shared" si="6"/>
        <v>41</v>
      </c>
      <c r="H160">
        <f t="shared" si="7"/>
        <v>14.002749031518185</v>
      </c>
      <c r="I160">
        <f t="shared" si="8"/>
        <v>26.997250968481815</v>
      </c>
    </row>
    <row r="161" spans="1:9" ht="15" thickBot="1" x14ac:dyDescent="0.4">
      <c r="A161" s="171">
        <v>43405</v>
      </c>
      <c r="B161" t="s">
        <v>540</v>
      </c>
      <c r="C161" s="172"/>
      <c r="D161" t="s">
        <v>532</v>
      </c>
      <c r="E161" s="173">
        <v>25</v>
      </c>
      <c r="F161" s="174">
        <v>20</v>
      </c>
      <c r="G161" s="169">
        <f t="shared" si="6"/>
        <v>5</v>
      </c>
      <c r="H161">
        <f t="shared" si="7"/>
        <v>4.8000417225888947</v>
      </c>
      <c r="I161">
        <f t="shared" si="8"/>
        <v>0.19995827741110528</v>
      </c>
    </row>
    <row r="162" spans="1:9" ht="15" thickBot="1" x14ac:dyDescent="0.4">
      <c r="A162" s="171">
        <v>43770</v>
      </c>
      <c r="B162" t="s">
        <v>552</v>
      </c>
      <c r="C162" s="172"/>
      <c r="D162" t="s">
        <v>543</v>
      </c>
      <c r="E162" s="173">
        <v>54</v>
      </c>
      <c r="F162" s="174">
        <v>51</v>
      </c>
      <c r="G162" s="169">
        <f t="shared" si="6"/>
        <v>3</v>
      </c>
      <c r="H162">
        <f t="shared" si="7"/>
        <v>3.0136606914824644</v>
      </c>
      <c r="I162">
        <f t="shared" si="8"/>
        <v>1.3660691482464404E-2</v>
      </c>
    </row>
    <row r="163" spans="1:9" ht="15" thickBot="1" x14ac:dyDescent="0.4">
      <c r="A163" s="171">
        <v>44866</v>
      </c>
      <c r="B163" t="s">
        <v>540</v>
      </c>
      <c r="C163" s="172" t="s">
        <v>527</v>
      </c>
      <c r="D163" t="s">
        <v>548</v>
      </c>
      <c r="E163" s="173">
        <v>23</v>
      </c>
      <c r="F163" s="174">
        <v>16</v>
      </c>
      <c r="G163" s="169">
        <f t="shared" si="6"/>
        <v>7</v>
      </c>
      <c r="H163">
        <f t="shared" si="7"/>
        <v>6.9995345271426128</v>
      </c>
      <c r="I163">
        <f t="shared" si="8"/>
        <v>4.6547285738718358E-4</v>
      </c>
    </row>
    <row r="164" spans="1:9" ht="15" thickBot="1" x14ac:dyDescent="0.4">
      <c r="A164" s="171">
        <v>44866</v>
      </c>
      <c r="B164" t="s">
        <v>545</v>
      </c>
      <c r="C164" s="172"/>
      <c r="D164" t="s">
        <v>547</v>
      </c>
      <c r="E164" s="173">
        <v>31</v>
      </c>
      <c r="F164" s="174">
        <v>23</v>
      </c>
      <c r="G164" s="169">
        <f t="shared" si="6"/>
        <v>8</v>
      </c>
      <c r="H164">
        <f t="shared" si="7"/>
        <v>6.1931064653012022</v>
      </c>
      <c r="I164">
        <f t="shared" si="8"/>
        <v>1.8068935346987978</v>
      </c>
    </row>
    <row r="165" spans="1:9" ht="15" thickBot="1" x14ac:dyDescent="0.4">
      <c r="A165" s="171">
        <v>44866</v>
      </c>
      <c r="B165" t="s">
        <v>539</v>
      </c>
      <c r="C165" s="172"/>
      <c r="D165" t="s">
        <v>520</v>
      </c>
      <c r="E165" s="173">
        <v>31</v>
      </c>
      <c r="F165" s="174">
        <v>17</v>
      </c>
      <c r="G165" s="169">
        <f t="shared" si="6"/>
        <v>14</v>
      </c>
      <c r="H165">
        <f t="shared" si="7"/>
        <v>14.001867528833984</v>
      </c>
      <c r="I165">
        <f t="shared" si="8"/>
        <v>1.8675288339835561E-3</v>
      </c>
    </row>
    <row r="166" spans="1:9" ht="15" thickBot="1" x14ac:dyDescent="0.4">
      <c r="A166" s="171">
        <v>45962</v>
      </c>
      <c r="B166" t="s">
        <v>529</v>
      </c>
      <c r="C166" s="172" t="s">
        <v>527</v>
      </c>
      <c r="D166" t="s">
        <v>551</v>
      </c>
      <c r="E166" s="173">
        <v>27</v>
      </c>
      <c r="F166" s="174">
        <v>13</v>
      </c>
      <c r="G166" s="169">
        <f t="shared" si="6"/>
        <v>14</v>
      </c>
      <c r="H166">
        <f t="shared" si="7"/>
        <v>13.093821565789487</v>
      </c>
      <c r="I166">
        <f t="shared" si="8"/>
        <v>0.90617843421051347</v>
      </c>
    </row>
    <row r="167" spans="1:9" ht="15" thickBot="1" x14ac:dyDescent="0.4">
      <c r="A167" s="171">
        <v>45962</v>
      </c>
      <c r="B167" t="s">
        <v>528</v>
      </c>
      <c r="C167" s="172" t="s">
        <v>527</v>
      </c>
      <c r="D167" t="s">
        <v>541</v>
      </c>
      <c r="E167" s="173">
        <v>35</v>
      </c>
      <c r="F167" s="174">
        <v>20</v>
      </c>
      <c r="G167" s="169">
        <f t="shared" si="6"/>
        <v>15</v>
      </c>
      <c r="H167">
        <f t="shared" si="7"/>
        <v>0.25235478841467041</v>
      </c>
      <c r="I167">
        <f t="shared" si="8"/>
        <v>14.747645211585329</v>
      </c>
    </row>
    <row r="168" spans="1:9" ht="15" thickBot="1" x14ac:dyDescent="0.4">
      <c r="A168" s="171">
        <v>45962</v>
      </c>
      <c r="B168" t="s">
        <v>534</v>
      </c>
      <c r="C168" s="172"/>
      <c r="D168" t="s">
        <v>535</v>
      </c>
      <c r="E168" s="173">
        <v>24</v>
      </c>
      <c r="F168" s="174">
        <v>21</v>
      </c>
      <c r="G168" s="169">
        <f t="shared" si="6"/>
        <v>3</v>
      </c>
      <c r="H168">
        <f t="shared" si="7"/>
        <v>2.9761672997266113</v>
      </c>
      <c r="I168">
        <f t="shared" si="8"/>
        <v>2.3832700273388685E-2</v>
      </c>
    </row>
    <row r="169" spans="1:9" ht="15" thickBot="1" x14ac:dyDescent="0.4">
      <c r="A169" s="171">
        <v>45962</v>
      </c>
      <c r="B169" t="s">
        <v>519</v>
      </c>
      <c r="C169" s="172"/>
      <c r="D169" t="s">
        <v>536</v>
      </c>
      <c r="E169" s="173">
        <v>25</v>
      </c>
      <c r="F169" s="174">
        <v>22</v>
      </c>
      <c r="G169" s="169">
        <f t="shared" si="6"/>
        <v>3</v>
      </c>
      <c r="H169">
        <f t="shared" si="7"/>
        <v>2.9995977357147412</v>
      </c>
      <c r="I169">
        <f t="shared" si="8"/>
        <v>4.0226428525880209E-4</v>
      </c>
    </row>
    <row r="170" spans="1:9" ht="15" thickBot="1" x14ac:dyDescent="0.4">
      <c r="A170" s="171">
        <v>45962</v>
      </c>
      <c r="B170" t="s">
        <v>549</v>
      </c>
      <c r="C170" s="172" t="s">
        <v>527</v>
      </c>
      <c r="D170" t="s">
        <v>537</v>
      </c>
      <c r="E170" s="173">
        <v>30</v>
      </c>
      <c r="F170" s="174">
        <v>27</v>
      </c>
      <c r="G170" s="169">
        <f t="shared" si="6"/>
        <v>3</v>
      </c>
      <c r="H170">
        <f t="shared" si="7"/>
        <v>2.7732840231459996</v>
      </c>
      <c r="I170">
        <f t="shared" si="8"/>
        <v>0.22671597685400036</v>
      </c>
    </row>
    <row r="171" spans="1:9" ht="15" thickBot="1" x14ac:dyDescent="0.4">
      <c r="A171" s="171">
        <v>45962</v>
      </c>
      <c r="B171" t="s">
        <v>531</v>
      </c>
      <c r="C171" s="172"/>
      <c r="D171" t="s">
        <v>553</v>
      </c>
      <c r="E171" s="173">
        <v>34</v>
      </c>
      <c r="F171" s="174">
        <v>17</v>
      </c>
      <c r="G171" s="169">
        <f t="shared" si="6"/>
        <v>17</v>
      </c>
      <c r="H171">
        <f t="shared" si="7"/>
        <v>17.243426298020079</v>
      </c>
      <c r="I171">
        <f t="shared" si="8"/>
        <v>0.2434262980200792</v>
      </c>
    </row>
    <row r="172" spans="1:9" ht="15" thickBot="1" x14ac:dyDescent="0.4">
      <c r="A172" s="171">
        <v>45962</v>
      </c>
      <c r="B172" t="s">
        <v>538</v>
      </c>
      <c r="C172" s="172"/>
      <c r="D172" t="s">
        <v>533</v>
      </c>
      <c r="E172" s="173">
        <v>27</v>
      </c>
      <c r="F172" s="174">
        <v>9</v>
      </c>
      <c r="G172" s="169">
        <f t="shared" si="6"/>
        <v>18</v>
      </c>
      <c r="H172">
        <f t="shared" si="7"/>
        <v>3.9242456178248784</v>
      </c>
      <c r="I172">
        <f t="shared" si="8"/>
        <v>14.075754382175122</v>
      </c>
    </row>
    <row r="173" spans="1:9" ht="15" thickBot="1" x14ac:dyDescent="0.4">
      <c r="A173" s="171">
        <v>45962</v>
      </c>
      <c r="B173" t="s">
        <v>544</v>
      </c>
      <c r="C173" s="172"/>
      <c r="D173" t="s">
        <v>525</v>
      </c>
      <c r="E173" s="173">
        <v>45</v>
      </c>
      <c r="F173" s="174">
        <v>10</v>
      </c>
      <c r="G173" s="169">
        <f t="shared" si="6"/>
        <v>35</v>
      </c>
      <c r="H173">
        <f t="shared" si="7"/>
        <v>14.35978537316219</v>
      </c>
      <c r="I173">
        <f t="shared" si="8"/>
        <v>20.64021462683781</v>
      </c>
    </row>
    <row r="174" spans="1:9" ht="15" thickBot="1" x14ac:dyDescent="0.4">
      <c r="A174" s="171">
        <v>45962</v>
      </c>
      <c r="B174" t="s">
        <v>546</v>
      </c>
      <c r="C174" s="172"/>
      <c r="D174" t="s">
        <v>526</v>
      </c>
      <c r="E174" s="173">
        <v>24</v>
      </c>
      <c r="F174" s="174">
        <v>17</v>
      </c>
      <c r="G174" s="169">
        <f t="shared" si="6"/>
        <v>7</v>
      </c>
      <c r="H174">
        <f t="shared" si="7"/>
        <v>-1.8695493342260137</v>
      </c>
      <c r="I174">
        <f t="shared" si="8"/>
        <v>8.8695493342260132</v>
      </c>
    </row>
    <row r="175" spans="1:9" ht="15" thickBot="1" x14ac:dyDescent="0.4">
      <c r="A175" s="171">
        <v>45962</v>
      </c>
      <c r="B175" t="s">
        <v>542</v>
      </c>
      <c r="C175" s="172"/>
      <c r="D175" t="s">
        <v>523</v>
      </c>
      <c r="E175" s="173">
        <v>27</v>
      </c>
      <c r="F175" s="174">
        <v>24</v>
      </c>
      <c r="G175" s="169">
        <f t="shared" si="6"/>
        <v>3</v>
      </c>
      <c r="H175">
        <f t="shared" si="7"/>
        <v>6.621785314597993</v>
      </c>
      <c r="I175">
        <f t="shared" si="8"/>
        <v>3.621785314597993</v>
      </c>
    </row>
    <row r="176" spans="1:9" ht="15" thickBot="1" x14ac:dyDescent="0.4">
      <c r="A176" s="171">
        <v>45962</v>
      </c>
      <c r="B176" t="s">
        <v>532</v>
      </c>
      <c r="C176" s="172"/>
      <c r="D176" t="s">
        <v>550</v>
      </c>
      <c r="E176" s="173">
        <v>24</v>
      </c>
      <c r="F176" s="174">
        <v>17</v>
      </c>
      <c r="G176" s="169">
        <f t="shared" si="6"/>
        <v>7</v>
      </c>
      <c r="H176">
        <f t="shared" si="7"/>
        <v>4.3998173248516794</v>
      </c>
      <c r="I176">
        <f t="shared" si="8"/>
        <v>2.6001826751483206</v>
      </c>
    </row>
    <row r="177" spans="1:9" ht="15" thickBot="1" x14ac:dyDescent="0.4">
      <c r="A177" s="171">
        <v>46327</v>
      </c>
      <c r="B177" t="s">
        <v>530</v>
      </c>
      <c r="C177" s="172"/>
      <c r="D177" t="s">
        <v>524</v>
      </c>
      <c r="E177" s="173">
        <v>34</v>
      </c>
      <c r="F177" s="174">
        <v>17</v>
      </c>
      <c r="G177" s="169">
        <f t="shared" si="6"/>
        <v>17</v>
      </c>
      <c r="H177">
        <f t="shared" si="7"/>
        <v>5.6088925694693526</v>
      </c>
      <c r="I177">
        <f t="shared" si="8"/>
        <v>11.391107430530647</v>
      </c>
    </row>
    <row r="178" spans="1:9" ht="15" thickBot="1" x14ac:dyDescent="0.4">
      <c r="A178" s="171">
        <v>37591</v>
      </c>
      <c r="B178" t="s">
        <v>536</v>
      </c>
      <c r="C178" s="172"/>
      <c r="D178" t="s">
        <v>540</v>
      </c>
      <c r="E178" s="173">
        <v>30</v>
      </c>
      <c r="F178" s="174">
        <v>27</v>
      </c>
      <c r="G178" s="169">
        <f t="shared" si="6"/>
        <v>3</v>
      </c>
      <c r="H178">
        <f t="shared" si="7"/>
        <v>-3.6820922478245142</v>
      </c>
      <c r="I178">
        <f t="shared" si="8"/>
        <v>6.6820922478245137</v>
      </c>
    </row>
    <row r="179" spans="1:9" ht="15" thickBot="1" x14ac:dyDescent="0.4">
      <c r="A179" s="171">
        <v>37591</v>
      </c>
      <c r="B179" t="s">
        <v>525</v>
      </c>
      <c r="C179" s="172" t="s">
        <v>527</v>
      </c>
      <c r="D179" t="s">
        <v>550</v>
      </c>
      <c r="E179" s="173">
        <v>20</v>
      </c>
      <c r="F179" s="174">
        <v>17</v>
      </c>
      <c r="G179" s="169">
        <f t="shared" si="6"/>
        <v>3</v>
      </c>
      <c r="H179">
        <f t="shared" si="7"/>
        <v>-9.9037897949997458</v>
      </c>
      <c r="I179">
        <f t="shared" si="8"/>
        <v>12.903789794999746</v>
      </c>
    </row>
    <row r="180" spans="1:9" ht="15" thickBot="1" x14ac:dyDescent="0.4">
      <c r="A180" s="171">
        <v>37591</v>
      </c>
      <c r="B180" t="s">
        <v>531</v>
      </c>
      <c r="C180" s="172" t="s">
        <v>527</v>
      </c>
      <c r="D180" t="s">
        <v>520</v>
      </c>
      <c r="E180" s="173">
        <v>26</v>
      </c>
      <c r="F180" s="174">
        <v>16</v>
      </c>
      <c r="G180" s="169">
        <f t="shared" si="6"/>
        <v>10</v>
      </c>
      <c r="H180">
        <f t="shared" si="7"/>
        <v>3.752637371753059</v>
      </c>
      <c r="I180">
        <f t="shared" si="8"/>
        <v>6.2473626282469414</v>
      </c>
    </row>
    <row r="181" spans="1:9" ht="15" thickBot="1" x14ac:dyDescent="0.4">
      <c r="A181" s="171">
        <v>37591</v>
      </c>
      <c r="B181" t="s">
        <v>546</v>
      </c>
      <c r="C181" s="172" t="s">
        <v>527</v>
      </c>
      <c r="D181" t="s">
        <v>541</v>
      </c>
      <c r="E181" s="173">
        <v>24</v>
      </c>
      <c r="F181" s="174">
        <v>10</v>
      </c>
      <c r="G181" s="169">
        <f t="shared" si="6"/>
        <v>14</v>
      </c>
      <c r="H181">
        <f t="shared" si="7"/>
        <v>-1.9541838254370347</v>
      </c>
      <c r="I181">
        <f t="shared" si="8"/>
        <v>15.954183825437035</v>
      </c>
    </row>
    <row r="182" spans="1:9" ht="15" thickBot="1" x14ac:dyDescent="0.4">
      <c r="A182" s="171">
        <v>37591</v>
      </c>
      <c r="B182" t="s">
        <v>523</v>
      </c>
      <c r="C182" s="172"/>
      <c r="D182" t="s">
        <v>534</v>
      </c>
      <c r="E182" s="173">
        <v>21</v>
      </c>
      <c r="F182" s="174">
        <v>17</v>
      </c>
      <c r="G182" s="169">
        <f t="shared" si="6"/>
        <v>4</v>
      </c>
      <c r="H182">
        <f t="shared" si="7"/>
        <v>1.4725138207913475</v>
      </c>
      <c r="I182">
        <f t="shared" si="8"/>
        <v>2.5274861792086525</v>
      </c>
    </row>
    <row r="183" spans="1:9" ht="15" thickBot="1" x14ac:dyDescent="0.4">
      <c r="A183" s="171">
        <v>37591</v>
      </c>
      <c r="B183" t="s">
        <v>530</v>
      </c>
      <c r="C183" s="172"/>
      <c r="D183" t="s">
        <v>528</v>
      </c>
      <c r="E183" s="173">
        <v>29</v>
      </c>
      <c r="F183" s="174">
        <v>13</v>
      </c>
      <c r="G183" s="169">
        <f t="shared" si="6"/>
        <v>16</v>
      </c>
      <c r="H183">
        <f t="shared" si="7"/>
        <v>3.7140030811611116</v>
      </c>
      <c r="I183">
        <f t="shared" si="8"/>
        <v>12.285996918838888</v>
      </c>
    </row>
    <row r="184" spans="1:9" ht="15" thickBot="1" x14ac:dyDescent="0.4">
      <c r="A184" s="171">
        <v>37591</v>
      </c>
      <c r="B184" t="s">
        <v>552</v>
      </c>
      <c r="C184" s="172" t="s">
        <v>527</v>
      </c>
      <c r="D184" t="s">
        <v>548</v>
      </c>
      <c r="E184" s="173">
        <v>30</v>
      </c>
      <c r="F184" s="174">
        <v>16</v>
      </c>
      <c r="G184" s="169">
        <f t="shared" si="6"/>
        <v>14</v>
      </c>
      <c r="H184">
        <f t="shared" si="7"/>
        <v>9.4893628294353789</v>
      </c>
      <c r="I184">
        <f t="shared" si="8"/>
        <v>4.5106371705646211</v>
      </c>
    </row>
    <row r="185" spans="1:9" ht="15" thickBot="1" x14ac:dyDescent="0.4">
      <c r="A185" s="171">
        <v>37591</v>
      </c>
      <c r="B185" t="s">
        <v>538</v>
      </c>
      <c r="C185" s="172"/>
      <c r="D185" t="s">
        <v>537</v>
      </c>
      <c r="E185" s="173">
        <v>24</v>
      </c>
      <c r="F185" s="174">
        <v>17</v>
      </c>
      <c r="G185" s="169">
        <f t="shared" si="6"/>
        <v>7</v>
      </c>
      <c r="H185">
        <f t="shared" si="7"/>
        <v>2.0788184245525381</v>
      </c>
      <c r="I185">
        <f t="shared" si="8"/>
        <v>4.9211815754474619</v>
      </c>
    </row>
    <row r="186" spans="1:9" ht="15" thickBot="1" x14ac:dyDescent="0.4">
      <c r="A186" s="171">
        <v>37591</v>
      </c>
      <c r="B186" t="s">
        <v>535</v>
      </c>
      <c r="C186" s="172"/>
      <c r="D186" t="s">
        <v>542</v>
      </c>
      <c r="E186" s="173">
        <v>6</v>
      </c>
      <c r="F186" s="174">
        <v>0</v>
      </c>
      <c r="G186" s="169">
        <f t="shared" si="6"/>
        <v>6</v>
      </c>
      <c r="H186">
        <f t="shared" si="7"/>
        <v>-2.2686015011623577</v>
      </c>
      <c r="I186">
        <f t="shared" si="8"/>
        <v>8.2686015011623581</v>
      </c>
    </row>
    <row r="187" spans="1:9" ht="15" thickBot="1" x14ac:dyDescent="0.4">
      <c r="A187" s="171">
        <v>37591</v>
      </c>
      <c r="B187" t="s">
        <v>543</v>
      </c>
      <c r="C187" s="172" t="s">
        <v>527</v>
      </c>
      <c r="D187" t="s">
        <v>553</v>
      </c>
      <c r="E187" s="173">
        <v>40</v>
      </c>
      <c r="F187" s="174">
        <v>33</v>
      </c>
      <c r="G187" s="169">
        <f t="shared" si="6"/>
        <v>7</v>
      </c>
      <c r="H187">
        <f t="shared" si="7"/>
        <v>13.648569546502891</v>
      </c>
      <c r="I187">
        <f t="shared" si="8"/>
        <v>6.6485695465028911</v>
      </c>
    </row>
    <row r="188" spans="1:9" ht="15" thickBot="1" x14ac:dyDescent="0.4">
      <c r="A188" s="171">
        <v>37591</v>
      </c>
      <c r="B188" t="s">
        <v>524</v>
      </c>
      <c r="C188" s="172"/>
      <c r="D188" t="s">
        <v>551</v>
      </c>
      <c r="E188" s="173">
        <v>26</v>
      </c>
      <c r="F188" s="174">
        <v>22</v>
      </c>
      <c r="G188" s="169">
        <f t="shared" si="6"/>
        <v>4</v>
      </c>
      <c r="H188">
        <f t="shared" si="7"/>
        <v>9.1414601794247723</v>
      </c>
      <c r="I188">
        <f t="shared" si="8"/>
        <v>5.1414601794247723</v>
      </c>
    </row>
    <row r="189" spans="1:9" ht="15" thickBot="1" x14ac:dyDescent="0.4">
      <c r="A189" s="171">
        <v>37591</v>
      </c>
      <c r="B189" t="s">
        <v>529</v>
      </c>
      <c r="C189" s="172"/>
      <c r="D189" t="s">
        <v>532</v>
      </c>
      <c r="E189" s="173">
        <v>24</v>
      </c>
      <c r="F189" s="174">
        <v>10</v>
      </c>
      <c r="G189" s="169">
        <f t="shared" si="6"/>
        <v>14</v>
      </c>
      <c r="H189">
        <f t="shared" si="7"/>
        <v>8.0611983853453211</v>
      </c>
      <c r="I189">
        <f t="shared" si="8"/>
        <v>5.9388016146546789</v>
      </c>
    </row>
    <row r="190" spans="1:9" ht="15" thickBot="1" x14ac:dyDescent="0.4">
      <c r="A190" s="171">
        <v>37591</v>
      </c>
      <c r="B190" t="s">
        <v>549</v>
      </c>
      <c r="C190" s="172"/>
      <c r="D190" t="s">
        <v>533</v>
      </c>
      <c r="E190" s="173">
        <v>43</v>
      </c>
      <c r="F190" s="174">
        <v>16</v>
      </c>
      <c r="G190" s="169">
        <f t="shared" si="6"/>
        <v>27</v>
      </c>
      <c r="H190">
        <f t="shared" si="7"/>
        <v>9.0196436833951363</v>
      </c>
      <c r="I190">
        <f t="shared" si="8"/>
        <v>17.980356316604862</v>
      </c>
    </row>
    <row r="191" spans="1:9" ht="15" thickBot="1" x14ac:dyDescent="0.4">
      <c r="A191" s="171">
        <v>37591</v>
      </c>
      <c r="B191" t="s">
        <v>544</v>
      </c>
      <c r="C191" s="172" t="s">
        <v>527</v>
      </c>
      <c r="D191" t="s">
        <v>526</v>
      </c>
      <c r="E191" s="173">
        <v>33</v>
      </c>
      <c r="F191" s="174">
        <v>30</v>
      </c>
      <c r="G191" s="169">
        <f t="shared" si="6"/>
        <v>3</v>
      </c>
      <c r="H191">
        <f t="shared" si="7"/>
        <v>-1.2096264873755951</v>
      </c>
      <c r="I191">
        <f t="shared" si="8"/>
        <v>4.2096264873755951</v>
      </c>
    </row>
    <row r="192" spans="1:9" ht="15" thickBot="1" x14ac:dyDescent="0.4">
      <c r="A192" s="171">
        <v>37956</v>
      </c>
      <c r="B192" t="s">
        <v>519</v>
      </c>
      <c r="C192" s="172"/>
      <c r="D192" t="s">
        <v>547</v>
      </c>
      <c r="E192" s="173">
        <v>28</v>
      </c>
      <c r="F192" s="174">
        <v>13</v>
      </c>
      <c r="G192" s="169">
        <f t="shared" si="6"/>
        <v>15</v>
      </c>
      <c r="H192">
        <f t="shared" si="7"/>
        <v>3.5929247232089137</v>
      </c>
      <c r="I192">
        <f t="shared" si="8"/>
        <v>11.407075276791087</v>
      </c>
    </row>
    <row r="193" spans="1:9" ht="15" thickBot="1" x14ac:dyDescent="0.4">
      <c r="A193" s="171">
        <v>39052</v>
      </c>
      <c r="B193" t="s">
        <v>524</v>
      </c>
      <c r="C193" s="172"/>
      <c r="D193" t="s">
        <v>535</v>
      </c>
      <c r="E193" s="173">
        <v>30</v>
      </c>
      <c r="F193" s="174">
        <v>9</v>
      </c>
      <c r="G193" s="169">
        <f t="shared" si="6"/>
        <v>21</v>
      </c>
      <c r="H193">
        <f t="shared" si="7"/>
        <v>8.4608467949640662</v>
      </c>
      <c r="I193">
        <f t="shared" si="8"/>
        <v>12.539153205035934</v>
      </c>
    </row>
    <row r="194" spans="1:9" ht="15" thickBot="1" x14ac:dyDescent="0.4">
      <c r="A194" s="171">
        <v>40148</v>
      </c>
      <c r="B194" t="s">
        <v>542</v>
      </c>
      <c r="C194" s="172" t="s">
        <v>527</v>
      </c>
      <c r="D194" t="s">
        <v>530</v>
      </c>
      <c r="E194" s="173">
        <v>24</v>
      </c>
      <c r="F194" s="174">
        <v>21</v>
      </c>
      <c r="G194" s="169">
        <f t="shared" si="6"/>
        <v>3</v>
      </c>
      <c r="H194">
        <f t="shared" si="7"/>
        <v>-7.4002053962942647</v>
      </c>
      <c r="I194">
        <f t="shared" si="8"/>
        <v>10.400205396294265</v>
      </c>
    </row>
    <row r="195" spans="1:9" ht="15" thickBot="1" x14ac:dyDescent="0.4">
      <c r="A195" s="171">
        <v>40148</v>
      </c>
      <c r="B195" t="s">
        <v>528</v>
      </c>
      <c r="C195" s="172"/>
      <c r="D195" t="s">
        <v>537</v>
      </c>
      <c r="E195" s="173">
        <v>26</v>
      </c>
      <c r="F195" s="174">
        <v>20</v>
      </c>
      <c r="G195" s="169">
        <f t="shared" ref="G195:G256" si="9">E195-F195</f>
        <v>6</v>
      </c>
      <c r="H195">
        <f t="shared" ref="H195:H256" si="10">INDEX($M$3:$M$34,MATCH(B195,$L$3:$L$34,0))-INDEX($M$3:$M$34,MATCH(D195,$L$3:$L$34,0))+IF(C195="",M$1,-M$1)</f>
        <v>5.5591762052642064</v>
      </c>
      <c r="I195">
        <f t="shared" ref="I195:I256" si="11">ABS(G195-H195)</f>
        <v>0.44082379473579358</v>
      </c>
    </row>
    <row r="196" spans="1:9" ht="15" thickBot="1" x14ac:dyDescent="0.4">
      <c r="A196" s="171">
        <v>40148</v>
      </c>
      <c r="B196" t="s">
        <v>539</v>
      </c>
      <c r="C196" s="172" t="s">
        <v>527</v>
      </c>
      <c r="D196" t="s">
        <v>538</v>
      </c>
      <c r="E196" s="173">
        <v>28</v>
      </c>
      <c r="F196" s="174">
        <v>14</v>
      </c>
      <c r="G196" s="169">
        <f t="shared" si="9"/>
        <v>14</v>
      </c>
      <c r="H196">
        <f t="shared" si="10"/>
        <v>11.195995068443331</v>
      </c>
      <c r="I196">
        <f t="shared" si="11"/>
        <v>2.8040049315566691</v>
      </c>
    </row>
    <row r="197" spans="1:9" ht="15" thickBot="1" x14ac:dyDescent="0.4">
      <c r="A197" s="171">
        <v>40148</v>
      </c>
      <c r="B197" t="s">
        <v>543</v>
      </c>
      <c r="C197" s="172"/>
      <c r="D197" t="s">
        <v>531</v>
      </c>
      <c r="E197" s="173">
        <v>27</v>
      </c>
      <c r="F197" s="174">
        <v>24</v>
      </c>
      <c r="G197" s="169">
        <f t="shared" si="9"/>
        <v>3</v>
      </c>
      <c r="H197">
        <f t="shared" si="10"/>
        <v>3.006541948948009</v>
      </c>
      <c r="I197">
        <f t="shared" si="11"/>
        <v>6.5419489480089688E-3</v>
      </c>
    </row>
    <row r="198" spans="1:9" ht="15" thickBot="1" x14ac:dyDescent="0.4">
      <c r="A198" s="171">
        <v>40148</v>
      </c>
      <c r="B198" t="s">
        <v>536</v>
      </c>
      <c r="C198" s="172" t="s">
        <v>527</v>
      </c>
      <c r="D198" t="s">
        <v>547</v>
      </c>
      <c r="E198" s="173">
        <v>40</v>
      </c>
      <c r="F198" s="174">
        <v>16</v>
      </c>
      <c r="G198" s="169">
        <f t="shared" si="9"/>
        <v>24</v>
      </c>
      <c r="H198">
        <f t="shared" si="10"/>
        <v>-1.607139245994226</v>
      </c>
      <c r="I198">
        <f t="shared" si="11"/>
        <v>25.607139245994226</v>
      </c>
    </row>
    <row r="199" spans="1:9" ht="15" thickBot="1" x14ac:dyDescent="0.4">
      <c r="A199" s="171">
        <v>40148</v>
      </c>
      <c r="B199" t="s">
        <v>550</v>
      </c>
      <c r="C199" s="172"/>
      <c r="D199" t="s">
        <v>520</v>
      </c>
      <c r="E199" s="173">
        <v>34</v>
      </c>
      <c r="F199" s="174">
        <v>20</v>
      </c>
      <c r="G199" s="169">
        <f t="shared" si="9"/>
        <v>14</v>
      </c>
      <c r="H199">
        <f t="shared" si="10"/>
        <v>2.4840851294269903</v>
      </c>
      <c r="I199">
        <f t="shared" si="11"/>
        <v>11.51591487057301</v>
      </c>
    </row>
    <row r="200" spans="1:9" ht="15" thickBot="1" x14ac:dyDescent="0.4">
      <c r="A200" s="171">
        <v>40148</v>
      </c>
      <c r="B200" t="s">
        <v>523</v>
      </c>
      <c r="C200" s="172"/>
      <c r="D200" t="s">
        <v>529</v>
      </c>
      <c r="E200" s="173">
        <v>34</v>
      </c>
      <c r="F200" s="174">
        <v>33</v>
      </c>
      <c r="G200" s="169">
        <f t="shared" si="9"/>
        <v>1</v>
      </c>
      <c r="H200">
        <f t="shared" si="10"/>
        <v>-12.365459527787619</v>
      </c>
      <c r="I200">
        <f t="shared" si="11"/>
        <v>13.365459527787619</v>
      </c>
    </row>
    <row r="201" spans="1:9" ht="15" thickBot="1" x14ac:dyDescent="0.4">
      <c r="A201" s="171">
        <v>40148</v>
      </c>
      <c r="B201" t="s">
        <v>551</v>
      </c>
      <c r="C201" s="172" t="s">
        <v>527</v>
      </c>
      <c r="D201" t="s">
        <v>534</v>
      </c>
      <c r="E201" s="173">
        <v>27</v>
      </c>
      <c r="F201" s="174">
        <v>23</v>
      </c>
      <c r="G201" s="169">
        <f t="shared" si="9"/>
        <v>4</v>
      </c>
      <c r="H201">
        <f t="shared" si="10"/>
        <v>-3.6567806841873174</v>
      </c>
      <c r="I201">
        <f t="shared" si="11"/>
        <v>7.6567806841873178</v>
      </c>
    </row>
    <row r="202" spans="1:9" ht="15" thickBot="1" x14ac:dyDescent="0.4">
      <c r="A202" s="171">
        <v>40148</v>
      </c>
      <c r="B202" t="s">
        <v>544</v>
      </c>
      <c r="C202" s="172"/>
      <c r="D202" t="s">
        <v>541</v>
      </c>
      <c r="E202" s="173">
        <v>26</v>
      </c>
      <c r="F202" s="174">
        <v>21</v>
      </c>
      <c r="G202" s="169">
        <f t="shared" si="9"/>
        <v>5</v>
      </c>
      <c r="H202">
        <f t="shared" si="10"/>
        <v>7.507603955366978</v>
      </c>
      <c r="I202">
        <f t="shared" si="11"/>
        <v>2.507603955366978</v>
      </c>
    </row>
    <row r="203" spans="1:9" ht="15" thickBot="1" x14ac:dyDescent="0.4">
      <c r="A203" s="171">
        <v>40148</v>
      </c>
      <c r="B203" t="s">
        <v>533</v>
      </c>
      <c r="C203" s="172"/>
      <c r="D203" t="s">
        <v>546</v>
      </c>
      <c r="E203" s="173">
        <v>20</v>
      </c>
      <c r="F203" s="174">
        <v>14</v>
      </c>
      <c r="G203" s="169">
        <f t="shared" si="9"/>
        <v>6</v>
      </c>
      <c r="H203">
        <f t="shared" si="10"/>
        <v>-0.79713231770804516</v>
      </c>
      <c r="I203">
        <f t="shared" si="11"/>
        <v>6.7971323177080452</v>
      </c>
    </row>
    <row r="204" spans="1:9" ht="15" thickBot="1" x14ac:dyDescent="0.4">
      <c r="A204" s="171">
        <v>40148</v>
      </c>
      <c r="B204" t="s">
        <v>548</v>
      </c>
      <c r="C204" s="172" t="s">
        <v>527</v>
      </c>
      <c r="D204" t="s">
        <v>525</v>
      </c>
      <c r="E204" s="173">
        <v>17</v>
      </c>
      <c r="F204" s="174">
        <v>3</v>
      </c>
      <c r="G204" s="169">
        <f t="shared" si="9"/>
        <v>14</v>
      </c>
      <c r="H204">
        <f t="shared" si="10"/>
        <v>1.101783147855715</v>
      </c>
      <c r="I204">
        <f t="shared" si="11"/>
        <v>12.898216852144285</v>
      </c>
    </row>
    <row r="205" spans="1:9" ht="15" thickBot="1" x14ac:dyDescent="0.4">
      <c r="A205" s="171">
        <v>40148</v>
      </c>
      <c r="B205" t="s">
        <v>545</v>
      </c>
      <c r="C205" s="172"/>
      <c r="D205" t="s">
        <v>519</v>
      </c>
      <c r="E205" s="173">
        <v>29</v>
      </c>
      <c r="F205" s="174">
        <v>23</v>
      </c>
      <c r="G205" s="169">
        <f t="shared" si="9"/>
        <v>6</v>
      </c>
      <c r="H205">
        <f t="shared" si="10"/>
        <v>4.8006479755806879</v>
      </c>
      <c r="I205">
        <f t="shared" si="11"/>
        <v>1.1993520244193121</v>
      </c>
    </row>
    <row r="206" spans="1:9" ht="15" thickBot="1" x14ac:dyDescent="0.4">
      <c r="A206" s="171">
        <v>40148</v>
      </c>
      <c r="B206" t="s">
        <v>553</v>
      </c>
      <c r="C206" s="172"/>
      <c r="D206" t="s">
        <v>526</v>
      </c>
      <c r="E206" s="173">
        <v>24</v>
      </c>
      <c r="F206" s="174">
        <v>21</v>
      </c>
      <c r="G206" s="169">
        <f t="shared" si="9"/>
        <v>3</v>
      </c>
      <c r="H206">
        <f t="shared" si="10"/>
        <v>-10.638164953790055</v>
      </c>
      <c r="I206">
        <f t="shared" si="11"/>
        <v>13.638164953790055</v>
      </c>
    </row>
    <row r="207" spans="1:9" ht="15" thickBot="1" x14ac:dyDescent="0.4">
      <c r="A207" s="171">
        <v>40148</v>
      </c>
      <c r="B207" t="s">
        <v>540</v>
      </c>
      <c r="C207" s="172"/>
      <c r="D207" t="s">
        <v>552</v>
      </c>
      <c r="E207" s="173">
        <v>15</v>
      </c>
      <c r="F207" s="174">
        <v>6</v>
      </c>
      <c r="G207" s="169">
        <f t="shared" si="9"/>
        <v>9</v>
      </c>
      <c r="H207">
        <f t="shared" si="10"/>
        <v>-0.28936206880436677</v>
      </c>
      <c r="I207">
        <f t="shared" si="11"/>
        <v>9.2893620688043672</v>
      </c>
    </row>
    <row r="208" spans="1:9" ht="15" thickBot="1" x14ac:dyDescent="0.4">
      <c r="A208" s="171">
        <v>40513</v>
      </c>
      <c r="B208" t="s">
        <v>549</v>
      </c>
      <c r="C208" s="172"/>
      <c r="D208" t="s">
        <v>532</v>
      </c>
      <c r="E208" s="173">
        <v>21</v>
      </c>
      <c r="F208" s="174">
        <v>7</v>
      </c>
      <c r="G208" s="169">
        <f t="shared" si="9"/>
        <v>14</v>
      </c>
      <c r="H208">
        <f t="shared" si="10"/>
        <v>3.2178343051706397</v>
      </c>
      <c r="I208">
        <f t="shared" si="11"/>
        <v>10.782165694829359</v>
      </c>
    </row>
    <row r="209" spans="1:9" ht="15" thickBot="1" x14ac:dyDescent="0.4">
      <c r="A209" s="171">
        <v>41609</v>
      </c>
      <c r="B209" t="s">
        <v>544</v>
      </c>
      <c r="C209" s="172" t="s">
        <v>527</v>
      </c>
      <c r="D209" t="s">
        <v>543</v>
      </c>
      <c r="E209" s="173">
        <v>29</v>
      </c>
      <c r="F209" s="174">
        <v>28</v>
      </c>
      <c r="G209" s="169">
        <f t="shared" si="9"/>
        <v>1</v>
      </c>
      <c r="H209">
        <f t="shared" si="10"/>
        <v>-4.2200310800884324</v>
      </c>
      <c r="I209">
        <f t="shared" si="11"/>
        <v>5.2200310800884324</v>
      </c>
    </row>
    <row r="210" spans="1:9" ht="15" thickBot="1" x14ac:dyDescent="0.4">
      <c r="A210" s="171">
        <v>42339</v>
      </c>
      <c r="B210" t="s">
        <v>530</v>
      </c>
      <c r="C210" s="172" t="s">
        <v>527</v>
      </c>
      <c r="D210" t="s">
        <v>551</v>
      </c>
      <c r="E210" s="173">
        <v>29</v>
      </c>
      <c r="F210" s="174">
        <v>22</v>
      </c>
      <c r="G210" s="169">
        <f t="shared" si="9"/>
        <v>7</v>
      </c>
      <c r="H210">
        <f t="shared" si="10"/>
        <v>8.14895404842893</v>
      </c>
      <c r="I210">
        <f t="shared" si="11"/>
        <v>1.14895404842893</v>
      </c>
    </row>
    <row r="211" spans="1:9" ht="15" thickBot="1" x14ac:dyDescent="0.4">
      <c r="A211" s="171">
        <v>42339</v>
      </c>
      <c r="B211" t="s">
        <v>528</v>
      </c>
      <c r="C211" s="172" t="s">
        <v>527</v>
      </c>
      <c r="D211" t="s">
        <v>546</v>
      </c>
      <c r="E211" s="173">
        <v>17</v>
      </c>
      <c r="F211" s="174">
        <v>16</v>
      </c>
      <c r="G211" s="169">
        <f t="shared" si="9"/>
        <v>1</v>
      </c>
      <c r="H211">
        <f t="shared" si="10"/>
        <v>6.0723803633062623E-3</v>
      </c>
      <c r="I211">
        <f t="shared" si="11"/>
        <v>0.99392761963669374</v>
      </c>
    </row>
    <row r="212" spans="1:9" ht="15" thickBot="1" x14ac:dyDescent="0.4">
      <c r="A212" s="171">
        <v>42705</v>
      </c>
      <c r="B212" t="s">
        <v>532</v>
      </c>
      <c r="C212" s="172"/>
      <c r="D212" t="s">
        <v>523</v>
      </c>
      <c r="E212" s="173">
        <v>41</v>
      </c>
      <c r="F212" s="174">
        <v>17</v>
      </c>
      <c r="G212" s="169">
        <f t="shared" si="9"/>
        <v>24</v>
      </c>
      <c r="H212">
        <f t="shared" si="10"/>
        <v>10.905659842907495</v>
      </c>
      <c r="I212">
        <f t="shared" si="11"/>
        <v>13.094340157092505</v>
      </c>
    </row>
    <row r="213" spans="1:9" ht="15" thickBot="1" x14ac:dyDescent="0.4">
      <c r="A213" s="171">
        <v>42705</v>
      </c>
      <c r="B213" t="s">
        <v>540</v>
      </c>
      <c r="C213" s="172"/>
      <c r="D213" t="s">
        <v>550</v>
      </c>
      <c r="E213" s="173">
        <v>24</v>
      </c>
      <c r="F213" s="174">
        <v>17</v>
      </c>
      <c r="G213" s="169">
        <f t="shared" si="9"/>
        <v>7</v>
      </c>
      <c r="H213">
        <f t="shared" si="10"/>
        <v>6.9993928139521753</v>
      </c>
      <c r="I213">
        <f t="shared" si="11"/>
        <v>6.0718604782472596E-4</v>
      </c>
    </row>
    <row r="214" spans="1:9" ht="15" thickBot="1" x14ac:dyDescent="0.4">
      <c r="A214" s="171">
        <v>42705</v>
      </c>
      <c r="B214" t="s">
        <v>531</v>
      </c>
      <c r="C214" s="172"/>
      <c r="D214" t="s">
        <v>538</v>
      </c>
      <c r="E214" s="173">
        <v>20</v>
      </c>
      <c r="F214" s="174">
        <v>12</v>
      </c>
      <c r="G214" s="169">
        <f t="shared" si="9"/>
        <v>8</v>
      </c>
      <c r="H214">
        <f t="shared" si="10"/>
        <v>9.7486298453159996</v>
      </c>
      <c r="I214">
        <f t="shared" si="11"/>
        <v>1.7486298453159996</v>
      </c>
    </row>
    <row r="215" spans="1:9" ht="15" thickBot="1" x14ac:dyDescent="0.4">
      <c r="A215" s="171">
        <v>42705</v>
      </c>
      <c r="B215" t="s">
        <v>520</v>
      </c>
      <c r="C215" s="172"/>
      <c r="D215" t="s">
        <v>525</v>
      </c>
      <c r="E215" s="173">
        <v>40</v>
      </c>
      <c r="F215" s="174">
        <v>14</v>
      </c>
      <c r="G215" s="169">
        <f t="shared" si="9"/>
        <v>26</v>
      </c>
      <c r="H215">
        <f t="shared" si="10"/>
        <v>9.6201708990611543</v>
      </c>
      <c r="I215">
        <f t="shared" si="11"/>
        <v>16.379829100938846</v>
      </c>
    </row>
    <row r="216" spans="1:9" ht="15" thickBot="1" x14ac:dyDescent="0.4">
      <c r="A216" s="171">
        <v>42705</v>
      </c>
      <c r="B216" t="s">
        <v>541</v>
      </c>
      <c r="C216" s="172"/>
      <c r="D216" t="s">
        <v>553</v>
      </c>
      <c r="E216" s="173">
        <v>30</v>
      </c>
      <c r="F216" s="174">
        <v>16</v>
      </c>
      <c r="G216" s="169">
        <f t="shared" si="9"/>
        <v>14</v>
      </c>
      <c r="H216">
        <f t="shared" si="10"/>
        <v>10.722799445001076</v>
      </c>
      <c r="I216">
        <f t="shared" si="11"/>
        <v>3.2772005549989238</v>
      </c>
    </row>
    <row r="217" spans="1:9" ht="15" thickBot="1" x14ac:dyDescent="0.4">
      <c r="A217" s="171">
        <v>42705</v>
      </c>
      <c r="B217" t="s">
        <v>547</v>
      </c>
      <c r="C217" s="172" t="s">
        <v>527</v>
      </c>
      <c r="D217" t="s">
        <v>535</v>
      </c>
      <c r="E217" s="173">
        <v>16</v>
      </c>
      <c r="F217" s="174">
        <v>13</v>
      </c>
      <c r="G217" s="169">
        <f t="shared" si="9"/>
        <v>3</v>
      </c>
      <c r="H217">
        <f t="shared" si="10"/>
        <v>2.6761660497652699</v>
      </c>
      <c r="I217">
        <f t="shared" si="11"/>
        <v>0.32383395023473005</v>
      </c>
    </row>
    <row r="218" spans="1:9" ht="15" thickBot="1" x14ac:dyDescent="0.4">
      <c r="A218" s="171">
        <v>42705</v>
      </c>
      <c r="B218" t="s">
        <v>534</v>
      </c>
      <c r="C218" s="172"/>
      <c r="D218" t="s">
        <v>548</v>
      </c>
      <c r="E218" s="173">
        <v>14</v>
      </c>
      <c r="F218" s="174">
        <v>13</v>
      </c>
      <c r="G218" s="169">
        <f t="shared" si="9"/>
        <v>1</v>
      </c>
      <c r="H218">
        <f t="shared" si="10"/>
        <v>0.82365030829686914</v>
      </c>
      <c r="I218">
        <f t="shared" si="11"/>
        <v>0.17634969170313086</v>
      </c>
    </row>
    <row r="219" spans="1:9" ht="15" thickBot="1" x14ac:dyDescent="0.4">
      <c r="A219" s="171">
        <v>42705</v>
      </c>
      <c r="B219" t="s">
        <v>524</v>
      </c>
      <c r="C219" s="172" t="s">
        <v>527</v>
      </c>
      <c r="D219" t="s">
        <v>536</v>
      </c>
      <c r="E219" s="173">
        <v>17</v>
      </c>
      <c r="F219" s="174">
        <v>0</v>
      </c>
      <c r="G219" s="169">
        <f t="shared" si="9"/>
        <v>17</v>
      </c>
      <c r="H219">
        <f t="shared" si="10"/>
        <v>-1.4100449427605715</v>
      </c>
      <c r="I219">
        <f t="shared" si="11"/>
        <v>18.410044942760571</v>
      </c>
    </row>
    <row r="220" spans="1:9" ht="15" thickBot="1" x14ac:dyDescent="0.4">
      <c r="A220" s="171">
        <v>42705</v>
      </c>
      <c r="B220" t="s">
        <v>542</v>
      </c>
      <c r="C220" s="172"/>
      <c r="D220" t="s">
        <v>545</v>
      </c>
      <c r="E220" s="173">
        <v>23</v>
      </c>
      <c r="F220" s="174">
        <v>0</v>
      </c>
      <c r="G220" s="169">
        <f t="shared" si="9"/>
        <v>23</v>
      </c>
      <c r="H220">
        <f t="shared" si="10"/>
        <v>-2.1997385469273181</v>
      </c>
      <c r="I220">
        <f t="shared" si="11"/>
        <v>25.199738546927318</v>
      </c>
    </row>
    <row r="221" spans="1:9" ht="15" thickBot="1" x14ac:dyDescent="0.4">
      <c r="A221" s="171">
        <v>42705</v>
      </c>
      <c r="B221" t="s">
        <v>533</v>
      </c>
      <c r="C221" s="172"/>
      <c r="D221" t="s">
        <v>549</v>
      </c>
      <c r="E221" s="173">
        <v>26</v>
      </c>
      <c r="F221" s="174">
        <v>23</v>
      </c>
      <c r="G221" s="169">
        <f t="shared" si="9"/>
        <v>3</v>
      </c>
      <c r="H221">
        <f t="shared" si="10"/>
        <v>-4.6187112164183404</v>
      </c>
      <c r="I221">
        <f t="shared" si="11"/>
        <v>7.6187112164183404</v>
      </c>
    </row>
    <row r="222" spans="1:9" ht="15" thickBot="1" x14ac:dyDescent="0.4">
      <c r="A222" s="171">
        <v>42705</v>
      </c>
      <c r="B222" t="s">
        <v>526</v>
      </c>
      <c r="C222" s="172"/>
      <c r="D222" t="s">
        <v>529</v>
      </c>
      <c r="E222" s="173">
        <v>17</v>
      </c>
      <c r="F222" s="174">
        <v>10</v>
      </c>
      <c r="G222" s="169">
        <f t="shared" si="9"/>
        <v>7</v>
      </c>
      <c r="H222">
        <f t="shared" si="10"/>
        <v>-2.394461177682166</v>
      </c>
      <c r="I222">
        <f t="shared" si="11"/>
        <v>9.3944611776821656</v>
      </c>
    </row>
    <row r="223" spans="1:9" ht="15" thickBot="1" x14ac:dyDescent="0.4">
      <c r="A223" s="171">
        <v>42705</v>
      </c>
      <c r="B223" t="s">
        <v>519</v>
      </c>
      <c r="C223" s="172" t="s">
        <v>527</v>
      </c>
      <c r="D223" t="s">
        <v>552</v>
      </c>
      <c r="E223" s="173">
        <v>30</v>
      </c>
      <c r="F223" s="174">
        <v>23</v>
      </c>
      <c r="G223" s="169">
        <f t="shared" si="9"/>
        <v>7</v>
      </c>
      <c r="H223">
        <f t="shared" si="10"/>
        <v>-9.7737215148677326</v>
      </c>
      <c r="I223">
        <f t="shared" si="11"/>
        <v>16.773721514867731</v>
      </c>
    </row>
    <row r="224" spans="1:9" ht="15" thickBot="1" x14ac:dyDescent="0.4">
      <c r="A224" s="171">
        <v>43070</v>
      </c>
      <c r="B224" t="s">
        <v>539</v>
      </c>
      <c r="C224" s="172" t="s">
        <v>527</v>
      </c>
      <c r="D224" t="s">
        <v>537</v>
      </c>
      <c r="E224" s="173">
        <v>12</v>
      </c>
      <c r="F224" s="174">
        <v>9</v>
      </c>
      <c r="G224" s="169">
        <f t="shared" si="9"/>
        <v>3</v>
      </c>
      <c r="H224">
        <f t="shared" si="10"/>
        <v>11.074347259507469</v>
      </c>
      <c r="I224">
        <f t="shared" si="11"/>
        <v>8.0743472595074692</v>
      </c>
    </row>
    <row r="225" spans="1:9" ht="15" thickBot="1" x14ac:dyDescent="0.4">
      <c r="A225" s="171">
        <v>44896</v>
      </c>
      <c r="B225" t="s">
        <v>524</v>
      </c>
      <c r="C225" s="172"/>
      <c r="D225" t="s">
        <v>547</v>
      </c>
      <c r="E225" s="173">
        <v>25</v>
      </c>
      <c r="F225" s="174">
        <v>16</v>
      </c>
      <c r="G225" s="169">
        <f t="shared" si="9"/>
        <v>9</v>
      </c>
      <c r="H225">
        <f t="shared" si="10"/>
        <v>3.5842145117103978</v>
      </c>
      <c r="I225">
        <f t="shared" si="11"/>
        <v>5.4157854882896022</v>
      </c>
    </row>
    <row r="226" spans="1:9" ht="15" thickBot="1" x14ac:dyDescent="0.4">
      <c r="A226" s="171">
        <v>44896</v>
      </c>
      <c r="B226" t="s">
        <v>531</v>
      </c>
      <c r="C226" s="172" t="s">
        <v>527</v>
      </c>
      <c r="D226" t="s">
        <v>544</v>
      </c>
      <c r="E226" s="173">
        <v>22</v>
      </c>
      <c r="F226" s="174">
        <v>10</v>
      </c>
      <c r="G226" s="169">
        <f t="shared" si="9"/>
        <v>12</v>
      </c>
      <c r="H226">
        <f t="shared" si="10"/>
        <v>-0.98697710234797542</v>
      </c>
      <c r="I226">
        <f t="shared" si="11"/>
        <v>12.986977102347975</v>
      </c>
    </row>
    <row r="227" spans="1:9" ht="15" thickBot="1" x14ac:dyDescent="0.4">
      <c r="A227" s="171">
        <v>45261</v>
      </c>
      <c r="B227" t="s">
        <v>550</v>
      </c>
      <c r="C227" s="172" t="s">
        <v>527</v>
      </c>
      <c r="D227" t="s">
        <v>551</v>
      </c>
      <c r="E227" s="173">
        <v>44</v>
      </c>
      <c r="F227" s="174">
        <v>38</v>
      </c>
      <c r="G227" s="169">
        <f t="shared" si="9"/>
        <v>6</v>
      </c>
      <c r="H227">
        <f t="shared" si="10"/>
        <v>5.0337383225692847</v>
      </c>
      <c r="I227">
        <f t="shared" si="11"/>
        <v>0.96626167743071534</v>
      </c>
    </row>
    <row r="228" spans="1:9" ht="15" thickBot="1" x14ac:dyDescent="0.4">
      <c r="A228" s="171">
        <v>45261</v>
      </c>
      <c r="B228" t="s">
        <v>545</v>
      </c>
      <c r="C228" s="172"/>
      <c r="D228" t="s">
        <v>538</v>
      </c>
      <c r="E228" s="173">
        <v>27</v>
      </c>
      <c r="F228" s="174">
        <v>20</v>
      </c>
      <c r="G228" s="169">
        <f t="shared" si="9"/>
        <v>7</v>
      </c>
      <c r="H228">
        <f t="shared" si="10"/>
        <v>6.3948264794826315</v>
      </c>
      <c r="I228">
        <f t="shared" si="11"/>
        <v>0.6051735205173685</v>
      </c>
    </row>
    <row r="229" spans="1:9" ht="15" thickBot="1" x14ac:dyDescent="0.4">
      <c r="A229" s="171">
        <v>45261</v>
      </c>
      <c r="B229" t="s">
        <v>519</v>
      </c>
      <c r="C229" s="172"/>
      <c r="D229" t="s">
        <v>530</v>
      </c>
      <c r="E229" s="173">
        <v>32</v>
      </c>
      <c r="F229" s="174">
        <v>30</v>
      </c>
      <c r="G229" s="169">
        <f t="shared" si="9"/>
        <v>2</v>
      </c>
      <c r="H229">
        <f t="shared" si="10"/>
        <v>-1.1992498909940394</v>
      </c>
      <c r="I229">
        <f t="shared" si="11"/>
        <v>3.1992498909940394</v>
      </c>
    </row>
    <row r="230" spans="1:9" ht="15" thickBot="1" x14ac:dyDescent="0.4">
      <c r="A230" s="171">
        <v>45261</v>
      </c>
      <c r="B230" t="s">
        <v>528</v>
      </c>
      <c r="C230" s="172"/>
      <c r="D230" t="s">
        <v>541</v>
      </c>
      <c r="E230" s="173">
        <v>26</v>
      </c>
      <c r="F230" s="174">
        <v>18</v>
      </c>
      <c r="G230" s="169">
        <f t="shared" si="9"/>
        <v>8</v>
      </c>
      <c r="H230">
        <f t="shared" si="10"/>
        <v>4.6532872553914668</v>
      </c>
      <c r="I230">
        <f t="shared" si="11"/>
        <v>3.3467127446085332</v>
      </c>
    </row>
    <row r="231" spans="1:9" ht="15" thickBot="1" x14ac:dyDescent="0.4">
      <c r="A231" s="171">
        <v>45261</v>
      </c>
      <c r="B231" t="s">
        <v>520</v>
      </c>
      <c r="C231" s="172" t="s">
        <v>527</v>
      </c>
      <c r="D231" t="s">
        <v>537</v>
      </c>
      <c r="E231" s="173">
        <v>24</v>
      </c>
      <c r="F231" s="174">
        <v>10</v>
      </c>
      <c r="G231" s="169">
        <f t="shared" si="9"/>
        <v>14</v>
      </c>
      <c r="H231">
        <f t="shared" si="10"/>
        <v>-0.72705403583811479</v>
      </c>
      <c r="I231">
        <f t="shared" si="11"/>
        <v>14.727054035838115</v>
      </c>
    </row>
    <row r="232" spans="1:9" ht="15" thickBot="1" x14ac:dyDescent="0.4">
      <c r="A232" s="171">
        <v>45261</v>
      </c>
      <c r="B232" t="s">
        <v>535</v>
      </c>
      <c r="C232" s="172" t="s">
        <v>527</v>
      </c>
      <c r="D232" t="s">
        <v>523</v>
      </c>
      <c r="E232" s="173">
        <v>17</v>
      </c>
      <c r="F232" s="174">
        <v>7</v>
      </c>
      <c r="G232" s="169">
        <f t="shared" si="9"/>
        <v>10</v>
      </c>
      <c r="H232">
        <f t="shared" si="10"/>
        <v>-2.2482148870295604</v>
      </c>
      <c r="I232">
        <f t="shared" si="11"/>
        <v>12.24821488702956</v>
      </c>
    </row>
    <row r="233" spans="1:9" ht="15" thickBot="1" x14ac:dyDescent="0.4">
      <c r="A233" s="171">
        <v>45261</v>
      </c>
      <c r="B233" t="s">
        <v>542</v>
      </c>
      <c r="C233" s="172"/>
      <c r="D233" t="s">
        <v>536</v>
      </c>
      <c r="E233" s="173">
        <v>28</v>
      </c>
      <c r="F233" s="174">
        <v>27</v>
      </c>
      <c r="G233" s="169">
        <f t="shared" si="9"/>
        <v>1</v>
      </c>
      <c r="H233">
        <f t="shared" si="10"/>
        <v>1.1995746973913133</v>
      </c>
      <c r="I233">
        <f t="shared" si="11"/>
        <v>0.19957469739131328</v>
      </c>
    </row>
    <row r="234" spans="1:9" ht="15" thickBot="1" x14ac:dyDescent="0.4">
      <c r="A234" s="171">
        <v>45261</v>
      </c>
      <c r="B234" t="s">
        <v>532</v>
      </c>
      <c r="C234" s="172" t="s">
        <v>527</v>
      </c>
      <c r="D234" t="s">
        <v>548</v>
      </c>
      <c r="E234" s="173">
        <v>27</v>
      </c>
      <c r="F234" s="174">
        <v>9</v>
      </c>
      <c r="G234" s="169">
        <f t="shared" si="9"/>
        <v>18</v>
      </c>
      <c r="H234">
        <f t="shared" si="10"/>
        <v>4.3999590380421161</v>
      </c>
      <c r="I234">
        <f t="shared" si="11"/>
        <v>13.600040961957884</v>
      </c>
    </row>
    <row r="235" spans="1:9" ht="15" thickBot="1" x14ac:dyDescent="0.4">
      <c r="A235" s="171">
        <v>45261</v>
      </c>
      <c r="B235" t="s">
        <v>529</v>
      </c>
      <c r="C235" s="172"/>
      <c r="D235" t="s">
        <v>534</v>
      </c>
      <c r="E235" s="173">
        <v>24</v>
      </c>
      <c r="F235" s="174">
        <v>12</v>
      </c>
      <c r="G235" s="169">
        <f t="shared" si="9"/>
        <v>12</v>
      </c>
      <c r="H235">
        <f t="shared" si="10"/>
        <v>16.038439582067365</v>
      </c>
      <c r="I235">
        <f t="shared" si="11"/>
        <v>4.0384395820673653</v>
      </c>
    </row>
    <row r="236" spans="1:9" ht="15" thickBot="1" x14ac:dyDescent="0.4">
      <c r="A236" s="171">
        <v>45261</v>
      </c>
      <c r="B236" t="s">
        <v>552</v>
      </c>
      <c r="C236" s="172" t="s">
        <v>527</v>
      </c>
      <c r="D236" t="s">
        <v>525</v>
      </c>
      <c r="E236" s="173">
        <v>31</v>
      </c>
      <c r="F236" s="174">
        <v>9</v>
      </c>
      <c r="G236" s="169">
        <f t="shared" si="9"/>
        <v>22</v>
      </c>
      <c r="H236">
        <f t="shared" si="10"/>
        <v>12.791612210779491</v>
      </c>
      <c r="I236">
        <f t="shared" si="11"/>
        <v>9.2083877892205095</v>
      </c>
    </row>
    <row r="237" spans="1:9" ht="15" thickBot="1" x14ac:dyDescent="0.4">
      <c r="A237" s="171">
        <v>45261</v>
      </c>
      <c r="B237" t="s">
        <v>540</v>
      </c>
      <c r="C237" s="172" t="s">
        <v>527</v>
      </c>
      <c r="D237" t="s">
        <v>533</v>
      </c>
      <c r="E237" s="173">
        <v>14</v>
      </c>
      <c r="F237" s="174">
        <v>9</v>
      </c>
      <c r="G237" s="169">
        <f t="shared" si="9"/>
        <v>5</v>
      </c>
      <c r="H237">
        <f t="shared" si="10"/>
        <v>6.2009186338365936</v>
      </c>
      <c r="I237">
        <f t="shared" si="11"/>
        <v>1.2009186338365936</v>
      </c>
    </row>
    <row r="238" spans="1:9" ht="15" thickBot="1" x14ac:dyDescent="0.4">
      <c r="A238" s="171">
        <v>45261</v>
      </c>
      <c r="B238" t="s">
        <v>539</v>
      </c>
      <c r="C238" s="172"/>
      <c r="D238" t="s">
        <v>526</v>
      </c>
      <c r="E238" s="173">
        <v>31</v>
      </c>
      <c r="F238" s="174">
        <v>28</v>
      </c>
      <c r="G238" s="169">
        <f t="shared" si="9"/>
        <v>3</v>
      </c>
      <c r="H238">
        <f t="shared" si="10"/>
        <v>10.253092800845753</v>
      </c>
      <c r="I238">
        <f t="shared" si="11"/>
        <v>7.2530928008457529</v>
      </c>
    </row>
    <row r="239" spans="1:9" ht="15" thickBot="1" x14ac:dyDescent="0.4">
      <c r="A239" s="171">
        <v>45261</v>
      </c>
      <c r="B239" t="s">
        <v>549</v>
      </c>
      <c r="C239" s="172"/>
      <c r="D239" t="s">
        <v>543</v>
      </c>
      <c r="E239" s="173">
        <v>38</v>
      </c>
      <c r="F239" s="174">
        <v>31</v>
      </c>
      <c r="G239" s="169">
        <f t="shared" si="9"/>
        <v>7</v>
      </c>
      <c r="H239">
        <f t="shared" si="10"/>
        <v>-1.0583750282285558</v>
      </c>
      <c r="I239">
        <f t="shared" si="11"/>
        <v>8.0583750282285553</v>
      </c>
    </row>
    <row r="240" spans="1:9" ht="15" thickBot="1" x14ac:dyDescent="0.4">
      <c r="A240" s="171">
        <v>45627</v>
      </c>
      <c r="B240" t="s">
        <v>553</v>
      </c>
      <c r="C240" s="172"/>
      <c r="D240" t="s">
        <v>546</v>
      </c>
      <c r="E240" s="173">
        <v>27</v>
      </c>
      <c r="F240" s="174">
        <v>14</v>
      </c>
      <c r="G240" s="169">
        <f t="shared" si="9"/>
        <v>13</v>
      </c>
      <c r="H240">
        <f t="shared" si="10"/>
        <v>-6.5681493860756426</v>
      </c>
      <c r="I240">
        <f t="shared" si="11"/>
        <v>19.568149386075643</v>
      </c>
    </row>
    <row r="241" spans="1:9" ht="15" thickBot="1" x14ac:dyDescent="0.4">
      <c r="A241" s="171">
        <v>11293</v>
      </c>
      <c r="B241" t="s">
        <v>548</v>
      </c>
      <c r="C241" s="172" t="s">
        <v>527</v>
      </c>
      <c r="D241" t="s">
        <v>550</v>
      </c>
      <c r="E241" s="173">
        <v>31</v>
      </c>
      <c r="F241" s="174">
        <v>0</v>
      </c>
      <c r="G241" s="169">
        <f t="shared" si="9"/>
        <v>31</v>
      </c>
      <c r="H241">
        <f t="shared" si="10"/>
        <v>-6.6015404136556324</v>
      </c>
      <c r="I241">
        <f t="shared" si="11"/>
        <v>37.601540413655634</v>
      </c>
    </row>
    <row r="242" spans="1:9" ht="15" thickBot="1" x14ac:dyDescent="0.4">
      <c r="A242" s="171">
        <v>11293</v>
      </c>
      <c r="B242" t="s">
        <v>520</v>
      </c>
      <c r="C242" s="172" t="s">
        <v>527</v>
      </c>
      <c r="D242" t="s">
        <v>538</v>
      </c>
      <c r="E242" s="173">
        <v>34</v>
      </c>
      <c r="F242" s="174">
        <v>32</v>
      </c>
      <c r="G242" s="169">
        <f t="shared" si="9"/>
        <v>2</v>
      </c>
      <c r="H242">
        <f t="shared" si="10"/>
        <v>-0.60540622690225443</v>
      </c>
      <c r="I242">
        <f t="shared" si="11"/>
        <v>2.6054062269022547</v>
      </c>
    </row>
    <row r="243" spans="1:9" ht="15" thickBot="1" x14ac:dyDescent="0.4">
      <c r="A243" s="171">
        <v>11293</v>
      </c>
      <c r="B243" t="s">
        <v>530</v>
      </c>
      <c r="C243" s="172"/>
      <c r="D243" t="s">
        <v>535</v>
      </c>
      <c r="E243" s="173">
        <v>20</v>
      </c>
      <c r="F243" s="174">
        <v>3</v>
      </c>
      <c r="G243" s="169">
        <f t="shared" si="9"/>
        <v>17</v>
      </c>
      <c r="H243">
        <f t="shared" si="10"/>
        <v>11.869273130945022</v>
      </c>
      <c r="I243">
        <f t="shared" si="11"/>
        <v>5.1307268690549783</v>
      </c>
    </row>
    <row r="244" spans="1:9" ht="15" thickBot="1" x14ac:dyDescent="0.4">
      <c r="A244" s="171">
        <v>11293</v>
      </c>
      <c r="B244" t="s">
        <v>545</v>
      </c>
      <c r="C244" s="172" t="s">
        <v>527</v>
      </c>
      <c r="D244" t="s">
        <v>536</v>
      </c>
      <c r="E244" s="173">
        <v>36</v>
      </c>
      <c r="F244" s="174">
        <v>35</v>
      </c>
      <c r="G244" s="169">
        <f t="shared" si="9"/>
        <v>1</v>
      </c>
      <c r="H244">
        <f t="shared" si="10"/>
        <v>1.1988470108302334</v>
      </c>
      <c r="I244">
        <f t="shared" si="11"/>
        <v>0.19884701083023337</v>
      </c>
    </row>
    <row r="245" spans="1:9" ht="15" thickBot="1" x14ac:dyDescent="0.4">
      <c r="A245" s="171">
        <v>11293</v>
      </c>
      <c r="B245" t="s">
        <v>534</v>
      </c>
      <c r="C245" s="172"/>
      <c r="D245" t="s">
        <v>523</v>
      </c>
      <c r="E245" s="173">
        <v>42</v>
      </c>
      <c r="F245" s="174">
        <v>17</v>
      </c>
      <c r="G245" s="169">
        <f t="shared" si="9"/>
        <v>25</v>
      </c>
      <c r="H245">
        <f t="shared" si="10"/>
        <v>2.9284186461854493</v>
      </c>
      <c r="I245">
        <f t="shared" si="11"/>
        <v>22.071581353814551</v>
      </c>
    </row>
    <row r="246" spans="1:9" ht="15" thickBot="1" x14ac:dyDescent="0.4">
      <c r="A246" s="171">
        <v>11293</v>
      </c>
      <c r="B246" t="s">
        <v>537</v>
      </c>
      <c r="C246" s="172" t="s">
        <v>527</v>
      </c>
      <c r="D246" t="s">
        <v>539</v>
      </c>
      <c r="E246" s="173">
        <v>33</v>
      </c>
      <c r="F246" s="174">
        <v>14</v>
      </c>
      <c r="G246" s="169">
        <f t="shared" si="9"/>
        <v>19</v>
      </c>
      <c r="H246">
        <f t="shared" si="10"/>
        <v>-15.475279726484267</v>
      </c>
      <c r="I246">
        <f t="shared" si="11"/>
        <v>34.475279726484267</v>
      </c>
    </row>
    <row r="247" spans="1:9" ht="15" thickBot="1" x14ac:dyDescent="0.4">
      <c r="A247" s="171">
        <v>11293</v>
      </c>
      <c r="B247" t="s">
        <v>529</v>
      </c>
      <c r="C247" s="172"/>
      <c r="D247" t="s">
        <v>551</v>
      </c>
      <c r="E247" s="173">
        <v>38</v>
      </c>
      <c r="F247" s="174">
        <v>3</v>
      </c>
      <c r="G247" s="169">
        <f t="shared" si="9"/>
        <v>35</v>
      </c>
      <c r="H247">
        <f t="shared" si="10"/>
        <v>17.494754032766284</v>
      </c>
      <c r="I247">
        <f t="shared" si="11"/>
        <v>17.505245967233716</v>
      </c>
    </row>
    <row r="248" spans="1:9" ht="15" thickBot="1" x14ac:dyDescent="0.4">
      <c r="A248" s="171">
        <v>11293</v>
      </c>
      <c r="B248" t="s">
        <v>540</v>
      </c>
      <c r="C248" s="172" t="s">
        <v>527</v>
      </c>
      <c r="D248" t="s">
        <v>532</v>
      </c>
      <c r="E248" s="173">
        <v>24</v>
      </c>
      <c r="F248" s="174">
        <v>10</v>
      </c>
      <c r="G248" s="169">
        <f t="shared" si="9"/>
        <v>14</v>
      </c>
      <c r="H248">
        <f t="shared" si="10"/>
        <v>0.39910925561209787</v>
      </c>
      <c r="I248">
        <f t="shared" si="11"/>
        <v>13.600890744387902</v>
      </c>
    </row>
    <row r="249" spans="1:9" ht="15" thickBot="1" x14ac:dyDescent="0.4">
      <c r="A249" s="171">
        <v>11293</v>
      </c>
      <c r="B249" t="s">
        <v>519</v>
      </c>
      <c r="C249" s="172" t="s">
        <v>527</v>
      </c>
      <c r="D249" t="s">
        <v>547</v>
      </c>
      <c r="E249" s="173">
        <v>24</v>
      </c>
      <c r="F249" s="174">
        <v>0</v>
      </c>
      <c r="G249" s="169">
        <f t="shared" si="9"/>
        <v>24</v>
      </c>
      <c r="H249">
        <f t="shared" si="10"/>
        <v>-0.8080077437678832</v>
      </c>
      <c r="I249">
        <f t="shared" si="11"/>
        <v>24.808007743767885</v>
      </c>
    </row>
    <row r="250" spans="1:9" ht="15" thickBot="1" x14ac:dyDescent="0.4">
      <c r="A250" s="171">
        <v>11293</v>
      </c>
      <c r="B250" t="s">
        <v>549</v>
      </c>
      <c r="C250" s="172"/>
      <c r="D250" t="s">
        <v>525</v>
      </c>
      <c r="E250" s="173">
        <v>27</v>
      </c>
      <c r="F250" s="174">
        <v>24</v>
      </c>
      <c r="G250" s="169">
        <f t="shared" si="9"/>
        <v>3</v>
      </c>
      <c r="H250">
        <f t="shared" si="10"/>
        <v>13.120508958045269</v>
      </c>
      <c r="I250">
        <f t="shared" si="11"/>
        <v>10.120508958045269</v>
      </c>
    </row>
    <row r="251" spans="1:9" ht="15" thickBot="1" x14ac:dyDescent="0.4">
      <c r="A251" s="171">
        <v>11293</v>
      </c>
      <c r="B251" t="s">
        <v>526</v>
      </c>
      <c r="C251" s="172"/>
      <c r="D251" t="s">
        <v>541</v>
      </c>
      <c r="E251" s="173">
        <v>16</v>
      </c>
      <c r="F251" s="174">
        <v>13</v>
      </c>
      <c r="G251" s="169">
        <f t="shared" si="9"/>
        <v>3</v>
      </c>
      <c r="H251">
        <f t="shared" si="10"/>
        <v>6.5167642092541751</v>
      </c>
      <c r="I251">
        <f t="shared" si="11"/>
        <v>3.5167642092541751</v>
      </c>
    </row>
    <row r="252" spans="1:9" ht="15" thickBot="1" x14ac:dyDescent="0.4">
      <c r="A252" s="171">
        <v>11293</v>
      </c>
      <c r="B252" t="s">
        <v>552</v>
      </c>
      <c r="C252" s="172"/>
      <c r="D252" t="s">
        <v>533</v>
      </c>
      <c r="E252" s="173">
        <v>48</v>
      </c>
      <c r="F252" s="174">
        <v>32</v>
      </c>
      <c r="G252" s="169">
        <f t="shared" si="9"/>
        <v>16</v>
      </c>
      <c r="H252">
        <f t="shared" si="10"/>
        <v>13.091679403106157</v>
      </c>
      <c r="I252">
        <f t="shared" si="11"/>
        <v>2.9083205968938426</v>
      </c>
    </row>
    <row r="253" spans="1:9" ht="15" thickBot="1" x14ac:dyDescent="0.4">
      <c r="A253" s="171">
        <v>11293</v>
      </c>
      <c r="B253" t="s">
        <v>543</v>
      </c>
      <c r="C253" s="172"/>
      <c r="D253" t="s">
        <v>553</v>
      </c>
      <c r="E253" s="173">
        <v>35</v>
      </c>
      <c r="F253" s="174">
        <v>3</v>
      </c>
      <c r="G253" s="169">
        <f t="shared" si="9"/>
        <v>32</v>
      </c>
      <c r="H253">
        <f t="shared" si="10"/>
        <v>18.049502013479689</v>
      </c>
      <c r="I253">
        <f t="shared" si="11"/>
        <v>13.950497986520311</v>
      </c>
    </row>
    <row r="254" spans="1:9" ht="15" thickBot="1" x14ac:dyDescent="0.4">
      <c r="A254" s="171">
        <v>11293</v>
      </c>
      <c r="B254" t="s">
        <v>531</v>
      </c>
      <c r="C254" s="172"/>
      <c r="D254" t="s">
        <v>528</v>
      </c>
      <c r="E254" s="173">
        <v>26</v>
      </c>
      <c r="F254" s="174">
        <v>24</v>
      </c>
      <c r="G254" s="169">
        <f t="shared" si="9"/>
        <v>2</v>
      </c>
      <c r="H254">
        <f t="shared" si="10"/>
        <v>6.2682720646043322</v>
      </c>
      <c r="I254">
        <f t="shared" si="11"/>
        <v>4.2682720646043322</v>
      </c>
    </row>
    <row r="255" spans="1:9" ht="15" thickBot="1" x14ac:dyDescent="0.4">
      <c r="A255" s="171">
        <v>11293</v>
      </c>
      <c r="B255" t="s">
        <v>544</v>
      </c>
      <c r="C255" s="172" t="s">
        <v>527</v>
      </c>
      <c r="D255" t="s">
        <v>546</v>
      </c>
      <c r="E255" s="173">
        <v>23</v>
      </c>
      <c r="F255" s="174">
        <v>9</v>
      </c>
      <c r="G255" s="169">
        <f t="shared" si="9"/>
        <v>14</v>
      </c>
      <c r="H255">
        <f t="shared" si="10"/>
        <v>2.8603890803388166</v>
      </c>
      <c r="I255">
        <f t="shared" si="11"/>
        <v>11.139610919661184</v>
      </c>
    </row>
    <row r="256" spans="1:9" x14ac:dyDescent="0.35">
      <c r="A256" s="175">
        <v>11293</v>
      </c>
      <c r="B256" s="8" t="s">
        <v>542</v>
      </c>
      <c r="C256" s="176" t="s">
        <v>527</v>
      </c>
      <c r="D256" s="8" t="s">
        <v>524</v>
      </c>
      <c r="E256" s="177">
        <v>33</v>
      </c>
      <c r="F256" s="178">
        <v>17</v>
      </c>
      <c r="G256" s="179">
        <f t="shared" si="9"/>
        <v>16</v>
      </c>
      <c r="H256" s="8">
        <f t="shared" si="10"/>
        <v>-3.9917790603133105</v>
      </c>
      <c r="I256" s="8">
        <f t="shared" si="11"/>
        <v>19.991779060313309</v>
      </c>
    </row>
    <row r="257" spans="1:10" ht="15" thickBot="1" x14ac:dyDescent="0.4">
      <c r="A257" s="180"/>
      <c r="C257" s="181"/>
      <c r="E257" s="182"/>
      <c r="F257" s="183"/>
      <c r="G257" s="169"/>
    </row>
    <row r="258" spans="1:10" ht="15" thickBot="1" x14ac:dyDescent="0.4">
      <c r="A258" s="171"/>
      <c r="C258" s="172"/>
      <c r="E258" s="173"/>
      <c r="F258" s="174"/>
      <c r="G258" s="169"/>
    </row>
    <row r="259" spans="1:10" ht="15" thickBot="1" x14ac:dyDescent="0.4">
      <c r="A259" s="171" t="s">
        <v>555</v>
      </c>
      <c r="C259" s="172"/>
      <c r="E259" s="173"/>
      <c r="F259" s="174"/>
      <c r="G259" s="169"/>
    </row>
    <row r="260" spans="1:10" ht="15" thickBot="1" x14ac:dyDescent="0.4">
      <c r="A260" s="164" t="s">
        <v>509</v>
      </c>
      <c r="B260" s="164" t="s">
        <v>510</v>
      </c>
      <c r="C260" s="164" t="s">
        <v>6</v>
      </c>
      <c r="D260" s="164" t="s">
        <v>511</v>
      </c>
      <c r="E260" s="164" t="s">
        <v>512</v>
      </c>
      <c r="F260" s="164" t="s">
        <v>513</v>
      </c>
      <c r="G260" s="164" t="s">
        <v>514</v>
      </c>
      <c r="H260" s="164" t="s">
        <v>515</v>
      </c>
      <c r="I260" s="164" t="s">
        <v>516</v>
      </c>
      <c r="J260" s="164" t="s">
        <v>517</v>
      </c>
    </row>
    <row r="261" spans="1:10" ht="15" thickBot="1" x14ac:dyDescent="0.4">
      <c r="A261" s="171">
        <v>38353</v>
      </c>
      <c r="B261" t="s">
        <v>542</v>
      </c>
      <c r="C261" s="172" t="s">
        <v>527</v>
      </c>
      <c r="D261" t="s">
        <v>530</v>
      </c>
      <c r="E261" s="173">
        <v>21</v>
      </c>
      <c r="F261" s="174">
        <v>7</v>
      </c>
      <c r="G261" s="169">
        <f t="shared" ref="G261:G271" si="12">E261-F261</f>
        <v>14</v>
      </c>
      <c r="H261">
        <f t="shared" ref="H261:H270" si="13">INDEX($M$3:$M$34,MATCH(B261,$L$3:$L$34,0))-INDEX($M$3:$M$34,MATCH(D261,$L$3:$L$34,0))+IF(C261="",M$1,-M$1)</f>
        <v>-7.4002053962942647</v>
      </c>
      <c r="I261">
        <f t="shared" ref="I261:I271" si="14">ABS(G261-H261)</f>
        <v>21.400205396294265</v>
      </c>
      <c r="J261">
        <f>SUM(I261:I271)</f>
        <v>88.336839629291035</v>
      </c>
    </row>
    <row r="262" spans="1:10" ht="15" thickBot="1" x14ac:dyDescent="0.4">
      <c r="A262" s="171">
        <v>38353</v>
      </c>
      <c r="B262" t="s">
        <v>545</v>
      </c>
      <c r="C262" s="172"/>
      <c r="D262" t="s">
        <v>549</v>
      </c>
      <c r="E262" s="173">
        <v>24</v>
      </c>
      <c r="F262" s="174">
        <v>22</v>
      </c>
      <c r="G262" s="169">
        <f t="shared" si="12"/>
        <v>2</v>
      </c>
      <c r="H262">
        <f t="shared" si="13"/>
        <v>1.2994284139123726</v>
      </c>
      <c r="I262">
        <f t="shared" si="14"/>
        <v>0.70057158608762737</v>
      </c>
    </row>
    <row r="263" spans="1:10" ht="15" thickBot="1" x14ac:dyDescent="0.4">
      <c r="A263" s="171">
        <v>38718</v>
      </c>
      <c r="B263" t="s">
        <v>544</v>
      </c>
      <c r="C263" s="172" t="s">
        <v>527</v>
      </c>
      <c r="D263" t="s">
        <v>531</v>
      </c>
      <c r="E263" s="173">
        <v>23</v>
      </c>
      <c r="F263" s="174">
        <v>17</v>
      </c>
      <c r="G263" s="169">
        <f t="shared" si="12"/>
        <v>6</v>
      </c>
      <c r="H263">
        <f t="shared" si="13"/>
        <v>-3.4139553646288214</v>
      </c>
      <c r="I263">
        <f t="shared" si="14"/>
        <v>9.413955364628821</v>
      </c>
      <c r="J263" s="164" t="s">
        <v>516</v>
      </c>
    </row>
    <row r="264" spans="1:10" ht="15" thickBot="1" x14ac:dyDescent="0.4">
      <c r="A264" s="171">
        <v>38718</v>
      </c>
      <c r="B264" t="s">
        <v>519</v>
      </c>
      <c r="C264" s="172" t="s">
        <v>527</v>
      </c>
      <c r="D264" t="s">
        <v>540</v>
      </c>
      <c r="E264" s="173">
        <v>16</v>
      </c>
      <c r="F264" s="174">
        <v>15</v>
      </c>
      <c r="G264" s="169">
        <f t="shared" si="12"/>
        <v>1</v>
      </c>
      <c r="H264">
        <f t="shared" si="13"/>
        <v>-7.2838932125749682</v>
      </c>
      <c r="I264">
        <f t="shared" si="14"/>
        <v>8.2838932125749682</v>
      </c>
      <c r="J264">
        <f>J261/COUNT(G261:G515)</f>
        <v>8.0306217844810028</v>
      </c>
    </row>
    <row r="265" spans="1:10" ht="15" thickBot="1" x14ac:dyDescent="0.4">
      <c r="A265" s="171">
        <v>40909</v>
      </c>
      <c r="B265" t="s">
        <v>543</v>
      </c>
      <c r="C265" s="172"/>
      <c r="D265" t="s">
        <v>542</v>
      </c>
      <c r="E265" s="173">
        <v>31</v>
      </c>
      <c r="F265" s="174">
        <v>13</v>
      </c>
      <c r="G265" s="169">
        <f t="shared" si="12"/>
        <v>18</v>
      </c>
      <c r="H265">
        <f t="shared" si="13"/>
        <v>10.760550095197097</v>
      </c>
      <c r="I265">
        <f t="shared" si="14"/>
        <v>7.2394499048029033</v>
      </c>
    </row>
    <row r="266" spans="1:10" ht="15" thickBot="1" x14ac:dyDescent="0.4">
      <c r="A266" s="171">
        <v>40909</v>
      </c>
      <c r="B266" t="s">
        <v>552</v>
      </c>
      <c r="C266" s="172"/>
      <c r="D266" t="s">
        <v>545</v>
      </c>
      <c r="E266" s="173">
        <v>30</v>
      </c>
      <c r="F266" s="174">
        <v>22</v>
      </c>
      <c r="G266" s="169">
        <f t="shared" si="12"/>
        <v>8</v>
      </c>
      <c r="H266">
        <f t="shared" si="13"/>
        <v>7.1735397727754453</v>
      </c>
      <c r="I266">
        <f t="shared" si="14"/>
        <v>0.8264602272245547</v>
      </c>
    </row>
    <row r="267" spans="1:10" ht="15" thickBot="1" x14ac:dyDescent="0.4">
      <c r="A267" s="171">
        <v>41275</v>
      </c>
      <c r="B267" t="s">
        <v>529</v>
      </c>
      <c r="C267" s="172"/>
      <c r="D267" t="s">
        <v>544</v>
      </c>
      <c r="E267" s="173">
        <v>41</v>
      </c>
      <c r="F267" s="174">
        <v>28</v>
      </c>
      <c r="G267" s="169">
        <f t="shared" si="12"/>
        <v>13</v>
      </c>
      <c r="H267">
        <f t="shared" si="13"/>
        <v>5.8045538985461587</v>
      </c>
      <c r="I267">
        <f t="shared" si="14"/>
        <v>7.1954461014538413</v>
      </c>
    </row>
    <row r="268" spans="1:10" ht="15" thickBot="1" x14ac:dyDescent="0.4">
      <c r="A268" s="171">
        <v>41275</v>
      </c>
      <c r="B268" t="s">
        <v>539</v>
      </c>
      <c r="C268" s="172"/>
      <c r="D268" t="s">
        <v>519</v>
      </c>
      <c r="E268" s="173">
        <v>20</v>
      </c>
      <c r="F268" s="174">
        <v>14</v>
      </c>
      <c r="G268" s="169">
        <f t="shared" si="12"/>
        <v>6</v>
      </c>
      <c r="H268">
        <f t="shared" si="13"/>
        <v>14.002749031518185</v>
      </c>
      <c r="I268">
        <f t="shared" si="14"/>
        <v>8.0027490315181851</v>
      </c>
    </row>
    <row r="269" spans="1:10" ht="15" thickBot="1" x14ac:dyDescent="0.4">
      <c r="A269" s="171">
        <v>43831</v>
      </c>
      <c r="B269" t="s">
        <v>552</v>
      </c>
      <c r="C269" s="172" t="s">
        <v>527</v>
      </c>
      <c r="D269" t="s">
        <v>539</v>
      </c>
      <c r="E269" s="173">
        <v>26</v>
      </c>
      <c r="F269" s="174">
        <v>23</v>
      </c>
      <c r="G269" s="169">
        <f t="shared" si="12"/>
        <v>3</v>
      </c>
      <c r="H269">
        <f t="shared" si="13"/>
        <v>-6.4294937501388496</v>
      </c>
      <c r="I269">
        <f t="shared" si="14"/>
        <v>9.4294937501388496</v>
      </c>
    </row>
    <row r="270" spans="1:10" ht="15" thickBot="1" x14ac:dyDescent="0.4">
      <c r="A270" s="171">
        <v>43831</v>
      </c>
      <c r="B270" t="s">
        <v>529</v>
      </c>
      <c r="C270" s="172" t="s">
        <v>527</v>
      </c>
      <c r="D270" t="s">
        <v>543</v>
      </c>
      <c r="E270" s="173">
        <v>37</v>
      </c>
      <c r="F270" s="174">
        <v>31</v>
      </c>
      <c r="G270" s="169">
        <f t="shared" si="12"/>
        <v>6</v>
      </c>
      <c r="H270">
        <f t="shared" si="13"/>
        <v>-0.61594341503067129</v>
      </c>
      <c r="I270">
        <f t="shared" si="14"/>
        <v>6.6159434150306708</v>
      </c>
    </row>
    <row r="271" spans="1:10" x14ac:dyDescent="0.35">
      <c r="A271" s="175">
        <v>37653</v>
      </c>
      <c r="B271" s="8" t="s">
        <v>529</v>
      </c>
      <c r="C271" s="176" t="s">
        <v>556</v>
      </c>
      <c r="D271" s="8" t="s">
        <v>552</v>
      </c>
      <c r="E271" s="177">
        <v>13</v>
      </c>
      <c r="F271" s="178">
        <v>3</v>
      </c>
      <c r="G271" s="179">
        <f t="shared" si="12"/>
        <v>10</v>
      </c>
      <c r="H271" s="8">
        <f>INDEX($M$3:$M$34,MATCH(B271,$L$3:$L$34,0))-INDEX($M$3:$M$34,MATCH(D271,$L$3:$L$34,0))</f>
        <v>0.77132836046366116</v>
      </c>
      <c r="I271" s="8">
        <f t="shared" si="14"/>
        <v>9.2286716395363388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BBD2-BE38-4041-BC26-7DD5C28E02DC}">
  <sheetPr codeName="Sheet98"/>
  <dimension ref="A1:AC30"/>
  <sheetViews>
    <sheetView topLeftCell="O1" workbookViewId="0">
      <selection activeCell="AG16" sqref="AG16"/>
    </sheetView>
  </sheetViews>
  <sheetFormatPr defaultRowHeight="14.5" x14ac:dyDescent="0.35"/>
  <cols>
    <col min="1" max="14" width="5.6328125" customWidth="1"/>
    <col min="15" max="15" width="2.6328125" customWidth="1"/>
    <col min="20" max="20" width="2.1796875" customWidth="1"/>
    <col min="21" max="25" width="0" hidden="1" customWidth="1"/>
  </cols>
  <sheetData>
    <row r="1" spans="1:29" x14ac:dyDescent="0.35">
      <c r="A1" s="10" t="s">
        <v>179</v>
      </c>
    </row>
    <row r="3" spans="1:29" x14ac:dyDescent="0.35">
      <c r="A3" t="s">
        <v>16</v>
      </c>
      <c r="F3" t="s">
        <v>22</v>
      </c>
      <c r="K3" t="s">
        <v>180</v>
      </c>
      <c r="P3" t="s">
        <v>181</v>
      </c>
      <c r="U3" t="e" cm="1">
        <f t="array" aca="1" ref="U3" ca="1">FTEXT(U4)</f>
        <v>#NAME?</v>
      </c>
      <c r="Z3" t="s">
        <v>182</v>
      </c>
    </row>
    <row r="4" spans="1:29" x14ac:dyDescent="0.35">
      <c r="A4" s="101">
        <v>1</v>
      </c>
      <c r="B4" s="101">
        <v>2</v>
      </c>
      <c r="C4" s="101">
        <v>3</v>
      </c>
      <c r="D4" s="101">
        <v>4</v>
      </c>
      <c r="F4" s="101">
        <v>0</v>
      </c>
      <c r="G4" s="101">
        <v>0</v>
      </c>
      <c r="H4" s="101">
        <v>1</v>
      </c>
      <c r="I4" s="101">
        <v>0</v>
      </c>
      <c r="K4" s="101" cm="1">
        <f t="array" ref="K4:N7">MMULT(F4:I7,A4:D7)</f>
        <v>9</v>
      </c>
      <c r="L4" s="101">
        <v>10</v>
      </c>
      <c r="M4" s="101">
        <v>11</v>
      </c>
      <c r="N4" s="101">
        <v>12</v>
      </c>
      <c r="U4" s="32" t="e" cm="1">
        <f t="array" aca="1" ref="U4" ca="1">LUPFactor(A4:D7)</f>
        <v>#NAME?</v>
      </c>
      <c r="V4" s="33"/>
      <c r="W4" s="33"/>
      <c r="X4" s="34"/>
    </row>
    <row r="5" spans="1:29" x14ac:dyDescent="0.35">
      <c r="A5" s="101">
        <v>5</v>
      </c>
      <c r="B5" s="101">
        <v>6</v>
      </c>
      <c r="C5" s="101">
        <v>7</v>
      </c>
      <c r="D5" s="101">
        <v>8</v>
      </c>
      <c r="F5" s="101">
        <v>1</v>
      </c>
      <c r="G5" s="101">
        <v>0</v>
      </c>
      <c r="H5" s="101">
        <v>0</v>
      </c>
      <c r="I5" s="101">
        <v>0</v>
      </c>
      <c r="K5" s="101">
        <v>1</v>
      </c>
      <c r="L5" s="101">
        <v>2</v>
      </c>
      <c r="M5" s="101">
        <v>3</v>
      </c>
      <c r="N5" s="101">
        <v>4</v>
      </c>
      <c r="P5" s="39" t="e">
        <f t="array" aca="1" ref="P5:S8" ca="1">LUPFactorL(A4:D7)</f>
        <v>#NAME?</v>
      </c>
      <c r="Q5" s="35" t="e">
        <f ca="1"/>
        <v>#NAME?</v>
      </c>
      <c r="R5" s="35" t="e">
        <f ca="1"/>
        <v>#NAME?</v>
      </c>
      <c r="S5" s="40" t="e">
        <f ca="1"/>
        <v>#NAME?</v>
      </c>
      <c r="U5" s="4"/>
      <c r="X5" s="6"/>
      <c r="Z5" s="32">
        <v>0</v>
      </c>
      <c r="AA5" s="33">
        <v>0</v>
      </c>
      <c r="AB5" s="33">
        <v>0</v>
      </c>
      <c r="AC5" s="34">
        <v>1</v>
      </c>
    </row>
    <row r="6" spans="1:29" x14ac:dyDescent="0.35">
      <c r="A6" s="101">
        <v>9</v>
      </c>
      <c r="B6" s="101">
        <v>10</v>
      </c>
      <c r="C6" s="101">
        <v>11</v>
      </c>
      <c r="D6" s="101">
        <v>12</v>
      </c>
      <c r="F6" s="101">
        <v>0</v>
      </c>
      <c r="G6" s="101">
        <v>0</v>
      </c>
      <c r="H6" s="101">
        <v>0</v>
      </c>
      <c r="I6" s="101">
        <v>1</v>
      </c>
      <c r="K6" s="101">
        <v>13</v>
      </c>
      <c r="L6" s="101">
        <v>14</v>
      </c>
      <c r="M6" s="101">
        <v>15</v>
      </c>
      <c r="N6" s="101">
        <v>16</v>
      </c>
      <c r="P6" s="21" t="e">
        <f ca="1"/>
        <v>#NAME?</v>
      </c>
      <c r="Q6" t="e">
        <f ca="1"/>
        <v>#NAME?</v>
      </c>
      <c r="R6" t="e">
        <f ca="1"/>
        <v>#NAME?</v>
      </c>
      <c r="S6" s="22" t="e">
        <f ca="1"/>
        <v>#NAME?</v>
      </c>
      <c r="U6" s="4"/>
      <c r="X6" s="6"/>
      <c r="Z6" s="4">
        <v>1</v>
      </c>
      <c r="AA6">
        <v>0</v>
      </c>
      <c r="AB6">
        <v>0</v>
      </c>
      <c r="AC6" s="6">
        <v>0</v>
      </c>
    </row>
    <row r="7" spans="1:29" x14ac:dyDescent="0.35">
      <c r="A7" s="101">
        <v>13</v>
      </c>
      <c r="B7" s="101">
        <v>14</v>
      </c>
      <c r="C7" s="101">
        <v>15</v>
      </c>
      <c r="D7" s="101">
        <v>16</v>
      </c>
      <c r="F7" s="101">
        <v>0</v>
      </c>
      <c r="G7" s="101">
        <v>1</v>
      </c>
      <c r="H7" s="101">
        <v>0</v>
      </c>
      <c r="I7" s="101">
        <v>0</v>
      </c>
      <c r="K7" s="101">
        <v>5</v>
      </c>
      <c r="L7" s="101">
        <v>6</v>
      </c>
      <c r="M7" s="101">
        <v>7</v>
      </c>
      <c r="N7" s="101">
        <v>8</v>
      </c>
      <c r="P7" s="21" t="e">
        <f ca="1"/>
        <v>#NAME?</v>
      </c>
      <c r="Q7" t="e">
        <f ca="1"/>
        <v>#NAME?</v>
      </c>
      <c r="R7" t="e">
        <f ca="1"/>
        <v>#NAME?</v>
      </c>
      <c r="S7" s="22" t="e">
        <f ca="1"/>
        <v>#NAME?</v>
      </c>
      <c r="U7" s="7"/>
      <c r="V7" s="8"/>
      <c r="W7" s="8"/>
      <c r="X7" s="9"/>
      <c r="Z7" s="4">
        <v>0</v>
      </c>
      <c r="AA7">
        <v>0</v>
      </c>
      <c r="AB7">
        <v>1</v>
      </c>
      <c r="AC7" s="6">
        <v>0</v>
      </c>
    </row>
    <row r="8" spans="1:29" x14ac:dyDescent="0.35">
      <c r="P8" s="23" t="e">
        <f ca="1"/>
        <v>#NAME?</v>
      </c>
      <c r="Q8" s="24" t="e">
        <f ca="1"/>
        <v>#NAME?</v>
      </c>
      <c r="R8" s="24" t="e">
        <f ca="1"/>
        <v>#NAME?</v>
      </c>
      <c r="S8" s="25" t="e">
        <f ca="1"/>
        <v>#NAME?</v>
      </c>
      <c r="U8" s="32"/>
      <c r="V8" s="33"/>
      <c r="W8" s="33"/>
      <c r="X8" s="34"/>
      <c r="Z8" s="7">
        <v>0</v>
      </c>
      <c r="AA8" s="8">
        <v>1</v>
      </c>
      <c r="AB8" s="8">
        <v>0</v>
      </c>
      <c r="AC8" s="9">
        <v>0</v>
      </c>
    </row>
    <row r="9" spans="1:29" x14ac:dyDescent="0.35">
      <c r="F9" s="101">
        <v>2</v>
      </c>
      <c r="G9" s="101">
        <v>4</v>
      </c>
      <c r="H9" s="101">
        <v>1</v>
      </c>
      <c r="I9" s="101">
        <v>3</v>
      </c>
      <c r="K9" s="101">
        <v>3</v>
      </c>
      <c r="L9" s="101">
        <v>1</v>
      </c>
      <c r="M9" s="101">
        <v>4</v>
      </c>
      <c r="N9" s="101">
        <v>2</v>
      </c>
      <c r="U9" s="4"/>
      <c r="X9" s="6"/>
    </row>
    <row r="10" spans="1:29" x14ac:dyDescent="0.35">
      <c r="P10" t="s">
        <v>183</v>
      </c>
      <c r="U10" s="4"/>
      <c r="X10" s="6"/>
      <c r="Z10" t="s">
        <v>184</v>
      </c>
    </row>
    <row r="11" spans="1:29" x14ac:dyDescent="0.35">
      <c r="F11" s="101" t="e" cm="1">
        <f t="array" aca="1" ref="F11" ca="1">MPERM(F9:I9)</f>
        <v>#NAME?</v>
      </c>
      <c r="G11" s="101"/>
      <c r="H11" s="101"/>
      <c r="I11" s="101"/>
      <c r="K11" s="101" t="e" cm="1">
        <f t="array" aca="1" ref="K11" ca="1">MPERM(K9:N9)</f>
        <v>#NAME?</v>
      </c>
      <c r="L11" s="101"/>
      <c r="M11" s="101"/>
      <c r="N11" s="101"/>
      <c r="U11" s="7"/>
      <c r="V11" s="8"/>
      <c r="W11" s="8"/>
      <c r="X11" s="9"/>
    </row>
    <row r="12" spans="1:29" x14ac:dyDescent="0.35">
      <c r="F12" s="101"/>
      <c r="G12" s="101"/>
      <c r="H12" s="101"/>
      <c r="I12" s="101"/>
      <c r="K12" s="101"/>
      <c r="L12" s="101"/>
      <c r="M12" s="101"/>
      <c r="N12" s="101"/>
      <c r="P12" s="39" t="e">
        <f t="array" aca="1" ref="P12:S15" ca="1">LUPFactorU(A4:D7)</f>
        <v>#NAME?</v>
      </c>
      <c r="Q12" s="35" t="e">
        <f ca="1"/>
        <v>#NAME?</v>
      </c>
      <c r="R12" s="35" t="e">
        <f ca="1"/>
        <v>#NAME?</v>
      </c>
      <c r="S12" s="40" t="e">
        <f ca="1"/>
        <v>#NAME?</v>
      </c>
      <c r="U12" s="15"/>
      <c r="V12" s="37"/>
      <c r="W12" s="37"/>
      <c r="X12" s="38"/>
      <c r="Z12" s="32">
        <v>1</v>
      </c>
      <c r="AA12" s="33">
        <v>2</v>
      </c>
      <c r="AB12" s="33">
        <v>3</v>
      </c>
      <c r="AC12" s="34">
        <v>4</v>
      </c>
    </row>
    <row r="13" spans="1:29" x14ac:dyDescent="0.35">
      <c r="F13" s="101"/>
      <c r="G13" s="101"/>
      <c r="H13" s="101"/>
      <c r="I13" s="101"/>
      <c r="K13" s="101"/>
      <c r="L13" s="101"/>
      <c r="M13" s="101"/>
      <c r="N13" s="101"/>
      <c r="P13" s="21" t="e">
        <f ca="1"/>
        <v>#NAME?</v>
      </c>
      <c r="Q13" t="e">
        <f ca="1"/>
        <v>#NAME?</v>
      </c>
      <c r="R13" t="e">
        <f ca="1"/>
        <v>#NAME?</v>
      </c>
      <c r="S13" s="22" t="e">
        <f ca="1"/>
        <v>#NAME?</v>
      </c>
      <c r="Z13" s="4">
        <v>5</v>
      </c>
      <c r="AA13">
        <v>6</v>
      </c>
      <c r="AB13">
        <v>6.9999999999999991</v>
      </c>
      <c r="AC13" s="6">
        <v>8</v>
      </c>
    </row>
    <row r="14" spans="1:29" x14ac:dyDescent="0.35">
      <c r="F14" s="101"/>
      <c r="G14" s="101"/>
      <c r="H14" s="101"/>
      <c r="I14" s="101"/>
      <c r="K14" s="101"/>
      <c r="L14" s="101"/>
      <c r="M14" s="101"/>
      <c r="N14" s="101"/>
      <c r="P14" s="21" t="e">
        <f ca="1"/>
        <v>#NAME?</v>
      </c>
      <c r="Q14" t="e">
        <f ca="1"/>
        <v>#NAME?</v>
      </c>
      <c r="R14" t="e">
        <f ca="1"/>
        <v>#NAME?</v>
      </c>
      <c r="S14" s="22" t="e">
        <f ca="1"/>
        <v>#NAME?</v>
      </c>
      <c r="U14" t="e" cm="1">
        <f t="array" aca="1" ref="U14" ca="1">FTEXT(U15)</f>
        <v>#NAME?</v>
      </c>
      <c r="Z14" s="4">
        <v>9</v>
      </c>
      <c r="AA14">
        <v>10</v>
      </c>
      <c r="AB14">
        <v>11.000000000000002</v>
      </c>
      <c r="AC14" s="6">
        <v>12</v>
      </c>
    </row>
    <row r="15" spans="1:29" x14ac:dyDescent="0.35">
      <c r="P15" s="23" t="e">
        <f ca="1"/>
        <v>#NAME?</v>
      </c>
      <c r="Q15" s="24" t="e">
        <f ca="1"/>
        <v>#NAME?</v>
      </c>
      <c r="R15" s="24" t="e">
        <f ca="1"/>
        <v>#NAME?</v>
      </c>
      <c r="S15" s="25" t="e">
        <f ca="1"/>
        <v>#NAME?</v>
      </c>
      <c r="U15" s="32" t="e" cm="1">
        <f t="array" aca="1" ref="U15" ca="1">MMULT(P19:S22,A4:D7)</f>
        <v>#NAME?</v>
      </c>
      <c r="V15" s="33"/>
      <c r="W15" s="33"/>
      <c r="X15" s="34"/>
      <c r="Z15" s="7">
        <v>13</v>
      </c>
      <c r="AA15" s="8">
        <v>14</v>
      </c>
      <c r="AB15" s="8">
        <v>15</v>
      </c>
      <c r="AC15" s="9">
        <v>16</v>
      </c>
    </row>
    <row r="16" spans="1:29" x14ac:dyDescent="0.35">
      <c r="U16" s="4"/>
      <c r="X16" s="6"/>
    </row>
    <row r="17" spans="16:24" x14ac:dyDescent="0.35">
      <c r="P17" t="s">
        <v>182</v>
      </c>
      <c r="U17" s="4"/>
      <c r="X17" s="6"/>
    </row>
    <row r="18" spans="16:24" x14ac:dyDescent="0.35">
      <c r="U18" s="7"/>
      <c r="V18" s="8"/>
      <c r="W18" s="8"/>
      <c r="X18" s="9"/>
    </row>
    <row r="19" spans="16:24" x14ac:dyDescent="0.35">
      <c r="P19" s="39" t="e">
        <f t="array" aca="1" ref="P19:S22" ca="1">LUPFactorP(A4:D7)</f>
        <v>#NAME?</v>
      </c>
      <c r="Q19" s="35" t="e">
        <f ca="1"/>
        <v>#NAME?</v>
      </c>
      <c r="R19" s="35" t="e">
        <f ca="1"/>
        <v>#NAME?</v>
      </c>
      <c r="S19" s="40" t="e">
        <f ca="1"/>
        <v>#NAME?</v>
      </c>
    </row>
    <row r="20" spans="16:24" x14ac:dyDescent="0.35">
      <c r="P20" s="21" t="e">
        <f ca="1"/>
        <v>#NAME?</v>
      </c>
      <c r="Q20" t="e">
        <f ca="1"/>
        <v>#NAME?</v>
      </c>
      <c r="R20" t="e">
        <f ca="1"/>
        <v>#NAME?</v>
      </c>
      <c r="S20" s="22" t="e">
        <f ca="1"/>
        <v>#NAME?</v>
      </c>
      <c r="U20" t="e" cm="1">
        <f t="array" aca="1" ref="U20" ca="1">FTEXT(U21)</f>
        <v>#NAME?</v>
      </c>
    </row>
    <row r="21" spans="16:24" x14ac:dyDescent="0.35">
      <c r="P21" s="21" t="e">
        <f ca="1"/>
        <v>#NAME?</v>
      </c>
      <c r="Q21" t="e">
        <f ca="1"/>
        <v>#NAME?</v>
      </c>
      <c r="R21" t="e">
        <f ca="1"/>
        <v>#NAME?</v>
      </c>
      <c r="S21" s="22" t="e">
        <f ca="1"/>
        <v>#NAME?</v>
      </c>
      <c r="U21" s="32" t="e" cm="1">
        <f t="array" aca="1" ref="U21" ca="1">MMULT(U4:X7,U8:X11)</f>
        <v>#NAME?</v>
      </c>
      <c r="V21" s="33"/>
      <c r="W21" s="33"/>
      <c r="X21" s="34"/>
    </row>
    <row r="22" spans="16:24" x14ac:dyDescent="0.35">
      <c r="P22" s="23" t="e">
        <f ca="1"/>
        <v>#NAME?</v>
      </c>
      <c r="Q22" s="24" t="e">
        <f ca="1"/>
        <v>#NAME?</v>
      </c>
      <c r="R22" s="24" t="e">
        <f ca="1"/>
        <v>#NAME?</v>
      </c>
      <c r="S22" s="25" t="e">
        <f ca="1"/>
        <v>#NAME?</v>
      </c>
      <c r="U22" s="4"/>
      <c r="X22" s="6"/>
    </row>
    <row r="23" spans="16:24" x14ac:dyDescent="0.35">
      <c r="U23" s="4"/>
      <c r="X23" s="6"/>
    </row>
    <row r="24" spans="16:24" x14ac:dyDescent="0.35">
      <c r="P24" t="s">
        <v>184</v>
      </c>
      <c r="U24" s="7"/>
      <c r="V24" s="8"/>
      <c r="W24" s="8"/>
      <c r="X24" s="9"/>
    </row>
    <row r="26" spans="16:24" x14ac:dyDescent="0.35">
      <c r="P26" s="39" t="e">
        <f t="array" aca="1" ref="P26:S29" ca="1">MMULT(TRANSPOSE(P19:S22),MMULT(P5:S8,P12:S15))</f>
        <v>#NAME?</v>
      </c>
      <c r="Q26" s="35" t="e">
        <f ca="1"/>
        <v>#NAME?</v>
      </c>
      <c r="R26" s="35" t="e">
        <f ca="1"/>
        <v>#NAME?</v>
      </c>
      <c r="S26" s="40" t="e">
        <f ca="1"/>
        <v>#NAME?</v>
      </c>
      <c r="U26" t="e" cm="1">
        <f t="array" aca="1" ref="U26" ca="1">FTEXT(U27)</f>
        <v>#NAME?</v>
      </c>
    </row>
    <row r="27" spans="16:24" x14ac:dyDescent="0.35">
      <c r="P27" s="21" t="e">
        <f ca="1"/>
        <v>#NAME?</v>
      </c>
      <c r="Q27" t="e">
        <f ca="1"/>
        <v>#NAME?</v>
      </c>
      <c r="R27" t="e">
        <f ca="1"/>
        <v>#NAME?</v>
      </c>
      <c r="S27" s="22" t="e">
        <f ca="1"/>
        <v>#NAME?</v>
      </c>
      <c r="U27" s="32" t="e" cm="1">
        <f t="array" aca="1" ref="U27" ca="1">MPERM(U12:X12)</f>
        <v>#NAME?</v>
      </c>
      <c r="V27" s="33"/>
      <c r="W27" s="33"/>
      <c r="X27" s="34"/>
    </row>
    <row r="28" spans="16:24" x14ac:dyDescent="0.35">
      <c r="P28" s="21" t="e">
        <f ca="1"/>
        <v>#NAME?</v>
      </c>
      <c r="Q28" t="e">
        <f ca="1"/>
        <v>#NAME?</v>
      </c>
      <c r="R28" t="e">
        <f ca="1"/>
        <v>#NAME?</v>
      </c>
      <c r="S28" s="22" t="e">
        <f ca="1"/>
        <v>#NAME?</v>
      </c>
      <c r="U28" s="4"/>
      <c r="X28" s="6"/>
    </row>
    <row r="29" spans="16:24" x14ac:dyDescent="0.35">
      <c r="P29" s="23" t="e">
        <f ca="1"/>
        <v>#NAME?</v>
      </c>
      <c r="Q29" s="24" t="e">
        <f ca="1"/>
        <v>#NAME?</v>
      </c>
      <c r="R29" s="24" t="e">
        <f ca="1"/>
        <v>#NAME?</v>
      </c>
      <c r="S29" s="25" t="e">
        <f ca="1"/>
        <v>#NAME?</v>
      </c>
      <c r="U29" s="4"/>
      <c r="X29" s="6"/>
    </row>
    <row r="30" spans="16:24" x14ac:dyDescent="0.35">
      <c r="U30" s="7"/>
      <c r="V30" s="8"/>
      <c r="W30" s="8"/>
      <c r="X30" s="9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C7B6-7AC3-449B-B925-8B5DBD3412B1}">
  <sheetPr codeName="Sheet96"/>
  <dimension ref="A1:S27"/>
  <sheetViews>
    <sheetView topLeftCell="A15" workbookViewId="0">
      <selection activeCell="K23" sqref="K23"/>
    </sheetView>
  </sheetViews>
  <sheetFormatPr defaultRowHeight="14.5" x14ac:dyDescent="0.35"/>
  <cols>
    <col min="1" max="4" width="5.26953125" customWidth="1"/>
    <col min="5" max="5" width="5.6328125" customWidth="1"/>
    <col min="10" max="10" width="5.6328125" customWidth="1"/>
  </cols>
  <sheetData>
    <row r="1" spans="1:19" x14ac:dyDescent="0.35">
      <c r="A1" s="10" t="s">
        <v>13</v>
      </c>
    </row>
    <row r="2" spans="1:19" x14ac:dyDescent="0.35">
      <c r="F2" t="e" cm="1">
        <f t="array" aca="1" ref="F2" ca="1">FTEXT(F3)</f>
        <v>#NAME?</v>
      </c>
      <c r="K2" t="e" cm="1">
        <f t="array" aca="1" ref="K2" ca="1">FTEXT(K3)</f>
        <v>#NAME?</v>
      </c>
    </row>
    <row r="3" spans="1:19" x14ac:dyDescent="0.35">
      <c r="A3" s="101">
        <v>1</v>
      </c>
      <c r="B3" s="101">
        <v>2</v>
      </c>
      <c r="C3" s="101">
        <v>0</v>
      </c>
      <c r="D3" s="101">
        <v>4</v>
      </c>
      <c r="F3" s="32" t="e" cm="1">
        <f t="array" aca="1" ref="F3" ca="1">eigVAL(A3:D6)</f>
        <v>#NAME?</v>
      </c>
      <c r="G3" s="33"/>
      <c r="H3" s="33"/>
      <c r="I3" s="34"/>
      <c r="K3" s="32" t="e" cm="1">
        <f t="array" aca="1" ref="K3" ca="1">eigVECT(A3:D6)</f>
        <v>#NAME?</v>
      </c>
      <c r="L3" s="33"/>
      <c r="M3" s="33"/>
      <c r="N3" s="34"/>
    </row>
    <row r="4" spans="1:19" x14ac:dyDescent="0.35">
      <c r="A4" s="101">
        <v>5</v>
      </c>
      <c r="B4" s="101">
        <v>6</v>
      </c>
      <c r="C4" s="101">
        <v>7</v>
      </c>
      <c r="D4" s="101">
        <v>6</v>
      </c>
      <c r="F4" s="27"/>
      <c r="G4" s="28"/>
      <c r="H4" s="28"/>
      <c r="I4" s="29"/>
      <c r="K4" s="27"/>
      <c r="L4" s="28"/>
      <c r="M4" s="28"/>
      <c r="N4" s="29"/>
    </row>
    <row r="5" spans="1:19" x14ac:dyDescent="0.35">
      <c r="A5" s="101">
        <v>8</v>
      </c>
      <c r="B5" s="101">
        <v>-1</v>
      </c>
      <c r="C5" s="101">
        <v>3</v>
      </c>
      <c r="D5" s="101">
        <v>4</v>
      </c>
      <c r="K5" s="32"/>
      <c r="L5" s="33"/>
      <c r="M5" s="33"/>
      <c r="N5" s="34"/>
    </row>
    <row r="6" spans="1:19" x14ac:dyDescent="0.35">
      <c r="A6" s="101">
        <v>3</v>
      </c>
      <c r="B6" s="101">
        <v>4</v>
      </c>
      <c r="C6" s="101">
        <v>5</v>
      </c>
      <c r="D6" s="101">
        <v>2</v>
      </c>
      <c r="K6" s="30"/>
      <c r="N6" s="26"/>
    </row>
    <row r="7" spans="1:19" x14ac:dyDescent="0.35">
      <c r="F7" t="e" cm="1">
        <f t="array" aca="1" ref="F7" ca="1">FTEXT(F8)</f>
        <v>#NAME?</v>
      </c>
      <c r="K7" s="30"/>
      <c r="N7" s="26"/>
    </row>
    <row r="8" spans="1:19" x14ac:dyDescent="0.35">
      <c r="F8" s="15" t="e" cm="1">
        <f t="array" aca="1" ref="F8" ca="1">eigVALSym(A3:D6)</f>
        <v>#NAME?</v>
      </c>
      <c r="G8" s="37"/>
      <c r="H8" s="37"/>
      <c r="I8" s="38"/>
      <c r="K8" s="27"/>
      <c r="L8" s="28"/>
      <c r="M8" s="28"/>
      <c r="N8" s="29"/>
    </row>
    <row r="12" spans="1:19" x14ac:dyDescent="0.35">
      <c r="F12" t="e" cm="1">
        <f t="array" aca="1" ref="F12" ca="1">FTEXT(F13)</f>
        <v>#NAME?</v>
      </c>
      <c r="K12" t="e" cm="1">
        <f t="array" aca="1" ref="K12" ca="1">FTEXT(K13)</f>
        <v>#NAME?</v>
      </c>
    </row>
    <row r="13" spans="1:19" x14ac:dyDescent="0.35">
      <c r="A13" s="101">
        <v>1</v>
      </c>
      <c r="B13" s="101">
        <v>2</v>
      </c>
      <c r="C13" s="101">
        <v>0</v>
      </c>
      <c r="D13" s="101">
        <v>4</v>
      </c>
      <c r="F13" s="32" t="e" cm="1">
        <f t="array" aca="1" ref="F13" ca="1">eigVAL(A13:D16)</f>
        <v>#NAME?</v>
      </c>
      <c r="G13" s="33"/>
      <c r="H13" s="33"/>
      <c r="I13" s="34"/>
      <c r="K13" s="32" t="e" cm="1">
        <f t="array" aca="1" ref="K13" ca="1">eigVECT(A13:D16)</f>
        <v>#NAME?</v>
      </c>
      <c r="L13" s="33"/>
      <c r="M13" s="33"/>
      <c r="N13" s="34"/>
    </row>
    <row r="14" spans="1:19" x14ac:dyDescent="0.35">
      <c r="A14" s="101">
        <v>2</v>
      </c>
      <c r="B14" s="101">
        <v>-6</v>
      </c>
      <c r="C14" s="101">
        <v>7</v>
      </c>
      <c r="D14" s="101">
        <v>6</v>
      </c>
      <c r="F14" s="27"/>
      <c r="G14" s="28"/>
      <c r="H14" s="28"/>
      <c r="I14" s="29"/>
      <c r="K14" s="27"/>
      <c r="L14" s="28"/>
      <c r="M14" s="28"/>
      <c r="N14" s="29"/>
      <c r="P14" t="e" cm="1">
        <f t="array" aca="1" ref="P14" ca="1">FTEXT(P15)</f>
        <v>#NAME?</v>
      </c>
    </row>
    <row r="15" spans="1:19" x14ac:dyDescent="0.35">
      <c r="A15" s="101">
        <v>3</v>
      </c>
      <c r="B15" s="101">
        <v>-1</v>
      </c>
      <c r="C15" s="101">
        <v>3</v>
      </c>
      <c r="D15" s="101">
        <v>2</v>
      </c>
      <c r="K15" s="30"/>
      <c r="N15" s="26"/>
      <c r="P15" s="32" t="e" cm="1">
        <f t="array" ref="P15">MMULT(MINVERSE(K15:N18),K15:N18)</f>
        <v>#VALUE!</v>
      </c>
      <c r="Q15" s="33"/>
      <c r="R15" s="33"/>
      <c r="S15" s="34"/>
    </row>
    <row r="16" spans="1:19" x14ac:dyDescent="0.35">
      <c r="A16" s="101">
        <v>1</v>
      </c>
      <c r="B16" s="101">
        <v>4</v>
      </c>
      <c r="C16" s="101">
        <v>-3</v>
      </c>
      <c r="D16" s="101">
        <v>2</v>
      </c>
      <c r="K16" s="30"/>
      <c r="N16" s="26"/>
      <c r="P16" s="30"/>
      <c r="S16" s="26"/>
    </row>
    <row r="17" spans="1:19" x14ac:dyDescent="0.35">
      <c r="F17" t="e" cm="1">
        <f t="array" aca="1" ref="F17" ca="1">FTEXT(F18)</f>
        <v>#NAME?</v>
      </c>
      <c r="K17" s="30"/>
      <c r="N17" s="26"/>
      <c r="P17" s="30"/>
      <c r="S17" s="26"/>
    </row>
    <row r="18" spans="1:19" x14ac:dyDescent="0.35">
      <c r="F18" s="15" t="e" cm="1">
        <f t="array" aca="1" ref="F18" ca="1">eigVALSym(A13:D16)</f>
        <v>#NAME?</v>
      </c>
      <c r="G18" s="37"/>
      <c r="H18" s="37"/>
      <c r="I18" s="38"/>
      <c r="K18" s="27"/>
      <c r="L18" s="28"/>
      <c r="M18" s="28"/>
      <c r="N18" s="29"/>
      <c r="P18" s="27"/>
      <c r="Q18" s="28"/>
      <c r="R18" s="28"/>
      <c r="S18" s="29"/>
    </row>
    <row r="22" spans="1:19" x14ac:dyDescent="0.35">
      <c r="F22" t="e" cm="1">
        <f t="array" aca="1" ref="F22" ca="1">FTEXT(F23)</f>
        <v>#NAME?</v>
      </c>
      <c r="K22" t="e" cm="1">
        <f t="array" aca="1" ref="K22" ca="1">FTEXT(K23)</f>
        <v>#NAME?</v>
      </c>
    </row>
    <row r="23" spans="1:19" x14ac:dyDescent="0.35">
      <c r="A23" s="101">
        <v>1</v>
      </c>
      <c r="B23" s="101">
        <v>2</v>
      </c>
      <c r="C23" s="101">
        <v>-1</v>
      </c>
      <c r="D23" s="101">
        <v>3</v>
      </c>
      <c r="F23" s="15" t="e" cm="1">
        <f t="array" aca="1" ref="F23" ca="1">eigVALSym(A23:D26)</f>
        <v>#NAME?</v>
      </c>
      <c r="G23" s="37"/>
      <c r="H23" s="37"/>
      <c r="I23" s="38"/>
      <c r="K23" s="15" t="e" cm="1">
        <f t="array" aca="1" ref="K23" ca="1">eigVECTSym(A23:D26)</f>
        <v>#NAME?</v>
      </c>
      <c r="L23" s="37"/>
      <c r="M23" s="37"/>
      <c r="N23" s="38"/>
    </row>
    <row r="24" spans="1:19" x14ac:dyDescent="0.35">
      <c r="A24" s="101">
        <v>2</v>
      </c>
      <c r="B24" s="101">
        <v>-3</v>
      </c>
      <c r="C24" s="101">
        <v>5</v>
      </c>
      <c r="D24" s="101">
        <v>1</v>
      </c>
      <c r="K24" s="32"/>
      <c r="L24" s="33"/>
      <c r="M24" s="33"/>
      <c r="N24" s="34"/>
    </row>
    <row r="25" spans="1:19" x14ac:dyDescent="0.35">
      <c r="A25" s="101">
        <v>-1</v>
      </c>
      <c r="B25" s="101">
        <v>5</v>
      </c>
      <c r="C25" s="101">
        <v>2</v>
      </c>
      <c r="D25" s="101">
        <v>0</v>
      </c>
      <c r="K25" s="30"/>
      <c r="N25" s="26"/>
    </row>
    <row r="26" spans="1:19" x14ac:dyDescent="0.35">
      <c r="A26" s="101">
        <v>3</v>
      </c>
      <c r="B26" s="101">
        <v>1</v>
      </c>
      <c r="C26" s="101">
        <v>0</v>
      </c>
      <c r="D26" s="101">
        <v>7</v>
      </c>
      <c r="K26" s="30"/>
      <c r="N26" s="26"/>
    </row>
    <row r="27" spans="1:19" x14ac:dyDescent="0.35">
      <c r="K27" s="27"/>
      <c r="L27" s="28"/>
      <c r="M27" s="28"/>
      <c r="N27" s="29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34E-46F7-48D2-BDF5-050D06A51BEC}">
  <sheetPr codeName="Sheet97"/>
  <dimension ref="A1:T65"/>
  <sheetViews>
    <sheetView zoomScaleNormal="100" workbookViewId="0"/>
  </sheetViews>
  <sheetFormatPr defaultRowHeight="14.5" x14ac:dyDescent="0.35"/>
  <cols>
    <col min="1" max="4" width="8.7265625" customWidth="1"/>
    <col min="5" max="5" width="2.7265625" customWidth="1"/>
    <col min="9" max="9" width="8.7265625" customWidth="1"/>
    <col min="10" max="10" width="8.81640625" bestFit="1" customWidth="1"/>
    <col min="11" max="11" width="5.6328125" customWidth="1"/>
    <col min="12" max="14" width="8.81640625" bestFit="1" customWidth="1"/>
    <col min="15" max="15" width="5.6328125" customWidth="1"/>
    <col min="16" max="16" width="8.81640625" bestFit="1" customWidth="1"/>
  </cols>
  <sheetData>
    <row r="1" spans="1:16" x14ac:dyDescent="0.35">
      <c r="A1" s="10" t="s">
        <v>13</v>
      </c>
    </row>
    <row r="2" spans="1:16" x14ac:dyDescent="0.35">
      <c r="F2" t="e" cm="1">
        <f t="array" aca="1" ref="F2" ca="1">FTEXT(F3)</f>
        <v>#NAME?</v>
      </c>
    </row>
    <row r="3" spans="1:16" x14ac:dyDescent="0.35">
      <c r="A3" s="101">
        <v>1</v>
      </c>
      <c r="B3" s="101">
        <v>0</v>
      </c>
      <c r="C3" s="101">
        <v>0</v>
      </c>
      <c r="D3" s="101">
        <f>SQRT(2)</f>
        <v>1.4142135623730951</v>
      </c>
      <c r="F3" s="15" t="e" cm="1">
        <f t="array" aca="1" ref="F3" ca="1">eigVECTSym(A3:D6)</f>
        <v>#NAME?</v>
      </c>
      <c r="G3" s="37"/>
      <c r="H3" s="37"/>
      <c r="I3" s="38"/>
    </row>
    <row r="4" spans="1:16" x14ac:dyDescent="0.35">
      <c r="A4" s="101">
        <v>0</v>
      </c>
      <c r="B4" s="101">
        <v>-3</v>
      </c>
      <c r="C4" s="101">
        <v>0</v>
      </c>
      <c r="D4" s="101">
        <v>0</v>
      </c>
      <c r="F4" s="32"/>
      <c r="G4" s="33"/>
      <c r="H4" s="33"/>
      <c r="I4" s="34"/>
    </row>
    <row r="5" spans="1:16" x14ac:dyDescent="0.35">
      <c r="A5" s="101">
        <v>0</v>
      </c>
      <c r="B5" s="101">
        <v>0</v>
      </c>
      <c r="C5" s="101">
        <v>2</v>
      </c>
      <c r="D5" s="101">
        <v>0</v>
      </c>
      <c r="F5" s="30"/>
      <c r="I5" s="26"/>
    </row>
    <row r="6" spans="1:16" x14ac:dyDescent="0.35">
      <c r="A6" s="101">
        <f>SQRT(2)</f>
        <v>1.4142135623730951</v>
      </c>
      <c r="B6" s="101">
        <v>0</v>
      </c>
      <c r="C6" s="101">
        <v>0</v>
      </c>
      <c r="D6" s="101">
        <v>0</v>
      </c>
      <c r="F6" s="30"/>
      <c r="I6" s="26"/>
    </row>
    <row r="7" spans="1:16" x14ac:dyDescent="0.35">
      <c r="F7" s="27"/>
      <c r="G7" s="28"/>
      <c r="H7" s="28"/>
      <c r="I7" s="29"/>
    </row>
    <row r="11" spans="1:16" x14ac:dyDescent="0.35">
      <c r="F11" t="e" cm="1">
        <f t="array" aca="1" ref="F11" ca="1">FTEXT(F12)</f>
        <v>#NAME?</v>
      </c>
      <c r="L11" t="e" cm="1">
        <f t="array" aca="1" ref="L11" ca="1">FTEXT(L12)</f>
        <v>#NAME?</v>
      </c>
      <c r="P11" t="e" cm="1">
        <f t="array" aca="1" ref="P11" ca="1">FTEXT(P12)</f>
        <v>#NAME?</v>
      </c>
    </row>
    <row r="12" spans="1:16" x14ac:dyDescent="0.35">
      <c r="F12" s="32" t="e" cm="1">
        <f t="array" aca="1" ref="F12:I15" ca="1">A3:D6-G3*Identity(4)</f>
        <v>#NAME?</v>
      </c>
      <c r="G12" s="33" t="e">
        <f ca="1"/>
        <v>#NAME?</v>
      </c>
      <c r="H12" s="33" t="e">
        <f ca="1"/>
        <v>#NAME?</v>
      </c>
      <c r="I12" s="34" t="e">
        <f ca="1"/>
        <v>#NAME?</v>
      </c>
      <c r="J12" s="36">
        <v>0</v>
      </c>
      <c r="L12" s="32" t="e" cm="1">
        <f t="array" aca="1" ref="L12" ca="1">LinEqSolve(F12:J15)</f>
        <v>#NAME?</v>
      </c>
      <c r="M12" s="33"/>
      <c r="N12" s="34"/>
      <c r="P12" s="36" t="e" cm="1">
        <f t="array" aca="1" ref="P12" ca="1">NORM(M12:M15)</f>
        <v>#NAME?</v>
      </c>
    </row>
    <row r="13" spans="1:16" x14ac:dyDescent="0.35">
      <c r="F13" s="4" t="e">
        <f ca="1"/>
        <v>#NAME?</v>
      </c>
      <c r="G13" t="e">
        <f ca="1"/>
        <v>#NAME?</v>
      </c>
      <c r="H13" t="e">
        <f ca="1"/>
        <v>#NAME?</v>
      </c>
      <c r="I13" s="26" t="e">
        <f ca="1"/>
        <v>#NAME?</v>
      </c>
      <c r="J13" s="13">
        <v>0</v>
      </c>
      <c r="L13" s="4"/>
      <c r="N13" s="26"/>
      <c r="P13" s="13"/>
    </row>
    <row r="14" spans="1:16" x14ac:dyDescent="0.35">
      <c r="F14" s="4" t="e">
        <f ca="1"/>
        <v>#NAME?</v>
      </c>
      <c r="G14" t="e">
        <f ca="1"/>
        <v>#NAME?</v>
      </c>
      <c r="H14" t="e">
        <f ca="1"/>
        <v>#NAME?</v>
      </c>
      <c r="I14" s="26" t="e">
        <f ca="1"/>
        <v>#NAME?</v>
      </c>
      <c r="J14" s="13">
        <v>0</v>
      </c>
      <c r="L14" s="4"/>
      <c r="N14" s="26"/>
      <c r="P14" s="13"/>
    </row>
    <row r="15" spans="1:16" x14ac:dyDescent="0.35">
      <c r="F15" s="27" t="e">
        <f ca="1"/>
        <v>#NAME?</v>
      </c>
      <c r="G15" s="28" t="e">
        <f ca="1"/>
        <v>#NAME?</v>
      </c>
      <c r="H15" s="28" t="e">
        <f ca="1"/>
        <v>#NAME?</v>
      </c>
      <c r="I15" s="29" t="e">
        <f ca="1"/>
        <v>#NAME?</v>
      </c>
      <c r="J15" s="53">
        <v>0</v>
      </c>
      <c r="L15" s="27"/>
      <c r="M15" s="28"/>
      <c r="N15" s="29"/>
      <c r="P15" s="53"/>
    </row>
    <row r="17" spans="1:20" x14ac:dyDescent="0.35">
      <c r="F17" s="32" t="e">
        <f ca="1">F3</f>
        <v>#NAME?</v>
      </c>
      <c r="G17" s="33">
        <f t="shared" ref="G17:I18" si="0">G3</f>
        <v>0</v>
      </c>
      <c r="H17" s="33">
        <f t="shared" si="0"/>
        <v>0</v>
      </c>
      <c r="I17" s="34">
        <f t="shared" si="0"/>
        <v>0</v>
      </c>
      <c r="Q17" t="e" cm="1">
        <f t="array" aca="1" ref="Q17" ca="1">FTEXT(Q18)</f>
        <v>#NAME?</v>
      </c>
    </row>
    <row r="18" spans="1:20" x14ac:dyDescent="0.35">
      <c r="F18" s="32">
        <v>0</v>
      </c>
      <c r="G18" s="33">
        <v>0</v>
      </c>
      <c r="H18" s="33" t="e">
        <f ca="1">P12</f>
        <v>#NAME?</v>
      </c>
      <c r="I18" s="34">
        <f t="shared" si="0"/>
        <v>0</v>
      </c>
      <c r="Q18" s="32" t="e" cm="1">
        <f t="array" aca="1" ref="Q18" ca="1">MMULT(MINVERSE(F18:I21),F18:I21)</f>
        <v>#NAME?</v>
      </c>
      <c r="R18" s="33"/>
      <c r="S18" s="33"/>
      <c r="T18" s="34"/>
    </row>
    <row r="19" spans="1:20" x14ac:dyDescent="0.35">
      <c r="F19" s="4">
        <f t="shared" ref="F19" si="1">F5</f>
        <v>0</v>
      </c>
      <c r="G19">
        <v>0</v>
      </c>
      <c r="H19">
        <f t="shared" ref="H19:H21" si="2">P13</f>
        <v>0</v>
      </c>
      <c r="I19" s="26">
        <v>0</v>
      </c>
      <c r="Q19" s="4"/>
      <c r="T19" s="26"/>
    </row>
    <row r="20" spans="1:20" x14ac:dyDescent="0.35">
      <c r="F20" s="4">
        <v>0</v>
      </c>
      <c r="G20">
        <f t="shared" ref="G20" si="3">G6</f>
        <v>0</v>
      </c>
      <c r="H20">
        <f t="shared" si="2"/>
        <v>0</v>
      </c>
      <c r="I20" s="26">
        <v>0</v>
      </c>
      <c r="Q20" s="4"/>
      <c r="T20" s="26"/>
    </row>
    <row r="21" spans="1:20" x14ac:dyDescent="0.35">
      <c r="F21" s="27">
        <v>0</v>
      </c>
      <c r="G21" s="28">
        <v>0</v>
      </c>
      <c r="H21" s="28">
        <f t="shared" si="2"/>
        <v>0</v>
      </c>
      <c r="I21" s="29">
        <f t="shared" ref="I21" si="4">I7</f>
        <v>0</v>
      </c>
      <c r="Q21" s="27"/>
      <c r="R21" s="28"/>
      <c r="S21" s="28"/>
      <c r="T21" s="29"/>
    </row>
    <row r="24" spans="1:20" x14ac:dyDescent="0.35">
      <c r="F24" t="e" cm="1">
        <f t="array" aca="1" ref="F24" ca="1">FTEXT(F25)</f>
        <v>#NAME?</v>
      </c>
    </row>
    <row r="25" spans="1:20" x14ac:dyDescent="0.35">
      <c r="A25" s="101">
        <v>1</v>
      </c>
      <c r="B25" s="101">
        <v>0</v>
      </c>
      <c r="C25" s="101">
        <v>0</v>
      </c>
      <c r="D25" s="101">
        <f>SQRT(2)</f>
        <v>1.4142135623730951</v>
      </c>
      <c r="F25" s="15" t="e" cm="1">
        <f t="array" aca="1" ref="F25" ca="1">eigVECTSym(A25:D28)</f>
        <v>#NAME?</v>
      </c>
      <c r="G25" s="37"/>
      <c r="H25" s="37"/>
      <c r="I25" s="38"/>
    </row>
    <row r="26" spans="1:20" x14ac:dyDescent="0.35">
      <c r="A26" s="101">
        <v>0</v>
      </c>
      <c r="B26" s="101">
        <v>-2</v>
      </c>
      <c r="C26" s="101">
        <v>0</v>
      </c>
      <c r="D26" s="101">
        <v>0</v>
      </c>
      <c r="F26" s="32"/>
      <c r="G26" s="33"/>
      <c r="H26" s="33"/>
      <c r="I26" s="34"/>
    </row>
    <row r="27" spans="1:20" x14ac:dyDescent="0.35">
      <c r="A27" s="101">
        <v>0</v>
      </c>
      <c r="B27" s="101">
        <v>0</v>
      </c>
      <c r="C27" s="101">
        <v>2</v>
      </c>
      <c r="D27" s="101">
        <v>0</v>
      </c>
      <c r="F27" s="4"/>
      <c r="I27" s="26"/>
    </row>
    <row r="28" spans="1:20" x14ac:dyDescent="0.35">
      <c r="A28" s="101">
        <f>SQRT(2)</f>
        <v>1.4142135623730951</v>
      </c>
      <c r="B28" s="101">
        <v>0</v>
      </c>
      <c r="C28" s="101">
        <v>0</v>
      </c>
      <c r="D28" s="101">
        <v>0</v>
      </c>
      <c r="F28" s="4"/>
      <c r="I28" s="26"/>
    </row>
    <row r="29" spans="1:20" x14ac:dyDescent="0.35">
      <c r="F29" s="27"/>
      <c r="G29" s="28"/>
      <c r="H29" s="28"/>
      <c r="I29" s="29"/>
    </row>
    <row r="33" spans="1:16" x14ac:dyDescent="0.35">
      <c r="F33" t="e" cm="1">
        <f t="array" aca="1" ref="F33" ca="1">FTEXT(F34)</f>
        <v>#NAME?</v>
      </c>
      <c r="L33" t="e" cm="1">
        <f t="array" aca="1" ref="L33" ca="1">FTEXT(L34)</f>
        <v>#NAME?</v>
      </c>
      <c r="P33" t="e" cm="1">
        <f t="array" aca="1" ref="P33" ca="1">FTEXT(P34)</f>
        <v>#NAME?</v>
      </c>
    </row>
    <row r="34" spans="1:16" x14ac:dyDescent="0.35">
      <c r="F34" s="32" t="e" cm="1">
        <f t="array" aca="1" ref="F34:I37" ca="1">A25:D28-F25*Identity(4)</f>
        <v>#NAME?</v>
      </c>
      <c r="G34" s="33" t="e">
        <f ca="1"/>
        <v>#NAME?</v>
      </c>
      <c r="H34" s="33" t="e">
        <f ca="1"/>
        <v>#NAME?</v>
      </c>
      <c r="I34" s="34" t="e">
        <f ca="1"/>
        <v>#NAME?</v>
      </c>
      <c r="J34" s="36">
        <v>0</v>
      </c>
      <c r="L34" s="32" t="e" cm="1">
        <f t="array" aca="1" ref="L34" ca="1">LinEqSolve(F34:J37)</f>
        <v>#NAME?</v>
      </c>
      <c r="M34" s="33"/>
      <c r="N34" s="34"/>
      <c r="P34" s="36" t="e" cm="1">
        <f t="array" aca="1" ref="P34" ca="1">NORM(M34:M37)</f>
        <v>#NAME?</v>
      </c>
    </row>
    <row r="35" spans="1:16" x14ac:dyDescent="0.35">
      <c r="F35" s="4" t="e">
        <f ca="1"/>
        <v>#NAME?</v>
      </c>
      <c r="G35" t="e">
        <f ca="1"/>
        <v>#NAME?</v>
      </c>
      <c r="H35" t="e">
        <f ca="1"/>
        <v>#NAME?</v>
      </c>
      <c r="I35" s="26" t="e">
        <f ca="1"/>
        <v>#NAME?</v>
      </c>
      <c r="J35" s="13">
        <v>0</v>
      </c>
      <c r="L35" s="4"/>
      <c r="N35" s="26"/>
      <c r="P35" s="13"/>
    </row>
    <row r="36" spans="1:16" x14ac:dyDescent="0.35">
      <c r="F36" s="4" t="e">
        <f ca="1"/>
        <v>#NAME?</v>
      </c>
      <c r="G36" t="e">
        <f ca="1"/>
        <v>#NAME?</v>
      </c>
      <c r="H36" t="e">
        <f ca="1"/>
        <v>#NAME?</v>
      </c>
      <c r="I36" s="26" t="e">
        <f ca="1"/>
        <v>#NAME?</v>
      </c>
      <c r="J36" s="13">
        <v>0</v>
      </c>
      <c r="L36" s="4"/>
      <c r="N36" s="26"/>
      <c r="P36" s="13"/>
    </row>
    <row r="37" spans="1:16" x14ac:dyDescent="0.35">
      <c r="F37" s="27" t="e">
        <f ca="1"/>
        <v>#NAME?</v>
      </c>
      <c r="G37" s="28" t="e">
        <f ca="1"/>
        <v>#NAME?</v>
      </c>
      <c r="H37" s="28" t="e">
        <f ca="1"/>
        <v>#NAME?</v>
      </c>
      <c r="I37" s="29" t="e">
        <f ca="1"/>
        <v>#NAME?</v>
      </c>
      <c r="J37" s="53">
        <v>0</v>
      </c>
      <c r="L37" s="27"/>
      <c r="M37" s="28"/>
      <c r="N37" s="29"/>
      <c r="P37" s="53"/>
    </row>
    <row r="39" spans="1:16" x14ac:dyDescent="0.35">
      <c r="F39" s="32" t="e">
        <f ca="1">F25</f>
        <v>#NAME?</v>
      </c>
      <c r="G39" s="33">
        <f t="shared" ref="G39:I40" si="5">G25</f>
        <v>0</v>
      </c>
      <c r="H39" s="33">
        <f t="shared" si="5"/>
        <v>0</v>
      </c>
      <c r="I39" s="34">
        <f t="shared" si="5"/>
        <v>0</v>
      </c>
    </row>
    <row r="40" spans="1:16" x14ac:dyDescent="0.35">
      <c r="F40" s="32">
        <v>0</v>
      </c>
      <c r="G40" s="33">
        <v>0</v>
      </c>
      <c r="H40" s="33" t="e">
        <f ca="1">P34</f>
        <v>#NAME?</v>
      </c>
      <c r="I40" s="34">
        <f t="shared" si="5"/>
        <v>0</v>
      </c>
    </row>
    <row r="41" spans="1:16" x14ac:dyDescent="0.35">
      <c r="F41" s="4">
        <v>0</v>
      </c>
      <c r="G41">
        <f>G27</f>
        <v>0</v>
      </c>
      <c r="H41">
        <f t="shared" ref="H41:H43" si="6">P35</f>
        <v>0</v>
      </c>
      <c r="I41" s="26">
        <v>0</v>
      </c>
    </row>
    <row r="42" spans="1:16" x14ac:dyDescent="0.35">
      <c r="F42" s="4">
        <f>F28</f>
        <v>0</v>
      </c>
      <c r="G42">
        <v>0</v>
      </c>
      <c r="H42">
        <f t="shared" si="6"/>
        <v>0</v>
      </c>
      <c r="I42" s="26">
        <v>0</v>
      </c>
    </row>
    <row r="43" spans="1:16" x14ac:dyDescent="0.35">
      <c r="F43" s="27">
        <v>0</v>
      </c>
      <c r="G43" s="28">
        <v>0</v>
      </c>
      <c r="H43" s="28">
        <f t="shared" si="6"/>
        <v>0</v>
      </c>
      <c r="I43" s="29">
        <f t="shared" ref="I43" si="7">I29</f>
        <v>0</v>
      </c>
    </row>
    <row r="46" spans="1:16" x14ac:dyDescent="0.35">
      <c r="F46" t="e" cm="1">
        <f t="array" aca="1" ref="F46" ca="1">FTEXT(F47)</f>
        <v>#NAME?</v>
      </c>
    </row>
    <row r="47" spans="1:16" x14ac:dyDescent="0.35">
      <c r="A47" s="101">
        <v>1</v>
      </c>
      <c r="B47" s="101">
        <v>0</v>
      </c>
      <c r="C47" s="101">
        <v>0</v>
      </c>
      <c r="D47" s="101">
        <f>SQRT(2)</f>
        <v>1.4142135623730951</v>
      </c>
      <c r="F47" s="15" t="e" cm="1">
        <f t="array" aca="1" ref="F47" ca="1">eigVECTSym(A47:D50)</f>
        <v>#NAME?</v>
      </c>
      <c r="G47" s="37"/>
      <c r="H47" s="37"/>
      <c r="I47" s="38"/>
    </row>
    <row r="48" spans="1:16" x14ac:dyDescent="0.35">
      <c r="A48" s="101">
        <v>0</v>
      </c>
      <c r="B48" s="101">
        <v>0</v>
      </c>
      <c r="C48" s="101">
        <v>0</v>
      </c>
      <c r="D48" s="101">
        <v>0</v>
      </c>
      <c r="F48" s="32"/>
      <c r="G48" s="33"/>
      <c r="H48" s="33"/>
      <c r="I48" s="34"/>
    </row>
    <row r="49" spans="1:16" x14ac:dyDescent="0.35">
      <c r="A49" s="101">
        <v>0</v>
      </c>
      <c r="B49" s="101">
        <v>0</v>
      </c>
      <c r="C49" s="101">
        <v>2</v>
      </c>
      <c r="D49" s="101">
        <v>0</v>
      </c>
      <c r="F49" s="4"/>
      <c r="I49" s="26"/>
    </row>
    <row r="50" spans="1:16" x14ac:dyDescent="0.35">
      <c r="A50" s="101">
        <f>SQRT(2)</f>
        <v>1.4142135623730951</v>
      </c>
      <c r="B50" s="101">
        <v>0</v>
      </c>
      <c r="C50" s="101">
        <v>0</v>
      </c>
      <c r="D50" s="101">
        <v>0</v>
      </c>
      <c r="F50" s="4"/>
      <c r="I50" s="26"/>
    </row>
    <row r="51" spans="1:16" x14ac:dyDescent="0.35">
      <c r="F51" s="27"/>
      <c r="G51" s="28"/>
      <c r="H51" s="28"/>
      <c r="I51" s="29"/>
    </row>
    <row r="55" spans="1:16" x14ac:dyDescent="0.35">
      <c r="F55" t="e" cm="1">
        <f t="array" aca="1" ref="F55" ca="1">FTEXT(F56)</f>
        <v>#NAME?</v>
      </c>
      <c r="L55" t="e" cm="1">
        <f t="array" aca="1" ref="L55" ca="1">FTEXT(L56)</f>
        <v>#NAME?</v>
      </c>
      <c r="P55" t="e" cm="1">
        <f t="array" aca="1" ref="P55" ca="1">FTEXT(P56)</f>
        <v>#NAME?</v>
      </c>
    </row>
    <row r="56" spans="1:16" x14ac:dyDescent="0.35">
      <c r="F56" s="32" t="e" cm="1">
        <f t="array" aca="1" ref="F56:I59" ca="1">A47:D50-G47*Identity(4)</f>
        <v>#NAME?</v>
      </c>
      <c r="G56" s="33" t="e">
        <f ca="1"/>
        <v>#NAME?</v>
      </c>
      <c r="H56" s="33" t="e">
        <f ca="1"/>
        <v>#NAME?</v>
      </c>
      <c r="I56" s="34" t="e">
        <f ca="1"/>
        <v>#NAME?</v>
      </c>
      <c r="J56" s="36">
        <v>0</v>
      </c>
      <c r="L56" s="32" t="e" cm="1">
        <f t="array" aca="1" ref="L56" ca="1">LinEqSolve(F56:J59)</f>
        <v>#NAME?</v>
      </c>
      <c r="M56" s="33"/>
      <c r="N56" s="34"/>
      <c r="P56" s="36" t="e" cm="1">
        <f t="array" aca="1" ref="P56" ca="1">NORM(M56:M59)</f>
        <v>#NAME?</v>
      </c>
    </row>
    <row r="57" spans="1:16" x14ac:dyDescent="0.35">
      <c r="F57" s="4" t="e">
        <f ca="1"/>
        <v>#NAME?</v>
      </c>
      <c r="G57" t="e">
        <f ca="1"/>
        <v>#NAME?</v>
      </c>
      <c r="H57" t="e">
        <f ca="1"/>
        <v>#NAME?</v>
      </c>
      <c r="I57" s="26" t="e">
        <f ca="1"/>
        <v>#NAME?</v>
      </c>
      <c r="J57" s="13">
        <v>0</v>
      </c>
      <c r="L57" s="4"/>
      <c r="N57" s="26"/>
      <c r="P57" s="13"/>
    </row>
    <row r="58" spans="1:16" x14ac:dyDescent="0.35">
      <c r="F58" s="4" t="e">
        <f ca="1"/>
        <v>#NAME?</v>
      </c>
      <c r="G58" t="e">
        <f ca="1"/>
        <v>#NAME?</v>
      </c>
      <c r="H58" t="e">
        <f ca="1"/>
        <v>#NAME?</v>
      </c>
      <c r="I58" s="26" t="e">
        <f ca="1"/>
        <v>#NAME?</v>
      </c>
      <c r="J58" s="13">
        <v>0</v>
      </c>
      <c r="L58" s="4"/>
      <c r="N58" s="26"/>
      <c r="P58" s="13"/>
    </row>
    <row r="59" spans="1:16" x14ac:dyDescent="0.35">
      <c r="F59" s="27" t="e">
        <f ca="1"/>
        <v>#NAME?</v>
      </c>
      <c r="G59" s="28" t="e">
        <f ca="1"/>
        <v>#NAME?</v>
      </c>
      <c r="H59" s="28" t="e">
        <f ca="1"/>
        <v>#NAME?</v>
      </c>
      <c r="I59" s="29" t="e">
        <f ca="1"/>
        <v>#NAME?</v>
      </c>
      <c r="J59" s="53">
        <v>0</v>
      </c>
      <c r="L59" s="27"/>
      <c r="M59" s="28"/>
      <c r="N59" s="29"/>
      <c r="P59" s="53"/>
    </row>
    <row r="61" spans="1:16" x14ac:dyDescent="0.35">
      <c r="F61" s="32" t="e">
        <f ca="1">F47</f>
        <v>#NAME?</v>
      </c>
      <c r="G61" s="33">
        <f t="shared" ref="G61:I61" si="8">G47</f>
        <v>0</v>
      </c>
      <c r="H61" s="33">
        <f t="shared" si="8"/>
        <v>0</v>
      </c>
      <c r="I61" s="34">
        <f t="shared" si="8"/>
        <v>0</v>
      </c>
    </row>
    <row r="62" spans="1:16" x14ac:dyDescent="0.35">
      <c r="F62" s="32">
        <v>0</v>
      </c>
      <c r="G62" s="33" t="e">
        <f ca="1">P56</f>
        <v>#NAME?</v>
      </c>
      <c r="H62" s="33">
        <f>H48</f>
        <v>0</v>
      </c>
      <c r="I62" s="34">
        <v>0</v>
      </c>
    </row>
    <row r="63" spans="1:16" x14ac:dyDescent="0.35">
      <c r="F63" s="4">
        <v>0</v>
      </c>
      <c r="G63">
        <f t="shared" ref="G63:G65" si="9">P57</f>
        <v>0</v>
      </c>
      <c r="H63">
        <v>0</v>
      </c>
      <c r="I63" s="26">
        <f>I49</f>
        <v>0</v>
      </c>
    </row>
    <row r="64" spans="1:16" x14ac:dyDescent="0.35">
      <c r="F64" s="4">
        <f>F50</f>
        <v>0</v>
      </c>
      <c r="G64">
        <f t="shared" si="9"/>
        <v>0</v>
      </c>
      <c r="H64">
        <v>0</v>
      </c>
      <c r="I64" s="26">
        <v>0</v>
      </c>
    </row>
    <row r="65" spans="6:9" x14ac:dyDescent="0.35">
      <c r="F65" s="27">
        <v>0</v>
      </c>
      <c r="G65" s="28">
        <f t="shared" si="9"/>
        <v>0</v>
      </c>
      <c r="H65" s="28">
        <f t="shared" ref="H65" si="10">H51</f>
        <v>0</v>
      </c>
      <c r="I65" s="2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62E1-1B2F-4717-9F8C-5EE50D675C5A}">
  <sheetPr codeName="Sheet102"/>
  <dimension ref="A1:N4"/>
  <sheetViews>
    <sheetView workbookViewId="0">
      <selection activeCell="D8" sqref="D8"/>
    </sheetView>
  </sheetViews>
  <sheetFormatPr defaultRowHeight="14.5" x14ac:dyDescent="0.35"/>
  <cols>
    <col min="1" max="2" width="5.453125" customWidth="1"/>
    <col min="3" max="3" width="4.6328125" customWidth="1"/>
    <col min="6" max="6" width="4.6328125" customWidth="1"/>
    <col min="7" max="9" width="7.26953125" customWidth="1"/>
    <col min="10" max="10" width="4.6328125" customWidth="1"/>
    <col min="11" max="11" width="6.7265625" customWidth="1"/>
    <col min="13" max="13" width="4.6328125" customWidth="1"/>
  </cols>
  <sheetData>
    <row r="1" spans="1:14" x14ac:dyDescent="0.35">
      <c r="D1" t="e" cm="1">
        <f t="array" aca="1" ref="D1" ca="1">FTEXT(D2)</f>
        <v>#NAME?</v>
      </c>
      <c r="G1" t="e" cm="1">
        <f t="array" aca="1" ref="G1" ca="1">FTEXT(G2)</f>
        <v>#NAME?</v>
      </c>
      <c r="K1" t="e" cm="1">
        <f t="array" aca="1" ref="K1" ca="1">FTEXT(K2)</f>
        <v>#NAME?</v>
      </c>
      <c r="N1" t="e" cm="1">
        <f t="array" aca="1" ref="N1" ca="1">FTEXT(N2)</f>
        <v>#NAME?</v>
      </c>
    </row>
    <row r="2" spans="1:14" x14ac:dyDescent="0.35">
      <c r="A2" s="101">
        <v>-2</v>
      </c>
      <c r="B2" s="101">
        <v>1</v>
      </c>
      <c r="D2" s="15" t="e" cm="1">
        <f t="array" aca="1" ref="D2" ca="1">eigVECTSym(A2:B3)</f>
        <v>#NAME?</v>
      </c>
      <c r="E2" s="38"/>
      <c r="G2" s="32" t="e" cm="1">
        <f t="array" aca="1" ref="G2:H3" ca="1">A2:B3-D2*Identity((2))</f>
        <v>#NAME?</v>
      </c>
      <c r="H2" s="33" t="e">
        <f ca="1"/>
        <v>#NAME?</v>
      </c>
      <c r="I2" s="36">
        <v>0</v>
      </c>
      <c r="K2" s="36" t="e" cm="1">
        <f t="array" aca="1" ref="K2" ca="1">LinEqSolve(G2:I3)</f>
        <v>#NAME?</v>
      </c>
      <c r="N2" s="36" t="e" cm="1">
        <f t="array" aca="1" ref="N2" ca="1">NORM(K2:K3)</f>
        <v>#NAME?</v>
      </c>
    </row>
    <row r="3" spans="1:14" x14ac:dyDescent="0.35">
      <c r="A3" s="101">
        <v>-1</v>
      </c>
      <c r="B3" s="101">
        <v>0</v>
      </c>
      <c r="D3" s="4"/>
      <c r="E3" s="6"/>
      <c r="G3" s="7" t="e">
        <f ca="1"/>
        <v>#NAME?</v>
      </c>
      <c r="H3" s="8" t="e">
        <f ca="1"/>
        <v>#NAME?</v>
      </c>
      <c r="I3" s="14">
        <v>0</v>
      </c>
      <c r="K3" s="14"/>
      <c r="N3" s="14"/>
    </row>
    <row r="4" spans="1:14" x14ac:dyDescent="0.35">
      <c r="D4" s="7"/>
      <c r="E4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41"/>
  <dimension ref="A1:Y258"/>
  <sheetViews>
    <sheetView topLeftCell="C223" workbookViewId="0">
      <selection activeCell="W239" sqref="W239"/>
    </sheetView>
  </sheetViews>
  <sheetFormatPr defaultRowHeight="14.5" x14ac:dyDescent="0.35"/>
  <cols>
    <col min="1" max="1" width="9.54296875" customWidth="1"/>
    <col min="2" max="2" width="9.1796875" customWidth="1"/>
    <col min="3" max="3" width="9.453125" bestFit="1" customWidth="1"/>
    <col min="6" max="6" width="3.7265625" customWidth="1"/>
    <col min="8" max="8" width="3.54296875" customWidth="1"/>
    <col min="10" max="10" width="3.81640625" customWidth="1"/>
    <col min="14" max="14" width="4.453125" customWidth="1"/>
    <col min="15" max="15" width="9.7265625" customWidth="1"/>
    <col min="16" max="16" width="9.54296875" customWidth="1"/>
    <col min="17" max="17" width="9.26953125" bestFit="1" customWidth="1"/>
    <col min="23" max="25" width="9.1796875" customWidth="1"/>
    <col min="27" max="29" width="9.1796875" customWidth="1"/>
  </cols>
  <sheetData>
    <row r="1" spans="1:17" x14ac:dyDescent="0.35">
      <c r="A1" s="10" t="s">
        <v>32</v>
      </c>
    </row>
    <row r="3" spans="1:17" x14ac:dyDescent="0.35">
      <c r="A3" t="s">
        <v>78</v>
      </c>
    </row>
    <row r="5" spans="1:17" ht="16.5" x14ac:dyDescent="0.45">
      <c r="A5" t="s">
        <v>16</v>
      </c>
      <c r="K5" t="s">
        <v>23</v>
      </c>
      <c r="O5" t="s">
        <v>54</v>
      </c>
    </row>
    <row r="6" spans="1:17" x14ac:dyDescent="0.35">
      <c r="A6" s="66">
        <v>2</v>
      </c>
      <c r="B6" s="67">
        <v>1</v>
      </c>
      <c r="C6" s="68">
        <v>1</v>
      </c>
      <c r="K6" s="62">
        <v>1</v>
      </c>
      <c r="L6" s="63">
        <v>0</v>
      </c>
      <c r="M6" s="64">
        <v>0</v>
      </c>
      <c r="O6" s="62">
        <v>1</v>
      </c>
      <c r="P6" s="63">
        <v>0</v>
      </c>
      <c r="Q6" s="64">
        <v>0</v>
      </c>
    </row>
    <row r="7" spans="1:17" x14ac:dyDescent="0.35">
      <c r="A7" s="69">
        <v>1</v>
      </c>
      <c r="B7" s="1">
        <v>2</v>
      </c>
      <c r="C7" s="70">
        <v>1</v>
      </c>
      <c r="K7" s="30">
        <v>0</v>
      </c>
      <c r="L7" s="5">
        <v>1</v>
      </c>
      <c r="M7" s="26">
        <v>0</v>
      </c>
      <c r="O7" s="30">
        <v>0</v>
      </c>
      <c r="P7" s="5">
        <v>1</v>
      </c>
      <c r="Q7" s="26">
        <v>0</v>
      </c>
    </row>
    <row r="8" spans="1:17" x14ac:dyDescent="0.35">
      <c r="A8" s="71">
        <v>1</v>
      </c>
      <c r="B8" s="72">
        <v>1</v>
      </c>
      <c r="C8" s="73">
        <v>2</v>
      </c>
      <c r="K8" s="27">
        <v>0</v>
      </c>
      <c r="L8" s="28">
        <v>0</v>
      </c>
      <c r="M8" s="29">
        <v>1</v>
      </c>
      <c r="O8" s="27">
        <v>0</v>
      </c>
      <c r="P8" s="28">
        <v>0</v>
      </c>
      <c r="Q8" s="29">
        <v>1</v>
      </c>
    </row>
    <row r="10" spans="1:17" ht="16.5" x14ac:dyDescent="0.45">
      <c r="A10" t="s">
        <v>55</v>
      </c>
      <c r="E10" t="s">
        <v>56</v>
      </c>
      <c r="G10" t="s">
        <v>57</v>
      </c>
      <c r="I10" t="s">
        <v>58</v>
      </c>
      <c r="K10" t="s">
        <v>59</v>
      </c>
      <c r="O10" t="s">
        <v>60</v>
      </c>
    </row>
    <row r="11" spans="1:17" x14ac:dyDescent="0.35">
      <c r="A11" s="62">
        <f t="array" ref="A11:C13">A6:C8</f>
        <v>2</v>
      </c>
      <c r="B11" s="63">
        <v>1</v>
      </c>
      <c r="C11" s="64">
        <v>1</v>
      </c>
      <c r="E11" s="65">
        <f>A6</f>
        <v>2</v>
      </c>
      <c r="G11" s="65">
        <f>E11/E15</f>
        <v>0.81649658092772615</v>
      </c>
      <c r="I11" s="65">
        <f>SQRT((1-G11/G15)/2)</f>
        <v>0.95302061387142256</v>
      </c>
      <c r="K11" s="62">
        <f t="array" ref="K11:M13">K$6:M$8-2*MMULT(I11:I13,TRANSPOSE(I11:I13))</f>
        <v>-0.81649658092772626</v>
      </c>
      <c r="L11" s="63">
        <v>-0.40824829046386307</v>
      </c>
      <c r="M11" s="64">
        <v>-0.40824829046386307</v>
      </c>
      <c r="O11" s="62">
        <f t="array" ref="O11:Q13">MMULT(K11:M13,O6:Q8)</f>
        <v>-0.81649658092772626</v>
      </c>
      <c r="P11" s="63">
        <v>-0.40824829046386307</v>
      </c>
      <c r="Q11" s="64">
        <v>-0.40824829046386307</v>
      </c>
    </row>
    <row r="12" spans="1:17" x14ac:dyDescent="0.35">
      <c r="A12" s="30">
        <v>1</v>
      </c>
      <c r="B12" s="5">
        <v>2</v>
      </c>
      <c r="C12" s="26">
        <v>1</v>
      </c>
      <c r="E12" s="52">
        <f>A7</f>
        <v>1</v>
      </c>
      <c r="F12" s="74"/>
      <c r="G12" s="52">
        <f>E12/E15</f>
        <v>0.40824829046386307</v>
      </c>
      <c r="I12" s="52">
        <f>G12/(-2*G15*I11)</f>
        <v>0.21418649529806613</v>
      </c>
      <c r="K12" s="30">
        <v>-0.40824829046386307</v>
      </c>
      <c r="L12" s="5">
        <v>0.90824829046386302</v>
      </c>
      <c r="M12" s="26">
        <v>-9.1751709536137011E-2</v>
      </c>
      <c r="O12" s="30">
        <v>-0.40824829046386307</v>
      </c>
      <c r="P12" s="5">
        <v>0.90824829046386302</v>
      </c>
      <c r="Q12" s="26">
        <v>-9.1751709536137011E-2</v>
      </c>
    </row>
    <row r="13" spans="1:17" x14ac:dyDescent="0.35">
      <c r="A13" s="27">
        <v>1</v>
      </c>
      <c r="B13" s="28">
        <v>1</v>
      </c>
      <c r="C13" s="29">
        <v>2</v>
      </c>
      <c r="E13" s="53">
        <f>A8</f>
        <v>1</v>
      </c>
      <c r="G13" s="53">
        <f>E13/E15</f>
        <v>0.40824829046386307</v>
      </c>
      <c r="I13" s="53">
        <f>G13/(-2*G15*I11)</f>
        <v>0.21418649529806613</v>
      </c>
      <c r="K13" s="27">
        <v>-0.40824829046386307</v>
      </c>
      <c r="L13" s="28">
        <v>-9.1751709536137011E-2</v>
      </c>
      <c r="M13" s="29">
        <v>0.90824829046386302</v>
      </c>
      <c r="O13" s="27">
        <v>-0.40824829046386307</v>
      </c>
      <c r="P13" s="28">
        <v>-9.1751709536137011E-2</v>
      </c>
      <c r="Q13" s="29">
        <v>0.90824829046386302</v>
      </c>
    </row>
    <row r="15" spans="1:17" x14ac:dyDescent="0.35">
      <c r="D15" s="12" t="s">
        <v>63</v>
      </c>
      <c r="E15">
        <f>SQRT(E11^2+E12^2+E13^2)</f>
        <v>2.4494897427831779</v>
      </c>
      <c r="F15" s="12" t="s">
        <v>17</v>
      </c>
      <c r="G15">
        <f>-SIGN(G11)*SQRT(G11^2+G12^2+G13^2)</f>
        <v>-1</v>
      </c>
    </row>
    <row r="17" spans="1:25" ht="16.5" x14ac:dyDescent="0.45">
      <c r="A17" t="s">
        <v>64</v>
      </c>
      <c r="E17" t="s">
        <v>65</v>
      </c>
      <c r="G17" t="s">
        <v>66</v>
      </c>
      <c r="I17" t="s">
        <v>67</v>
      </c>
      <c r="K17" t="s">
        <v>68</v>
      </c>
      <c r="O17" t="s">
        <v>69</v>
      </c>
    </row>
    <row r="18" spans="1:25" x14ac:dyDescent="0.35">
      <c r="A18" s="62">
        <f t="array" ref="A18:C20">MMULT(K11:M13,A11:C13)</f>
        <v>-2.4494897427831788</v>
      </c>
      <c r="B18" s="63">
        <v>-2.0412414523193156</v>
      </c>
      <c r="C18" s="64">
        <v>-2.0412414523193156</v>
      </c>
      <c r="E18" s="65">
        <f>B18</f>
        <v>-2.0412414523193156</v>
      </c>
      <c r="G18" s="65">
        <f>E18/E22</f>
        <v>-0.83333333333333348</v>
      </c>
      <c r="I18" s="65">
        <v>0</v>
      </c>
      <c r="K18" s="62">
        <f t="array" ref="K18:M20">K$6:M$8-2*MMULT(I18:I20,TRANSPOSE(I18:I20))</f>
        <v>1</v>
      </c>
      <c r="L18" s="63">
        <v>0</v>
      </c>
      <c r="M18" s="64">
        <v>0</v>
      </c>
      <c r="O18" s="62">
        <f t="array" ref="O18:Q20">MMULT(K18:M20,O11:Q13)</f>
        <v>-0.81649658092772626</v>
      </c>
      <c r="P18" s="63">
        <v>-0.40824829046386307</v>
      </c>
      <c r="Q18" s="64">
        <v>-0.40824829046386307</v>
      </c>
    </row>
    <row r="19" spans="1:25" x14ac:dyDescent="0.35">
      <c r="A19" s="30">
        <v>-1.3877787807814457E-16</v>
      </c>
      <c r="B19" s="5">
        <v>1.3164965809277258</v>
      </c>
      <c r="C19" s="26">
        <v>0.31649658092772592</v>
      </c>
      <c r="E19" s="52">
        <f>B19</f>
        <v>1.3164965809277258</v>
      </c>
      <c r="F19" s="74"/>
      <c r="G19" s="52">
        <f>E19/E22</f>
        <v>0.53745747856526471</v>
      </c>
      <c r="I19" s="52">
        <f>SQRT((1-G19/G22)/2)</f>
        <v>0.99305014024809579</v>
      </c>
      <c r="K19" s="30">
        <v>0</v>
      </c>
      <c r="L19" s="5">
        <v>-0.97229716209352546</v>
      </c>
      <c r="M19" s="26">
        <v>-0.23374821621752903</v>
      </c>
      <c r="O19" s="30">
        <v>0.49236596391733101</v>
      </c>
      <c r="P19" s="5">
        <v>-0.86164043685532909</v>
      </c>
      <c r="Q19" s="26">
        <v>-0.1230914909793327</v>
      </c>
    </row>
    <row r="20" spans="1:25" x14ac:dyDescent="0.35">
      <c r="A20" s="27">
        <v>-1.1102230246251565E-16</v>
      </c>
      <c r="B20" s="28">
        <v>0.31649658092772592</v>
      </c>
      <c r="C20" s="29">
        <v>1.3164965809277258</v>
      </c>
      <c r="E20" s="53">
        <f>B20</f>
        <v>0.31649658092772592</v>
      </c>
      <c r="G20" s="53">
        <f>E20/E22</f>
        <v>0.12920918810140178</v>
      </c>
      <c r="I20" s="53">
        <f>G20/(-2*G22*I19)</f>
        <v>0.11769205135962783</v>
      </c>
      <c r="K20" s="27">
        <v>0</v>
      </c>
      <c r="L20" s="28">
        <v>-0.23374821621752903</v>
      </c>
      <c r="M20" s="29">
        <v>0.97229716209352546</v>
      </c>
      <c r="O20" s="27">
        <v>-0.30151134457776363</v>
      </c>
      <c r="P20" s="28">
        <v>-0.30151134457776363</v>
      </c>
      <c r="Q20" s="29">
        <v>0.90453403373329089</v>
      </c>
    </row>
    <row r="22" spans="1:25" x14ac:dyDescent="0.35">
      <c r="D22" s="12" t="s">
        <v>63</v>
      </c>
      <c r="E22">
        <f>SQRT(E18^2+E19^2+E20^2)</f>
        <v>2.4494897427831783</v>
      </c>
      <c r="F22" s="12" t="s">
        <v>17</v>
      </c>
      <c r="G22">
        <f>-SIGN(G19)*SQRT(G19^2+G20^2)</f>
        <v>-0.55277079839256649</v>
      </c>
    </row>
    <row r="24" spans="1:25" ht="17.5" x14ac:dyDescent="0.45">
      <c r="A24" t="s">
        <v>70</v>
      </c>
      <c r="K24" t="s">
        <v>33</v>
      </c>
      <c r="O24" t="s">
        <v>71</v>
      </c>
      <c r="S24" t="s">
        <v>72</v>
      </c>
      <c r="W24" t="s">
        <v>73</v>
      </c>
    </row>
    <row r="25" spans="1:25" s="11" customFormat="1" x14ac:dyDescent="0.35">
      <c r="A25" s="75">
        <f t="array" ref="A25:C27">MMULT(K18:M20,A18:C20)</f>
        <v>-2.4494897427831788</v>
      </c>
      <c r="B25" s="76">
        <v>-2.0412414523193156</v>
      </c>
      <c r="C25" s="77">
        <v>-2.0412414523193156</v>
      </c>
      <c r="K25" s="75">
        <f>A25</f>
        <v>-2.4494897427831788</v>
      </c>
      <c r="L25" s="76">
        <f>B25</f>
        <v>-2.0412414523193156</v>
      </c>
      <c r="M25" s="76">
        <f>C25</f>
        <v>-2.0412414523193156</v>
      </c>
      <c r="O25" s="75">
        <f t="array" ref="O25:Q27">TRANSPOSE(O18:Q20)</f>
        <v>-0.81649658092772626</v>
      </c>
      <c r="P25" s="76">
        <v>0.49236596391733101</v>
      </c>
      <c r="Q25" s="77">
        <v>-0.30151134457776363</v>
      </c>
      <c r="S25" s="75">
        <f t="array" ref="S25:U27">MMULT(TRANSPOSE(O25:Q27),O25:Q27)</f>
        <v>1.0000000000000004</v>
      </c>
      <c r="T25" s="76">
        <v>-1.7347234759768071E-16</v>
      </c>
      <c r="U25" s="77">
        <v>5.5511151231257827E-17</v>
      </c>
      <c r="W25" s="75">
        <f t="array" ref="W25:Y27">MMULT(O25:Q27,K25:M27)</f>
        <v>2.0000000000000009</v>
      </c>
      <c r="X25" s="76">
        <v>1.0000000000000009</v>
      </c>
      <c r="Y25" s="77">
        <v>1.0000000000000011</v>
      </c>
    </row>
    <row r="26" spans="1:25" s="11" customFormat="1" x14ac:dyDescent="0.35">
      <c r="A26" s="31">
        <v>1.6088460217771726E-16</v>
      </c>
      <c r="B26" s="2">
        <v>-1.3540064007726598</v>
      </c>
      <c r="C26" s="54">
        <v>-0.61545745489666348</v>
      </c>
      <c r="K26" s="31">
        <v>0</v>
      </c>
      <c r="L26" s="2">
        <f>B26</f>
        <v>-1.3540064007726598</v>
      </c>
      <c r="M26" s="54">
        <f>C26</f>
        <v>-0.61545745489666348</v>
      </c>
      <c r="O26" s="31">
        <v>-0.40824829046386307</v>
      </c>
      <c r="P26" s="2">
        <v>-0.86164043685532909</v>
      </c>
      <c r="Q26" s="54">
        <v>-0.30151134457776363</v>
      </c>
      <c r="S26" s="31">
        <v>-1.7347234759768071E-16</v>
      </c>
      <c r="T26" s="2">
        <v>1</v>
      </c>
      <c r="U26" s="54">
        <v>1.3877787807814457E-17</v>
      </c>
      <c r="W26" s="31">
        <v>1.0000000000000004</v>
      </c>
      <c r="X26" s="2">
        <v>2</v>
      </c>
      <c r="Y26" s="54">
        <v>1.0000000000000002</v>
      </c>
    </row>
    <row r="27" spans="1:25" s="11" customFormat="1" x14ac:dyDescent="0.35">
      <c r="A27" s="55">
        <v>-7.5507588162172983E-17</v>
      </c>
      <c r="B27" s="56">
        <v>0</v>
      </c>
      <c r="C27" s="57">
        <v>1.2060453783110543</v>
      </c>
      <c r="K27" s="55">
        <v>0</v>
      </c>
      <c r="L27" s="56">
        <v>0</v>
      </c>
      <c r="M27" s="57">
        <f>C27</f>
        <v>1.2060453783110543</v>
      </c>
      <c r="O27" s="55">
        <v>-0.40824829046386307</v>
      </c>
      <c r="P27" s="56">
        <v>-0.1230914909793327</v>
      </c>
      <c r="Q27" s="57">
        <v>0.90453403373329089</v>
      </c>
      <c r="S27" s="55">
        <v>5.5511151231257827E-17</v>
      </c>
      <c r="T27" s="56">
        <v>1.3877787807814457E-17</v>
      </c>
      <c r="U27" s="57">
        <v>1</v>
      </c>
      <c r="W27" s="55">
        <v>1.0000000000000004</v>
      </c>
      <c r="X27" s="56">
        <v>1.0000000000000002</v>
      </c>
      <c r="Y27" s="57">
        <v>2</v>
      </c>
    </row>
    <row r="29" spans="1:25" x14ac:dyDescent="0.35">
      <c r="S29" t="s">
        <v>74</v>
      </c>
      <c r="U29">
        <f>MDETERM(O25:Q27)</f>
        <v>1.0000000000000002</v>
      </c>
    </row>
    <row r="31" spans="1:25" ht="16.5" x14ac:dyDescent="0.45">
      <c r="A31" t="s">
        <v>75</v>
      </c>
      <c r="K31" t="s">
        <v>80</v>
      </c>
      <c r="O31" t="s">
        <v>54</v>
      </c>
    </row>
    <row r="32" spans="1:25" x14ac:dyDescent="0.35">
      <c r="A32" s="66">
        <f t="array" ref="A32:C34">MMULT(K25:M27,O25:Q27)</f>
        <v>3.6666666666666687</v>
      </c>
      <c r="B32" s="67">
        <v>0.80403025220736946</v>
      </c>
      <c r="C32" s="68">
        <v>-0.49236596391733101</v>
      </c>
      <c r="K32" s="62">
        <f t="array" ref="K32:M34">O25:Q27</f>
        <v>-0.81649658092772626</v>
      </c>
      <c r="L32" s="63">
        <v>0.49236596391733101</v>
      </c>
      <c r="M32" s="64">
        <v>-0.30151134457776363</v>
      </c>
      <c r="O32" s="62">
        <v>1</v>
      </c>
      <c r="P32" s="63">
        <v>0</v>
      </c>
      <c r="Q32" s="64">
        <v>0</v>
      </c>
    </row>
    <row r="33" spans="1:17" x14ac:dyDescent="0.35">
      <c r="A33" s="69">
        <v>0.80403025220736957</v>
      </c>
      <c r="B33" s="1">
        <v>1.242424242424242</v>
      </c>
      <c r="C33" s="70">
        <v>-0.14845392380504102</v>
      </c>
      <c r="K33" s="30">
        <v>-0.40824829046386307</v>
      </c>
      <c r="L33" s="5">
        <v>-0.86164043685532909</v>
      </c>
      <c r="M33" s="26">
        <v>-0.30151134457776363</v>
      </c>
      <c r="O33" s="30">
        <v>0</v>
      </c>
      <c r="P33" s="5">
        <v>1</v>
      </c>
      <c r="Q33" s="26">
        <v>0</v>
      </c>
    </row>
    <row r="34" spans="1:17" x14ac:dyDescent="0.35">
      <c r="A34" s="71">
        <v>-0.4923659639173309</v>
      </c>
      <c r="B34" s="72">
        <v>-0.14845392380504102</v>
      </c>
      <c r="C34" s="73">
        <v>1.0909090909090908</v>
      </c>
      <c r="K34" s="27">
        <v>-0.40824829046386307</v>
      </c>
      <c r="L34" s="28">
        <v>-0.1230914909793327</v>
      </c>
      <c r="M34" s="29">
        <v>0.90453403373329089</v>
      </c>
      <c r="O34" s="27">
        <v>0</v>
      </c>
      <c r="P34" s="28">
        <v>0</v>
      </c>
      <c r="Q34" s="29">
        <v>1</v>
      </c>
    </row>
    <row r="36" spans="1:17" ht="16.5" x14ac:dyDescent="0.45">
      <c r="A36" t="s">
        <v>55</v>
      </c>
      <c r="E36" t="s">
        <v>56</v>
      </c>
      <c r="G36" t="s">
        <v>57</v>
      </c>
      <c r="I36" t="s">
        <v>58</v>
      </c>
      <c r="K36" t="s">
        <v>59</v>
      </c>
      <c r="O36" t="s">
        <v>60</v>
      </c>
    </row>
    <row r="37" spans="1:17" x14ac:dyDescent="0.35">
      <c r="A37" s="62">
        <f t="array" ref="A37:C39">A32:C34</f>
        <v>3.6666666666666687</v>
      </c>
      <c r="B37" s="63">
        <v>0.80403025220736946</v>
      </c>
      <c r="C37" s="64">
        <v>-0.49236596391733101</v>
      </c>
      <c r="E37" s="65">
        <f>A32</f>
        <v>3.6666666666666687</v>
      </c>
      <c r="G37" s="65">
        <f>E37/E41</f>
        <v>0.96849599695818633</v>
      </c>
      <c r="I37" s="65">
        <f>SQRT((1-G37/G41)/2)</f>
        <v>0.99209273683415966</v>
      </c>
      <c r="K37" s="62">
        <f t="array" ref="K37:M39">K$6:M$8-2*MMULT(I37:I39,TRANSPOSE(I37:I39))</f>
        <v>-0.96849599695818633</v>
      </c>
      <c r="L37" s="63">
        <v>-0.21237274928075944</v>
      </c>
      <c r="M37" s="64">
        <v>0.13005121775247094</v>
      </c>
      <c r="O37" s="62">
        <f t="array" ref="O37:Q39">MMULT(K37:M39,O32:Q34)</f>
        <v>-0.96849599695818633</v>
      </c>
      <c r="P37" s="63">
        <v>-0.21237274928075944</v>
      </c>
      <c r="Q37" s="64">
        <v>0.13005121775247094</v>
      </c>
    </row>
    <row r="38" spans="1:17" x14ac:dyDescent="0.35">
      <c r="A38" s="30">
        <v>0.80403025220736957</v>
      </c>
      <c r="B38" s="5">
        <v>1.242424242424242</v>
      </c>
      <c r="C38" s="26">
        <v>-0.14845392380504102</v>
      </c>
      <c r="E38" s="52">
        <f>A33</f>
        <v>0.80403025220736957</v>
      </c>
      <c r="F38" s="74"/>
      <c r="G38" s="52">
        <f>E38/E41</f>
        <v>0.21237274928075944</v>
      </c>
      <c r="I38" s="52">
        <f>G38/(-2*G41*I37)</f>
        <v>0.10703271044925518</v>
      </c>
      <c r="K38" s="30">
        <v>-0.21237274928075944</v>
      </c>
      <c r="L38" s="5">
        <v>0.97708799778777178</v>
      </c>
      <c r="M38" s="26">
        <v>1.4030678601369612E-2</v>
      </c>
      <c r="O38" s="30">
        <v>-0.21237274928075944</v>
      </c>
      <c r="P38" s="5">
        <v>0.97708799778777178</v>
      </c>
      <c r="Q38" s="26">
        <v>1.4030678601369612E-2</v>
      </c>
    </row>
    <row r="39" spans="1:17" x14ac:dyDescent="0.35">
      <c r="A39" s="27">
        <v>-0.4923659639173309</v>
      </c>
      <c r="B39" s="28">
        <v>-0.14845392380504102</v>
      </c>
      <c r="C39" s="29">
        <v>1.0909090909090908</v>
      </c>
      <c r="E39" s="53">
        <f>A34</f>
        <v>-0.4923659639173309</v>
      </c>
      <c r="G39" s="53">
        <f>E39/E41</f>
        <v>-0.13005121775247094</v>
      </c>
      <c r="I39" s="53">
        <f>G39/(-2*G41*I37)</f>
        <v>-6.5543881596933098E-2</v>
      </c>
      <c r="K39" s="27">
        <v>0.13005121775247094</v>
      </c>
      <c r="L39" s="28">
        <v>1.4030678601369612E-2</v>
      </c>
      <c r="M39" s="29">
        <v>0.99140799917041444</v>
      </c>
      <c r="O39" s="27">
        <v>0.13005121775247094</v>
      </c>
      <c r="P39" s="28">
        <v>1.4030678601369612E-2</v>
      </c>
      <c r="Q39" s="29">
        <v>0.99140799917041444</v>
      </c>
    </row>
    <row r="41" spans="1:17" x14ac:dyDescent="0.35">
      <c r="D41" s="12" t="s">
        <v>63</v>
      </c>
      <c r="E41">
        <f>SQRT(E37^2+E38^2+E39^2)</f>
        <v>3.7859388972001842</v>
      </c>
      <c r="F41" s="12" t="s">
        <v>17</v>
      </c>
      <c r="G41">
        <f>-SIGN(G37)*SQRT(G37^2+G38^2+G39^2)</f>
        <v>-1</v>
      </c>
    </row>
    <row r="43" spans="1:17" ht="16.5" x14ac:dyDescent="0.45">
      <c r="A43" t="s">
        <v>64</v>
      </c>
      <c r="E43" t="s">
        <v>65</v>
      </c>
      <c r="G43" t="s">
        <v>66</v>
      </c>
      <c r="I43" t="s">
        <v>67</v>
      </c>
      <c r="K43" t="s">
        <v>68</v>
      </c>
      <c r="O43" t="s">
        <v>69</v>
      </c>
    </row>
    <row r="44" spans="1:17" x14ac:dyDescent="0.35">
      <c r="A44" s="62">
        <f t="array" ref="A44:C46">MMULT(K37:M39,A37:C39)</f>
        <v>-3.7859388972001851</v>
      </c>
      <c r="B44" s="63">
        <v>-1.0618637464037974</v>
      </c>
      <c r="C44" s="64">
        <v>0.65025608876235508</v>
      </c>
      <c r="E44" s="65">
        <f>B44</f>
        <v>-1.0618637464037974</v>
      </c>
      <c r="G44" s="65">
        <f>E44/E48</f>
        <v>-0.7139443046999141</v>
      </c>
      <c r="I44" s="65">
        <v>0</v>
      </c>
      <c r="K44" s="62">
        <f t="array" ref="K44:M46">K$6:M$8-2*MMULT(I44:I46,TRANSPOSE(I44:I46))</f>
        <v>1</v>
      </c>
      <c r="L44" s="63">
        <v>0</v>
      </c>
      <c r="M44" s="64">
        <v>0</v>
      </c>
      <c r="O44" s="62">
        <f t="array" ref="O44:Q46">MMULT(K44:M46,O37:Q39)</f>
        <v>-0.96849599695818633</v>
      </c>
      <c r="P44" s="63">
        <v>-0.21237274928075944</v>
      </c>
      <c r="Q44" s="64">
        <v>0.13005121775247094</v>
      </c>
    </row>
    <row r="45" spans="1:17" x14ac:dyDescent="0.35">
      <c r="A45" s="30">
        <v>-6.6786853825107073E-17</v>
      </c>
      <c r="B45" s="5">
        <v>1.0411207909750895</v>
      </c>
      <c r="C45" s="26">
        <v>-2.5181238927153425E-2</v>
      </c>
      <c r="E45" s="52">
        <f>B45</f>
        <v>1.0411207909750895</v>
      </c>
      <c r="F45" s="74"/>
      <c r="G45" s="52">
        <f>E45/E48</f>
        <v>0.69999777442131217</v>
      </c>
      <c r="I45" s="52">
        <f>SQRT((1-G45/G48)/2)</f>
        <v>0.99992690505551474</v>
      </c>
      <c r="K45" s="30">
        <v>0</v>
      </c>
      <c r="L45" s="5">
        <v>-0.99970763090780079</v>
      </c>
      <c r="M45" s="26">
        <v>2.417959273256912E-2</v>
      </c>
      <c r="O45" s="30">
        <v>0.21545524353247378</v>
      </c>
      <c r="P45" s="5">
        <v>-0.97646307136251709</v>
      </c>
      <c r="Q45" s="26">
        <v>9.9452651871478545E-3</v>
      </c>
    </row>
    <row r="46" spans="1:17" x14ac:dyDescent="0.35">
      <c r="A46" s="27">
        <v>-5.5511151231257827E-17</v>
      </c>
      <c r="B46" s="28">
        <v>-2.5181238927153474E-2</v>
      </c>
      <c r="C46" s="29">
        <v>1.0154202966156587</v>
      </c>
      <c r="E46" s="53">
        <f>B46</f>
        <v>-2.5181238927153474E-2</v>
      </c>
      <c r="G46" s="53">
        <f>E46/E48</f>
        <v>-1.6930611086605891E-2</v>
      </c>
      <c r="I46" s="53">
        <f>G46/(-2*G48*I45)</f>
        <v>-1.2090680133877735E-2</v>
      </c>
      <c r="K46" s="27">
        <v>0</v>
      </c>
      <c r="L46" s="28">
        <v>2.417959273256912E-2</v>
      </c>
      <c r="M46" s="29">
        <v>0.99970763090780046</v>
      </c>
      <c r="O46" s="27">
        <v>0.12487810821089243</v>
      </c>
      <c r="P46" s="28">
        <v>3.7652166314993706E-2</v>
      </c>
      <c r="Q46" s="29">
        <v>0.99145739820804035</v>
      </c>
    </row>
    <row r="48" spans="1:17" x14ac:dyDescent="0.35">
      <c r="D48" s="12" t="s">
        <v>63</v>
      </c>
      <c r="E48">
        <f>SQRT(E44^2+E45^2+E46^2)</f>
        <v>1.4873201444615785</v>
      </c>
      <c r="F48" s="12" t="s">
        <v>17</v>
      </c>
      <c r="G48">
        <f>-SIGN(G45)*SQRT(G45^2+G46^2)</f>
        <v>-0.70020249198825057</v>
      </c>
    </row>
    <row r="50" spans="1:21" ht="17.5" x14ac:dyDescent="0.45">
      <c r="A50" t="s">
        <v>70</v>
      </c>
      <c r="K50" t="s">
        <v>33</v>
      </c>
      <c r="O50" t="s">
        <v>71</v>
      </c>
      <c r="S50" t="s">
        <v>72</v>
      </c>
    </row>
    <row r="51" spans="1:21" s="11" customFormat="1" x14ac:dyDescent="0.35">
      <c r="A51" s="75">
        <f t="array" ref="A51:C53">MMULT(K44:M46,A44:C46)</f>
        <v>-3.7859388972001851</v>
      </c>
      <c r="B51" s="76">
        <v>-1.0618637464037974</v>
      </c>
      <c r="C51" s="77">
        <v>0.65025608876235508</v>
      </c>
      <c r="K51" s="62">
        <f>A51</f>
        <v>-3.7859388972001851</v>
      </c>
      <c r="L51" s="63">
        <f>B51</f>
        <v>-1.0618637464037974</v>
      </c>
      <c r="M51" s="64">
        <f>C51</f>
        <v>0.65025608876235508</v>
      </c>
      <c r="O51" s="75">
        <f t="array" ref="O51:Q53">TRANSPOSE(O44:Q46)</f>
        <v>-0.96849599695818633</v>
      </c>
      <c r="P51" s="76">
        <v>0.21545524353247378</v>
      </c>
      <c r="Q51" s="77">
        <v>0.12487810821089243</v>
      </c>
      <c r="S51" s="75">
        <f t="array" ref="S51:U53">MMULT(TRANSPOSE(O51:Q53),O51:Q53)</f>
        <v>1.0000000000000002</v>
      </c>
      <c r="T51" s="76">
        <v>-2.7321894746634712E-17</v>
      </c>
      <c r="U51" s="77">
        <v>0</v>
      </c>
    </row>
    <row r="52" spans="1:21" s="11" customFormat="1" x14ac:dyDescent="0.35">
      <c r="A52" s="31">
        <v>6.542509038439552E-17</v>
      </c>
      <c r="B52" s="2">
        <v>-1.0414252715363224</v>
      </c>
      <c r="C52" s="54">
        <v>4.9726325935739002E-2</v>
      </c>
      <c r="K52" s="30">
        <v>0</v>
      </c>
      <c r="L52" s="5">
        <f>B52</f>
        <v>-1.0414252715363224</v>
      </c>
      <c r="M52" s="26">
        <f>C52</f>
        <v>4.9726325935739002E-2</v>
      </c>
      <c r="O52" s="31">
        <v>-0.21237274928075944</v>
      </c>
      <c r="P52" s="2">
        <v>-0.97646307136251709</v>
      </c>
      <c r="Q52" s="54">
        <v>3.7652166314993706E-2</v>
      </c>
      <c r="S52" s="31">
        <v>-2.7321894746634712E-17</v>
      </c>
      <c r="T52" s="2">
        <v>1.0000000000000004</v>
      </c>
      <c r="U52" s="54">
        <v>-6.9388939039072284E-18</v>
      </c>
    </row>
    <row r="53" spans="1:21" s="11" customFormat="1" x14ac:dyDescent="0.35">
      <c r="A53" s="55">
        <v>-5.7109800411746114E-17</v>
      </c>
      <c r="B53" s="56">
        <v>6.9388939039072284E-18</v>
      </c>
      <c r="C53" s="57">
        <v>1.0145145470035761</v>
      </c>
      <c r="K53" s="27">
        <v>0</v>
      </c>
      <c r="L53" s="28">
        <v>0</v>
      </c>
      <c r="M53" s="29">
        <f>C53</f>
        <v>1.0145145470035761</v>
      </c>
      <c r="O53" s="55">
        <v>0.13005121775247094</v>
      </c>
      <c r="P53" s="56">
        <v>9.9452651871478545E-3</v>
      </c>
      <c r="Q53" s="57">
        <v>0.99145739820804035</v>
      </c>
      <c r="S53" s="55">
        <v>0</v>
      </c>
      <c r="T53" s="56">
        <v>-6.9388939039072284E-18</v>
      </c>
      <c r="U53" s="57">
        <v>1</v>
      </c>
    </row>
    <row r="55" spans="1:21" x14ac:dyDescent="0.35">
      <c r="S55" t="s">
        <v>74</v>
      </c>
      <c r="U55">
        <f>MDETERM(O51:Q53)</f>
        <v>1.0000000000000002</v>
      </c>
    </row>
    <row r="57" spans="1:21" ht="16.5" x14ac:dyDescent="0.45">
      <c r="A57" t="s">
        <v>75</v>
      </c>
      <c r="K57" t="s">
        <v>80</v>
      </c>
      <c r="O57" t="s">
        <v>54</v>
      </c>
    </row>
    <row r="58" spans="1:21" x14ac:dyDescent="0.35">
      <c r="A58" s="66">
        <f t="array" ref="A58:C60">MMULT(K51:M53,O51:Q53)</f>
        <v>3.9767441860465143</v>
      </c>
      <c r="B58" s="67">
        <v>0.22763731732892911</v>
      </c>
      <c r="C58" s="68">
        <v>0.13193885226541158</v>
      </c>
      <c r="K58" s="75">
        <f t="array" ref="K58:M60">MMULT(K32:M34,O51:Q53)</f>
        <v>0.64699663922063089</v>
      </c>
      <c r="L58" s="76">
        <v>-0.65969426132705811</v>
      </c>
      <c r="M58" s="77">
        <v>-0.38235955645093622</v>
      </c>
      <c r="O58" s="62">
        <v>1</v>
      </c>
      <c r="P58" s="63">
        <v>0</v>
      </c>
      <c r="Q58" s="64">
        <v>0</v>
      </c>
    </row>
    <row r="59" spans="1:21" x14ac:dyDescent="0.35">
      <c r="A59" s="69">
        <v>0.22763731732892936</v>
      </c>
      <c r="B59" s="1">
        <v>1.017407860737114</v>
      </c>
      <c r="C59" s="70">
        <v>1.0089616206169695E-2</v>
      </c>
      <c r="K59" s="31">
        <v>0.53916386601719213</v>
      </c>
      <c r="L59" s="2">
        <v>0.75040222225952857</v>
      </c>
      <c r="M59" s="54">
        <v>-0.38235955645093633</v>
      </c>
      <c r="O59" s="30">
        <v>0</v>
      </c>
      <c r="P59" s="5">
        <v>1</v>
      </c>
      <c r="Q59" s="26">
        <v>0</v>
      </c>
    </row>
    <row r="60" spans="1:21" x14ac:dyDescent="0.35">
      <c r="A60" s="71">
        <v>0.13193885226541149</v>
      </c>
      <c r="B60" s="72">
        <v>1.0089616206169742E-2</v>
      </c>
      <c r="C60" s="73">
        <v>1.0058479532163742</v>
      </c>
      <c r="K60" s="55">
        <v>0.53916386601719213</v>
      </c>
      <c r="L60" s="56">
        <v>4.1230891332941187E-2</v>
      </c>
      <c r="M60" s="57">
        <v>0.84119102419205982</v>
      </c>
      <c r="O60" s="27">
        <v>0</v>
      </c>
      <c r="P60" s="28">
        <v>0</v>
      </c>
      <c r="Q60" s="29">
        <v>1</v>
      </c>
    </row>
    <row r="62" spans="1:21" ht="16.5" x14ac:dyDescent="0.45">
      <c r="A62" t="s">
        <v>55</v>
      </c>
      <c r="E62" t="s">
        <v>56</v>
      </c>
      <c r="G62" t="s">
        <v>57</v>
      </c>
      <c r="I62" t="s">
        <v>58</v>
      </c>
      <c r="K62" t="s">
        <v>59</v>
      </c>
      <c r="O62" t="s">
        <v>60</v>
      </c>
    </row>
    <row r="63" spans="1:21" x14ac:dyDescent="0.35">
      <c r="A63" s="62">
        <f t="array" ref="A63:C65">A58:C60</f>
        <v>3.9767441860465143</v>
      </c>
      <c r="B63" s="63">
        <v>0.22763731732892911</v>
      </c>
      <c r="C63" s="64">
        <v>0.13193885226541158</v>
      </c>
      <c r="E63" s="65">
        <f>A58</f>
        <v>3.9767441860465143</v>
      </c>
      <c r="G63" s="65">
        <f>E63/E67</f>
        <v>0.99781845191295693</v>
      </c>
      <c r="I63" s="65">
        <f>SQRT((1-G63/G67)/2)</f>
        <v>0.99945446417357031</v>
      </c>
      <c r="K63" s="62">
        <f t="array" ref="K63:M65">K$6:M$8-2*MMULT(I63:I65,TRANSPOSE(I63:I65))</f>
        <v>-0.99781845191295715</v>
      </c>
      <c r="L63" s="63">
        <v>-5.7117255963246426E-2</v>
      </c>
      <c r="M63" s="64">
        <v>-3.3105227582045267E-2</v>
      </c>
      <c r="O63" s="62">
        <f t="array" ref="O63:Q65">MMULT(K63:M65,O58:Q60)</f>
        <v>-0.99781845191295715</v>
      </c>
      <c r="P63" s="63">
        <v>-5.7117255963246426E-2</v>
      </c>
      <c r="Q63" s="64">
        <v>-3.3105227582045267E-2</v>
      </c>
    </row>
    <row r="64" spans="1:21" x14ac:dyDescent="0.35">
      <c r="A64" s="30">
        <v>0.22763731732892936</v>
      </c>
      <c r="B64" s="5">
        <v>1.017407860737114</v>
      </c>
      <c r="C64" s="26">
        <v>1.0089616206169695E-2</v>
      </c>
      <c r="E64" s="52">
        <f>A59</f>
        <v>0.22763731732892936</v>
      </c>
      <c r="F64" s="74"/>
      <c r="G64" s="52">
        <f>E64/E67</f>
        <v>5.7117255963246426E-2</v>
      </c>
      <c r="I64" s="52">
        <f>G64/(-2*G67*I63)</f>
        <v>2.8574216240294444E-2</v>
      </c>
      <c r="K64" s="30">
        <v>-5.7117255963246426E-2</v>
      </c>
      <c r="L64" s="5">
        <v>0.99836702833250579</v>
      </c>
      <c r="M64" s="26">
        <v>-9.4647226614342464E-4</v>
      </c>
      <c r="O64" s="30">
        <v>-5.7117255963246426E-2</v>
      </c>
      <c r="P64" s="5">
        <v>0.99836702833250579</v>
      </c>
      <c r="Q64" s="26">
        <v>-9.4647226614342464E-4</v>
      </c>
    </row>
    <row r="65" spans="1:21" x14ac:dyDescent="0.35">
      <c r="A65" s="27">
        <v>0.13193885226541149</v>
      </c>
      <c r="B65" s="28">
        <v>1.0089616206169742E-2</v>
      </c>
      <c r="C65" s="29">
        <v>1.0058479532163742</v>
      </c>
      <c r="E65" s="53">
        <f>A60</f>
        <v>0.13193885226541149</v>
      </c>
      <c r="G65" s="53">
        <f>E65/E67</f>
        <v>3.3105227582045267E-2</v>
      </c>
      <c r="I65" s="53">
        <f>G65/(-2*G67*I63)</f>
        <v>1.6561648763768012E-2</v>
      </c>
      <c r="K65" s="27">
        <v>-3.3105227582045267E-2</v>
      </c>
      <c r="L65" s="28">
        <v>-9.4647226614342464E-4</v>
      </c>
      <c r="M65" s="29">
        <v>0.99945142358045114</v>
      </c>
      <c r="O65" s="27">
        <v>-3.3105227582045267E-2</v>
      </c>
      <c r="P65" s="28">
        <v>-9.4647226614342464E-4</v>
      </c>
      <c r="Q65" s="29">
        <v>0.99945142358045114</v>
      </c>
    </row>
    <row r="67" spans="1:21" x14ac:dyDescent="0.35">
      <c r="D67" s="12" t="s">
        <v>63</v>
      </c>
      <c r="E67">
        <f>SQRT(E63^2+E64^2+E65^2)</f>
        <v>3.9854386120266083</v>
      </c>
      <c r="F67" s="12" t="s">
        <v>17</v>
      </c>
      <c r="G67">
        <f>-SIGN(G63)*SQRT(G63^2+G64^2+G65^2)</f>
        <v>-1</v>
      </c>
    </row>
    <row r="69" spans="1:21" ht="16.5" x14ac:dyDescent="0.45">
      <c r="A69" t="s">
        <v>64</v>
      </c>
      <c r="E69" t="s">
        <v>65</v>
      </c>
      <c r="G69" t="s">
        <v>66</v>
      </c>
      <c r="I69" t="s">
        <v>67</v>
      </c>
      <c r="K69" t="s">
        <v>68</v>
      </c>
      <c r="O69" t="s">
        <v>69</v>
      </c>
    </row>
    <row r="70" spans="1:21" x14ac:dyDescent="0.35">
      <c r="A70" s="62">
        <f t="array" ref="A70:C72">MMULT(K63:M65,A63:C65)</f>
        <v>-3.9854386120266092</v>
      </c>
      <c r="B70" s="63">
        <v>-0.28558627981623202</v>
      </c>
      <c r="C70" s="64">
        <v>-0.16552613791022655</v>
      </c>
      <c r="E70" s="65">
        <f>B70</f>
        <v>-0.28558627981623202</v>
      </c>
      <c r="G70" s="65">
        <f>E70/E74</f>
        <v>-0.27391430629890828</v>
      </c>
      <c r="I70" s="65">
        <v>0</v>
      </c>
      <c r="K70" s="62">
        <f t="array" ref="K70:M72">K$6:M$8-2*MMULT(I70:I72,TRANSPOSE(I70:I72))</f>
        <v>1</v>
      </c>
      <c r="L70" s="63">
        <v>0</v>
      </c>
      <c r="M70" s="64">
        <v>0</v>
      </c>
      <c r="O70" s="62">
        <f t="array" ref="O70:Q72">MMULT(K70:M72,O63:Q65)</f>
        <v>-0.99781845191295715</v>
      </c>
      <c r="P70" s="63">
        <v>-5.7117255963246426E-2</v>
      </c>
      <c r="Q70" s="64">
        <v>-3.3105227582045267E-2</v>
      </c>
    </row>
    <row r="71" spans="1:21" x14ac:dyDescent="0.35">
      <c r="A71" s="30">
        <v>1.4446993948369347E-17</v>
      </c>
      <c r="B71" s="5">
        <v>1.002734894063666</v>
      </c>
      <c r="C71" s="26">
        <v>1.5851477607522347E-3</v>
      </c>
      <c r="E71" s="52">
        <f>B71</f>
        <v>1.002734894063666</v>
      </c>
      <c r="F71" s="74"/>
      <c r="G71" s="52">
        <f>E71/E74</f>
        <v>0.96175290033505023</v>
      </c>
      <c r="I71" s="52">
        <f>SQRT((1-G71/G74)/2)</f>
        <v>0.99999968762482427</v>
      </c>
      <c r="K71" s="30">
        <v>0</v>
      </c>
      <c r="L71" s="5">
        <v>-0.99999875049949227</v>
      </c>
      <c r="M71" s="26">
        <v>-1.5808223983164963E-3</v>
      </c>
      <c r="O71" s="30">
        <v>5.7169518080469162E-2</v>
      </c>
      <c r="P71" s="5">
        <v>-0.99836428466783933</v>
      </c>
      <c r="Q71" s="26">
        <v>-6.3348411289943765E-4</v>
      </c>
    </row>
    <row r="72" spans="1:21" x14ac:dyDescent="0.35">
      <c r="A72" s="27">
        <v>0</v>
      </c>
      <c r="B72" s="28">
        <v>1.5851477607522948E-3</v>
      </c>
      <c r="C72" s="29">
        <v>1.0009187534745128</v>
      </c>
      <c r="E72" s="53">
        <f>B72</f>
        <v>1.5851477607522948E-3</v>
      </c>
      <c r="G72" s="53">
        <f>E72/E74</f>
        <v>1.5203624261891243E-3</v>
      </c>
      <c r="I72" s="53">
        <f>G72/(-2*G74*I71)</f>
        <v>7.9041144606316251E-4</v>
      </c>
      <c r="K72" s="27">
        <v>0</v>
      </c>
      <c r="L72" s="28">
        <v>-1.5808223983164963E-3</v>
      </c>
      <c r="M72" s="29">
        <v>0.99999875049949183</v>
      </c>
      <c r="O72" s="27">
        <v>-3.30148939794895E-2</v>
      </c>
      <c r="P72" s="28">
        <v>-2.5247120436545523E-3</v>
      </c>
      <c r="Q72" s="29">
        <v>0.99945167096994714</v>
      </c>
    </row>
    <row r="74" spans="1:21" x14ac:dyDescent="0.35">
      <c r="D74" s="12" t="s">
        <v>63</v>
      </c>
      <c r="E74">
        <f>SQRT(E70^2+E71^2+E72^2)</f>
        <v>1.0426117703563345</v>
      </c>
      <c r="F74" s="12" t="s">
        <v>17</v>
      </c>
      <c r="G74">
        <f>-SIGN(G71)*SQRT(G71^2+G72^2)</f>
        <v>-0.96175410204728939</v>
      </c>
    </row>
    <row r="76" spans="1:21" ht="17.5" x14ac:dyDescent="0.45">
      <c r="A76" t="s">
        <v>70</v>
      </c>
      <c r="K76" t="s">
        <v>33</v>
      </c>
      <c r="O76" t="s">
        <v>71</v>
      </c>
      <c r="S76" t="s">
        <v>72</v>
      </c>
    </row>
    <row r="77" spans="1:21" s="11" customFormat="1" x14ac:dyDescent="0.35">
      <c r="A77" s="75">
        <f t="array" ref="A77:C79">MMULT(K70:M72,A70:C72)</f>
        <v>-3.9854386120266092</v>
      </c>
      <c r="B77" s="76">
        <v>-0.28558627981623202</v>
      </c>
      <c r="C77" s="77">
        <v>-0.16552613791022655</v>
      </c>
      <c r="K77" s="75">
        <f>A77</f>
        <v>-3.9854386120266092</v>
      </c>
      <c r="L77" s="76">
        <f>B77</f>
        <v>-0.28558627981623202</v>
      </c>
      <c r="M77" s="77">
        <f>C77</f>
        <v>-0.16552613791022655</v>
      </c>
      <c r="O77" s="75">
        <f t="array" ref="O77:Q79">TRANSPOSE(O70:Q72)</f>
        <v>-0.99781845191295715</v>
      </c>
      <c r="P77" s="76">
        <v>5.7169518080469162E-2</v>
      </c>
      <c r="Q77" s="77">
        <v>-3.30148939794895E-2</v>
      </c>
      <c r="S77" s="75">
        <f t="array" ref="S77:U79">MMULT(TRANSPOSE(O77:Q79),O77:Q79)</f>
        <v>1.0000000000000004</v>
      </c>
      <c r="T77" s="76">
        <v>-7.1083004933580884E-18</v>
      </c>
      <c r="U77" s="77">
        <v>6.9388939039072284E-18</v>
      </c>
    </row>
    <row r="78" spans="1:21" s="11" customFormat="1" x14ac:dyDescent="0.35">
      <c r="A78" s="31">
        <v>-1.4446975896843072E-17</v>
      </c>
      <c r="B78" s="2">
        <v>-1.0027361469829916</v>
      </c>
      <c r="C78" s="54">
        <v>-3.1674205644968401E-3</v>
      </c>
      <c r="K78" s="31">
        <v>0</v>
      </c>
      <c r="L78" s="2">
        <f>B78</f>
        <v>-1.0027361469829916</v>
      </c>
      <c r="M78" s="54">
        <f>C78</f>
        <v>-3.1674205644968401E-3</v>
      </c>
      <c r="O78" s="31">
        <v>-5.7117255963246426E-2</v>
      </c>
      <c r="P78" s="2">
        <v>-0.99836428466783933</v>
      </c>
      <c r="Q78" s="54">
        <v>-2.5247120436545523E-3</v>
      </c>
      <c r="S78" s="31">
        <v>-7.1083004933580884E-18</v>
      </c>
      <c r="T78" s="2">
        <v>1.0000000000000009</v>
      </c>
      <c r="U78" s="54">
        <v>8.6736173798840355E-19</v>
      </c>
    </row>
    <row r="79" spans="1:21" s="11" customFormat="1" x14ac:dyDescent="0.35">
      <c r="A79" s="55">
        <v>-2.2838131621925137E-20</v>
      </c>
      <c r="B79" s="56">
        <v>-2.1684043449710089E-19</v>
      </c>
      <c r="C79" s="57">
        <v>1.0009149969889366</v>
      </c>
      <c r="K79" s="55">
        <v>0</v>
      </c>
      <c r="L79" s="56">
        <v>0</v>
      </c>
      <c r="M79" s="57">
        <f>C79</f>
        <v>1.0009149969889366</v>
      </c>
      <c r="O79" s="55">
        <v>-3.3105227582045267E-2</v>
      </c>
      <c r="P79" s="56">
        <v>-6.3348411289943765E-4</v>
      </c>
      <c r="Q79" s="57">
        <v>0.99945167096994714</v>
      </c>
      <c r="S79" s="55">
        <v>6.9388939039072284E-18</v>
      </c>
      <c r="T79" s="56">
        <v>8.6736173798840355E-19</v>
      </c>
      <c r="U79" s="57">
        <v>0.99999999999999978</v>
      </c>
    </row>
    <row r="81" spans="1:21" x14ac:dyDescent="0.35">
      <c r="S81" t="s">
        <v>74</v>
      </c>
      <c r="U81">
        <f>MDETERM(O77:Q79)</f>
        <v>1.0000000000000004</v>
      </c>
    </row>
    <row r="83" spans="1:21" ht="16.5" x14ac:dyDescent="0.45">
      <c r="A83" t="s">
        <v>75</v>
      </c>
      <c r="K83" t="s">
        <v>80</v>
      </c>
      <c r="O83" t="s">
        <v>54</v>
      </c>
    </row>
    <row r="84" spans="1:21" x14ac:dyDescent="0.35">
      <c r="A84" s="66">
        <f t="array" ref="A84:C86">MMULT(K77:M79,O77:Q79)</f>
        <v>3.9985358711566659</v>
      </c>
      <c r="B84" s="67">
        <v>5.7378395349462485E-2</v>
      </c>
      <c r="C84" s="68">
        <v>-3.3135518765601002E-2</v>
      </c>
      <c r="K84" s="75">
        <f t="array" ref="K84:M86">MMULT(K58:M60,O77:Q79)</f>
        <v>-0.5952471588238355</v>
      </c>
      <c r="L84" s="76">
        <v>0.69584589407762065</v>
      </c>
      <c r="M84" s="77">
        <v>-0.40184488500846899</v>
      </c>
      <c r="O84" s="62">
        <v>1</v>
      </c>
      <c r="P84" s="63">
        <v>0</v>
      </c>
      <c r="Q84" s="64">
        <v>0</v>
      </c>
    </row>
    <row r="85" spans="1:21" x14ac:dyDescent="0.35">
      <c r="A85" s="69">
        <v>5.7378395349462742E-2</v>
      </c>
      <c r="B85" s="1">
        <v>1.0010979626038663</v>
      </c>
      <c r="C85" s="70">
        <v>-6.3406374895521971E-4</v>
      </c>
      <c r="K85" s="31">
        <v>-0.56819046978638799</v>
      </c>
      <c r="L85" s="2">
        <v>-0.71810882074825866</v>
      </c>
      <c r="M85" s="54">
        <v>-0.40184488500846921</v>
      </c>
      <c r="O85" s="30">
        <v>0</v>
      </c>
      <c r="P85" s="5">
        <v>1</v>
      </c>
      <c r="Q85" s="26">
        <v>0</v>
      </c>
    </row>
    <row r="86" spans="1:21" x14ac:dyDescent="0.35">
      <c r="A86" s="71">
        <v>-3.3135518765600898E-2</v>
      </c>
      <c r="B86" s="72">
        <v>-6.3406374895527977E-4</v>
      </c>
      <c r="C86" s="73">
        <v>1.0003661662394723</v>
      </c>
      <c r="K86" s="55">
        <v>-0.56819046978638799</v>
      </c>
      <c r="L86" s="56">
        <v>-1.0872592094963001E-2</v>
      </c>
      <c r="M86" s="57">
        <v>0.82282524073162722</v>
      </c>
      <c r="O86" s="27">
        <v>0</v>
      </c>
      <c r="P86" s="28">
        <v>0</v>
      </c>
      <c r="Q86" s="29">
        <v>1</v>
      </c>
    </row>
    <row r="88" spans="1:21" ht="16.5" x14ac:dyDescent="0.45">
      <c r="A88" t="s">
        <v>55</v>
      </c>
      <c r="E88" t="s">
        <v>56</v>
      </c>
      <c r="G88" t="s">
        <v>57</v>
      </c>
      <c r="I88" t="s">
        <v>58</v>
      </c>
      <c r="K88" t="s">
        <v>59</v>
      </c>
      <c r="O88" t="s">
        <v>60</v>
      </c>
    </row>
    <row r="89" spans="1:21" x14ac:dyDescent="0.35">
      <c r="A89" s="62">
        <f t="array" ref="A89:C91">A84:C86</f>
        <v>3.9985358711566659</v>
      </c>
      <c r="B89" s="63">
        <v>5.7378395349462485E-2</v>
      </c>
      <c r="C89" s="64">
        <v>-3.3135518765601002E-2</v>
      </c>
      <c r="E89" s="65">
        <f>A84</f>
        <v>3.9985358711566659</v>
      </c>
      <c r="G89" s="65">
        <f>E89/E93</f>
        <v>0.99986273268855819</v>
      </c>
      <c r="I89" s="65">
        <f>SQRT((1-G89/G93)/2)</f>
        <v>0.99996568258329699</v>
      </c>
      <c r="K89" s="62">
        <f t="array" ref="K89:M91">K$6:M$8-2*MMULT(I89:I91,TRANSPOSE(I89:I91))</f>
        <v>-0.99986273268855808</v>
      </c>
      <c r="L89" s="63">
        <v>-1.4347881579664951E-2</v>
      </c>
      <c r="M89" s="64">
        <v>8.285775446211726E-3</v>
      </c>
      <c r="O89" s="62">
        <f t="array" ref="O89:Q91">MMULT(K89:M91,O84:Q86)</f>
        <v>-0.99986273268855808</v>
      </c>
      <c r="P89" s="63">
        <v>-1.4347881579664951E-2</v>
      </c>
      <c r="Q89" s="64">
        <v>8.285775446211726E-3</v>
      </c>
    </row>
    <row r="90" spans="1:21" x14ac:dyDescent="0.35">
      <c r="A90" s="30">
        <v>5.7378395349462742E-2</v>
      </c>
      <c r="B90" s="5">
        <v>1.0010979626038663</v>
      </c>
      <c r="C90" s="26">
        <v>-6.3406374895521971E-4</v>
      </c>
      <c r="E90" s="52">
        <f>A85</f>
        <v>5.7378395349462742E-2</v>
      </c>
      <c r="F90" s="74"/>
      <c r="G90" s="52">
        <f>E90/E93</f>
        <v>1.4347881579664951E-2</v>
      </c>
      <c r="I90" s="52">
        <f>G90/(-2*G93*I89)</f>
        <v>7.1741869893968959E-3</v>
      </c>
      <c r="K90" s="30">
        <v>-1.4347881579664951E-2</v>
      </c>
      <c r="L90" s="5">
        <v>0.99989706208208229</v>
      </c>
      <c r="M90" s="26">
        <v>5.9445742427590533E-5</v>
      </c>
      <c r="O90" s="30">
        <v>-1.4347881579664951E-2</v>
      </c>
      <c r="P90" s="5">
        <v>0.99989706208208229</v>
      </c>
      <c r="Q90" s="26">
        <v>5.9445742427590533E-5</v>
      </c>
    </row>
    <row r="91" spans="1:21" x14ac:dyDescent="0.35">
      <c r="A91" s="27">
        <v>-3.3135518765600898E-2</v>
      </c>
      <c r="B91" s="28">
        <v>-6.3406374895527977E-4</v>
      </c>
      <c r="C91" s="29">
        <v>1.0003661662394723</v>
      </c>
      <c r="E91" s="53">
        <f>A86</f>
        <v>-3.3135518765600898E-2</v>
      </c>
      <c r="G91" s="53">
        <f>E91/E93</f>
        <v>-8.285775446211726E-3</v>
      </c>
      <c r="I91" s="53">
        <f>G91/(-2*G93*I89)</f>
        <v>-4.1430299011893951E-3</v>
      </c>
      <c r="K91" s="27">
        <v>8.285775446211726E-3</v>
      </c>
      <c r="L91" s="28">
        <v>5.9445742427590533E-5</v>
      </c>
      <c r="M91" s="29">
        <v>0.99996567060647568</v>
      </c>
      <c r="O91" s="27">
        <v>8.285775446211726E-3</v>
      </c>
      <c r="P91" s="28">
        <v>5.9445742427590533E-5</v>
      </c>
      <c r="Q91" s="29">
        <v>0.99996567060647568</v>
      </c>
    </row>
    <row r="93" spans="1:21" x14ac:dyDescent="0.35">
      <c r="D93" s="12" t="s">
        <v>63</v>
      </c>
      <c r="E93">
        <f>SQRT(E89^2+E90^2+E91^2)</f>
        <v>3.9990848147774183</v>
      </c>
      <c r="F93" s="12" t="s">
        <v>17</v>
      </c>
      <c r="G93">
        <f>-SIGN(G89)*SQRT(G89^2+G90^2+G91^2)</f>
        <v>-1</v>
      </c>
    </row>
    <row r="95" spans="1:21" ht="16.5" x14ac:dyDescent="0.45">
      <c r="A95" t="s">
        <v>64</v>
      </c>
      <c r="E95" t="s">
        <v>65</v>
      </c>
      <c r="G95" t="s">
        <v>66</v>
      </c>
      <c r="I95" t="s">
        <v>67</v>
      </c>
      <c r="K95" t="s">
        <v>68</v>
      </c>
      <c r="O95" t="s">
        <v>69</v>
      </c>
    </row>
    <row r="96" spans="1:21" x14ac:dyDescent="0.35">
      <c r="A96" s="62">
        <f t="array" ref="A96:C98">MMULT(K89:M91,A89:C91)</f>
        <v>-3.9990848147774192</v>
      </c>
      <c r="B96" s="63">
        <v>-7.1739407898324573E-2</v>
      </c>
      <c r="C96" s="64">
        <v>4.1428877231058758E-2</v>
      </c>
      <c r="E96" s="65">
        <f>B96</f>
        <v>-7.1739407898324573E-2</v>
      </c>
      <c r="G96" s="65">
        <f>E96/E100</f>
        <v>-7.1543297021230301E-2</v>
      </c>
      <c r="I96" s="65">
        <v>0</v>
      </c>
      <c r="K96" s="62">
        <f t="array" ref="K96:M98">K$6:M$8-2*MMULT(I96:I98,TRANSPOSE(I96:I98))</f>
        <v>1</v>
      </c>
      <c r="L96" s="63">
        <v>0</v>
      </c>
      <c r="M96" s="64">
        <v>0</v>
      </c>
      <c r="O96" s="62">
        <f t="array" ref="O96:Q98">MMULT(K96:M98,O89:Q91)</f>
        <v>-0.99986273268855808</v>
      </c>
      <c r="P96" s="63">
        <v>-1.4347881579664951E-2</v>
      </c>
      <c r="Q96" s="64">
        <v>8.285775446211726E-3</v>
      </c>
    </row>
    <row r="97" spans="1:21" x14ac:dyDescent="0.35">
      <c r="A97" s="30">
        <v>-4.3300324263639833E-18</v>
      </c>
      <c r="B97" s="5">
        <v>1.0001716155498686</v>
      </c>
      <c r="C97" s="26">
        <v>-9.9106470971918348E-5</v>
      </c>
      <c r="E97" s="52">
        <f>B97</f>
        <v>1.0001716155498686</v>
      </c>
      <c r="F97" s="74"/>
      <c r="G97" s="52">
        <f>E97/E100</f>
        <v>0.99743749021322969</v>
      </c>
      <c r="I97" s="52">
        <f>SQRT((1-G97/G100)/2)</f>
        <v>0.99999999877265966</v>
      </c>
      <c r="K97" s="30">
        <v>0</v>
      </c>
      <c r="L97" s="5">
        <v>-0.99999999509063864</v>
      </c>
      <c r="M97" s="26">
        <v>9.9089465192377335E-5</v>
      </c>
      <c r="O97" s="30">
        <v>1.4348702542283685E-2</v>
      </c>
      <c r="P97" s="5">
        <v>-0.9998970512827795</v>
      </c>
      <c r="Q97" s="26">
        <v>3.964032137538272E-5</v>
      </c>
    </row>
    <row r="98" spans="1:21" x14ac:dyDescent="0.35">
      <c r="A98" s="27">
        <v>6.9388939039072284E-18</v>
      </c>
      <c r="B98" s="28">
        <v>-9.9106470971981964E-5</v>
      </c>
      <c r="C98" s="29">
        <v>1.0000572331155073</v>
      </c>
      <c r="E98" s="53">
        <f>B98</f>
        <v>-9.9106470971981964E-5</v>
      </c>
      <c r="G98" s="53">
        <f>E98/E100</f>
        <v>-9.883554795327543E-5</v>
      </c>
      <c r="I98" s="53">
        <f>G98/(-2*G100*I97)</f>
        <v>-4.9544732656996919E-5</v>
      </c>
      <c r="K98" s="27">
        <v>0</v>
      </c>
      <c r="L98" s="28">
        <v>9.9089465192377335E-5</v>
      </c>
      <c r="M98" s="29">
        <v>0.99999999509063897</v>
      </c>
      <c r="O98" s="27">
        <v>8.2843536816214897E-3</v>
      </c>
      <c r="P98" s="28">
        <v>1.5852500726489275E-4</v>
      </c>
      <c r="Q98" s="29">
        <v>0.99996567158772998</v>
      </c>
    </row>
    <row r="100" spans="1:21" x14ac:dyDescent="0.35">
      <c r="D100" s="12" t="s">
        <v>63</v>
      </c>
      <c r="E100">
        <f>SQRT(E96^2+E97^2+E98^2)</f>
        <v>1.0027411495592113</v>
      </c>
      <c r="F100" s="12" t="s">
        <v>17</v>
      </c>
      <c r="G100">
        <f>-SIGN(G97)*SQRT(G97^2+G98^2)</f>
        <v>-0.99743749511001056</v>
      </c>
    </row>
    <row r="102" spans="1:21" ht="17.5" x14ac:dyDescent="0.45">
      <c r="A102" t="s">
        <v>70</v>
      </c>
      <c r="K102" t="s">
        <v>33</v>
      </c>
      <c r="O102" t="s">
        <v>71</v>
      </c>
      <c r="S102" t="s">
        <v>72</v>
      </c>
    </row>
    <row r="103" spans="1:21" s="11" customFormat="1" x14ac:dyDescent="0.35">
      <c r="A103" s="75">
        <f t="array" ref="A103:C105">MMULT(K96:M98,A96:C98)</f>
        <v>-3.9990848147774192</v>
      </c>
      <c r="B103" s="76">
        <v>-7.1739407898324573E-2</v>
      </c>
      <c r="C103" s="77">
        <v>4.1428877231058758E-2</v>
      </c>
      <c r="K103" s="75">
        <f>A103</f>
        <v>-3.9990848147774192</v>
      </c>
      <c r="L103" s="76">
        <f>B103</f>
        <v>-7.1739407898324573E-2</v>
      </c>
      <c r="M103" s="77">
        <f>C103</f>
        <v>4.1428877231058758E-2</v>
      </c>
      <c r="O103" s="75">
        <f t="array" ref="O103:Q105">TRANSPOSE(O96:Q98)</f>
        <v>-0.99986273268855808</v>
      </c>
      <c r="P103" s="76">
        <v>1.4348702542283685E-2</v>
      </c>
      <c r="Q103" s="77">
        <v>8.2843536816214897E-3</v>
      </c>
      <c r="S103" s="75">
        <f t="array" ref="S103:U105">MMULT(TRANSPOSE(O103:Q105),O103:Q105)</f>
        <v>1</v>
      </c>
      <c r="T103" s="76">
        <v>-2.6040969172149396E-19</v>
      </c>
      <c r="U103" s="77">
        <v>0</v>
      </c>
    </row>
    <row r="104" spans="1:21" s="11" customFormat="1" x14ac:dyDescent="0.35">
      <c r="A104" s="31">
        <v>4.3307199763922541E-18</v>
      </c>
      <c r="B104" s="2">
        <v>-1.0001716204600719</v>
      </c>
      <c r="C104" s="54">
        <v>1.9820160687655312E-4</v>
      </c>
      <c r="K104" s="31">
        <v>0</v>
      </c>
      <c r="L104" s="2">
        <f>B104</f>
        <v>-1.0001716204600719</v>
      </c>
      <c r="M104" s="54">
        <f>C104</f>
        <v>1.9820160687655312E-4</v>
      </c>
      <c r="O104" s="31">
        <v>-1.4347881579664951E-2</v>
      </c>
      <c r="P104" s="2">
        <v>-0.9998970512827795</v>
      </c>
      <c r="Q104" s="54">
        <v>1.5852500726489275E-4</v>
      </c>
      <c r="S104" s="31">
        <v>-2.6040969172149396E-19</v>
      </c>
      <c r="T104" s="2">
        <v>0.99999999999999933</v>
      </c>
      <c r="U104" s="54">
        <v>4.7433845046240819E-20</v>
      </c>
    </row>
    <row r="105" spans="1:21" s="11" customFormat="1" x14ac:dyDescent="0.35">
      <c r="A105" s="55">
        <v>6.9384648092442987E-18</v>
      </c>
      <c r="B105" s="56">
        <v>-1.3552527156068805E-20</v>
      </c>
      <c r="C105" s="57">
        <v>1.0000572183854581</v>
      </c>
      <c r="K105" s="55">
        <v>0</v>
      </c>
      <c r="L105" s="56">
        <v>0</v>
      </c>
      <c r="M105" s="57">
        <f>C105</f>
        <v>1.0000572183854581</v>
      </c>
      <c r="O105" s="55">
        <v>8.285775446211726E-3</v>
      </c>
      <c r="P105" s="56">
        <v>3.964032137538272E-5</v>
      </c>
      <c r="Q105" s="57">
        <v>0.99996567158772998</v>
      </c>
      <c r="S105" s="55">
        <v>0</v>
      </c>
      <c r="T105" s="56">
        <v>4.7433845046240819E-20</v>
      </c>
      <c r="U105" s="57">
        <v>1</v>
      </c>
    </row>
    <row r="107" spans="1:21" x14ac:dyDescent="0.35">
      <c r="S107" t="s">
        <v>74</v>
      </c>
      <c r="U107">
        <f>MDETERM(O103:Q105)</f>
        <v>0.99999999999999978</v>
      </c>
    </row>
    <row r="109" spans="1:21" ht="16.5" x14ac:dyDescent="0.45">
      <c r="A109" t="s">
        <v>75</v>
      </c>
      <c r="K109" t="s">
        <v>80</v>
      </c>
      <c r="O109" t="s">
        <v>54</v>
      </c>
    </row>
    <row r="110" spans="1:21" x14ac:dyDescent="0.35">
      <c r="A110" s="66">
        <f t="array" ref="A110:C112">MMULT(K103:M105,O103:Q105)</f>
        <v>3.9999084500595119</v>
      </c>
      <c r="B110" s="67">
        <v>1.4351986223710112E-2</v>
      </c>
      <c r="C110" s="68">
        <v>8.2862495449051166E-3</v>
      </c>
      <c r="K110" s="75">
        <f t="array" ref="K110:M112">MMULT(K84:M86,O103:Q105)</f>
        <v>0.58185193987938966</v>
      </c>
      <c r="L110" s="76">
        <v>-0.70433121131692966</v>
      </c>
      <c r="M110" s="77">
        <v>-0.40665201932785089</v>
      </c>
      <c r="O110" s="62">
        <v>1</v>
      </c>
      <c r="P110" s="63">
        <v>0</v>
      </c>
      <c r="Q110" s="64">
        <v>0</v>
      </c>
    </row>
    <row r="111" spans="1:21" x14ac:dyDescent="0.35">
      <c r="A111" s="69">
        <v>1.4351986223710369E-2</v>
      </c>
      <c r="B111" s="1">
        <v>1.0000686619315207</v>
      </c>
      <c r="C111" s="70">
        <v>3.96425895305072E-5</v>
      </c>
      <c r="K111" s="31">
        <v>0.57508621964823337</v>
      </c>
      <c r="L111" s="2">
        <v>0.70986616706762784</v>
      </c>
      <c r="M111" s="54">
        <v>-0.40665201932785122</v>
      </c>
      <c r="O111" s="30">
        <v>0</v>
      </c>
      <c r="P111" s="5">
        <v>1</v>
      </c>
      <c r="Q111" s="26">
        <v>0</v>
      </c>
    </row>
    <row r="112" spans="1:21" x14ac:dyDescent="0.35">
      <c r="A112" s="71">
        <v>8.2862495449050264E-3</v>
      </c>
      <c r="B112" s="72">
        <v>3.9642589530570863E-5</v>
      </c>
      <c r="C112" s="73">
        <v>1.0000228880089719</v>
      </c>
      <c r="K112" s="55">
        <v>0.57508621964823337</v>
      </c>
      <c r="L112" s="56">
        <v>2.7512937942070345E-3</v>
      </c>
      <c r="M112" s="57">
        <v>0.81808818005955919</v>
      </c>
      <c r="O112" s="27">
        <v>0</v>
      </c>
      <c r="P112" s="28">
        <v>0</v>
      </c>
      <c r="Q112" s="29">
        <v>1</v>
      </c>
    </row>
    <row r="114" spans="1:19" ht="16.5" x14ac:dyDescent="0.45">
      <c r="A114" t="s">
        <v>55</v>
      </c>
      <c r="E114" t="s">
        <v>56</v>
      </c>
      <c r="G114" t="s">
        <v>57</v>
      </c>
      <c r="I114" t="s">
        <v>58</v>
      </c>
      <c r="K114" t="s">
        <v>59</v>
      </c>
      <c r="O114" t="s">
        <v>60</v>
      </c>
    </row>
    <row r="115" spans="1:19" x14ac:dyDescent="0.35">
      <c r="A115" s="62">
        <f t="array" ref="A115:C117">A110:C112</f>
        <v>3.9999084500595119</v>
      </c>
      <c r="B115" s="63">
        <v>1.4351986223710112E-2</v>
      </c>
      <c r="C115" s="64">
        <v>8.2862495449051166E-3</v>
      </c>
      <c r="E115" s="65">
        <f>A110</f>
        <v>3.9999084500595119</v>
      </c>
      <c r="G115" s="65">
        <f>E115/E119</f>
        <v>0.99999141717261675</v>
      </c>
      <c r="I115" s="65">
        <f>SQRT((1-G115/G119)/2)</f>
        <v>0.9999978542908522</v>
      </c>
      <c r="K115" s="62">
        <f t="array" ref="K115:M117">K$6:M$8-2*MMULT(I115:I117,TRANSPOSE(I115:I117))</f>
        <v>-0.99999141717261697</v>
      </c>
      <c r="L115" s="63">
        <v>-3.5880478821650212E-3</v>
      </c>
      <c r="M115" s="64">
        <v>-2.0715920198954162E-3</v>
      </c>
      <c r="O115" s="62">
        <f t="array" ref="O115:Q117">MMULT(K115:M117,O110:Q112)</f>
        <v>-0.99999141717261697</v>
      </c>
      <c r="P115" s="63">
        <v>-3.5880478821650212E-3</v>
      </c>
      <c r="Q115" s="64">
        <v>-2.0715920198954162E-3</v>
      </c>
    </row>
    <row r="116" spans="1:19" x14ac:dyDescent="0.35">
      <c r="A116" s="30">
        <v>1.4351986223710369E-2</v>
      </c>
      <c r="B116" s="5">
        <v>1.0000686619315207</v>
      </c>
      <c r="C116" s="26">
        <v>3.96425895305072E-5</v>
      </c>
      <c r="E116" s="52">
        <f>A111</f>
        <v>1.4351986223710369E-2</v>
      </c>
      <c r="F116" s="74"/>
      <c r="G116" s="52">
        <f>E116/E119</f>
        <v>3.5880478821650212E-3</v>
      </c>
      <c r="I116" s="52">
        <f>G116/(-2*G119*I115)</f>
        <v>1.7940277905443521E-3</v>
      </c>
      <c r="K116" s="30">
        <v>-3.5880478821650212E-3</v>
      </c>
      <c r="L116" s="5">
        <v>0.99999356292857355</v>
      </c>
      <c r="M116" s="26">
        <v>-3.7165016288938276E-6</v>
      </c>
      <c r="O116" s="30">
        <v>-3.5880478821650212E-3</v>
      </c>
      <c r="P116" s="5">
        <v>0.99999356292857355</v>
      </c>
      <c r="Q116" s="26">
        <v>-3.7165016288938276E-6</v>
      </c>
    </row>
    <row r="117" spans="1:19" x14ac:dyDescent="0.35">
      <c r="A117" s="27">
        <v>8.2862495449050264E-3</v>
      </c>
      <c r="B117" s="28">
        <v>3.9642589530570863E-5</v>
      </c>
      <c r="C117" s="29">
        <v>1.0000228880089719</v>
      </c>
      <c r="E117" s="53">
        <f>A112</f>
        <v>8.2862495449050264E-3</v>
      </c>
      <c r="G117" s="53">
        <f>E117/E119</f>
        <v>2.0715920198954162E-3</v>
      </c>
      <c r="I117" s="53">
        <f>G117/(-2*G119*I115)</f>
        <v>1.0357982324694507E-3</v>
      </c>
      <c r="K117" s="27">
        <v>-2.0715920198954162E-3</v>
      </c>
      <c r="L117" s="28">
        <v>-3.7165016288938276E-6</v>
      </c>
      <c r="M117" s="29">
        <v>0.99999785424404319</v>
      </c>
      <c r="O117" s="27">
        <v>-2.0715920198954162E-3</v>
      </c>
      <c r="P117" s="28">
        <v>-3.7165016288938276E-6</v>
      </c>
      <c r="Q117" s="29">
        <v>0.99999785424404319</v>
      </c>
    </row>
    <row r="119" spans="1:19" x14ac:dyDescent="0.35">
      <c r="D119" s="12" t="s">
        <v>63</v>
      </c>
      <c r="E119">
        <f>SQRT(E115^2+E116^2+E117^2)</f>
        <v>3.9999427808779431</v>
      </c>
      <c r="F119" s="12" t="s">
        <v>17</v>
      </c>
      <c r="G119">
        <f>-SIGN(G115)*SQRT(G115^2+G116^2+G117^2)</f>
        <v>-1</v>
      </c>
    </row>
    <row r="121" spans="1:19" ht="16.5" x14ac:dyDescent="0.45">
      <c r="A121" t="s">
        <v>64</v>
      </c>
      <c r="E121" t="s">
        <v>65</v>
      </c>
      <c r="G121" t="s">
        <v>66</v>
      </c>
      <c r="I121" t="s">
        <v>67</v>
      </c>
      <c r="K121" t="s">
        <v>68</v>
      </c>
      <c r="O121" t="s">
        <v>69</v>
      </c>
    </row>
    <row r="122" spans="1:19" x14ac:dyDescent="0.35">
      <c r="A122" s="62">
        <f t="array" ref="A122:C124">MMULT(K115:M117,A115:C117)</f>
        <v>-3.999942780877944</v>
      </c>
      <c r="B122" s="63">
        <v>-1.7940239410824871E-2</v>
      </c>
      <c r="C122" s="64">
        <v>-1.0357960099477183E-2</v>
      </c>
      <c r="E122" s="65">
        <f>B122</f>
        <v>-1.7940239410824871E-2</v>
      </c>
      <c r="G122" s="65">
        <f>E122/E126</f>
        <v>-1.793716067479733E-2</v>
      </c>
      <c r="I122" s="65">
        <v>0</v>
      </c>
      <c r="K122" s="62">
        <f t="array" ref="K122:M124">K$6:M$8-2*MMULT(I122:I124,TRANSPOSE(I122:I124))</f>
        <v>1</v>
      </c>
      <c r="L122" s="63">
        <v>0</v>
      </c>
      <c r="M122" s="64">
        <v>0</v>
      </c>
      <c r="O122" s="62">
        <f t="array" ref="O122:Q124">MMULT(K122:M124,O115:Q117)</f>
        <v>-0.99999141717261697</v>
      </c>
      <c r="P122" s="63">
        <v>-3.5880478821650212E-3</v>
      </c>
      <c r="Q122" s="64">
        <v>-2.0715920198954162E-3</v>
      </c>
    </row>
    <row r="123" spans="1:19" x14ac:dyDescent="0.35">
      <c r="A123" s="30">
        <v>5.3801150529429005E-19</v>
      </c>
      <c r="B123" s="5">
        <v>1.0000107286570059</v>
      </c>
      <c r="C123" s="26">
        <v>6.1942875254227318E-6</v>
      </c>
      <c r="E123" s="52">
        <f>B123</f>
        <v>1.0000107286570059</v>
      </c>
      <c r="F123" s="74"/>
      <c r="G123" s="52">
        <f>E123/E126</f>
        <v>0.99983911617248211</v>
      </c>
      <c r="I123" s="52">
        <f>SQRT((1-G123/G126)/2)</f>
        <v>0.99999999999520395</v>
      </c>
      <c r="K123" s="30">
        <v>0</v>
      </c>
      <c r="L123" s="5">
        <v>-0.99999999998081579</v>
      </c>
      <c r="M123" s="26">
        <v>-6.1942210696951396E-6</v>
      </c>
      <c r="O123" s="30">
        <v>3.5880607139951249E-3</v>
      </c>
      <c r="P123" s="5">
        <v>-0.99999356288636865</v>
      </c>
      <c r="Q123" s="26">
        <v>-2.4777061495858522E-6</v>
      </c>
    </row>
    <row r="124" spans="1:19" x14ac:dyDescent="0.35">
      <c r="A124" s="27">
        <v>-1.7347234759768071E-18</v>
      </c>
      <c r="B124" s="28">
        <v>6.1942875254872469E-6</v>
      </c>
      <c r="C124" s="29">
        <v>1.000003576328139</v>
      </c>
      <c r="E124" s="53">
        <f>B124</f>
        <v>6.1942875254872469E-6</v>
      </c>
      <c r="G124" s="53">
        <f>E124/E126</f>
        <v>6.1932245198197669E-6</v>
      </c>
      <c r="I124" s="53">
        <f>G124/(-2*G126*I123)</f>
        <v>3.0971105348624238E-6</v>
      </c>
      <c r="K124" s="27">
        <v>0</v>
      </c>
      <c r="L124" s="28">
        <v>-6.1942210696951396E-6</v>
      </c>
      <c r="M124" s="29">
        <v>0.99999999998081579</v>
      </c>
      <c r="O124" s="27">
        <v>-2.0715697946938837E-3</v>
      </c>
      <c r="P124" s="28">
        <v>-9.9106828258742122E-6</v>
      </c>
      <c r="Q124" s="29">
        <v>0.99999785424787979</v>
      </c>
    </row>
    <row r="126" spans="1:19" x14ac:dyDescent="0.35">
      <c r="D126" s="12" t="s">
        <v>63</v>
      </c>
      <c r="E126">
        <f>SQRT(E122^2+E123^2+E124^2)</f>
        <v>1.0001716400986398</v>
      </c>
      <c r="F126" s="12" t="s">
        <v>17</v>
      </c>
      <c r="G126">
        <f>-SIGN(G123)*SQRT(G123^2+G124^2)</f>
        <v>-0.99983911619166321</v>
      </c>
    </row>
    <row r="128" spans="1:19" ht="17.5" x14ac:dyDescent="0.45">
      <c r="A128" t="s">
        <v>70</v>
      </c>
      <c r="K128" t="s">
        <v>33</v>
      </c>
      <c r="O128" t="s">
        <v>71</v>
      </c>
      <c r="S128" t="s">
        <v>72</v>
      </c>
    </row>
    <row r="129" spans="1:21" s="11" customFormat="1" x14ac:dyDescent="0.35">
      <c r="A129" s="75">
        <f t="array" ref="A129:C131">MMULT(K122:M124,A122:C124)</f>
        <v>-3.999942780877944</v>
      </c>
      <c r="B129" s="76">
        <v>-1.7940239410824871E-2</v>
      </c>
      <c r="C129" s="77">
        <v>-1.0357960099477183E-2</v>
      </c>
      <c r="K129" s="75">
        <f>A129</f>
        <v>-3.999942780877944</v>
      </c>
      <c r="L129" s="76">
        <f>B129</f>
        <v>-1.7940239410824871E-2</v>
      </c>
      <c r="M129" s="77">
        <f>C129</f>
        <v>-1.0357960099477183E-2</v>
      </c>
      <c r="O129" s="75">
        <f t="array" ref="O129:Q131">TRANSPOSE(O122:Q124)</f>
        <v>-0.99999141717261697</v>
      </c>
      <c r="P129" s="76">
        <v>3.5880607139951249E-3</v>
      </c>
      <c r="Q129" s="77">
        <v>-2.0715697946938837E-3</v>
      </c>
      <c r="S129" s="75">
        <f t="array" ref="S129:U131">MMULT(TRANSPOSE(O129:Q131),O129:Q131)</f>
        <v>1.0000000000000004</v>
      </c>
      <c r="T129" s="76">
        <v>-6.9746463043429953E-19</v>
      </c>
      <c r="U129" s="77">
        <v>8.6736173798840355E-19</v>
      </c>
    </row>
    <row r="130" spans="1:21" s="11" customFormat="1" x14ac:dyDescent="0.35">
      <c r="A130" s="31">
        <v>-5.3800076002326374E-19</v>
      </c>
      <c r="B130" s="2">
        <v>-1.0000107286761903</v>
      </c>
      <c r="C130" s="54">
        <v>-1.238853074756615E-5</v>
      </c>
      <c r="K130" s="31">
        <v>0</v>
      </c>
      <c r="L130" s="2">
        <f>B130</f>
        <v>-1.0000107286761903</v>
      </c>
      <c r="M130" s="54">
        <f>C130</f>
        <v>-1.238853074756615E-5</v>
      </c>
      <c r="O130" s="31">
        <v>-3.5880478821650212E-3</v>
      </c>
      <c r="P130" s="2">
        <v>-0.99999356288636865</v>
      </c>
      <c r="Q130" s="54">
        <v>-9.9106828258742122E-6</v>
      </c>
      <c r="S130" s="31">
        <v>-6.9746463043429953E-19</v>
      </c>
      <c r="T130" s="2">
        <v>1</v>
      </c>
      <c r="U130" s="54">
        <v>-1.6940658945086007E-21</v>
      </c>
    </row>
    <row r="131" spans="1:21" s="11" customFormat="1" x14ac:dyDescent="0.35">
      <c r="A131" s="55">
        <v>-1.7347268085057297E-18</v>
      </c>
      <c r="B131" s="56">
        <v>-8.4703294725430034E-22</v>
      </c>
      <c r="C131" s="57">
        <v>1.0000035762705859</v>
      </c>
      <c r="K131" s="55">
        <v>0</v>
      </c>
      <c r="L131" s="56">
        <v>0</v>
      </c>
      <c r="M131" s="57">
        <f>C131</f>
        <v>1.0000035762705859</v>
      </c>
      <c r="O131" s="55">
        <v>-2.0715920198954162E-3</v>
      </c>
      <c r="P131" s="56">
        <v>-2.4777061495858522E-6</v>
      </c>
      <c r="Q131" s="57">
        <v>0.99999785424787979</v>
      </c>
      <c r="S131" s="55">
        <v>8.6736173798840355E-19</v>
      </c>
      <c r="T131" s="56">
        <v>-1.6940658945086007E-21</v>
      </c>
      <c r="U131" s="57">
        <v>0.99999999999999967</v>
      </c>
    </row>
    <row r="133" spans="1:21" x14ac:dyDescent="0.35">
      <c r="S133" t="s">
        <v>74</v>
      </c>
      <c r="U133">
        <f>MDETERM(O129:Q131)</f>
        <v>0.99999999999999989</v>
      </c>
    </row>
    <row r="135" spans="1:21" ht="16.5" x14ac:dyDescent="0.45">
      <c r="A135" t="s">
        <v>75</v>
      </c>
      <c r="K135" t="s">
        <v>80</v>
      </c>
      <c r="O135" t="s">
        <v>54</v>
      </c>
    </row>
    <row r="136" spans="1:21" x14ac:dyDescent="0.35">
      <c r="A136" s="66">
        <f t="array" ref="A136:C138">MMULT(K129:M131,O129:Q131)</f>
        <v>3.9999942779650217</v>
      </c>
      <c r="B136" s="67">
        <v>3.5881120411500851E-3</v>
      </c>
      <c r="C136" s="68">
        <v>-2.0715994284691112E-3</v>
      </c>
      <c r="K136" s="75">
        <f t="array" ref="K136:M138">MMULT(K110:M112,O129:Q131)</f>
        <v>-0.57847735475540474</v>
      </c>
      <c r="L136" s="76">
        <v>0.70641540510794043</v>
      </c>
      <c r="M136" s="77">
        <v>-0.40784951325381669</v>
      </c>
      <c r="O136" s="62">
        <v>1</v>
      </c>
      <c r="P136" s="63">
        <v>0</v>
      </c>
      <c r="Q136" s="64">
        <v>0</v>
      </c>
    </row>
    <row r="137" spans="1:21" x14ac:dyDescent="0.35">
      <c r="A137" s="69">
        <v>3.5881120411503393E-3</v>
      </c>
      <c r="B137" s="1">
        <v>1.0000042915241925</v>
      </c>
      <c r="C137" s="70">
        <v>-2.4777150104689556E-6</v>
      </c>
      <c r="K137" s="31">
        <v>-0.57678590050173351</v>
      </c>
      <c r="L137" s="2">
        <v>-0.70779714574235852</v>
      </c>
      <c r="M137" s="54">
        <v>-0.40784951325381719</v>
      </c>
      <c r="O137" s="30">
        <v>0</v>
      </c>
      <c r="P137" s="5">
        <v>1</v>
      </c>
      <c r="Q137" s="26">
        <v>0</v>
      </c>
    </row>
    <row r="138" spans="1:21" x14ac:dyDescent="0.35">
      <c r="A138" s="71">
        <v>-2.0715994284690228E-3</v>
      </c>
      <c r="B138" s="72">
        <v>-2.4777150105334754E-6</v>
      </c>
      <c r="C138" s="73">
        <v>1.0000014305107918</v>
      </c>
      <c r="K138" s="55">
        <v>-0.57678590050173351</v>
      </c>
      <c r="L138" s="56">
        <v>-6.8985879405108726E-4</v>
      </c>
      <c r="M138" s="57">
        <v>0.8168950661359442</v>
      </c>
      <c r="O138" s="27">
        <v>0</v>
      </c>
      <c r="P138" s="28">
        <v>0</v>
      </c>
      <c r="Q138" s="29">
        <v>1</v>
      </c>
    </row>
    <row r="140" spans="1:21" ht="16.5" x14ac:dyDescent="0.45">
      <c r="A140" t="s">
        <v>55</v>
      </c>
      <c r="E140" t="s">
        <v>56</v>
      </c>
      <c r="G140" t="s">
        <v>57</v>
      </c>
      <c r="I140" t="s">
        <v>58</v>
      </c>
      <c r="K140" t="s">
        <v>59</v>
      </c>
      <c r="O140" t="s">
        <v>60</v>
      </c>
    </row>
    <row r="141" spans="1:21" x14ac:dyDescent="0.35">
      <c r="A141" s="62">
        <f t="array" ref="A141:C143">A136:C138</f>
        <v>3.9999942779650217</v>
      </c>
      <c r="B141" s="63">
        <v>3.5881120411500851E-3</v>
      </c>
      <c r="C141" s="64">
        <v>-2.0715994284691112E-3</v>
      </c>
      <c r="E141" s="65">
        <f>A136</f>
        <v>3.9999942779650217</v>
      </c>
      <c r="G141" s="65">
        <f>E141/E145</f>
        <v>0.99999946355914027</v>
      </c>
      <c r="I141" s="65">
        <f>SQRT((1-G141/G145)/2)</f>
        <v>0.99999986588977607</v>
      </c>
      <c r="K141" s="62">
        <f t="array" ref="K141:M143">K$6:M$8-2*MMULT(I141:I143,TRANSPOSE(I141:I143))</f>
        <v>-0.99999946355914027</v>
      </c>
      <c r="L141" s="63">
        <v>-8.9702881229266793E-4</v>
      </c>
      <c r="M141" s="64">
        <v>5.1790032015554786E-4</v>
      </c>
      <c r="O141" s="62">
        <f t="array" ref="O141:Q143">MMULT(K141:M143,O136:Q138)</f>
        <v>-0.99999946355914027</v>
      </c>
      <c r="P141" s="63">
        <v>-8.9702881229266793E-4</v>
      </c>
      <c r="Q141" s="64">
        <v>5.1790032015554786E-4</v>
      </c>
    </row>
    <row r="142" spans="1:21" x14ac:dyDescent="0.35">
      <c r="A142" s="30">
        <v>3.5881120411503393E-3</v>
      </c>
      <c r="B142" s="5">
        <v>1.0000042915241925</v>
      </c>
      <c r="C142" s="26">
        <v>-2.4777150104689556E-6</v>
      </c>
      <c r="E142" s="52">
        <f>A137</f>
        <v>3.5881120411503393E-3</v>
      </c>
      <c r="F142" s="74"/>
      <c r="G142" s="52">
        <f>E142/E145</f>
        <v>8.9702881229266793E-4</v>
      </c>
      <c r="I142" s="52">
        <f>G142/(-2*G145*I141)</f>
        <v>4.4851446629670948E-4</v>
      </c>
      <c r="K142" s="30">
        <v>-8.9702881229266793E-4</v>
      </c>
      <c r="L142" s="5">
        <v>0.99999959766954705</v>
      </c>
      <c r="M142" s="26">
        <v>2.322858168413634E-7</v>
      </c>
      <c r="O142" s="30">
        <v>-8.9702881229266793E-4</v>
      </c>
      <c r="P142" s="5">
        <v>0.99999959766954705</v>
      </c>
      <c r="Q142" s="26">
        <v>2.322858168413634E-7</v>
      </c>
    </row>
    <row r="143" spans="1:21" x14ac:dyDescent="0.35">
      <c r="A143" s="27">
        <v>-2.0715994284690228E-3</v>
      </c>
      <c r="B143" s="28">
        <v>-2.4777150105334754E-6</v>
      </c>
      <c r="C143" s="29">
        <v>1.0000014305107918</v>
      </c>
      <c r="E143" s="53">
        <f>A138</f>
        <v>-2.0715994284690228E-3</v>
      </c>
      <c r="G143" s="53">
        <f>E143/E145</f>
        <v>-5.1790032015554786E-4</v>
      </c>
      <c r="I143" s="53">
        <f>G143/(-2*G145*I141)</f>
        <v>-2.5895019480564252E-4</v>
      </c>
      <c r="K143" s="27">
        <v>5.1790032015554786E-4</v>
      </c>
      <c r="L143" s="28">
        <v>2.322858168413634E-7</v>
      </c>
      <c r="M143" s="29">
        <v>0.99999986588959322</v>
      </c>
      <c r="O143" s="27">
        <v>5.1790032015554786E-4</v>
      </c>
      <c r="P143" s="28">
        <v>2.322858168413634E-7</v>
      </c>
      <c r="Q143" s="29">
        <v>0.99999986588959322</v>
      </c>
    </row>
    <row r="145" spans="1:21" x14ac:dyDescent="0.35">
      <c r="D145" s="12" t="s">
        <v>63</v>
      </c>
      <c r="E145">
        <f>SQRT(E141^2+E142^2+E143^2)</f>
        <v>3.9999964237265422</v>
      </c>
      <c r="F145" s="12" t="s">
        <v>17</v>
      </c>
      <c r="G145">
        <f>-SIGN(G141)*SQRT(G141^2+G142^2+G143^2)</f>
        <v>-1</v>
      </c>
    </row>
    <row r="147" spans="1:21" ht="16.5" x14ac:dyDescent="0.45">
      <c r="A147" t="s">
        <v>64</v>
      </c>
      <c r="E147" t="s">
        <v>65</v>
      </c>
      <c r="G147" t="s">
        <v>66</v>
      </c>
      <c r="I147" t="s">
        <v>67</v>
      </c>
      <c r="K147" t="s">
        <v>68</v>
      </c>
      <c r="O147" t="s">
        <v>69</v>
      </c>
    </row>
    <row r="148" spans="1:21" x14ac:dyDescent="0.35">
      <c r="A148" s="62">
        <f t="array" ref="A148:C150">MMULT(K141:M143,A141:C143)</f>
        <v>-3.9999964237265422</v>
      </c>
      <c r="B148" s="63">
        <v>-4.4851440614630915E-3</v>
      </c>
      <c r="C148" s="64">
        <v>2.5895016007778313E-3</v>
      </c>
      <c r="E148" s="65">
        <f>B148</f>
        <v>-4.4851440614630915E-3</v>
      </c>
      <c r="G148" s="65">
        <f>E148/E152</f>
        <v>-4.4850959419768747E-3</v>
      </c>
      <c r="I148" s="65">
        <v>0</v>
      </c>
      <c r="K148" s="62">
        <f t="array" ref="K148:M150">K$6:M$8-2*MMULT(I148:I150,TRANSPOSE(I148:I150))</f>
        <v>1</v>
      </c>
      <c r="L148" s="63">
        <v>0</v>
      </c>
      <c r="M148" s="64">
        <v>0</v>
      </c>
      <c r="O148" s="62">
        <f t="array" ref="O148:Q150">MMULT(K148:M150,O141:Q143)</f>
        <v>-0.99999946355914027</v>
      </c>
      <c r="P148" s="63">
        <v>-8.9702881229266793E-4</v>
      </c>
      <c r="Q148" s="64">
        <v>5.1790032015554786E-4</v>
      </c>
    </row>
    <row r="149" spans="1:21" x14ac:dyDescent="0.35">
      <c r="A149" s="30">
        <v>-4.2163112221598868E-19</v>
      </c>
      <c r="B149" s="5">
        <v>1.0000006705515547</v>
      </c>
      <c r="C149" s="26">
        <v>-3.8714348961420557E-7</v>
      </c>
      <c r="E149" s="52">
        <f>B149</f>
        <v>1.0000006705515547</v>
      </c>
      <c r="F149" s="74"/>
      <c r="G149" s="52">
        <f>E149/E152</f>
        <v>0.99998994190653812</v>
      </c>
      <c r="I149" s="52">
        <f>SQRT((1-G149/G152)/2)</f>
        <v>0.99999999999998124</v>
      </c>
      <c r="K149" s="30">
        <v>0</v>
      </c>
      <c r="L149" s="5">
        <v>-0.99999999999992495</v>
      </c>
      <c r="M149" s="26">
        <v>3.8714323007941223E-7</v>
      </c>
      <c r="O149" s="30">
        <v>8.9702901279420345E-4</v>
      </c>
      <c r="P149" s="5">
        <v>-0.99999959766938207</v>
      </c>
      <c r="Q149" s="26">
        <v>1.5485736131813018E-7</v>
      </c>
    </row>
    <row r="150" spans="1:21" x14ac:dyDescent="0.35">
      <c r="A150" s="27">
        <v>-4.3368086899420177E-19</v>
      </c>
      <c r="B150" s="28">
        <v>-3.8714348967893604E-7</v>
      </c>
      <c r="C150" s="29">
        <v>1.0000002235176104</v>
      </c>
      <c r="E150" s="53">
        <f>B150</f>
        <v>-3.8714348967893604E-7</v>
      </c>
      <c r="G150" s="53">
        <f>E150/E152</f>
        <v>-3.8713933615664994E-7</v>
      </c>
      <c r="I150" s="53">
        <f>G150/(-2*G152*I149)</f>
        <v>-1.9357161503970974E-7</v>
      </c>
      <c r="K150" s="27">
        <v>0</v>
      </c>
      <c r="L150" s="28">
        <v>3.8714323007941223E-7</v>
      </c>
      <c r="M150" s="29">
        <v>0.99999999999992506</v>
      </c>
      <c r="O150" s="27">
        <v>5.178999728768772E-4</v>
      </c>
      <c r="P150" s="28">
        <v>6.1942889116124705E-7</v>
      </c>
      <c r="Q150" s="29">
        <v>0.99999986588960821</v>
      </c>
    </row>
    <row r="152" spans="1:21" x14ac:dyDescent="0.35">
      <c r="D152" s="12" t="s">
        <v>63</v>
      </c>
      <c r="E152">
        <f>SQRT(E148^2+E149^2+E150^2)</f>
        <v>1.0000107287529274</v>
      </c>
      <c r="F152" s="12" t="s">
        <v>17</v>
      </c>
      <c r="G152">
        <f>-SIGN(G149)*SQRT(G149^2+G150^2)</f>
        <v>-0.99998994190661306</v>
      </c>
    </row>
    <row r="154" spans="1:21" ht="17.5" x14ac:dyDescent="0.45">
      <c r="A154" t="s">
        <v>70</v>
      </c>
      <c r="K154" t="s">
        <v>33</v>
      </c>
      <c r="O154" t="s">
        <v>71</v>
      </c>
      <c r="S154" t="s">
        <v>72</v>
      </c>
    </row>
    <row r="155" spans="1:21" s="11" customFormat="1" x14ac:dyDescent="0.35">
      <c r="A155" s="75">
        <f t="array" ref="A155:C157">MMULT(K148:M150,A148:C150)</f>
        <v>-3.9999964237265422</v>
      </c>
      <c r="B155" s="76">
        <v>-4.4851440614630915E-3</v>
      </c>
      <c r="C155" s="77">
        <v>2.5895016007778313E-3</v>
      </c>
      <c r="K155" s="75">
        <f>A155</f>
        <v>-3.9999964237265422</v>
      </c>
      <c r="L155" s="76">
        <f>B155</f>
        <v>-4.4851440614630915E-3</v>
      </c>
      <c r="M155" s="77">
        <f>C155</f>
        <v>2.5895016007778313E-3</v>
      </c>
      <c r="O155" s="75">
        <f t="array" ref="O155:Q157">TRANSPOSE(O148:Q150)</f>
        <v>-0.99999946355914027</v>
      </c>
      <c r="P155" s="76">
        <v>8.9702901279420345E-4</v>
      </c>
      <c r="Q155" s="77">
        <v>5.178999728768772E-4</v>
      </c>
      <c r="S155" s="75">
        <f t="array" ref="S155:U157">MMULT(TRANSPOSE(O155:Q157),O155:Q157)</f>
        <v>1</v>
      </c>
      <c r="T155" s="76">
        <v>-4.0582928417923506E-20</v>
      </c>
      <c r="U155" s="77">
        <v>0</v>
      </c>
    </row>
    <row r="156" spans="1:21" s="11" customFormat="1" x14ac:dyDescent="0.35">
      <c r="A156" s="31">
        <v>4.2163095431934462E-19</v>
      </c>
      <c r="B156" s="2">
        <v>-1.0000006705516296</v>
      </c>
      <c r="C156" s="54">
        <v>7.7428680622691837E-7</v>
      </c>
      <c r="K156" s="31">
        <v>0</v>
      </c>
      <c r="L156" s="2">
        <f>B156</f>
        <v>-1.0000006705516296</v>
      </c>
      <c r="M156" s="54">
        <f>C156</f>
        <v>7.7428680622691837E-7</v>
      </c>
      <c r="O156" s="31">
        <v>-8.9702881229266793E-4</v>
      </c>
      <c r="P156" s="2">
        <v>-0.99999959766938207</v>
      </c>
      <c r="Q156" s="54">
        <v>6.1942889116124705E-7</v>
      </c>
      <c r="S156" s="31">
        <v>-4.0582928417923506E-20</v>
      </c>
      <c r="T156" s="2">
        <v>0.99999999999999978</v>
      </c>
      <c r="U156" s="54">
        <v>2.1175823681357508E-22</v>
      </c>
    </row>
    <row r="157" spans="1:21" s="11" customFormat="1" x14ac:dyDescent="0.35">
      <c r="A157" s="55">
        <v>-4.3368103222580382E-19</v>
      </c>
      <c r="B157" s="56">
        <v>0</v>
      </c>
      <c r="C157" s="57">
        <v>1.0000002235173857</v>
      </c>
      <c r="K157" s="55">
        <v>0</v>
      </c>
      <c r="L157" s="56">
        <v>0</v>
      </c>
      <c r="M157" s="57">
        <f>C157</f>
        <v>1.0000002235173857</v>
      </c>
      <c r="O157" s="55">
        <v>5.1790032015554786E-4</v>
      </c>
      <c r="P157" s="56">
        <v>1.5485736131813018E-7</v>
      </c>
      <c r="Q157" s="57">
        <v>0.99999986588960821</v>
      </c>
      <c r="S157" s="55">
        <v>0</v>
      </c>
      <c r="T157" s="56">
        <v>2.1175823681357508E-22</v>
      </c>
      <c r="U157" s="57">
        <v>1</v>
      </c>
    </row>
    <row r="159" spans="1:21" x14ac:dyDescent="0.35">
      <c r="S159" t="s">
        <v>74</v>
      </c>
      <c r="U159">
        <f>MDETERM(O155:Q157)</f>
        <v>1</v>
      </c>
    </row>
    <row r="161" spans="1:17" ht="16.5" x14ac:dyDescent="0.45">
      <c r="A161" t="s">
        <v>75</v>
      </c>
      <c r="K161" t="s">
        <v>80</v>
      </c>
      <c r="O161" t="s">
        <v>54</v>
      </c>
    </row>
    <row r="162" spans="1:17" x14ac:dyDescent="0.35">
      <c r="A162" s="66">
        <f t="array" ref="A162:C164">MMULT(K155:M157,O155:Q157)</f>
        <v>3.9999996423721802</v>
      </c>
      <c r="B162" s="67">
        <v>8.9702981479992993E-4</v>
      </c>
      <c r="C162" s="68">
        <v>5.1790043591536192E-4</v>
      </c>
      <c r="K162" s="75">
        <f t="array" ref="K162:M164">MMULT(K136:M138,O155:Q157)</f>
        <v>0.57763214407119667</v>
      </c>
      <c r="L162" s="76">
        <v>-0.70693409502435345</v>
      </c>
      <c r="M162" s="77">
        <v>-0.40814861438918532</v>
      </c>
      <c r="O162" s="62">
        <v>1</v>
      </c>
      <c r="P162" s="63">
        <v>0</v>
      </c>
      <c r="Q162" s="64">
        <v>0</v>
      </c>
    </row>
    <row r="163" spans="1:17" x14ac:dyDescent="0.35">
      <c r="A163" s="69">
        <v>8.9702981480018461E-4</v>
      </c>
      <c r="B163" s="1">
        <v>1.0000002682208617</v>
      </c>
      <c r="C163" s="70">
        <v>1.5485739586671209E-7</v>
      </c>
      <c r="K163" s="31">
        <v>0.57720928012970907</v>
      </c>
      <c r="L163" s="2">
        <v>0.70727940412847534</v>
      </c>
      <c r="M163" s="54">
        <v>-0.40814861438918598</v>
      </c>
      <c r="O163" s="30">
        <v>0</v>
      </c>
      <c r="P163" s="5">
        <v>1</v>
      </c>
      <c r="Q163" s="26">
        <v>0</v>
      </c>
    </row>
    <row r="164" spans="1:17" x14ac:dyDescent="0.35">
      <c r="A164" s="71">
        <v>5.1790043591527345E-4</v>
      </c>
      <c r="B164" s="72">
        <v>1.5485739593144274E-7</v>
      </c>
      <c r="C164" s="73">
        <v>1.0000000894069641</v>
      </c>
      <c r="K164" s="55">
        <v>0.57720928012970907</v>
      </c>
      <c r="L164" s="56">
        <v>1.7259133179350225E-4</v>
      </c>
      <c r="M164" s="57">
        <v>0.81659623875228282</v>
      </c>
      <c r="O164" s="27">
        <v>0</v>
      </c>
      <c r="P164" s="28">
        <v>0</v>
      </c>
      <c r="Q164" s="29">
        <v>1</v>
      </c>
    </row>
    <row r="166" spans="1:17" ht="16.5" x14ac:dyDescent="0.45">
      <c r="A166" t="s">
        <v>55</v>
      </c>
      <c r="E166" t="s">
        <v>56</v>
      </c>
      <c r="G166" t="s">
        <v>57</v>
      </c>
      <c r="I166" t="s">
        <v>58</v>
      </c>
      <c r="K166" t="s">
        <v>59</v>
      </c>
      <c r="O166" t="s">
        <v>60</v>
      </c>
    </row>
    <row r="167" spans="1:17" x14ac:dyDescent="0.35">
      <c r="A167" s="62">
        <f t="array" ref="A167:C169">A162:C164</f>
        <v>3.9999996423721802</v>
      </c>
      <c r="B167" s="63">
        <v>8.9702981479992993E-4</v>
      </c>
      <c r="C167" s="64">
        <v>5.1790043591536192E-4</v>
      </c>
      <c r="E167" s="65">
        <f>A162</f>
        <v>3.9999996423721802</v>
      </c>
      <c r="G167" s="65">
        <f>E167/E171</f>
        <v>0.99999996647239098</v>
      </c>
      <c r="I167" s="65">
        <f>SQRT((1-G167/G171)/2)</f>
        <v>0.99999999161809772</v>
      </c>
      <c r="K167" s="62">
        <f t="array" ref="K167:M169">K$6:M$8-2*MMULT(I167:I169,TRANSPOSE(I167:I169))</f>
        <v>-0.99999996647239109</v>
      </c>
      <c r="L167" s="63">
        <v>-2.2425746623140711E-4</v>
      </c>
      <c r="M167" s="64">
        <v>-1.2947511621380341E-4</v>
      </c>
      <c r="O167" s="62">
        <f t="array" ref="O167:Q169">MMULT(K167:M169,O162:Q164)</f>
        <v>-0.99999996647239109</v>
      </c>
      <c r="P167" s="63">
        <v>-2.2425746623140711E-4</v>
      </c>
      <c r="Q167" s="64">
        <v>-1.2947511621380341E-4</v>
      </c>
    </row>
    <row r="168" spans="1:17" x14ac:dyDescent="0.35">
      <c r="A168" s="30">
        <v>8.9702981480018461E-4</v>
      </c>
      <c r="B168" s="5">
        <v>1.0000002682208617</v>
      </c>
      <c r="C168" s="26">
        <v>1.5485739586671209E-7</v>
      </c>
      <c r="E168" s="52">
        <f>A163</f>
        <v>8.9702981480018461E-4</v>
      </c>
      <c r="F168" s="74"/>
      <c r="G168" s="52">
        <f>E168/E171</f>
        <v>2.2425746623140711E-4</v>
      </c>
      <c r="I168" s="52">
        <f>G168/(-2*G171*I167)</f>
        <v>1.1212873405555565E-4</v>
      </c>
      <c r="K168" s="30">
        <v>-2.2425746623140711E-4</v>
      </c>
      <c r="L168" s="5">
        <v>0.99999997485429404</v>
      </c>
      <c r="M168" s="26">
        <v>-1.4517880994437182E-8</v>
      </c>
      <c r="O168" s="30">
        <v>-2.2425746623140711E-4</v>
      </c>
      <c r="P168" s="5">
        <v>0.99999997485429404</v>
      </c>
      <c r="Q168" s="26">
        <v>-1.4517880994437182E-8</v>
      </c>
    </row>
    <row r="169" spans="1:17" x14ac:dyDescent="0.35">
      <c r="A169" s="27">
        <v>5.1790043591527345E-4</v>
      </c>
      <c r="B169" s="28">
        <v>1.5485739593144274E-7</v>
      </c>
      <c r="C169" s="29">
        <v>1.0000000894069641</v>
      </c>
      <c r="E169" s="53">
        <f>A164</f>
        <v>5.1790043591527345E-4</v>
      </c>
      <c r="G169" s="53">
        <f>E169/E171</f>
        <v>1.2947511621380341E-4</v>
      </c>
      <c r="I169" s="53">
        <f>G169/(-2*G171*I167)</f>
        <v>6.4737558649525593E-5</v>
      </c>
      <c r="K169" s="27">
        <v>-1.2947511621380341E-4</v>
      </c>
      <c r="L169" s="28">
        <v>-1.4517880994437182E-8</v>
      </c>
      <c r="M169" s="29">
        <v>0.99999999161809705</v>
      </c>
      <c r="O169" s="27">
        <v>-1.2947511621380341E-4</v>
      </c>
      <c r="P169" s="28">
        <v>-1.4517880994437182E-8</v>
      </c>
      <c r="Q169" s="29">
        <v>0.99999999161809705</v>
      </c>
    </row>
    <row r="171" spans="1:17" x14ac:dyDescent="0.35">
      <c r="D171" s="12" t="s">
        <v>63</v>
      </c>
      <c r="E171">
        <f>SQRT(E167^2+E168^2+E169^2)</f>
        <v>3.9999997764826087</v>
      </c>
      <c r="F171" s="12" t="s">
        <v>17</v>
      </c>
      <c r="G171">
        <f>-SIGN(G167)*SQRT(G167^2+G168^2+G169^2)</f>
        <v>-1</v>
      </c>
    </row>
    <row r="173" spans="1:17" ht="16.5" x14ac:dyDescent="0.45">
      <c r="A173" t="s">
        <v>64</v>
      </c>
      <c r="E173" t="s">
        <v>65</v>
      </c>
      <c r="G173" t="s">
        <v>66</v>
      </c>
      <c r="I173" t="s">
        <v>67</v>
      </c>
      <c r="K173" t="s">
        <v>68</v>
      </c>
      <c r="O173" t="s">
        <v>69</v>
      </c>
    </row>
    <row r="174" spans="1:17" x14ac:dyDescent="0.35">
      <c r="A174" s="62">
        <f t="array" ref="A174:C176">MMULT(K167:M169,A167:C169)</f>
        <v>-3.9999997764826092</v>
      </c>
      <c r="B174" s="63">
        <v>-1.1212873311567824E-3</v>
      </c>
      <c r="C174" s="64">
        <v>-6.4737558106910641E-4</v>
      </c>
      <c r="E174" s="65">
        <f>B174</f>
        <v>-1.1212873311567824E-3</v>
      </c>
      <c r="G174" s="65">
        <f>E174/E178</f>
        <v>-1.1212865792759035E-3</v>
      </c>
      <c r="I174" s="65">
        <v>0</v>
      </c>
      <c r="K174" s="62">
        <f t="array" ref="K174:M176">K$6:M$8-2*MMULT(I174:I176,TRANSPOSE(I174:I176))</f>
        <v>1</v>
      </c>
      <c r="L174" s="63">
        <v>0</v>
      </c>
      <c r="M174" s="64">
        <v>0</v>
      </c>
      <c r="O174" s="62">
        <f t="array" ref="O174:Q176">MMULT(K174:M176,O167:Q169)</f>
        <v>-0.99999996647239109</v>
      </c>
      <c r="P174" s="63">
        <v>-2.2425746623140711E-4</v>
      </c>
      <c r="Q174" s="64">
        <v>-1.2947511621380341E-4</v>
      </c>
    </row>
    <row r="175" spans="1:17" x14ac:dyDescent="0.35">
      <c r="A175" s="30">
        <v>5.3671187530499853E-20</v>
      </c>
      <c r="B175" s="5">
        <v>1.0000000419095134</v>
      </c>
      <c r="C175" s="26">
        <v>2.4196470161756384E-8</v>
      </c>
      <c r="E175" s="52">
        <f>B175</f>
        <v>1.0000000419095134</v>
      </c>
      <c r="F175" s="74"/>
      <c r="G175" s="52">
        <f>E175/E178</f>
        <v>0.99999937135800565</v>
      </c>
      <c r="I175" s="52">
        <f>SQRT((1-G175/G178)/2)</f>
        <v>0.99999999999999989</v>
      </c>
      <c r="K175" s="30">
        <v>0</v>
      </c>
      <c r="L175" s="5">
        <v>-0.99999999999999956</v>
      </c>
      <c r="M175" s="26">
        <v>-2.4196469212477627E-8</v>
      </c>
      <c r="O175" s="30">
        <v>2.2425746936424767E-4</v>
      </c>
      <c r="P175" s="5">
        <v>-0.99999997485429326</v>
      </c>
      <c r="Q175" s="26">
        <v>-9.6785880152279943E-9</v>
      </c>
    </row>
    <row r="176" spans="1:17" x14ac:dyDescent="0.35">
      <c r="A176" s="27">
        <v>0</v>
      </c>
      <c r="B176" s="28">
        <v>2.4196470226539886E-8</v>
      </c>
      <c r="C176" s="29">
        <v>1.0000000139698391</v>
      </c>
      <c r="E176" s="53">
        <f>B176</f>
        <v>2.4196470226539886E-8</v>
      </c>
      <c r="G176" s="53">
        <f>E176/E178</f>
        <v>2.4196454001560972E-8</v>
      </c>
      <c r="I176" s="53">
        <f>G176/(-2*G178*I175)</f>
        <v>1.2098234606238815E-8</v>
      </c>
      <c r="K176" s="27">
        <v>0</v>
      </c>
      <c r="L176" s="28">
        <v>-2.4196469212477627E-8</v>
      </c>
      <c r="M176" s="29">
        <v>0.99999999999999967</v>
      </c>
      <c r="O176" s="27">
        <v>-1.2947511078756447E-4</v>
      </c>
      <c r="P176" s="28">
        <v>-3.8714349598477502E-8</v>
      </c>
      <c r="Q176" s="29">
        <v>0.99999999161809705</v>
      </c>
    </row>
    <row r="178" spans="1:21" x14ac:dyDescent="0.35">
      <c r="D178" s="12" t="s">
        <v>63</v>
      </c>
      <c r="E178">
        <f>SQRT(E174^2+E175^2+E176^2)</f>
        <v>1.0000006705519293</v>
      </c>
      <c r="F178" s="12" t="s">
        <v>17</v>
      </c>
      <c r="G178">
        <f>-SIGN(G175)*SQRT(G175^2+G176^2)</f>
        <v>-0.99999937135800598</v>
      </c>
    </row>
    <row r="180" spans="1:21" ht="17.5" x14ac:dyDescent="0.45">
      <c r="A180" t="s">
        <v>70</v>
      </c>
      <c r="K180" t="s">
        <v>33</v>
      </c>
      <c r="O180" t="s">
        <v>71</v>
      </c>
      <c r="S180" t="s">
        <v>72</v>
      </c>
    </row>
    <row r="181" spans="1:21" s="11" customFormat="1" x14ac:dyDescent="0.35">
      <c r="A181" s="75">
        <f t="array" ref="A181:C183">MMULT(K174:M176,A174:C176)</f>
        <v>-3.9999997764826092</v>
      </c>
      <c r="B181" s="76">
        <v>-1.1212873311567824E-3</v>
      </c>
      <c r="C181" s="77">
        <v>-6.4737558106910641E-4</v>
      </c>
      <c r="K181" s="75">
        <f>A181</f>
        <v>-3.9999997764826092</v>
      </c>
      <c r="L181" s="76">
        <f>B181</f>
        <v>-1.1212873311567824E-3</v>
      </c>
      <c r="M181" s="77">
        <f>C181</f>
        <v>-6.4737558106910641E-4</v>
      </c>
      <c r="O181" s="75">
        <f t="array" ref="O181:Q183">TRANSPOSE(O174:Q176)</f>
        <v>-0.99999996647239109</v>
      </c>
      <c r="P181" s="76">
        <v>2.2425746936424767E-4</v>
      </c>
      <c r="Q181" s="77">
        <v>-1.2947511078756447E-4</v>
      </c>
      <c r="S181" s="75">
        <f t="array" ref="S181:U183">MMULT(TRANSPOSE(O181:Q183),O181:Q183)</f>
        <v>1.0000000000000002</v>
      </c>
      <c r="T181" s="76">
        <v>1.4322519821101477E-20</v>
      </c>
      <c r="U181" s="77">
        <v>-2.7105054312137611E-20</v>
      </c>
    </row>
    <row r="182" spans="1:21" s="11" customFormat="1" x14ac:dyDescent="0.35">
      <c r="A182" s="31">
        <v>-5.3671187530499829E-20</v>
      </c>
      <c r="B182" s="2">
        <v>-1.0000000419095136</v>
      </c>
      <c r="C182" s="54">
        <v>-4.8392939712254778E-8</v>
      </c>
      <c r="K182" s="31">
        <v>0</v>
      </c>
      <c r="L182" s="2">
        <f>B182</f>
        <v>-1.0000000419095136</v>
      </c>
      <c r="M182" s="54">
        <f>C182</f>
        <v>-4.8392939712254778E-8</v>
      </c>
      <c r="O182" s="31">
        <v>-2.2425746623140711E-4</v>
      </c>
      <c r="P182" s="2">
        <v>-0.99999997485429326</v>
      </c>
      <c r="Q182" s="54">
        <v>-3.8714349598477502E-8</v>
      </c>
      <c r="S182" s="31">
        <v>1.4322519821101477E-20</v>
      </c>
      <c r="T182" s="2">
        <v>0.99999999999999989</v>
      </c>
      <c r="U182" s="54">
        <v>-3.3087224502121107E-24</v>
      </c>
    </row>
    <row r="183" spans="1:21" s="11" customFormat="1" x14ac:dyDescent="0.35">
      <c r="A183" s="55">
        <v>-1.2986532366788528E-27</v>
      </c>
      <c r="B183" s="56">
        <v>0</v>
      </c>
      <c r="C183" s="57">
        <v>1.000000013969838</v>
      </c>
      <c r="K183" s="55">
        <v>0</v>
      </c>
      <c r="L183" s="56">
        <v>0</v>
      </c>
      <c r="M183" s="57">
        <f>C183</f>
        <v>1.000000013969838</v>
      </c>
      <c r="O183" s="55">
        <v>-1.2947511621380341E-4</v>
      </c>
      <c r="P183" s="56">
        <v>-9.6785880152279943E-9</v>
      </c>
      <c r="Q183" s="57">
        <v>0.99999999161809705</v>
      </c>
      <c r="S183" s="55">
        <v>-2.7105054312137611E-20</v>
      </c>
      <c r="T183" s="56">
        <v>-3.3087224502121107E-24</v>
      </c>
      <c r="U183" s="57">
        <v>1</v>
      </c>
    </row>
    <row r="185" spans="1:21" x14ac:dyDescent="0.35">
      <c r="S185" t="s">
        <v>74</v>
      </c>
      <c r="U185">
        <f>MDETERM(O181:Q183)</f>
        <v>1.0000000000000002</v>
      </c>
    </row>
    <row r="187" spans="1:21" ht="16.5" x14ac:dyDescent="0.45">
      <c r="A187" t="s">
        <v>75</v>
      </c>
      <c r="K187" t="s">
        <v>80</v>
      </c>
      <c r="O187" t="s">
        <v>54</v>
      </c>
    </row>
    <row r="188" spans="1:21" x14ac:dyDescent="0.35">
      <c r="A188" s="66">
        <f t="array" ref="A188:C190">MMULT(K181:M183,O181:Q183)</f>
        <v>3.9999999776482653</v>
      </c>
      <c r="B188" s="67">
        <v>2.2425748189535528E-4</v>
      </c>
      <c r="C188" s="68">
        <v>-1.2947511802263842E-4</v>
      </c>
      <c r="K188" s="75">
        <f t="array" ref="K188:M190">MMULT(K162:M164,O181:Q183)</f>
        <v>-0.57742074436634883</v>
      </c>
      <c r="L188" s="76">
        <v>0.70706361952115127</v>
      </c>
      <c r="M188" s="77">
        <v>-0.40822337258547758</v>
      </c>
      <c r="O188" s="62">
        <v>1</v>
      </c>
      <c r="P188" s="63">
        <v>0</v>
      </c>
      <c r="Q188" s="64">
        <v>0</v>
      </c>
    </row>
    <row r="189" spans="1:21" x14ac:dyDescent="0.35">
      <c r="A189" s="69">
        <v>2.2425748189560995E-4</v>
      </c>
      <c r="B189" s="1">
        <v>1.0000000167638063</v>
      </c>
      <c r="C189" s="70">
        <v>-9.6785880856527901E-9</v>
      </c>
      <c r="K189" s="31">
        <v>-0.57731502837506909</v>
      </c>
      <c r="L189" s="2">
        <v>-0.70714993890067712</v>
      </c>
      <c r="M189" s="54">
        <v>-0.40822337258547842</v>
      </c>
      <c r="O189" s="30">
        <v>0</v>
      </c>
      <c r="P189" s="5">
        <v>1</v>
      </c>
      <c r="Q189" s="26">
        <v>0</v>
      </c>
    </row>
    <row r="190" spans="1:21" x14ac:dyDescent="0.35">
      <c r="A190" s="71">
        <v>-1.2947511802254981E-4</v>
      </c>
      <c r="B190" s="72">
        <v>-9.6785881504363001E-9</v>
      </c>
      <c r="C190" s="73">
        <v>1.0000000055879348</v>
      </c>
      <c r="K190" s="55">
        <v>-0.57731502837506898</v>
      </c>
      <c r="L190" s="56">
        <v>-4.3155738496693237E-5</v>
      </c>
      <c r="M190" s="57">
        <v>0.81652149766547821</v>
      </c>
      <c r="O190" s="27">
        <v>0</v>
      </c>
      <c r="P190" s="28">
        <v>0</v>
      </c>
      <c r="Q190" s="29">
        <v>1</v>
      </c>
    </row>
    <row r="192" spans="1:21" ht="16.5" x14ac:dyDescent="0.45">
      <c r="A192" t="s">
        <v>55</v>
      </c>
      <c r="E192" t="s">
        <v>56</v>
      </c>
      <c r="G192" t="s">
        <v>57</v>
      </c>
      <c r="I192" t="s">
        <v>58</v>
      </c>
      <c r="K192" t="s">
        <v>59</v>
      </c>
      <c r="O192" t="s">
        <v>60</v>
      </c>
    </row>
    <row r="193" spans="1:21" x14ac:dyDescent="0.35">
      <c r="A193" s="62">
        <f t="array" ref="A193:C195">A188:C190</f>
        <v>3.9999999776482653</v>
      </c>
      <c r="B193" s="63">
        <v>2.2425748189535528E-4</v>
      </c>
      <c r="C193" s="64">
        <v>-1.2947511802263842E-4</v>
      </c>
      <c r="E193" s="65">
        <f>A188</f>
        <v>3.9999999776482653</v>
      </c>
      <c r="G193" s="65">
        <f>E193/E197</f>
        <v>0.99999999790452421</v>
      </c>
      <c r="I193" s="65">
        <f>SQRT((1-G193/G197)/2)</f>
        <v>0.99999999947613105</v>
      </c>
      <c r="K193" s="62">
        <f t="array" ref="K193:M195">K$6:M$8-2*MMULT(I193:I195,TRANSPOSE(I193:I195))</f>
        <v>-0.99999999790452421</v>
      </c>
      <c r="L193" s="63">
        <v>-5.6064370669704942E-5</v>
      </c>
      <c r="M193" s="64">
        <v>3.2368779618684049E-5</v>
      </c>
      <c r="O193" s="62">
        <f t="array" ref="O193:Q195">MMULT(K193:M195,O188:Q190)</f>
        <v>-0.99999999790452421</v>
      </c>
      <c r="P193" s="63">
        <v>-5.6064370669704942E-5</v>
      </c>
      <c r="Q193" s="64">
        <v>3.2368779618684049E-5</v>
      </c>
    </row>
    <row r="194" spans="1:21" x14ac:dyDescent="0.35">
      <c r="A194" s="30">
        <v>2.2425748189560995E-4</v>
      </c>
      <c r="B194" s="5">
        <v>1.0000000167638063</v>
      </c>
      <c r="C194" s="26">
        <v>-9.6785880856527901E-9</v>
      </c>
      <c r="E194" s="52">
        <f>A189</f>
        <v>2.2425748189560995E-4</v>
      </c>
      <c r="F194" s="74"/>
      <c r="G194" s="52">
        <f>E194/E197</f>
        <v>5.6064370669704942E-5</v>
      </c>
      <c r="I194" s="52">
        <f>G194/(-2*G197*I193)</f>
        <v>2.8032185349537661E-5</v>
      </c>
      <c r="K194" s="30">
        <v>-5.6064370669704942E-5</v>
      </c>
      <c r="L194" s="5">
        <v>0.99999999842839316</v>
      </c>
      <c r="M194" s="26">
        <v>9.0736763028462988E-10</v>
      </c>
      <c r="O194" s="30">
        <v>-5.6064370669704942E-5</v>
      </c>
      <c r="P194" s="5">
        <v>0.99999999842839316</v>
      </c>
      <c r="Q194" s="26">
        <v>9.0736763028462988E-10</v>
      </c>
    </row>
    <row r="195" spans="1:21" x14ac:dyDescent="0.35">
      <c r="A195" s="27">
        <v>-1.2947511802254981E-4</v>
      </c>
      <c r="B195" s="28">
        <v>-9.6785881504363001E-9</v>
      </c>
      <c r="C195" s="29">
        <v>1.0000000055879348</v>
      </c>
      <c r="E195" s="53">
        <f>A190</f>
        <v>-1.2947511802254981E-4</v>
      </c>
      <c r="G195" s="53">
        <f>E195/E197</f>
        <v>-3.2368779618684049E-5</v>
      </c>
      <c r="I195" s="53">
        <f>G195/(-2*G197*I193)</f>
        <v>-1.6184389817820523E-5</v>
      </c>
      <c r="K195" s="27">
        <v>3.2368779618684049E-5</v>
      </c>
      <c r="L195" s="28">
        <v>9.0736763028462988E-10</v>
      </c>
      <c r="M195" s="29">
        <v>0.99999999947613105</v>
      </c>
      <c r="O195" s="27">
        <v>3.2368779618684049E-5</v>
      </c>
      <c r="P195" s="28">
        <v>9.0736763028462988E-10</v>
      </c>
      <c r="Q195" s="29">
        <v>0.99999999947613105</v>
      </c>
    </row>
    <row r="197" spans="1:21" x14ac:dyDescent="0.35">
      <c r="D197" s="12" t="s">
        <v>63</v>
      </c>
      <c r="E197">
        <f>SQRT(E193^2+E194^2+E195^2)</f>
        <v>3.9999999860301685</v>
      </c>
      <c r="F197" s="12" t="s">
        <v>17</v>
      </c>
      <c r="G197">
        <f>-SIGN(G193)*SQRT(G193^2+G194^2+G195^2)</f>
        <v>-1</v>
      </c>
    </row>
    <row r="199" spans="1:21" ht="16.5" x14ac:dyDescent="0.45">
      <c r="A199" t="s">
        <v>64</v>
      </c>
      <c r="E199" t="s">
        <v>65</v>
      </c>
      <c r="G199" t="s">
        <v>66</v>
      </c>
      <c r="I199" t="s">
        <v>67</v>
      </c>
      <c r="K199" t="s">
        <v>68</v>
      </c>
      <c r="O199" t="s">
        <v>69</v>
      </c>
    </row>
    <row r="200" spans="1:21" x14ac:dyDescent="0.35">
      <c r="A200" s="62">
        <f t="array" ref="A200:C202">MMULT(K193:M195,A193:C195)</f>
        <v>-3.9999999860301685</v>
      </c>
      <c r="B200" s="63">
        <v>-2.803218533482704E-4</v>
      </c>
      <c r="C200" s="64">
        <v>1.6184389809350907E-4</v>
      </c>
      <c r="E200" s="65">
        <f>B200</f>
        <v>-2.803218533482704E-4</v>
      </c>
      <c r="G200" s="65">
        <f>E200/E204</f>
        <v>-2.8032184160011798E-4</v>
      </c>
      <c r="I200" s="65">
        <v>0</v>
      </c>
      <c r="K200" s="62">
        <f t="array" ref="K200:M202">K$6:M$8-2*MMULT(I200:I202,TRANSPOSE(I200:I202))</f>
        <v>1</v>
      </c>
      <c r="L200" s="63">
        <v>0</v>
      </c>
      <c r="M200" s="64">
        <v>0</v>
      </c>
      <c r="O200" s="62">
        <f t="array" ref="O200:Q202">MMULT(K200:M202,O193:Q195)</f>
        <v>-0.99999999790452421</v>
      </c>
      <c r="P200" s="63">
        <v>-5.6064370669704942E-5</v>
      </c>
      <c r="Q200" s="64">
        <v>3.2368779618684049E-5</v>
      </c>
    </row>
    <row r="201" spans="1:21" x14ac:dyDescent="0.35">
      <c r="A201" s="30">
        <v>1.4304371501686129E-20</v>
      </c>
      <c r="B201" s="5">
        <v>1.000000002619345</v>
      </c>
      <c r="C201" s="26">
        <v>-1.5122794257619193E-9</v>
      </c>
      <c r="E201" s="52">
        <f>B201</f>
        <v>1.000000002619345</v>
      </c>
      <c r="F201" s="74"/>
      <c r="G201" s="52">
        <f>E201/E204</f>
        <v>0.99999996070983166</v>
      </c>
      <c r="I201" s="52">
        <f>SQRT((1-G201/G204)/2)</f>
        <v>1</v>
      </c>
      <c r="K201" s="30">
        <v>0</v>
      </c>
      <c r="L201" s="5">
        <v>-1</v>
      </c>
      <c r="M201" s="26">
        <v>1.5122794865974586E-9</v>
      </c>
      <c r="O201" s="30">
        <v>5.6064370718655586E-5</v>
      </c>
      <c r="P201" s="5">
        <v>-0.99999999842839316</v>
      </c>
      <c r="Q201" s="26">
        <v>6.0491185552059255E-10</v>
      </c>
    </row>
    <row r="202" spans="1:21" x14ac:dyDescent="0.35">
      <c r="A202" s="27">
        <v>-2.7105054312137611E-20</v>
      </c>
      <c r="B202" s="28">
        <v>-1.5122794905586402E-9</v>
      </c>
      <c r="C202" s="29">
        <v>1.0000000008731142</v>
      </c>
      <c r="E202" s="53">
        <f>B202</f>
        <v>-1.5122794905586402E-9</v>
      </c>
      <c r="G202" s="53">
        <f>E202/E204</f>
        <v>-1.512279427179743E-9</v>
      </c>
      <c r="I202" s="53">
        <f>G202/(-2*G204*I201)</f>
        <v>-7.561397432987293E-10</v>
      </c>
      <c r="K202" s="27">
        <v>0</v>
      </c>
      <c r="L202" s="28">
        <v>1.5122794865974586E-9</v>
      </c>
      <c r="M202" s="29">
        <v>1</v>
      </c>
      <c r="O202" s="27">
        <v>3.2368779533899053E-5</v>
      </c>
      <c r="P202" s="28">
        <v>2.41964711450538E-9</v>
      </c>
      <c r="Q202" s="29">
        <v>0.99999999947613105</v>
      </c>
    </row>
    <row r="204" spans="1:21" x14ac:dyDescent="0.35">
      <c r="D204" s="12" t="s">
        <v>63</v>
      </c>
      <c r="E204">
        <f>SQRT(E200^2+E201^2+E202^2)</f>
        <v>1.000000041909515</v>
      </c>
      <c r="F204" s="12" t="s">
        <v>17</v>
      </c>
      <c r="G204">
        <f>-SIGN(G201)*SQRT(G201^2+G202^2)</f>
        <v>-0.99999996070983166</v>
      </c>
    </row>
    <row r="206" spans="1:21" ht="17.5" x14ac:dyDescent="0.45">
      <c r="A206" t="s">
        <v>70</v>
      </c>
      <c r="K206" t="s">
        <v>33</v>
      </c>
      <c r="O206" t="s">
        <v>71</v>
      </c>
      <c r="S206" t="s">
        <v>72</v>
      </c>
    </row>
    <row r="207" spans="1:21" s="11" customFormat="1" x14ac:dyDescent="0.35">
      <c r="A207" s="75">
        <f t="array" ref="A207:C209">MMULT(K200:M202,A200:C202)</f>
        <v>-3.9999999860301685</v>
      </c>
      <c r="B207" s="76">
        <v>-2.803218533482704E-4</v>
      </c>
      <c r="C207" s="77">
        <v>1.6184389809350907E-4</v>
      </c>
      <c r="K207" s="75">
        <f>A207</f>
        <v>-3.9999999860301685</v>
      </c>
      <c r="L207" s="75">
        <f>B207</f>
        <v>-2.803218533482704E-4</v>
      </c>
      <c r="M207" s="75">
        <f>C207</f>
        <v>1.6184389809350907E-4</v>
      </c>
      <c r="O207" s="75">
        <f t="array" ref="O207:Q209">TRANSPOSE(O200:Q202)</f>
        <v>-0.99999999790452421</v>
      </c>
      <c r="P207" s="76">
        <v>5.6064370718655586E-5</v>
      </c>
      <c r="Q207" s="77">
        <v>3.2368779533899053E-5</v>
      </c>
      <c r="S207" s="75">
        <f t="array" ref="S207:U209">MMULT(TRANSPOSE(O207:Q209),O207:Q209)</f>
        <v>1</v>
      </c>
      <c r="T207" s="76">
        <v>9.8585608982080603E-22</v>
      </c>
      <c r="U207" s="77">
        <v>0</v>
      </c>
    </row>
    <row r="208" spans="1:21" s="11" customFormat="1" x14ac:dyDescent="0.35">
      <c r="A208" s="31">
        <v>-1.4304371542676547E-20</v>
      </c>
      <c r="B208" s="2">
        <v>-1.000000002619345</v>
      </c>
      <c r="C208" s="54">
        <v>3.0245589136797705E-9</v>
      </c>
      <c r="K208" s="31">
        <v>0</v>
      </c>
      <c r="L208" s="2">
        <f>B208</f>
        <v>-1.000000002619345</v>
      </c>
      <c r="M208" s="54">
        <f>C208</f>
        <v>3.0245589136797705E-9</v>
      </c>
      <c r="O208" s="31">
        <v>-5.6064370669704942E-5</v>
      </c>
      <c r="P208" s="2">
        <v>-0.99999999842839316</v>
      </c>
      <c r="Q208" s="54">
        <v>2.41964711450538E-9</v>
      </c>
      <c r="S208" s="31">
        <v>9.8585608982080603E-22</v>
      </c>
      <c r="T208" s="2">
        <v>1</v>
      </c>
      <c r="U208" s="54">
        <v>4.1359030627651384E-25</v>
      </c>
    </row>
    <row r="209" spans="1:21" s="11" customFormat="1" x14ac:dyDescent="0.35">
      <c r="A209" s="55">
        <v>-2.7105054290505403E-20</v>
      </c>
      <c r="B209" s="56">
        <v>0</v>
      </c>
      <c r="C209" s="57">
        <v>1.0000000008731142</v>
      </c>
      <c r="K209" s="55">
        <v>0</v>
      </c>
      <c r="L209" s="56">
        <v>0</v>
      </c>
      <c r="M209" s="57">
        <f>C209</f>
        <v>1.0000000008731142</v>
      </c>
      <c r="O209" s="55">
        <v>3.2368779618684049E-5</v>
      </c>
      <c r="P209" s="56">
        <v>6.0491185552059255E-10</v>
      </c>
      <c r="Q209" s="57">
        <v>0.99999999947613105</v>
      </c>
      <c r="S209" s="55">
        <v>0</v>
      </c>
      <c r="T209" s="56">
        <v>4.1359030627651384E-25</v>
      </c>
      <c r="U209" s="57">
        <v>1</v>
      </c>
    </row>
    <row r="211" spans="1:21" x14ac:dyDescent="0.35">
      <c r="S211" t="s">
        <v>74</v>
      </c>
      <c r="U211">
        <f>MDETERM(O207:Q209)</f>
        <v>1</v>
      </c>
    </row>
    <row r="213" spans="1:21" ht="16.5" x14ac:dyDescent="0.45">
      <c r="A213" t="s">
        <v>75</v>
      </c>
      <c r="K213" t="s">
        <v>80</v>
      </c>
      <c r="O213" t="s">
        <v>54</v>
      </c>
    </row>
    <row r="214" spans="1:21" x14ac:dyDescent="0.35">
      <c r="A214" s="66">
        <f t="array" ref="A214:C216">MMULT(K207:M209,O207:Q209)</f>
        <v>3.9999999986030232</v>
      </c>
      <c r="B214" s="67">
        <v>5.6064370914203422E-5</v>
      </c>
      <c r="C214" s="68">
        <v>3.2368779647034282E-5</v>
      </c>
      <c r="K214" s="75">
        <f t="array" ref="K214:M216">MMULT(K188:M190,O207:Q209)</f>
        <v>0.57736788838714326</v>
      </c>
      <c r="L214" s="76">
        <v>-0.7070959913875372</v>
      </c>
      <c r="M214" s="77">
        <v>-0.40824206106555028</v>
      </c>
      <c r="O214" s="62">
        <v>1</v>
      </c>
      <c r="P214" s="63">
        <v>0</v>
      </c>
      <c r="Q214" s="64">
        <v>0</v>
      </c>
    </row>
    <row r="215" spans="1:21" x14ac:dyDescent="0.35">
      <c r="A215" s="69">
        <v>5.6064370914458148E-5</v>
      </c>
      <c r="B215" s="1">
        <v>1.0000000010477381</v>
      </c>
      <c r="C215" s="70">
        <v>6.0491179125202765E-10</v>
      </c>
      <c r="K215" s="31">
        <v>0.57734145938923065</v>
      </c>
      <c r="L215" s="2">
        <v>0.70711757073860404</v>
      </c>
      <c r="M215" s="54">
        <v>-0.40824206106555128</v>
      </c>
      <c r="O215" s="30">
        <v>0</v>
      </c>
      <c r="P215" s="5">
        <v>1</v>
      </c>
      <c r="Q215" s="26">
        <v>0</v>
      </c>
    </row>
    <row r="216" spans="1:21" x14ac:dyDescent="0.35">
      <c r="A216" s="71">
        <v>3.2368779646945689E-5</v>
      </c>
      <c r="B216" s="72">
        <v>6.0491185604874975E-10</v>
      </c>
      <c r="C216" s="73">
        <v>1.0000000003492453</v>
      </c>
      <c r="K216" s="55">
        <v>0.57734145938923043</v>
      </c>
      <c r="L216" s="56">
        <v>1.0789428580132571E-5</v>
      </c>
      <c r="M216" s="57">
        <v>0.81650281025474847</v>
      </c>
      <c r="O216" s="27">
        <v>0</v>
      </c>
      <c r="P216" s="28">
        <v>0</v>
      </c>
      <c r="Q216" s="29">
        <v>1</v>
      </c>
    </row>
    <row r="218" spans="1:21" ht="16.5" x14ac:dyDescent="0.45">
      <c r="A218" t="s">
        <v>55</v>
      </c>
      <c r="E218" t="s">
        <v>56</v>
      </c>
      <c r="G218" t="s">
        <v>57</v>
      </c>
      <c r="I218" t="s">
        <v>58</v>
      </c>
      <c r="K218" t="s">
        <v>59</v>
      </c>
      <c r="O218" t="s">
        <v>60</v>
      </c>
    </row>
    <row r="219" spans="1:21" x14ac:dyDescent="0.35">
      <c r="A219" s="62">
        <f t="array" ref="A219:C221">A214:C216</f>
        <v>3.9999999986030232</v>
      </c>
      <c r="B219" s="63">
        <v>5.6064370914203422E-5</v>
      </c>
      <c r="C219" s="64">
        <v>3.2368779647034282E-5</v>
      </c>
      <c r="E219" s="65">
        <f>A214</f>
        <v>3.9999999986030232</v>
      </c>
      <c r="G219" s="65">
        <f>E219/E223</f>
        <v>0.99999999986903276</v>
      </c>
      <c r="I219" s="65">
        <f>SQRT((1-G219/G223)/2)</f>
        <v>0.99999999996725819</v>
      </c>
      <c r="K219" s="62">
        <f t="array" ref="K219:M221">K$6:M$8-2*MMULT(I219:I221,TRANSPOSE(I219:I221))</f>
        <v>-0.99999999986903276</v>
      </c>
      <c r="L219" s="63">
        <v>-1.4016092731673927E-5</v>
      </c>
      <c r="M219" s="64">
        <v>-8.0921949135027622E-6</v>
      </c>
      <c r="O219" s="62">
        <f t="array" ref="O219:Q221">MMULT(K219:M221,O214:Q216)</f>
        <v>-0.99999999986903276</v>
      </c>
      <c r="P219" s="63">
        <v>-1.4016092731673927E-5</v>
      </c>
      <c r="Q219" s="64">
        <v>-8.0921949135027622E-6</v>
      </c>
    </row>
    <row r="220" spans="1:21" x14ac:dyDescent="0.35">
      <c r="A220" s="30">
        <v>5.6064370914458148E-5</v>
      </c>
      <c r="B220" s="5">
        <v>1.0000000010477381</v>
      </c>
      <c r="C220" s="26">
        <v>6.0491179125202765E-10</v>
      </c>
      <c r="E220" s="52">
        <f>A215</f>
        <v>5.6064370914458148E-5</v>
      </c>
      <c r="F220" s="74"/>
      <c r="G220" s="52">
        <f>E220/E223</f>
        <v>1.4016092731673927E-5</v>
      </c>
      <c r="I220" s="52">
        <f>G220/(-2*G223*I219)</f>
        <v>7.0080463660664196E-6</v>
      </c>
      <c r="K220" s="30">
        <v>-1.4016092731673927E-5</v>
      </c>
      <c r="L220" s="5">
        <v>0.99999999990177457</v>
      </c>
      <c r="M220" s="26">
        <v>-5.6710477158931007E-11</v>
      </c>
      <c r="O220" s="30">
        <v>-1.4016092731673927E-5</v>
      </c>
      <c r="P220" s="5">
        <v>0.99999999990177457</v>
      </c>
      <c r="Q220" s="26">
        <v>-5.6710477158931007E-11</v>
      </c>
    </row>
    <row r="221" spans="1:21" x14ac:dyDescent="0.35">
      <c r="A221" s="27">
        <v>3.2368779646945689E-5</v>
      </c>
      <c r="B221" s="28">
        <v>6.0491185604874975E-10</v>
      </c>
      <c r="C221" s="29">
        <v>1.0000000003492453</v>
      </c>
      <c r="E221" s="53">
        <f>A216</f>
        <v>3.2368779646945689E-5</v>
      </c>
      <c r="G221" s="53">
        <f>E221/E223</f>
        <v>8.0921949135027622E-6</v>
      </c>
      <c r="I221" s="53">
        <f>G221/(-2*G223*I219)</f>
        <v>4.0460974568838579E-6</v>
      </c>
      <c r="K221" s="27">
        <v>-8.0921949135027622E-6</v>
      </c>
      <c r="L221" s="28">
        <v>-5.6710477158931007E-11</v>
      </c>
      <c r="M221" s="29">
        <v>0.99999999996725819</v>
      </c>
      <c r="O221" s="27">
        <v>-8.0921949135027622E-6</v>
      </c>
      <c r="P221" s="28">
        <v>-5.6710477158931007E-11</v>
      </c>
      <c r="Q221" s="29">
        <v>0.99999999996725819</v>
      </c>
    </row>
    <row r="223" spans="1:21" x14ac:dyDescent="0.35">
      <c r="D223" s="12" t="s">
        <v>63</v>
      </c>
      <c r="E223">
        <f>SQRT(E219^2+E220^2+E221^2)</f>
        <v>3.9999999991268922</v>
      </c>
      <c r="F223" s="12" t="s">
        <v>17</v>
      </c>
      <c r="G223">
        <f>-SIGN(G219)*SQRT(G219^2+G220^2+G221^2)</f>
        <v>-1</v>
      </c>
    </row>
    <row r="225" spans="1:25" ht="16.5" x14ac:dyDescent="0.45">
      <c r="A225" t="s">
        <v>64</v>
      </c>
      <c r="E225" t="s">
        <v>65</v>
      </c>
      <c r="G225" t="s">
        <v>66</v>
      </c>
      <c r="I225" t="s">
        <v>67</v>
      </c>
      <c r="K225" t="s">
        <v>68</v>
      </c>
      <c r="O225" t="s">
        <v>69</v>
      </c>
    </row>
    <row r="226" spans="1:25" x14ac:dyDescent="0.35">
      <c r="A226" s="62">
        <f t="array" ref="A226:C228">MMULT(K219:M221,A219:C221)</f>
        <v>-3.9999999991268922</v>
      </c>
      <c r="B226" s="63">
        <v>-7.0080463658115015E-5</v>
      </c>
      <c r="C226" s="64">
        <v>-4.0460974567602456E-5</v>
      </c>
      <c r="E226" s="65">
        <f>B226</f>
        <v>-7.0080463658115015E-5</v>
      </c>
      <c r="G226" s="65">
        <f>E226/E230</f>
        <v>-7.00804634745501E-5</v>
      </c>
      <c r="I226" s="65">
        <v>0</v>
      </c>
      <c r="K226" s="62">
        <f t="array" ref="K226:M228">K$6:M$8-2*MMULT(I226:I228,TRANSPOSE(I226:I228))</f>
        <v>1</v>
      </c>
      <c r="L226" s="63">
        <v>0</v>
      </c>
      <c r="M226" s="64">
        <v>0</v>
      </c>
      <c r="O226" s="62">
        <f t="array" ref="O226:Q228">MMULT(K226:M228,O219:Q221)</f>
        <v>-0.99999999986903276</v>
      </c>
      <c r="P226" s="63">
        <v>-1.4016092731673927E-5</v>
      </c>
      <c r="Q226" s="64">
        <v>-8.0921949135027622E-6</v>
      </c>
    </row>
    <row r="227" spans="1:25" x14ac:dyDescent="0.35">
      <c r="A227" s="30">
        <v>2.0687746722384266E-22</v>
      </c>
      <c r="B227" s="5">
        <v>1.0000000001637093</v>
      </c>
      <c r="C227" s="26">
        <v>9.4517496869920921E-11</v>
      </c>
      <c r="E227" s="52">
        <f>B227</f>
        <v>1.0000000001637093</v>
      </c>
      <c r="F227" s="74"/>
      <c r="G227" s="52">
        <f>E227/E230</f>
        <v>0.99999999754436431</v>
      </c>
      <c r="I227" s="52">
        <f>SQRT((1-G227/G230)/2)</f>
        <v>1</v>
      </c>
      <c r="K227" s="30">
        <v>0</v>
      </c>
      <c r="L227" s="5">
        <v>-1</v>
      </c>
      <c r="M227" s="26">
        <v>-9.4517561654472624E-11</v>
      </c>
      <c r="O227" s="30">
        <v>1.4016092732438781E-5</v>
      </c>
      <c r="P227" s="5">
        <v>-0.99999999990177457</v>
      </c>
      <c r="Q227" s="26">
        <v>-3.780708449244694E-11</v>
      </c>
    </row>
    <row r="228" spans="1:25" x14ac:dyDescent="0.35">
      <c r="A228" s="27">
        <v>0</v>
      </c>
      <c r="B228" s="28">
        <v>9.4517561669946019E-11</v>
      </c>
      <c r="C228" s="29">
        <v>1.000000000054569</v>
      </c>
      <c r="E228" s="53">
        <f>B228</f>
        <v>9.4517561669946019E-11</v>
      </c>
      <c r="G228" s="53">
        <f>E228/E230</f>
        <v>9.4517561422371922E-11</v>
      </c>
      <c r="I228" s="53">
        <f>G228/(-2*G230*I227)</f>
        <v>4.7258780827236312E-11</v>
      </c>
      <c r="K228" s="27">
        <v>0</v>
      </c>
      <c r="L228" s="28">
        <v>-9.4517561654472624E-11</v>
      </c>
      <c r="M228" s="29">
        <v>1</v>
      </c>
      <c r="O228" s="27">
        <v>-8.0921949121779959E-6</v>
      </c>
      <c r="P228" s="28">
        <v>-1.5122803880411961E-10</v>
      </c>
      <c r="Q228" s="29">
        <v>0.99999999996725819</v>
      </c>
    </row>
    <row r="230" spans="1:25" x14ac:dyDescent="0.35">
      <c r="D230" s="12" t="s">
        <v>63</v>
      </c>
      <c r="E230">
        <f>SQRT(E226^2+E227^2+E228^2)</f>
        <v>1.000000002619345</v>
      </c>
      <c r="F230" s="12" t="s">
        <v>17</v>
      </c>
      <c r="G230">
        <f>-SIGN(G227)*SQRT(G227^2+G228^2)</f>
        <v>-0.99999999754436431</v>
      </c>
    </row>
    <row r="232" spans="1:25" ht="17.5" x14ac:dyDescent="0.45">
      <c r="A232" t="s">
        <v>70</v>
      </c>
      <c r="K232" t="s">
        <v>33</v>
      </c>
      <c r="O232" t="s">
        <v>71</v>
      </c>
      <c r="S232" t="s">
        <v>72</v>
      </c>
    </row>
    <row r="233" spans="1:25" s="11" customFormat="1" x14ac:dyDescent="0.35">
      <c r="A233" s="75">
        <f t="array" ref="A233:C235">MMULT(K226:M228,A226:C228)</f>
        <v>-3.9999999991268922</v>
      </c>
      <c r="B233" s="76">
        <v>-7.0080463658115015E-5</v>
      </c>
      <c r="C233" s="77">
        <v>-4.0460974567602456E-5</v>
      </c>
      <c r="K233" s="75">
        <f>A233</f>
        <v>-3.9999999991268922</v>
      </c>
      <c r="L233" s="76">
        <f>B233</f>
        <v>-7.0080463658115015E-5</v>
      </c>
      <c r="M233" s="77">
        <f>C233</f>
        <v>-4.0460974567602456E-5</v>
      </c>
      <c r="O233" s="75">
        <f t="array" ref="O233:Q235">TRANSPOSE(O226:Q228)</f>
        <v>-0.99999999986903276</v>
      </c>
      <c r="P233" s="76">
        <v>1.4016092732438781E-5</v>
      </c>
      <c r="Q233" s="77">
        <v>-8.0921949121779959E-6</v>
      </c>
      <c r="S233" s="75">
        <f t="array" ref="S233:U235">MMULT(TRANSPOSE(O233:Q235),O233:Q235)</f>
        <v>1</v>
      </c>
      <c r="T233" s="76">
        <v>7.72539473030805E-22</v>
      </c>
      <c r="U233" s="77">
        <v>0</v>
      </c>
    </row>
    <row r="234" spans="1:25" s="11" customFormat="1" x14ac:dyDescent="0.35">
      <c r="A234" s="31">
        <v>-2.0687746722384266E-22</v>
      </c>
      <c r="B234" s="2">
        <v>-1.0000000001637093</v>
      </c>
      <c r="C234" s="54">
        <v>-1.8903505852955129E-10</v>
      </c>
      <c r="K234" s="31">
        <v>0</v>
      </c>
      <c r="L234" s="2">
        <f>B234</f>
        <v>-1.0000000001637093</v>
      </c>
      <c r="M234" s="54">
        <f>C234</f>
        <v>-1.8903505852955129E-10</v>
      </c>
      <c r="O234" s="31">
        <v>-1.4016092731673927E-5</v>
      </c>
      <c r="P234" s="2">
        <v>-0.99999999990177457</v>
      </c>
      <c r="Q234" s="54">
        <v>-1.5122803880411961E-10</v>
      </c>
      <c r="S234" s="31">
        <v>7.72539473030805E-22</v>
      </c>
      <c r="T234" s="2">
        <v>1</v>
      </c>
      <c r="U234" s="54">
        <v>3.2311742677852644E-26</v>
      </c>
    </row>
    <row r="235" spans="1:25" s="11" customFormat="1" x14ac:dyDescent="0.35">
      <c r="A235" s="55">
        <v>-1.9553553763250689E-32</v>
      </c>
      <c r="B235" s="56">
        <v>0</v>
      </c>
      <c r="C235" s="57">
        <v>1.000000000054569</v>
      </c>
      <c r="K235" s="55">
        <v>0</v>
      </c>
      <c r="L235" s="56">
        <v>0</v>
      </c>
      <c r="M235" s="57">
        <f>C235</f>
        <v>1.000000000054569</v>
      </c>
      <c r="O235" s="55">
        <v>-8.0921949135027622E-6</v>
      </c>
      <c r="P235" s="56">
        <v>-3.780708449244694E-11</v>
      </c>
      <c r="Q235" s="57">
        <v>0.99999999996725819</v>
      </c>
      <c r="S235" s="55">
        <v>0</v>
      </c>
      <c r="T235" s="56">
        <v>3.2311742677852644E-26</v>
      </c>
      <c r="U235" s="57">
        <v>1</v>
      </c>
    </row>
    <row r="237" spans="1:25" x14ac:dyDescent="0.35">
      <c r="S237" t="s">
        <v>74</v>
      </c>
      <c r="U237">
        <f>MDETERM(O233:Q235)</f>
        <v>1</v>
      </c>
    </row>
    <row r="239" spans="1:25" ht="16.5" x14ac:dyDescent="0.45">
      <c r="A239" t="s">
        <v>75</v>
      </c>
      <c r="K239" t="s">
        <v>80</v>
      </c>
      <c r="O239" t="s">
        <v>54</v>
      </c>
      <c r="W239" t="s">
        <v>79</v>
      </c>
    </row>
    <row r="240" spans="1:25" x14ac:dyDescent="0.35">
      <c r="A240" s="66">
        <f t="array" ref="A240:C242">MMULT(K233:M235,O233:Q235)</f>
        <v>3.9999999999126956</v>
      </c>
      <c r="B240" s="67">
        <v>1.4016092735243481E-5</v>
      </c>
      <c r="C240" s="68">
        <v>-8.0921949140329354E-6</v>
      </c>
      <c r="K240" s="75">
        <f t="array" ref="K240:M242">MMULT(K214:M216,O233:Q235)</f>
        <v>-0.57735467401421148</v>
      </c>
      <c r="L240" s="76">
        <v>0.70710408377538125</v>
      </c>
      <c r="M240" s="77">
        <v>-0.40824673311873982</v>
      </c>
      <c r="O240" s="62">
        <v>1</v>
      </c>
      <c r="P240" s="63">
        <v>0</v>
      </c>
      <c r="Q240" s="64">
        <v>0</v>
      </c>
      <c r="W240" s="46" t="e">
        <f t="array" aca="1" ref="W240:Y243" ca="1">eVECTORS(A6:C8)</f>
        <v>#NAME?</v>
      </c>
      <c r="X240" s="47" t="e">
        <f ca="1"/>
        <v>#NAME?</v>
      </c>
      <c r="Y240" s="48" t="e">
        <f ca="1"/>
        <v>#NAME?</v>
      </c>
    </row>
    <row r="241" spans="1:25" x14ac:dyDescent="0.35">
      <c r="A241" s="69">
        <v>1.4016092735498201E-5</v>
      </c>
      <c r="B241" s="1">
        <v>1.0000000000654838</v>
      </c>
      <c r="C241" s="70">
        <v>-3.7807019694484882E-11</v>
      </c>
      <c r="K241" s="31">
        <v>-0.57734806676473149</v>
      </c>
      <c r="L241" s="2">
        <v>-0.70710947858227968</v>
      </c>
      <c r="M241" s="54">
        <v>-0.40824673311874093</v>
      </c>
      <c r="O241" s="30">
        <v>0</v>
      </c>
      <c r="P241" s="5">
        <v>1</v>
      </c>
      <c r="Q241" s="26">
        <v>0</v>
      </c>
      <c r="W241" s="30" t="e">
        <f ca="1"/>
        <v>#NAME?</v>
      </c>
      <c r="X241" s="5" t="e">
        <f ca="1"/>
        <v>#NAME?</v>
      </c>
      <c r="Y241" s="26" t="e">
        <f ca="1"/>
        <v>#NAME?</v>
      </c>
    </row>
    <row r="242" spans="1:25" x14ac:dyDescent="0.35">
      <c r="A242" s="71">
        <v>-8.0921949139443459E-6</v>
      </c>
      <c r="B242" s="72">
        <v>-3.7807084494510038E-11</v>
      </c>
      <c r="C242" s="73">
        <v>1.0000000000218272</v>
      </c>
      <c r="K242" s="55">
        <v>-0.57734806676473116</v>
      </c>
      <c r="L242" s="56">
        <v>-2.6973880155825186E-6</v>
      </c>
      <c r="M242" s="57">
        <v>0.8164981382683929</v>
      </c>
      <c r="O242" s="27">
        <v>0</v>
      </c>
      <c r="P242" s="28">
        <v>0</v>
      </c>
      <c r="Q242" s="29">
        <v>1</v>
      </c>
      <c r="W242" s="30" t="e">
        <f ca="1"/>
        <v>#NAME?</v>
      </c>
      <c r="X242" s="5" t="e">
        <f ca="1"/>
        <v>#NAME?</v>
      </c>
      <c r="Y242" s="26" t="e">
        <f ca="1"/>
        <v>#NAME?</v>
      </c>
    </row>
    <row r="243" spans="1:25" x14ac:dyDescent="0.35">
      <c r="W243" s="27" t="e">
        <f ca="1"/>
        <v>#NAME?</v>
      </c>
      <c r="X243" s="28" t="e">
        <f ca="1"/>
        <v>#NAME?</v>
      </c>
      <c r="Y243" s="29" t="e">
        <f ca="1"/>
        <v>#NAME?</v>
      </c>
    </row>
    <row r="244" spans="1:25" x14ac:dyDescent="0.35">
      <c r="A244" t="s">
        <v>76</v>
      </c>
    </row>
    <row r="245" spans="1:25" ht="16.5" x14ac:dyDescent="0.35">
      <c r="W245" t="s">
        <v>36</v>
      </c>
    </row>
    <row r="246" spans="1:25" x14ac:dyDescent="0.35">
      <c r="A246" t="s">
        <v>77</v>
      </c>
      <c r="W246" s="62">
        <f t="array" ref="W246:Y248">MMULT(TRANSPOSE(K240:M242),K240:M242)</f>
        <v>1.0000000000000018</v>
      </c>
      <c r="X246" s="63">
        <v>-3.3009445701739481E-16</v>
      </c>
      <c r="Y246" s="64">
        <v>3.3306690738754696E-16</v>
      </c>
    </row>
    <row r="247" spans="1:25" x14ac:dyDescent="0.35">
      <c r="W247" s="30">
        <v>-3.3009445701739481E-16</v>
      </c>
      <c r="X247" s="5">
        <v>1.0000000000000009</v>
      </c>
      <c r="Y247" s="26">
        <v>-3.7388457808278444E-17</v>
      </c>
    </row>
    <row r="248" spans="1:25" x14ac:dyDescent="0.35">
      <c r="W248" s="27">
        <v>3.3306690738754696E-16</v>
      </c>
      <c r="X248" s="28">
        <v>-3.7388457808278444E-17</v>
      </c>
      <c r="Y248" s="29">
        <v>0.99999999999999967</v>
      </c>
    </row>
    <row r="250" spans="1:25" x14ac:dyDescent="0.35">
      <c r="W250" t="s">
        <v>61</v>
      </c>
    </row>
    <row r="251" spans="1:25" x14ac:dyDescent="0.35">
      <c r="W251" s="62">
        <f t="array" ref="W251:Y253">MMULT(A6:C8,K240:M242)</f>
        <v>-2.3094054815578855</v>
      </c>
      <c r="X251" s="63">
        <v>0.70709599158046721</v>
      </c>
      <c r="Y251" s="64">
        <v>-0.40824206108782768</v>
      </c>
    </row>
    <row r="252" spans="1:25" x14ac:dyDescent="0.35">
      <c r="W252" s="30">
        <v>-2.3093988743084055</v>
      </c>
      <c r="X252" s="5">
        <v>-0.70711757077719373</v>
      </c>
      <c r="Y252" s="26">
        <v>-0.40824206108782879</v>
      </c>
    </row>
    <row r="253" spans="1:25" x14ac:dyDescent="0.35">
      <c r="W253" s="27">
        <v>-2.3093988743084051</v>
      </c>
      <c r="X253" s="28">
        <v>-1.0789582929593899E-5</v>
      </c>
      <c r="Y253" s="29">
        <v>0.81650281029930505</v>
      </c>
    </row>
    <row r="255" spans="1:25" x14ac:dyDescent="0.35">
      <c r="W255" t="s">
        <v>62</v>
      </c>
    </row>
    <row r="256" spans="1:25" x14ac:dyDescent="0.35">
      <c r="W256" s="62" t="e">
        <f t="array" ref="W256:W258" ca="1">W240*K240:K242</f>
        <v>#NAME?</v>
      </c>
      <c r="X256" s="63" t="e">
        <f t="array" ref="X256:X258" ca="1">X240*L240:L242</f>
        <v>#NAME?</v>
      </c>
      <c r="Y256" s="64" t="e">
        <f t="array" ref="Y256:Y258" ca="1">Y240*M240:M242</f>
        <v>#NAME?</v>
      </c>
    </row>
    <row r="257" spans="23:25" x14ac:dyDescent="0.35">
      <c r="W257" s="30" t="e">
        <f ca="1"/>
        <v>#NAME?</v>
      </c>
      <c r="X257" s="5" t="e">
        <f ca="1"/>
        <v>#NAME?</v>
      </c>
      <c r="Y257" s="26" t="e">
        <f ca="1"/>
        <v>#NAME?</v>
      </c>
    </row>
    <row r="258" spans="23:25" x14ac:dyDescent="0.35">
      <c r="W258" s="27" t="e">
        <f ca="1"/>
        <v>#NAME?</v>
      </c>
      <c r="X258" s="28" t="e">
        <f ca="1"/>
        <v>#NAME?</v>
      </c>
      <c r="Y258" s="29" t="e">
        <f ca="1"/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44"/>
  <dimension ref="A1:AG21"/>
  <sheetViews>
    <sheetView workbookViewId="0"/>
  </sheetViews>
  <sheetFormatPr defaultRowHeight="14.5" x14ac:dyDescent="0.35"/>
  <cols>
    <col min="1" max="3" width="6" customWidth="1"/>
    <col min="4" max="4" width="4.26953125" customWidth="1"/>
    <col min="5" max="7" width="9.1796875" customWidth="1"/>
    <col min="8" max="8" width="5" customWidth="1"/>
    <col min="9" max="10" width="9.1796875" customWidth="1"/>
    <col min="11" max="11" width="9.26953125" bestFit="1" customWidth="1"/>
    <col min="13" max="15" width="5.26953125" customWidth="1"/>
    <col min="16" max="16" width="6.81640625" customWidth="1"/>
    <col min="17" max="17" width="4.54296875" customWidth="1"/>
    <col min="19" max="19" width="4.26953125" customWidth="1"/>
    <col min="21" max="21" width="5" customWidth="1"/>
    <col min="23" max="26" width="5.7265625" customWidth="1"/>
    <col min="27" max="29" width="8.7265625" customWidth="1"/>
    <col min="30" max="30" width="4.81640625" customWidth="1"/>
    <col min="31" max="33" width="8.7265625" customWidth="1"/>
  </cols>
  <sheetData>
    <row r="1" spans="1:31" x14ac:dyDescent="0.35">
      <c r="A1" s="10" t="s">
        <v>100</v>
      </c>
      <c r="M1" t="s">
        <v>85</v>
      </c>
    </row>
    <row r="3" spans="1:31" ht="16.5" x14ac:dyDescent="0.35">
      <c r="A3" t="s">
        <v>16</v>
      </c>
      <c r="E3" t="s">
        <v>34</v>
      </c>
      <c r="I3" t="s">
        <v>33</v>
      </c>
      <c r="M3" t="s">
        <v>16</v>
      </c>
      <c r="P3" s="3" t="s">
        <v>18</v>
      </c>
      <c r="Q3" s="3"/>
      <c r="R3" s="3" t="s">
        <v>86</v>
      </c>
      <c r="S3" s="3"/>
      <c r="T3" s="3" t="s">
        <v>12</v>
      </c>
      <c r="V3" t="s">
        <v>61</v>
      </c>
    </row>
    <row r="4" spans="1:31" x14ac:dyDescent="0.35">
      <c r="A4" s="62">
        <v>4</v>
      </c>
      <c r="B4" s="63">
        <v>9</v>
      </c>
      <c r="C4" s="64">
        <v>6</v>
      </c>
      <c r="E4" s="62" t="e">
        <f t="array" aca="1" ref="E4:G10" ca="1">QRFactor(A4:C7)</f>
        <v>#NAME?</v>
      </c>
      <c r="F4" s="63" t="e">
        <f ca="1"/>
        <v>#NAME?</v>
      </c>
      <c r="G4" s="64" t="e">
        <f ca="1"/>
        <v>#NAME?</v>
      </c>
      <c r="I4" s="62" t="e">
        <f t="array" aca="1" ref="I4:K6" ca="1">QRFactorR(A4:C7)</f>
        <v>#NAME?</v>
      </c>
      <c r="J4" s="63" t="e">
        <f ca="1"/>
        <v>#NAME?</v>
      </c>
      <c r="K4" s="64" t="e">
        <f ca="1"/>
        <v>#NAME?</v>
      </c>
      <c r="M4" s="62">
        <v>4</v>
      </c>
      <c r="N4" s="63">
        <v>9</v>
      </c>
      <c r="O4" s="64">
        <v>6</v>
      </c>
      <c r="P4" s="78">
        <v>4.95</v>
      </c>
      <c r="R4" s="65" t="e">
        <f t="array" aca="1" ref="R4:R6" ca="1">MMULT(TRANSPOSE(E4:G7),P4:P7)</f>
        <v>#NAME?</v>
      </c>
      <c r="T4" s="65" t="e">
        <f ca="1">(R4-J4*T5-K4*T6)/I4</f>
        <v>#NAME?</v>
      </c>
      <c r="V4" s="65" t="e">
        <f t="array" aca="1" ref="V4:V7" ca="1">MMULT(M4:O7,T4:T6)</f>
        <v>#NAME?</v>
      </c>
    </row>
    <row r="5" spans="1:31" x14ac:dyDescent="0.35">
      <c r="A5" s="30">
        <v>5</v>
      </c>
      <c r="B5" s="5">
        <v>7</v>
      </c>
      <c r="C5" s="26">
        <v>2</v>
      </c>
      <c r="E5" s="30" t="e">
        <f ca="1"/>
        <v>#NAME?</v>
      </c>
      <c r="F5" s="5" t="e">
        <f ca="1"/>
        <v>#NAME?</v>
      </c>
      <c r="G5" s="26" t="e">
        <f ca="1"/>
        <v>#NAME?</v>
      </c>
      <c r="I5" s="30" t="e">
        <f ca="1"/>
        <v>#NAME?</v>
      </c>
      <c r="J5" s="5" t="e">
        <f ca="1"/>
        <v>#NAME?</v>
      </c>
      <c r="K5" s="26" t="e">
        <f ca="1"/>
        <v>#NAME?</v>
      </c>
      <c r="M5" s="30">
        <v>5</v>
      </c>
      <c r="N5" s="5">
        <v>7</v>
      </c>
      <c r="O5" s="26">
        <v>2</v>
      </c>
      <c r="P5" s="79">
        <v>1.0760000000000001</v>
      </c>
      <c r="R5" s="13" t="e">
        <f ca="1"/>
        <v>#NAME?</v>
      </c>
      <c r="T5" s="13" t="e">
        <f ca="1">(R5-K5*T6)/J5</f>
        <v>#NAME?</v>
      </c>
      <c r="V5" s="13" t="e">
        <f ca="1"/>
        <v>#NAME?</v>
      </c>
    </row>
    <row r="6" spans="1:31" x14ac:dyDescent="0.35">
      <c r="A6" s="30">
        <v>7</v>
      </c>
      <c r="B6" s="5">
        <v>3</v>
      </c>
      <c r="C6" s="26">
        <v>5</v>
      </c>
      <c r="E6" s="30" t="e">
        <f ca="1"/>
        <v>#NAME?</v>
      </c>
      <c r="F6" s="5" t="e">
        <f ca="1"/>
        <v>#NAME?</v>
      </c>
      <c r="G6" s="26" t="e">
        <f ca="1"/>
        <v>#NAME?</v>
      </c>
      <c r="I6" s="27" t="e">
        <f ca="1"/>
        <v>#NAME?</v>
      </c>
      <c r="J6" s="28" t="e">
        <f ca="1"/>
        <v>#NAME?</v>
      </c>
      <c r="K6" s="29" t="e">
        <f ca="1"/>
        <v>#NAME?</v>
      </c>
      <c r="M6" s="30">
        <v>7</v>
      </c>
      <c r="N6" s="5">
        <v>3</v>
      </c>
      <c r="O6" s="26">
        <v>5</v>
      </c>
      <c r="P6" s="80">
        <v>2.048</v>
      </c>
      <c r="R6" s="53" t="e">
        <f ca="1"/>
        <v>#NAME?</v>
      </c>
      <c r="T6" s="53" t="e">
        <f ca="1">R6/K6</f>
        <v>#NAME?</v>
      </c>
      <c r="V6" s="13" t="e">
        <f ca="1"/>
        <v>#NAME?</v>
      </c>
    </row>
    <row r="7" spans="1:31" x14ac:dyDescent="0.35">
      <c r="A7" s="27">
        <v>0</v>
      </c>
      <c r="B7" s="28">
        <v>4</v>
      </c>
      <c r="C7" s="29">
        <v>1</v>
      </c>
      <c r="E7" s="27" t="e">
        <f ca="1"/>
        <v>#NAME?</v>
      </c>
      <c r="F7" s="28" t="e">
        <f ca="1"/>
        <v>#NAME?</v>
      </c>
      <c r="G7" s="29" t="e">
        <f ca="1"/>
        <v>#NAME?</v>
      </c>
      <c r="M7" s="27">
        <v>0</v>
      </c>
      <c r="N7" s="28">
        <v>4</v>
      </c>
      <c r="O7" s="29">
        <v>1</v>
      </c>
      <c r="P7" s="81">
        <v>1.5</v>
      </c>
      <c r="V7" s="53" t="e">
        <f ca="1"/>
        <v>#NAME?</v>
      </c>
    </row>
    <row r="8" spans="1:31" x14ac:dyDescent="0.35">
      <c r="E8" s="30" t="e">
        <f ca="1"/>
        <v>#NAME?</v>
      </c>
      <c r="F8" s="5" t="e">
        <f ca="1"/>
        <v>#NAME?</v>
      </c>
      <c r="G8" s="26" t="e">
        <f ca="1"/>
        <v>#NAME?</v>
      </c>
    </row>
    <row r="9" spans="1:31" x14ac:dyDescent="0.35">
      <c r="E9" s="30" t="e">
        <f ca="1"/>
        <v>#NAME?</v>
      </c>
      <c r="F9" s="5" t="e">
        <f ca="1"/>
        <v>#NAME?</v>
      </c>
      <c r="G9" s="26" t="e">
        <f ca="1"/>
        <v>#NAME?</v>
      </c>
      <c r="M9" t="s">
        <v>41</v>
      </c>
    </row>
    <row r="10" spans="1:31" x14ac:dyDescent="0.35">
      <c r="E10" s="27" t="e">
        <f ca="1"/>
        <v>#NAME?</v>
      </c>
      <c r="F10" s="28" t="e">
        <f ca="1"/>
        <v>#NAME?</v>
      </c>
      <c r="G10" s="29" t="e">
        <f ca="1"/>
        <v>#NAME?</v>
      </c>
      <c r="M10" s="62" t="e">
        <f t="array" aca="1" ref="M10:P13" ca="1">ELIM(M4:P7,0.0001)</f>
        <v>#NAME?</v>
      </c>
      <c r="N10" s="63" t="e">
        <f ca="1"/>
        <v>#NAME?</v>
      </c>
      <c r="O10" s="63" t="e">
        <f ca="1"/>
        <v>#NAME?</v>
      </c>
      <c r="P10" s="65" t="e">
        <f ca="1"/>
        <v>#NAME?</v>
      </c>
    </row>
    <row r="11" spans="1:31" x14ac:dyDescent="0.35">
      <c r="M11" s="4" t="e">
        <f ca="1"/>
        <v>#NAME?</v>
      </c>
      <c r="N11" s="5" t="e">
        <f ca="1"/>
        <v>#NAME?</v>
      </c>
      <c r="O11" s="5" t="e">
        <f ca="1"/>
        <v>#NAME?</v>
      </c>
      <c r="P11" s="13" t="e">
        <f ca="1"/>
        <v>#NAME?</v>
      </c>
    </row>
    <row r="12" spans="1:31" x14ac:dyDescent="0.35">
      <c r="M12" s="4" t="e">
        <f ca="1"/>
        <v>#NAME?</v>
      </c>
      <c r="N12" s="5" t="e">
        <f ca="1"/>
        <v>#NAME?</v>
      </c>
      <c r="O12" s="5" t="e">
        <f ca="1"/>
        <v>#NAME?</v>
      </c>
      <c r="P12" s="13" t="e">
        <f ca="1"/>
        <v>#NAME?</v>
      </c>
    </row>
    <row r="13" spans="1:31" x14ac:dyDescent="0.35">
      <c r="M13" s="27" t="e">
        <f ca="1"/>
        <v>#NAME?</v>
      </c>
      <c r="N13" s="28" t="e">
        <f ca="1"/>
        <v>#NAME?</v>
      </c>
      <c r="O13" s="28" t="e">
        <f ca="1"/>
        <v>#NAME?</v>
      </c>
      <c r="P13" s="53" t="e">
        <f ca="1"/>
        <v>#NAME?</v>
      </c>
    </row>
    <row r="15" spans="1:31" x14ac:dyDescent="0.35">
      <c r="M15" t="s">
        <v>98</v>
      </c>
      <c r="W15" t="s">
        <v>99</v>
      </c>
      <c r="AA15" t="s">
        <v>101</v>
      </c>
      <c r="AE15" t="s">
        <v>102</v>
      </c>
    </row>
    <row r="17" spans="13:33" ht="16.5" x14ac:dyDescent="0.35">
      <c r="M17" t="s">
        <v>16</v>
      </c>
      <c r="P17" s="3" t="s">
        <v>18</v>
      </c>
      <c r="T17" s="3" t="s">
        <v>12</v>
      </c>
      <c r="W17" t="s">
        <v>16</v>
      </c>
      <c r="AA17" t="s">
        <v>103</v>
      </c>
      <c r="AE17" t="s">
        <v>103</v>
      </c>
    </row>
    <row r="18" spans="13:33" x14ac:dyDescent="0.35">
      <c r="M18" s="62">
        <v>4</v>
      </c>
      <c r="N18" s="63">
        <v>9</v>
      </c>
      <c r="O18" s="64">
        <v>6</v>
      </c>
      <c r="P18" s="78">
        <v>4.95</v>
      </c>
      <c r="T18" s="65" t="e">
        <f t="array" aca="1" ref="T18:T20" ca="1">QRSolve(M18:O21,P18:P21)</f>
        <v>#NAME?</v>
      </c>
      <c r="W18" s="62">
        <v>4</v>
      </c>
      <c r="X18" s="63">
        <v>9</v>
      </c>
      <c r="Y18" s="64">
        <v>6</v>
      </c>
      <c r="AA18" s="62" t="e">
        <f t="array" aca="1" ref="AA18:AC20" ca="1">QRINVERSE(W18:Y20)</f>
        <v>#NAME?</v>
      </c>
      <c r="AB18" s="63" t="e">
        <f ca="1"/>
        <v>#NAME?</v>
      </c>
      <c r="AC18" s="64" t="e">
        <f ca="1"/>
        <v>#NAME?</v>
      </c>
      <c r="AE18" s="62">
        <f t="array" ref="AE18:AG20">MINVERSE(W18:Y20)</f>
        <v>-0.1550802139037433</v>
      </c>
      <c r="AF18" s="63">
        <v>0.14438502673796785</v>
      </c>
      <c r="AG18" s="64">
        <v>0.12834224598930485</v>
      </c>
    </row>
    <row r="19" spans="13:33" x14ac:dyDescent="0.35">
      <c r="M19" s="30">
        <v>5</v>
      </c>
      <c r="N19" s="5">
        <v>7</v>
      </c>
      <c r="O19" s="26">
        <v>2</v>
      </c>
      <c r="P19" s="79">
        <v>1.0760000000000001</v>
      </c>
      <c r="T19" s="52" t="e">
        <f ca="1"/>
        <v>#NAME?</v>
      </c>
      <c r="W19" s="30">
        <v>5</v>
      </c>
      <c r="X19" s="5">
        <v>7</v>
      </c>
      <c r="Y19" s="26">
        <v>2</v>
      </c>
      <c r="AA19" s="30" t="e">
        <f ca="1"/>
        <v>#NAME?</v>
      </c>
      <c r="AB19" s="5" t="e">
        <f ca="1"/>
        <v>#NAME?</v>
      </c>
      <c r="AC19" s="26" t="e">
        <f ca="1"/>
        <v>#NAME?</v>
      </c>
      <c r="AE19" s="30">
        <v>5.8823529411764712E-2</v>
      </c>
      <c r="AF19" s="5">
        <v>0.1176470588235294</v>
      </c>
      <c r="AG19" s="26">
        <v>-0.1176470588235294</v>
      </c>
    </row>
    <row r="20" spans="13:33" x14ac:dyDescent="0.35">
      <c r="M20" s="30">
        <v>7</v>
      </c>
      <c r="N20" s="5">
        <v>3</v>
      </c>
      <c r="O20" s="26">
        <v>5</v>
      </c>
      <c r="P20" s="80">
        <v>2.048</v>
      </c>
      <c r="T20" s="53" t="e">
        <f ca="1"/>
        <v>#NAME?</v>
      </c>
      <c r="W20" s="27">
        <v>7</v>
      </c>
      <c r="X20" s="28">
        <v>3</v>
      </c>
      <c r="Y20" s="29">
        <v>5</v>
      </c>
      <c r="AA20" s="27" t="e">
        <f ca="1"/>
        <v>#NAME?</v>
      </c>
      <c r="AB20" s="28" t="e">
        <f ca="1"/>
        <v>#NAME?</v>
      </c>
      <c r="AC20" s="29" t="e">
        <f ca="1"/>
        <v>#NAME?</v>
      </c>
      <c r="AE20" s="27">
        <v>0.1818181818181818</v>
      </c>
      <c r="AF20" s="28">
        <v>-0.27272727272727265</v>
      </c>
      <c r="AG20" s="29">
        <v>9.0909090909090884E-2</v>
      </c>
    </row>
    <row r="21" spans="13:33" x14ac:dyDescent="0.35">
      <c r="M21" s="27">
        <v>0</v>
      </c>
      <c r="N21" s="28">
        <v>4</v>
      </c>
      <c r="O21" s="29">
        <v>1</v>
      </c>
      <c r="P21" s="81">
        <v>1.5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F311-2B6A-4CF5-8072-F9E9275E4EFB}">
  <sheetPr codeName="Sheet58"/>
  <dimension ref="A1:AB30"/>
  <sheetViews>
    <sheetView workbookViewId="0"/>
  </sheetViews>
  <sheetFormatPr defaultRowHeight="14.5" x14ac:dyDescent="0.35"/>
  <cols>
    <col min="1" max="2" width="5.1796875" customWidth="1"/>
    <col min="3" max="3" width="5.1796875" style="98" customWidth="1"/>
    <col min="4" max="5" width="5.1796875" customWidth="1"/>
    <col min="6" max="6" width="5.453125" customWidth="1"/>
    <col min="7" max="7" width="5.1796875" style="3" customWidth="1"/>
    <col min="12" max="12" width="10.90625" customWidth="1"/>
    <col min="13" max="13" width="5.1796875" style="3" customWidth="1"/>
    <col min="16" max="16" width="8.7265625" customWidth="1"/>
    <col min="19" max="23" width="0" hidden="1" customWidth="1"/>
    <col min="24" max="24" width="5.1796875" customWidth="1"/>
  </cols>
  <sheetData>
    <row r="1" spans="1:28" x14ac:dyDescent="0.35">
      <c r="A1" s="10" t="s">
        <v>169</v>
      </c>
    </row>
    <row r="2" spans="1:28" x14ac:dyDescent="0.35">
      <c r="H2" t="e" cm="1">
        <f t="array" aca="1" ref="H2" ca="1">FTEXT(H3)</f>
        <v>#NAME?</v>
      </c>
      <c r="N2" t="e" cm="1">
        <f t="array" aca="1" ref="N2" ca="1">FTEXT(N3)</f>
        <v>#NAME?</v>
      </c>
      <c r="S2" t="e" cm="1">
        <f t="array" aca="1" ref="S2" ca="1">FTEXT(S3)</f>
        <v>#NAME?</v>
      </c>
      <c r="Y2" t="e" cm="1">
        <f t="array" aca="1" ref="Y2" ca="1">FTEXT(Y3)</f>
        <v>#NAME?</v>
      </c>
    </row>
    <row r="3" spans="1:28" x14ac:dyDescent="0.35">
      <c r="A3" s="3" t="s">
        <v>16</v>
      </c>
      <c r="B3" s="99">
        <v>1</v>
      </c>
      <c r="C3" s="99">
        <v>2</v>
      </c>
      <c r="D3" s="99">
        <v>3</v>
      </c>
      <c r="E3" s="99">
        <v>4</v>
      </c>
      <c r="G3" s="3" t="s">
        <v>6</v>
      </c>
      <c r="H3" s="32" t="e" cm="1">
        <f t="array" aca="1" ref="H3" ca="1">HESS(B3:E6)</f>
        <v>#NAME?</v>
      </c>
      <c r="I3" s="33"/>
      <c r="J3" s="33"/>
      <c r="K3" s="34"/>
      <c r="N3" s="15" t="e" cm="1">
        <f t="array" aca="1" ref="N3" ca="1">eigVECTSym(B3:E6)</f>
        <v>#NAME?</v>
      </c>
      <c r="O3" s="37"/>
      <c r="P3" s="37"/>
      <c r="Q3" s="38"/>
      <c r="S3" s="32" t="e" cm="1">
        <f t="array" ref="S3">MMULT(MINVERSE(N4:Q7),N4:Q7)</f>
        <v>#VALUE!</v>
      </c>
      <c r="T3" s="33"/>
      <c r="U3" s="33"/>
      <c r="V3" s="34"/>
      <c r="X3" s="3" t="s">
        <v>172</v>
      </c>
      <c r="Y3" s="32" t="e" cm="1">
        <f t="array" ref="Y3">MMULT(H7:K10,N13:Q16)</f>
        <v>#VALUE!</v>
      </c>
      <c r="Z3" s="33"/>
      <c r="AA3" s="33"/>
      <c r="AB3" s="34"/>
    </row>
    <row r="4" spans="1:28" x14ac:dyDescent="0.35">
      <c r="B4" s="99">
        <v>5</v>
      </c>
      <c r="C4" s="99">
        <v>6</v>
      </c>
      <c r="D4" s="99">
        <v>7</v>
      </c>
      <c r="E4" s="99">
        <v>8</v>
      </c>
      <c r="H4" s="30"/>
      <c r="K4" s="26"/>
      <c r="M4" s="3" t="s">
        <v>7</v>
      </c>
      <c r="N4" s="30"/>
      <c r="Q4" s="26"/>
      <c r="S4" s="30"/>
      <c r="V4" s="26"/>
      <c r="Y4" s="30"/>
      <c r="AB4" s="26"/>
    </row>
    <row r="5" spans="1:28" x14ac:dyDescent="0.35">
      <c r="B5" s="99">
        <v>9</v>
      </c>
      <c r="C5" s="99">
        <v>8</v>
      </c>
      <c r="D5" s="99">
        <v>7</v>
      </c>
      <c r="E5" s="99">
        <v>6</v>
      </c>
      <c r="H5" s="30"/>
      <c r="K5" s="26"/>
      <c r="N5" s="30"/>
      <c r="Q5" s="26"/>
      <c r="S5" s="30"/>
      <c r="V5" s="26"/>
      <c r="Y5" s="30"/>
      <c r="AB5" s="26"/>
    </row>
    <row r="6" spans="1:28" x14ac:dyDescent="0.35">
      <c r="B6" s="99">
        <v>5</v>
      </c>
      <c r="C6" s="99">
        <v>4</v>
      </c>
      <c r="D6" s="99">
        <v>3</v>
      </c>
      <c r="E6" s="99">
        <v>2</v>
      </c>
      <c r="H6" s="27"/>
      <c r="I6" s="28"/>
      <c r="J6" s="28"/>
      <c r="K6" s="29"/>
      <c r="N6" s="30"/>
      <c r="Q6" s="26"/>
      <c r="S6" s="27"/>
      <c r="T6" s="28"/>
      <c r="U6" s="28"/>
      <c r="V6" s="29"/>
      <c r="Y6" s="27"/>
      <c r="Z6" s="28"/>
      <c r="AA6" s="28"/>
      <c r="AB6" s="29"/>
    </row>
    <row r="7" spans="1:28" x14ac:dyDescent="0.35">
      <c r="G7" s="3" t="s">
        <v>35</v>
      </c>
      <c r="H7" s="30"/>
      <c r="K7" s="26"/>
      <c r="N7" s="27"/>
      <c r="O7" s="28"/>
      <c r="P7" s="28"/>
      <c r="Q7" s="29"/>
    </row>
    <row r="8" spans="1:28" x14ac:dyDescent="0.35">
      <c r="H8" s="30"/>
      <c r="K8" s="26"/>
    </row>
    <row r="9" spans="1:28" x14ac:dyDescent="0.35">
      <c r="H9" s="30"/>
      <c r="K9" s="26"/>
    </row>
    <row r="10" spans="1:28" x14ac:dyDescent="0.35">
      <c r="H10" s="27"/>
      <c r="I10" s="28"/>
      <c r="J10" s="28"/>
      <c r="K10" s="29"/>
    </row>
    <row r="11" spans="1:28" x14ac:dyDescent="0.35">
      <c r="N11" t="e" cm="1">
        <f t="array" aca="1" ref="N11" ca="1">FTEXT(N12)</f>
        <v>#NAME?</v>
      </c>
      <c r="S11" t="e" cm="1">
        <f t="array" aca="1" ref="S11" ca="1">FTEXT(S12)</f>
        <v>#NAME?</v>
      </c>
    </row>
    <row r="12" spans="1:28" x14ac:dyDescent="0.35">
      <c r="H12" t="e" cm="1">
        <f t="array" aca="1" ref="H12" ca="1">FTEXT(H13)</f>
        <v>#NAME?</v>
      </c>
      <c r="M12" s="3" t="s">
        <v>8</v>
      </c>
      <c r="N12" s="15" t="e" cm="1">
        <f t="array" aca="1" ref="N12" ca="1">eigVECTSym(H3:K6)</f>
        <v>#NAME?</v>
      </c>
      <c r="O12" s="37"/>
      <c r="P12" s="37"/>
      <c r="Q12" s="38"/>
      <c r="S12" s="32" t="e" cm="1">
        <f t="array" ref="S12">MMULT(MINVERSE(N13:Q16),N13:Q16)</f>
        <v>#VALUE!</v>
      </c>
      <c r="T12" s="33"/>
      <c r="U12" s="33"/>
      <c r="V12" s="34"/>
    </row>
    <row r="13" spans="1:28" x14ac:dyDescent="0.35">
      <c r="G13" s="3" t="s">
        <v>173</v>
      </c>
      <c r="H13" s="32" t="e" cm="1">
        <f t="array" aca="1" ref="H13" ca="1">MMULT(H7:K10,MMULT(H3:K6,TRANSPOSE(H7:K10)))</f>
        <v>#NAME?</v>
      </c>
      <c r="I13" s="33"/>
      <c r="J13" s="33"/>
      <c r="K13" s="34"/>
      <c r="N13" s="30"/>
      <c r="Q13" s="26"/>
      <c r="S13" s="30"/>
      <c r="V13" s="26"/>
    </row>
    <row r="14" spans="1:28" x14ac:dyDescent="0.35">
      <c r="H14" s="30"/>
      <c r="K14" s="26"/>
      <c r="N14" s="30"/>
      <c r="Q14" s="26"/>
      <c r="S14" s="30"/>
      <c r="V14" s="26"/>
    </row>
    <row r="15" spans="1:28" x14ac:dyDescent="0.35">
      <c r="H15" s="30"/>
      <c r="K15" s="26"/>
      <c r="N15" s="30"/>
      <c r="Q15" s="26"/>
      <c r="S15" s="27"/>
      <c r="T15" s="28"/>
      <c r="U15" s="28"/>
      <c r="V15" s="29"/>
    </row>
    <row r="16" spans="1:28" x14ac:dyDescent="0.35">
      <c r="H16" s="27"/>
      <c r="I16" s="28"/>
      <c r="J16" s="28"/>
      <c r="K16" s="29"/>
      <c r="N16" s="27"/>
      <c r="O16" s="28"/>
      <c r="P16" s="28"/>
      <c r="Q16" s="29"/>
    </row>
    <row r="18" spans="7:22" x14ac:dyDescent="0.35">
      <c r="H18" t="e" cm="1">
        <f t="array" aca="1" ref="H18" ca="1">FTEXT(H19)</f>
        <v>#NAME?</v>
      </c>
    </row>
    <row r="19" spans="7:22" ht="15" customHeight="1" x14ac:dyDescent="0.35">
      <c r="G19" s="3" t="s">
        <v>174</v>
      </c>
      <c r="H19" s="32" t="e" cm="1">
        <f t="array" ref="H19">MINVERSE(H7:K10)</f>
        <v>#VALUE!</v>
      </c>
      <c r="I19" s="33"/>
      <c r="J19" s="33"/>
      <c r="K19" s="34"/>
    </row>
    <row r="20" spans="7:22" x14ac:dyDescent="0.35">
      <c r="H20" s="30"/>
      <c r="K20" s="26"/>
      <c r="N20" t="e" cm="1">
        <f t="array" aca="1" ref="N20" ca="1">FTEXT(N21)</f>
        <v>#NAME?</v>
      </c>
      <c r="S20" t="e" cm="1">
        <f t="array" aca="1" ref="S20" ca="1">FTEXT(S21)</f>
        <v>#NAME?</v>
      </c>
    </row>
    <row r="21" spans="7:22" x14ac:dyDescent="0.35">
      <c r="H21" s="30"/>
      <c r="K21" s="26"/>
      <c r="M21" s="3" t="s">
        <v>172</v>
      </c>
      <c r="N21" s="32" t="e" cm="1">
        <f t="array" ref="N21">MMULT(H7:K10,N13:Q16)</f>
        <v>#VALUE!</v>
      </c>
      <c r="O21" s="33"/>
      <c r="P21" s="33"/>
      <c r="Q21" s="34"/>
      <c r="S21" s="32" t="e" cm="1">
        <f t="array" ref="S21">MMULT(MINVERSE(N21:Q24),N21:Q24)</f>
        <v>#VALUE!</v>
      </c>
      <c r="T21" s="33"/>
      <c r="U21" s="33"/>
      <c r="V21" s="34"/>
    </row>
    <row r="22" spans="7:22" x14ac:dyDescent="0.35">
      <c r="H22" s="27"/>
      <c r="I22" s="28"/>
      <c r="J22" s="28"/>
      <c r="K22" s="29"/>
      <c r="N22" s="30"/>
      <c r="Q22" s="26"/>
      <c r="S22" s="30"/>
      <c r="V22" s="26"/>
    </row>
    <row r="23" spans="7:22" x14ac:dyDescent="0.35">
      <c r="N23" s="30"/>
      <c r="Q23" s="26"/>
      <c r="S23" s="30"/>
      <c r="V23" s="26"/>
    </row>
    <row r="24" spans="7:22" x14ac:dyDescent="0.35">
      <c r="N24" s="27"/>
      <c r="O24" s="28"/>
      <c r="P24" s="28"/>
      <c r="Q24" s="29"/>
      <c r="S24" s="27"/>
      <c r="T24" s="28"/>
      <c r="U24" s="28"/>
      <c r="V24" s="29"/>
    </row>
    <row r="26" spans="7:22" x14ac:dyDescent="0.35">
      <c r="P26" t="e" cm="1">
        <f t="array" aca="1" ref="P26" ca="1">FTEXT(P27)</f>
        <v>#NAME?</v>
      </c>
    </row>
    <row r="27" spans="7:22" x14ac:dyDescent="0.35">
      <c r="P27" s="32" t="e" cm="1">
        <f t="array" ref="P27">MMULT(B3:E6,P21:Q24)</f>
        <v>#VALUE!</v>
      </c>
      <c r="Q27" s="34"/>
    </row>
    <row r="28" spans="7:22" x14ac:dyDescent="0.35">
      <c r="P28" s="30"/>
      <c r="Q28" s="26"/>
    </row>
    <row r="29" spans="7:22" x14ac:dyDescent="0.35">
      <c r="P29" s="30"/>
      <c r="Q29" s="26"/>
    </row>
    <row r="30" spans="7:22" x14ac:dyDescent="0.35">
      <c r="P30" s="27"/>
      <c r="Q30" s="29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A651-F8FB-4715-9C98-6CF7476B0D54}">
  <sheetPr codeName="Sheet95"/>
  <dimension ref="A1:M26"/>
  <sheetViews>
    <sheetView workbookViewId="0"/>
  </sheetViews>
  <sheetFormatPr defaultRowHeight="14.5" x14ac:dyDescent="0.35"/>
  <cols>
    <col min="1" max="2" width="5.1796875" customWidth="1"/>
    <col min="3" max="3" width="5.1796875" style="98" customWidth="1"/>
    <col min="4" max="6" width="5.1796875" customWidth="1"/>
    <col min="7" max="7" width="5.453125" customWidth="1"/>
    <col min="8" max="8" width="5.1796875" style="3" customWidth="1"/>
    <col min="13" max="13" width="8.7265625" customWidth="1"/>
  </cols>
  <sheetData>
    <row r="1" spans="1:13" x14ac:dyDescent="0.35">
      <c r="A1" s="10" t="s">
        <v>169</v>
      </c>
    </row>
    <row r="2" spans="1:13" x14ac:dyDescent="0.35">
      <c r="I2" t="e" cm="1">
        <f t="array" aca="1" ref="I2" ca="1">FTEXT(I3)</f>
        <v>#NAME?</v>
      </c>
    </row>
    <row r="3" spans="1:13" x14ac:dyDescent="0.35">
      <c r="A3" s="3" t="s">
        <v>16</v>
      </c>
      <c r="B3" s="99">
        <v>8</v>
      </c>
      <c r="C3" s="99">
        <v>8</v>
      </c>
      <c r="D3" s="99">
        <v>2</v>
      </c>
      <c r="E3" s="99">
        <v>7</v>
      </c>
      <c r="F3" s="99">
        <v>2</v>
      </c>
      <c r="H3" s="3" t="s">
        <v>6</v>
      </c>
      <c r="I3" s="32" t="e" cm="1">
        <f t="array" aca="1" ref="I3" ca="1">HESS(B3:F7)</f>
        <v>#NAME?</v>
      </c>
      <c r="J3" s="33"/>
      <c r="K3" s="33"/>
      <c r="L3" s="33"/>
      <c r="M3" s="34"/>
    </row>
    <row r="4" spans="1:13" x14ac:dyDescent="0.35">
      <c r="B4" s="99">
        <v>8</v>
      </c>
      <c r="C4" s="99">
        <v>6</v>
      </c>
      <c r="D4" s="99">
        <v>5</v>
      </c>
      <c r="E4" s="99">
        <v>8</v>
      </c>
      <c r="F4" s="99">
        <v>3</v>
      </c>
      <c r="I4" s="30"/>
      <c r="M4" s="26"/>
    </row>
    <row r="5" spans="1:13" x14ac:dyDescent="0.35">
      <c r="B5" s="99">
        <v>2</v>
      </c>
      <c r="C5" s="99">
        <v>5</v>
      </c>
      <c r="D5" s="99">
        <v>11</v>
      </c>
      <c r="E5" s="99">
        <v>1</v>
      </c>
      <c r="F5" s="99">
        <v>2</v>
      </c>
      <c r="I5" s="30"/>
      <c r="M5" s="26"/>
    </row>
    <row r="6" spans="1:13" x14ac:dyDescent="0.35">
      <c r="B6" s="99">
        <v>7</v>
      </c>
      <c r="C6" s="99">
        <v>8</v>
      </c>
      <c r="D6" s="99">
        <v>1</v>
      </c>
      <c r="E6" s="99">
        <v>8</v>
      </c>
      <c r="F6" s="99">
        <v>7</v>
      </c>
      <c r="I6" s="30"/>
      <c r="M6" s="26"/>
    </row>
    <row r="7" spans="1:13" x14ac:dyDescent="0.35">
      <c r="B7" s="99">
        <v>2</v>
      </c>
      <c r="C7" s="100">
        <v>3</v>
      </c>
      <c r="D7" s="99">
        <v>2</v>
      </c>
      <c r="E7" s="99">
        <v>7</v>
      </c>
      <c r="F7" s="99">
        <v>1</v>
      </c>
      <c r="I7" s="27"/>
      <c r="J7" s="28"/>
      <c r="K7" s="28"/>
      <c r="L7" s="28"/>
      <c r="M7" s="29"/>
    </row>
    <row r="8" spans="1:13" x14ac:dyDescent="0.35">
      <c r="H8" s="3" t="s">
        <v>35</v>
      </c>
      <c r="I8" s="30"/>
      <c r="M8" s="26"/>
    </row>
    <row r="9" spans="1:13" x14ac:dyDescent="0.35">
      <c r="I9" s="30"/>
      <c r="M9" s="26"/>
    </row>
    <row r="10" spans="1:13" x14ac:dyDescent="0.35">
      <c r="I10" s="30"/>
      <c r="M10" s="26"/>
    </row>
    <row r="11" spans="1:13" x14ac:dyDescent="0.35">
      <c r="I11" s="30"/>
      <c r="M11" s="26"/>
    </row>
    <row r="12" spans="1:13" x14ac:dyDescent="0.35">
      <c r="I12" s="27"/>
      <c r="J12" s="28"/>
      <c r="K12" s="28"/>
      <c r="L12" s="28"/>
      <c r="M12" s="29"/>
    </row>
    <row r="14" spans="1:13" x14ac:dyDescent="0.35">
      <c r="I14" t="e" cm="1">
        <f t="array" aca="1" ref="I14" ca="1">FTEXT(I15)</f>
        <v>#NAME?</v>
      </c>
    </row>
    <row r="15" spans="1:13" x14ac:dyDescent="0.35">
      <c r="H15" s="3" t="s">
        <v>173</v>
      </c>
      <c r="I15" s="32" t="e" cm="1">
        <f t="array" aca="1" ref="I15" ca="1">MMULT(I8:M12,MMULT(I3:M7,TRANSPOSE(I8:M12)))</f>
        <v>#NAME?</v>
      </c>
      <c r="J15" s="33"/>
      <c r="K15" s="33"/>
      <c r="L15" s="33"/>
      <c r="M15" s="34"/>
    </row>
    <row r="16" spans="1:13" x14ac:dyDescent="0.35">
      <c r="I16" s="30"/>
      <c r="M16" s="26"/>
    </row>
    <row r="17" spans="8:13" x14ac:dyDescent="0.35">
      <c r="I17" s="30"/>
      <c r="M17" s="26"/>
    </row>
    <row r="18" spans="8:13" x14ac:dyDescent="0.35">
      <c r="I18" s="30"/>
      <c r="M18" s="26"/>
    </row>
    <row r="19" spans="8:13" x14ac:dyDescent="0.35">
      <c r="I19" s="27"/>
      <c r="J19" s="28"/>
      <c r="K19" s="28"/>
      <c r="L19" s="28"/>
      <c r="M19" s="29"/>
    </row>
    <row r="21" spans="8:13" x14ac:dyDescent="0.35">
      <c r="I21" t="e" cm="1">
        <f t="array" aca="1" ref="I21" ca="1">FTEXT(I22)</f>
        <v>#NAME?</v>
      </c>
    </row>
    <row r="22" spans="8:13" ht="16.5" x14ac:dyDescent="0.35">
      <c r="H22" s="3" t="s">
        <v>174</v>
      </c>
      <c r="I22" s="32" t="e" cm="1">
        <f t="array" ref="I22">MINVERSE(I8:M12)</f>
        <v>#VALUE!</v>
      </c>
      <c r="J22" s="33"/>
      <c r="K22" s="33"/>
      <c r="L22" s="33"/>
      <c r="M22" s="34"/>
    </row>
    <row r="23" spans="8:13" x14ac:dyDescent="0.35">
      <c r="I23" s="30"/>
      <c r="M23" s="26"/>
    </row>
    <row r="24" spans="8:13" x14ac:dyDescent="0.35">
      <c r="I24" s="30"/>
      <c r="M24" s="26"/>
    </row>
    <row r="25" spans="8:13" x14ac:dyDescent="0.35">
      <c r="I25" s="30"/>
      <c r="M25" s="26"/>
    </row>
    <row r="26" spans="8:13" x14ac:dyDescent="0.35">
      <c r="I26" s="27"/>
      <c r="J26" s="28"/>
      <c r="K26" s="28"/>
      <c r="L26" s="28"/>
      <c r="M26" s="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43"/>
  <dimension ref="A1:S29"/>
  <sheetViews>
    <sheetView workbookViewId="0"/>
  </sheetViews>
  <sheetFormatPr defaultRowHeight="14.5" x14ac:dyDescent="0.35"/>
  <cols>
    <col min="5" max="7" width="9.1796875" customWidth="1"/>
    <col min="9" max="11" width="9.1796875" customWidth="1"/>
    <col min="13" max="15" width="9.1796875" customWidth="1"/>
    <col min="17" max="19" width="9.1796875" customWidth="1"/>
  </cols>
  <sheetData>
    <row r="1" spans="1:17" x14ac:dyDescent="0.35">
      <c r="A1" s="10" t="s">
        <v>106</v>
      </c>
      <c r="E1" t="s">
        <v>107</v>
      </c>
      <c r="I1" t="s">
        <v>139</v>
      </c>
      <c r="M1" t="s">
        <v>140</v>
      </c>
    </row>
    <row r="3" spans="1:17" x14ac:dyDescent="0.35">
      <c r="A3" s="62">
        <v>2</v>
      </c>
      <c r="B3" s="63">
        <v>6</v>
      </c>
      <c r="C3" s="64">
        <v>-2</v>
      </c>
      <c r="E3" s="15" t="e">
        <f t="array" aca="1" ref="E3:G4" ca="1">eVALUES(A3:C5,200)</f>
        <v>#NAME?</v>
      </c>
      <c r="F3" s="47" t="e">
        <f ca="1"/>
        <v>#NAME?</v>
      </c>
      <c r="G3" s="38" t="e">
        <f ca="1"/>
        <v>#NAME?</v>
      </c>
      <c r="I3" s="62" t="e">
        <f t="array" aca="1" ref="I3:K8" ca="1">eVECTORS($A3:$C5,200)</f>
        <v>#NAME?</v>
      </c>
      <c r="J3" s="63" t="e">
        <f ca="1"/>
        <v>#NAME?</v>
      </c>
      <c r="K3" s="64" t="e">
        <f ca="1"/>
        <v>#NAME?</v>
      </c>
      <c r="M3" s="62" t="e">
        <f t="array" aca="1" ref="M3:O8" ca="1">eVECT($A3:$C5,200)</f>
        <v>#NAME?</v>
      </c>
      <c r="N3" s="63" t="e">
        <f ca="1"/>
        <v>#NAME?</v>
      </c>
      <c r="O3" s="64" t="e">
        <f ca="1"/>
        <v>#NAME?</v>
      </c>
    </row>
    <row r="4" spans="1:17" x14ac:dyDescent="0.35">
      <c r="A4" s="30">
        <v>6</v>
      </c>
      <c r="B4" s="5">
        <v>8</v>
      </c>
      <c r="C4" s="26">
        <v>7</v>
      </c>
      <c r="E4" s="27" t="e">
        <f ca="1"/>
        <v>#NAME?</v>
      </c>
      <c r="F4" s="28" t="e">
        <f ca="1"/>
        <v>#NAME?</v>
      </c>
      <c r="G4" s="29" t="e">
        <f ca="1"/>
        <v>#NAME?</v>
      </c>
      <c r="I4" s="62" t="e">
        <f ca="1"/>
        <v>#NAME?</v>
      </c>
      <c r="J4" s="63" t="e">
        <f ca="1"/>
        <v>#NAME?</v>
      </c>
      <c r="K4" s="64" t="e">
        <f ca="1"/>
        <v>#NAME?</v>
      </c>
      <c r="M4" s="62" t="e">
        <f ca="1"/>
        <v>#NAME?</v>
      </c>
      <c r="N4" s="63" t="e">
        <f ca="1"/>
        <v>#NAME?</v>
      </c>
      <c r="O4" s="64" t="e">
        <f ca="1"/>
        <v>#NAME?</v>
      </c>
    </row>
    <row r="5" spans="1:17" x14ac:dyDescent="0.35">
      <c r="A5" s="27">
        <v>-2</v>
      </c>
      <c r="B5" s="28">
        <v>7</v>
      </c>
      <c r="C5" s="29">
        <v>3</v>
      </c>
      <c r="I5" s="30" t="e">
        <f ca="1"/>
        <v>#NAME?</v>
      </c>
      <c r="J5" s="5" t="e">
        <f ca="1"/>
        <v>#NAME?</v>
      </c>
      <c r="K5" s="26" t="e">
        <f ca="1"/>
        <v>#NAME?</v>
      </c>
      <c r="M5" s="30" t="e">
        <f ca="1"/>
        <v>#NAME?</v>
      </c>
      <c r="N5" s="5" t="e">
        <f ca="1"/>
        <v>#NAME?</v>
      </c>
      <c r="O5" s="26" t="e">
        <f ca="1"/>
        <v>#NAME?</v>
      </c>
    </row>
    <row r="6" spans="1:17" x14ac:dyDescent="0.35">
      <c r="I6" s="27" t="e">
        <f ca="1"/>
        <v>#NAME?</v>
      </c>
      <c r="J6" s="28" t="e">
        <f ca="1"/>
        <v>#NAME?</v>
      </c>
      <c r="K6" s="29" t="e">
        <f ca="1"/>
        <v>#NAME?</v>
      </c>
      <c r="M6" s="27" t="e">
        <f ca="1"/>
        <v>#NAME?</v>
      </c>
      <c r="N6" s="28" t="e">
        <f ca="1"/>
        <v>#NAME?</v>
      </c>
      <c r="O6" s="29" t="e">
        <f ca="1"/>
        <v>#NAME?</v>
      </c>
    </row>
    <row r="7" spans="1:17" x14ac:dyDescent="0.35">
      <c r="I7" s="5" t="e">
        <f ca="1"/>
        <v>#NAME?</v>
      </c>
      <c r="J7" s="5" t="e">
        <f ca="1"/>
        <v>#NAME?</v>
      </c>
      <c r="K7" s="5" t="e">
        <f ca="1"/>
        <v>#NAME?</v>
      </c>
      <c r="M7" s="5" t="e">
        <f ca="1"/>
        <v>#NAME?</v>
      </c>
      <c r="N7" s="5" t="e">
        <f ca="1"/>
        <v>#NAME?</v>
      </c>
      <c r="O7" s="5" t="e">
        <f ca="1"/>
        <v>#NAME?</v>
      </c>
    </row>
    <row r="8" spans="1:17" x14ac:dyDescent="0.35">
      <c r="I8" s="5" t="e">
        <f ca="1"/>
        <v>#NAME?</v>
      </c>
      <c r="J8" s="5" t="e">
        <f ca="1"/>
        <v>#NAME?</v>
      </c>
      <c r="K8" s="5" t="e">
        <f ca="1"/>
        <v>#NAME?</v>
      </c>
      <c r="M8" s="5" t="e">
        <f ca="1"/>
        <v>#NAME?</v>
      </c>
      <c r="N8" s="5" t="e">
        <f ca="1"/>
        <v>#NAME?</v>
      </c>
      <c r="O8" s="5" t="e">
        <f ca="1"/>
        <v>#NAME?</v>
      </c>
    </row>
    <row r="9" spans="1:17" x14ac:dyDescent="0.35">
      <c r="I9" s="5"/>
      <c r="J9" s="5"/>
      <c r="K9" s="5"/>
      <c r="M9" s="5"/>
      <c r="N9" s="5"/>
      <c r="O9" s="5"/>
    </row>
    <row r="10" spans="1:17" x14ac:dyDescent="0.35">
      <c r="A10" s="62">
        <v>2</v>
      </c>
      <c r="B10" s="63">
        <v>6</v>
      </c>
      <c r="C10" s="64">
        <v>-2</v>
      </c>
      <c r="E10" s="15" t="e">
        <f t="array" aca="1" ref="E10:G11" ca="1">eVALUES(A10:C12,200)</f>
        <v>#NAME?</v>
      </c>
      <c r="F10" s="47" t="e">
        <f ca="1"/>
        <v>#NAME?</v>
      </c>
      <c r="G10" s="38" t="e">
        <f ca="1"/>
        <v>#NAME?</v>
      </c>
      <c r="I10" s="62" t="e">
        <f t="array" aca="1" ref="I10:K15" ca="1">eVECTORS($A10:$C12,200)</f>
        <v>#NAME?</v>
      </c>
      <c r="J10" s="63" t="e">
        <f ca="1"/>
        <v>#NAME?</v>
      </c>
      <c r="K10" s="64" t="e">
        <f ca="1"/>
        <v>#NAME?</v>
      </c>
      <c r="M10" s="62" t="e">
        <f t="array" aca="1" ref="M10:O15" ca="1">eVECT($A10:$C12,200)</f>
        <v>#NAME?</v>
      </c>
      <c r="N10" s="63" t="e">
        <f ca="1"/>
        <v>#NAME?</v>
      </c>
      <c r="O10" s="64" t="e">
        <f ca="1"/>
        <v>#NAME?</v>
      </c>
    </row>
    <row r="11" spans="1:17" x14ac:dyDescent="0.35">
      <c r="A11" s="30">
        <v>6</v>
      </c>
      <c r="B11" s="5">
        <v>8</v>
      </c>
      <c r="C11" s="26">
        <v>7</v>
      </c>
      <c r="E11" s="27" t="e">
        <f ca="1"/>
        <v>#NAME?</v>
      </c>
      <c r="F11" s="28" t="e">
        <f ca="1"/>
        <v>#NAME?</v>
      </c>
      <c r="G11" s="29" t="e">
        <f ca="1"/>
        <v>#NAME?</v>
      </c>
      <c r="I11" s="62" t="e">
        <f ca="1"/>
        <v>#NAME?</v>
      </c>
      <c r="J11" s="63" t="e">
        <f ca="1"/>
        <v>#NAME?</v>
      </c>
      <c r="K11" s="64" t="e">
        <f ca="1"/>
        <v>#NAME?</v>
      </c>
      <c r="M11" s="62" t="e">
        <f ca="1"/>
        <v>#NAME?</v>
      </c>
      <c r="N11" s="63" t="e">
        <f ca="1"/>
        <v>#NAME?</v>
      </c>
      <c r="O11" s="64" t="e">
        <f ca="1"/>
        <v>#NAME?</v>
      </c>
    </row>
    <row r="12" spans="1:17" x14ac:dyDescent="0.35">
      <c r="A12" s="27">
        <v>-2</v>
      </c>
      <c r="B12" s="28">
        <v>8</v>
      </c>
      <c r="C12" s="29">
        <v>3</v>
      </c>
      <c r="I12" s="30" t="e">
        <f ca="1"/>
        <v>#NAME?</v>
      </c>
      <c r="J12" s="5" t="e">
        <f ca="1"/>
        <v>#NAME?</v>
      </c>
      <c r="K12" s="26" t="e">
        <f ca="1"/>
        <v>#NAME?</v>
      </c>
      <c r="M12" s="30" t="e">
        <f ca="1"/>
        <v>#NAME?</v>
      </c>
      <c r="N12" s="5" t="e">
        <f ca="1"/>
        <v>#NAME?</v>
      </c>
      <c r="O12" s="26" t="e">
        <f ca="1"/>
        <v>#NAME?</v>
      </c>
    </row>
    <row r="13" spans="1:17" x14ac:dyDescent="0.35">
      <c r="I13" s="27" t="e">
        <f ca="1"/>
        <v>#NAME?</v>
      </c>
      <c r="J13" s="28" t="e">
        <f ca="1"/>
        <v>#NAME?</v>
      </c>
      <c r="K13" s="29" t="e">
        <f ca="1"/>
        <v>#NAME?</v>
      </c>
      <c r="M13" s="27" t="e">
        <f ca="1"/>
        <v>#NAME?</v>
      </c>
      <c r="N13" s="28" t="e">
        <f ca="1"/>
        <v>#NAME?</v>
      </c>
      <c r="O13" s="29" t="e">
        <f ca="1"/>
        <v>#NAME?</v>
      </c>
    </row>
    <row r="14" spans="1:17" x14ac:dyDescent="0.35">
      <c r="I14" s="5" t="e">
        <f ca="1"/>
        <v>#NAME?</v>
      </c>
      <c r="J14" s="5" t="e">
        <f ca="1"/>
        <v>#NAME?</v>
      </c>
      <c r="K14" s="5" t="e">
        <f ca="1"/>
        <v>#NAME?</v>
      </c>
      <c r="M14" s="5" t="e">
        <f ca="1"/>
        <v>#NAME?</v>
      </c>
      <c r="N14" s="5" t="e">
        <f ca="1"/>
        <v>#NAME?</v>
      </c>
      <c r="O14" s="5" t="e">
        <f ca="1"/>
        <v>#NAME?</v>
      </c>
    </row>
    <row r="15" spans="1:17" x14ac:dyDescent="0.35">
      <c r="I15" s="5" t="e">
        <f ca="1"/>
        <v>#NAME?</v>
      </c>
      <c r="J15" s="5" t="e">
        <f ca="1"/>
        <v>#NAME?</v>
      </c>
      <c r="K15" s="5" t="e">
        <f ca="1"/>
        <v>#NAME?</v>
      </c>
      <c r="M15" s="5" t="e">
        <f ca="1"/>
        <v>#NAME?</v>
      </c>
      <c r="N15" s="5" t="e">
        <f ca="1"/>
        <v>#NAME?</v>
      </c>
      <c r="O15" s="5" t="e">
        <f ca="1"/>
        <v>#NAME?</v>
      </c>
    </row>
    <row r="16" spans="1:17" x14ac:dyDescent="0.35">
      <c r="Q16" t="s">
        <v>141</v>
      </c>
    </row>
    <row r="17" spans="1:19" x14ac:dyDescent="0.35">
      <c r="A17" s="62">
        <v>2</v>
      </c>
      <c r="B17" s="63">
        <v>6</v>
      </c>
      <c r="C17" s="64">
        <v>-2</v>
      </c>
      <c r="E17" s="15" t="e">
        <f t="array" aca="1" ref="E17:G18" ca="1">eVALUES(A17:C19,200)</f>
        <v>#NAME?</v>
      </c>
      <c r="F17" s="47" t="e">
        <f ca="1"/>
        <v>#NAME?</v>
      </c>
      <c r="G17" s="38" t="e">
        <f ca="1"/>
        <v>#NAME?</v>
      </c>
      <c r="I17" s="62" t="e">
        <f t="array" aca="1" ref="I17:K22" ca="1">eVECTORS($A17:$C19,200)</f>
        <v>#NAME?</v>
      </c>
      <c r="J17" s="63" t="e">
        <f ca="1"/>
        <v>#NAME?</v>
      </c>
      <c r="K17" s="64" t="e">
        <f ca="1"/>
        <v>#NAME?</v>
      </c>
      <c r="M17" s="62" t="e">
        <f t="array" aca="1" ref="M17:O22" ca="1">eVECT($A17:$C19,200)</f>
        <v>#NAME?</v>
      </c>
      <c r="N17" s="63" t="e">
        <f ca="1"/>
        <v>#NAME?</v>
      </c>
      <c r="O17" s="64" t="e">
        <f ca="1"/>
        <v>#NAME?</v>
      </c>
      <c r="Q17" s="62" t="e">
        <f t="array" aca="1" ref="Q17:S22" ca="1">eVECT($A17:$C19,2000)</f>
        <v>#NAME?</v>
      </c>
      <c r="R17" s="63" t="e">
        <f ca="1"/>
        <v>#NAME?</v>
      </c>
      <c r="S17" s="64" t="e">
        <f ca="1"/>
        <v>#NAME?</v>
      </c>
    </row>
    <row r="18" spans="1:19" x14ac:dyDescent="0.35">
      <c r="A18" s="30">
        <v>6</v>
      </c>
      <c r="B18" s="5">
        <v>8</v>
      </c>
      <c r="C18" s="26">
        <v>7</v>
      </c>
      <c r="E18" s="27" t="e">
        <f ca="1"/>
        <v>#NAME?</v>
      </c>
      <c r="F18" s="28" t="e">
        <f ca="1"/>
        <v>#NAME?</v>
      </c>
      <c r="G18" s="29" t="e">
        <f ca="1"/>
        <v>#NAME?</v>
      </c>
      <c r="I18" s="62" t="e">
        <f ca="1"/>
        <v>#NAME?</v>
      </c>
      <c r="J18" s="63" t="e">
        <f ca="1"/>
        <v>#NAME?</v>
      </c>
      <c r="K18" s="64" t="e">
        <f ca="1"/>
        <v>#NAME?</v>
      </c>
      <c r="M18" s="62" t="e">
        <f ca="1"/>
        <v>#NAME?</v>
      </c>
      <c r="N18" s="63" t="e">
        <f ca="1"/>
        <v>#NAME?</v>
      </c>
      <c r="O18" s="64" t="e">
        <f ca="1"/>
        <v>#NAME?</v>
      </c>
      <c r="Q18" s="62" t="e">
        <f ca="1"/>
        <v>#NAME?</v>
      </c>
      <c r="R18" s="63" t="e">
        <f ca="1"/>
        <v>#NAME?</v>
      </c>
      <c r="S18" s="64" t="e">
        <f ca="1"/>
        <v>#NAME?</v>
      </c>
    </row>
    <row r="19" spans="1:19" x14ac:dyDescent="0.35">
      <c r="A19" s="27">
        <v>-2</v>
      </c>
      <c r="B19" s="28">
        <v>4</v>
      </c>
      <c r="C19" s="29">
        <v>3</v>
      </c>
      <c r="I19" s="30" t="e">
        <f ca="1"/>
        <v>#NAME?</v>
      </c>
      <c r="J19" s="5" t="e">
        <f ca="1"/>
        <v>#NAME?</v>
      </c>
      <c r="K19" s="26" t="e">
        <f ca="1"/>
        <v>#NAME?</v>
      </c>
      <c r="M19" s="30" t="e">
        <f ca="1"/>
        <v>#NAME?</v>
      </c>
      <c r="N19" s="5" t="e">
        <f ca="1"/>
        <v>#NAME?</v>
      </c>
      <c r="O19" s="26" t="e">
        <f ca="1"/>
        <v>#NAME?</v>
      </c>
      <c r="Q19" s="30" t="e">
        <f ca="1"/>
        <v>#NAME?</v>
      </c>
      <c r="R19" s="5" t="e">
        <f ca="1"/>
        <v>#NAME?</v>
      </c>
      <c r="S19" s="26" t="e">
        <f ca="1"/>
        <v>#NAME?</v>
      </c>
    </row>
    <row r="20" spans="1:19" x14ac:dyDescent="0.35">
      <c r="E20" t="s">
        <v>141</v>
      </c>
      <c r="I20" s="27" t="e">
        <f ca="1"/>
        <v>#NAME?</v>
      </c>
      <c r="J20" s="28" t="e">
        <f ca="1"/>
        <v>#NAME?</v>
      </c>
      <c r="K20" s="29" t="e">
        <f ca="1"/>
        <v>#NAME?</v>
      </c>
      <c r="M20" s="27" t="e">
        <f ca="1"/>
        <v>#NAME?</v>
      </c>
      <c r="N20" s="28" t="e">
        <f ca="1"/>
        <v>#NAME?</v>
      </c>
      <c r="O20" s="29" t="e">
        <f ca="1"/>
        <v>#NAME?</v>
      </c>
      <c r="Q20" s="27" t="e">
        <f ca="1"/>
        <v>#NAME?</v>
      </c>
      <c r="R20" s="28" t="e">
        <f ca="1"/>
        <v>#NAME?</v>
      </c>
      <c r="S20" s="29" t="e">
        <f ca="1"/>
        <v>#NAME?</v>
      </c>
    </row>
    <row r="21" spans="1:19" x14ac:dyDescent="0.35">
      <c r="E21" s="15" t="e">
        <f t="array" aca="1" ref="E21:G22" ca="1">eVALUES(A17:C19,2000)</f>
        <v>#NAME?</v>
      </c>
      <c r="F21" s="47" t="e">
        <f ca="1"/>
        <v>#NAME?</v>
      </c>
      <c r="G21" s="38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</row>
    <row r="22" spans="1:19" x14ac:dyDescent="0.35">
      <c r="E22" s="27" t="e">
        <f ca="1"/>
        <v>#NAME?</v>
      </c>
      <c r="F22" s="28" t="e">
        <f ca="1"/>
        <v>#NAME?</v>
      </c>
      <c r="G22" s="29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</row>
    <row r="24" spans="1:19" x14ac:dyDescent="0.35">
      <c r="A24" s="62">
        <v>2</v>
      </c>
      <c r="B24" s="63">
        <v>6</v>
      </c>
      <c r="C24" s="64">
        <v>5</v>
      </c>
      <c r="E24" s="15" t="e">
        <f t="array" aca="1" ref="E24:G25" ca="1">eVALUES(A24:C26,200)</f>
        <v>#NAME?</v>
      </c>
      <c r="F24" s="47" t="e">
        <f ca="1"/>
        <v>#NAME?</v>
      </c>
      <c r="G24" s="38" t="e">
        <f ca="1"/>
        <v>#NAME?</v>
      </c>
      <c r="I24" s="62" t="e">
        <f t="array" aca="1" ref="I24:K29" ca="1">eVECTORS($A24:$C26,200)</f>
        <v>#NAME?</v>
      </c>
      <c r="J24" s="63" t="e">
        <f ca="1"/>
        <v>#NAME?</v>
      </c>
      <c r="K24" s="64" t="e">
        <f ca="1"/>
        <v>#NAME?</v>
      </c>
      <c r="M24" s="62" t="e">
        <f t="array" aca="1" ref="M24:O29" ca="1">eVECT($A24:$C26,200)</f>
        <v>#NAME?</v>
      </c>
      <c r="N24" s="63" t="e">
        <f ca="1"/>
        <v>#NAME?</v>
      </c>
      <c r="O24" s="64" t="e">
        <f ca="1"/>
        <v>#NAME?</v>
      </c>
      <c r="Q24" s="62" t="e">
        <f t="array" aca="1" ref="Q24:S29" ca="1">eVECT($A24:$C26,2000)</f>
        <v>#NAME?</v>
      </c>
      <c r="R24" s="63" t="e">
        <f ca="1"/>
        <v>#NAME?</v>
      </c>
      <c r="S24" s="64" t="e">
        <f ca="1"/>
        <v>#NAME?</v>
      </c>
    </row>
    <row r="25" spans="1:19" x14ac:dyDescent="0.35">
      <c r="A25" s="30">
        <v>3</v>
      </c>
      <c r="B25" s="5">
        <v>-2</v>
      </c>
      <c r="C25" s="26">
        <v>7</v>
      </c>
      <c r="E25" s="27" t="e">
        <f ca="1"/>
        <v>#NAME?</v>
      </c>
      <c r="F25" s="28" t="e">
        <f ca="1"/>
        <v>#NAME?</v>
      </c>
      <c r="G25" s="29" t="e">
        <f ca="1"/>
        <v>#NAME?</v>
      </c>
      <c r="I25" s="62" t="e">
        <f ca="1"/>
        <v>#NAME?</v>
      </c>
      <c r="J25" s="63" t="e">
        <f ca="1"/>
        <v>#NAME?</v>
      </c>
      <c r="K25" s="64" t="e">
        <f ca="1"/>
        <v>#NAME?</v>
      </c>
      <c r="M25" s="62" t="e">
        <f ca="1"/>
        <v>#NAME?</v>
      </c>
      <c r="N25" s="63" t="e">
        <f ca="1"/>
        <v>#NAME?</v>
      </c>
      <c r="O25" s="64" t="e">
        <f ca="1"/>
        <v>#NAME?</v>
      </c>
      <c r="Q25" s="62" t="e">
        <f ca="1"/>
        <v>#NAME?</v>
      </c>
      <c r="R25" s="63" t="e">
        <f ca="1"/>
        <v>#NAME?</v>
      </c>
      <c r="S25" s="64" t="e">
        <f ca="1"/>
        <v>#NAME?</v>
      </c>
    </row>
    <row r="26" spans="1:19" x14ac:dyDescent="0.35">
      <c r="A26" s="27">
        <v>-2</v>
      </c>
      <c r="B26" s="28">
        <v>4</v>
      </c>
      <c r="C26" s="29">
        <v>3</v>
      </c>
      <c r="I26" s="30" t="e">
        <f ca="1"/>
        <v>#NAME?</v>
      </c>
      <c r="J26" s="5" t="e">
        <f ca="1"/>
        <v>#NAME?</v>
      </c>
      <c r="K26" s="26" t="e">
        <f ca="1"/>
        <v>#NAME?</v>
      </c>
      <c r="M26" s="30" t="e">
        <f ca="1"/>
        <v>#NAME?</v>
      </c>
      <c r="N26" s="5" t="e">
        <f ca="1"/>
        <v>#NAME?</v>
      </c>
      <c r="O26" s="26" t="e">
        <f ca="1"/>
        <v>#NAME?</v>
      </c>
      <c r="Q26" s="30" t="e">
        <f ca="1"/>
        <v>#NAME?</v>
      </c>
      <c r="R26" s="5" t="e">
        <f ca="1"/>
        <v>#NAME?</v>
      </c>
      <c r="S26" s="26" t="e">
        <f ca="1"/>
        <v>#NAME?</v>
      </c>
    </row>
    <row r="27" spans="1:19" x14ac:dyDescent="0.35">
      <c r="E27" t="s">
        <v>141</v>
      </c>
      <c r="I27" s="27" t="e">
        <f ca="1"/>
        <v>#NAME?</v>
      </c>
      <c r="J27" s="28" t="e">
        <f ca="1"/>
        <v>#NAME?</v>
      </c>
      <c r="K27" s="29" t="e">
        <f ca="1"/>
        <v>#NAME?</v>
      </c>
      <c r="M27" s="27" t="e">
        <f ca="1"/>
        <v>#NAME?</v>
      </c>
      <c r="N27" s="28" t="e">
        <f ca="1"/>
        <v>#NAME?</v>
      </c>
      <c r="O27" s="29" t="e">
        <f ca="1"/>
        <v>#NAME?</v>
      </c>
      <c r="Q27" s="27" t="e">
        <f ca="1"/>
        <v>#NAME?</v>
      </c>
      <c r="R27" s="28" t="e">
        <f ca="1"/>
        <v>#NAME?</v>
      </c>
      <c r="S27" s="29" t="e">
        <f ca="1"/>
        <v>#NAME?</v>
      </c>
    </row>
    <row r="28" spans="1:19" x14ac:dyDescent="0.35">
      <c r="E28" s="15" t="e">
        <f t="array" aca="1" ref="E28:G29" ca="1">eVALUES(A24:C26,2000)</f>
        <v>#NAME?</v>
      </c>
      <c r="F28" s="47" t="e">
        <f ca="1"/>
        <v>#NAME?</v>
      </c>
      <c r="G28" s="3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</row>
    <row r="29" spans="1:19" x14ac:dyDescent="0.35">
      <c r="E29" s="27" t="e">
        <f ca="1"/>
        <v>#NAME?</v>
      </c>
      <c r="F29" s="28" t="e">
        <f ca="1"/>
        <v>#NAME?</v>
      </c>
      <c r="G29" s="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47"/>
  <dimension ref="A1:X57"/>
  <sheetViews>
    <sheetView workbookViewId="0"/>
  </sheetViews>
  <sheetFormatPr defaultRowHeight="14.5" x14ac:dyDescent="0.35"/>
  <cols>
    <col min="1" max="3" width="9.1796875" customWidth="1"/>
    <col min="5" max="5" width="9.1796875" customWidth="1"/>
    <col min="6" max="6" width="9.453125" bestFit="1" customWidth="1"/>
    <col min="7" max="7" width="9.1796875" customWidth="1"/>
    <col min="12" max="13" width="9.1796875" customWidth="1"/>
    <col min="14" max="14" width="9.26953125" customWidth="1"/>
    <col min="15" max="15" width="9.26953125" bestFit="1" customWidth="1"/>
    <col min="16" max="16" width="9.26953125" customWidth="1"/>
    <col min="22" max="22" width="9.26953125" bestFit="1" customWidth="1"/>
    <col min="23" max="23" width="9.1796875" customWidth="1"/>
    <col min="24" max="24" width="9.26953125" bestFit="1" customWidth="1"/>
  </cols>
  <sheetData>
    <row r="1" spans="1:24" x14ac:dyDescent="0.35">
      <c r="A1" t="s">
        <v>16</v>
      </c>
      <c r="E1" t="s">
        <v>112</v>
      </c>
      <c r="I1" t="s">
        <v>113</v>
      </c>
      <c r="L1" t="s">
        <v>113</v>
      </c>
      <c r="O1" t="s">
        <v>114</v>
      </c>
      <c r="R1" t="s">
        <v>5</v>
      </c>
      <c r="V1" t="s">
        <v>16</v>
      </c>
    </row>
    <row r="2" spans="1:24" x14ac:dyDescent="0.35">
      <c r="A2" s="43">
        <v>-4</v>
      </c>
      <c r="B2" s="84">
        <v>1</v>
      </c>
      <c r="C2" s="45">
        <v>3</v>
      </c>
      <c r="E2" s="43">
        <f t="array" ref="E2:G4">A2:C4</f>
        <v>-4</v>
      </c>
      <c r="F2" s="84">
        <v>1</v>
      </c>
      <c r="G2" s="45">
        <v>3</v>
      </c>
      <c r="I2" s="43" t="e">
        <f ca="1">F18</f>
        <v>#NAME?</v>
      </c>
      <c r="J2" s="45" t="e">
        <f ca="1">G18</f>
        <v>#NAME?</v>
      </c>
      <c r="L2" s="43" t="e">
        <f t="array" ref="L2:M3" ca="1">I2:J3</f>
        <v>#NAME?</v>
      </c>
      <c r="M2" s="45" t="e">
        <f ca="1"/>
        <v>#NAME?</v>
      </c>
      <c r="O2" s="85" t="e">
        <f ca="1">M15</f>
        <v>#NAME?</v>
      </c>
      <c r="P2" s="5"/>
      <c r="R2" s="43" t="e">
        <f t="array" ref="R2:T4" ca="1">E32:G34</f>
        <v>#NAME?</v>
      </c>
      <c r="S2" s="84" t="e">
        <f ca="1"/>
        <v>#NAME?</v>
      </c>
      <c r="T2" s="45" t="e">
        <f ca="1"/>
        <v>#NAME?</v>
      </c>
      <c r="V2" s="43">
        <f t="array" ref="V2:X4">A2:C4</f>
        <v>-4</v>
      </c>
      <c r="W2" s="84">
        <v>1</v>
      </c>
      <c r="X2" s="45">
        <v>3</v>
      </c>
    </row>
    <row r="3" spans="1:24" x14ac:dyDescent="0.35">
      <c r="A3" s="30">
        <v>1</v>
      </c>
      <c r="B3" s="5">
        <v>0</v>
      </c>
      <c r="C3" s="26">
        <v>3</v>
      </c>
      <c r="E3" s="30">
        <v>1</v>
      </c>
      <c r="F3" s="5">
        <v>0</v>
      </c>
      <c r="G3" s="26">
        <v>3</v>
      </c>
      <c r="I3" s="27" t="e">
        <f ca="1">F19</f>
        <v>#NAME?</v>
      </c>
      <c r="J3" s="29" t="e">
        <f ca="1">G19</f>
        <v>#NAME?</v>
      </c>
      <c r="L3" s="27" t="e">
        <f ca="1"/>
        <v>#NAME?</v>
      </c>
      <c r="M3" s="29" t="e">
        <f ca="1"/>
        <v>#NAME?</v>
      </c>
      <c r="R3" s="30">
        <v>0</v>
      </c>
      <c r="S3" s="5" t="e">
        <f ca="1"/>
        <v>#NAME?</v>
      </c>
      <c r="T3" s="26" t="e">
        <f ca="1"/>
        <v>#NAME?</v>
      </c>
      <c r="V3" s="30">
        <v>1</v>
      </c>
      <c r="W3" s="5">
        <v>0</v>
      </c>
      <c r="X3" s="26">
        <v>3</v>
      </c>
    </row>
    <row r="4" spans="1:24" x14ac:dyDescent="0.35">
      <c r="A4" s="27">
        <v>0</v>
      </c>
      <c r="B4" s="28">
        <v>1</v>
      </c>
      <c r="C4" s="29">
        <v>1</v>
      </c>
      <c r="E4" s="27">
        <v>0</v>
      </c>
      <c r="F4" s="28">
        <v>1</v>
      </c>
      <c r="G4" s="29">
        <v>1</v>
      </c>
      <c r="O4" t="s">
        <v>115</v>
      </c>
      <c r="R4" s="27">
        <v>0</v>
      </c>
      <c r="S4" s="28">
        <v>0</v>
      </c>
      <c r="T4" s="29" t="e">
        <f ca="1"/>
        <v>#NAME?</v>
      </c>
      <c r="V4" s="27">
        <v>0</v>
      </c>
      <c r="W4" s="28">
        <v>1</v>
      </c>
      <c r="X4" s="29">
        <v>1</v>
      </c>
    </row>
    <row r="5" spans="1:24" x14ac:dyDescent="0.35">
      <c r="I5" t="s">
        <v>28</v>
      </c>
      <c r="L5" t="s">
        <v>116</v>
      </c>
      <c r="O5" s="85">
        <v>1</v>
      </c>
      <c r="P5" s="5"/>
    </row>
    <row r="6" spans="1:24" x14ac:dyDescent="0.35">
      <c r="A6" t="s">
        <v>28</v>
      </c>
      <c r="E6" t="s">
        <v>117</v>
      </c>
      <c r="I6" s="60" t="e">
        <f t="array" aca="1" ref="I6:J10" ca="1">eVECTORS(F18:G19)</f>
        <v>#NAME?</v>
      </c>
      <c r="J6" s="61" t="e">
        <f ca="1"/>
        <v>#NAME?</v>
      </c>
      <c r="L6" s="43" t="e">
        <f ca="1">I7</f>
        <v>#NAME?</v>
      </c>
      <c r="M6" s="45">
        <v>1</v>
      </c>
      <c r="R6" t="s">
        <v>28</v>
      </c>
      <c r="V6" t="s">
        <v>28</v>
      </c>
    </row>
    <row r="7" spans="1:24" x14ac:dyDescent="0.35">
      <c r="A7" s="62" t="e">
        <f t="array" aca="1" ref="A7:C12" ca="1">eVECTORS(A2:C4,500)</f>
        <v>#NAME?</v>
      </c>
      <c r="B7" s="63" t="e">
        <f ca="1"/>
        <v>#NAME?</v>
      </c>
      <c r="C7" s="64" t="e">
        <f ca="1"/>
        <v>#NAME?</v>
      </c>
      <c r="E7" s="43" t="e">
        <f t="array" ref="E7:E9" ca="1">A8:A10</f>
        <v>#NAME?</v>
      </c>
      <c r="F7" s="84">
        <v>0</v>
      </c>
      <c r="G7" s="45">
        <v>0</v>
      </c>
      <c r="I7" s="21" t="e">
        <f ca="1"/>
        <v>#NAME?</v>
      </c>
      <c r="J7" s="22" t="e">
        <f ca="1"/>
        <v>#NAME?</v>
      </c>
      <c r="L7" s="7" t="e">
        <f ca="1">I8</f>
        <v>#NAME?</v>
      </c>
      <c r="M7" s="9">
        <v>0</v>
      </c>
      <c r="O7" t="s">
        <v>118</v>
      </c>
    </row>
    <row r="8" spans="1:24" x14ac:dyDescent="0.35">
      <c r="A8" s="62" t="e">
        <f ca="1"/>
        <v>#NAME?</v>
      </c>
      <c r="B8" s="63" t="e">
        <f ca="1"/>
        <v>#NAME?</v>
      </c>
      <c r="C8" s="64" t="e">
        <f ca="1"/>
        <v>#NAME?</v>
      </c>
      <c r="E8" s="4" t="e">
        <f ca="1"/>
        <v>#NAME?</v>
      </c>
      <c r="F8" s="5">
        <v>1</v>
      </c>
      <c r="G8" s="26">
        <v>0</v>
      </c>
      <c r="I8" s="23" t="e">
        <f ca="1"/>
        <v>#NAME?</v>
      </c>
      <c r="J8" s="25" t="e">
        <f ca="1"/>
        <v>#NAME?</v>
      </c>
      <c r="O8" s="85" t="e">
        <f ca="1">O2</f>
        <v>#NAME?</v>
      </c>
      <c r="P8" s="5"/>
      <c r="R8" t="e">
        <f t="array" aca="1" ref="R8:T8" ca="1">DIAG(R2:T4)</f>
        <v>#NAME?</v>
      </c>
      <c r="S8" t="e">
        <f ca="1"/>
        <v>#NAME?</v>
      </c>
      <c r="T8" t="e">
        <f ca="1"/>
        <v>#NAME?</v>
      </c>
      <c r="V8" t="e">
        <f ca="1">R8</f>
        <v>#NAME?</v>
      </c>
      <c r="W8" t="e">
        <f ca="1">S8</f>
        <v>#NAME?</v>
      </c>
      <c r="X8" t="e">
        <f ca="1">T8</f>
        <v>#NAME?</v>
      </c>
    </row>
    <row r="9" spans="1:24" x14ac:dyDescent="0.35">
      <c r="A9" s="4" t="e">
        <f ca="1"/>
        <v>#NAME?</v>
      </c>
      <c r="B9" s="5" t="e">
        <f ca="1"/>
        <v>#NAME?</v>
      </c>
      <c r="C9" s="26" t="e">
        <f ca="1"/>
        <v>#NAME?</v>
      </c>
      <c r="E9" s="7" t="e">
        <f ca="1"/>
        <v>#NAME?</v>
      </c>
      <c r="F9" s="8">
        <v>0</v>
      </c>
      <c r="G9" s="9">
        <v>1</v>
      </c>
      <c r="I9" s="62" t="e">
        <f ca="1"/>
        <v>#NAME?</v>
      </c>
      <c r="J9" s="64" t="e">
        <f ca="1"/>
        <v>#NAME?</v>
      </c>
      <c r="L9" t="s">
        <v>119</v>
      </c>
      <c r="R9" s="62">
        <v>1</v>
      </c>
      <c r="S9" s="63" t="e">
        <f ca="1">-1/(R2-S8)*S2</f>
        <v>#NAME?</v>
      </c>
      <c r="T9" s="64" t="e">
        <f t="array" aca="1" ref="T9:T10" ca="1">-MMULT(MINVERSE(R2:S3-T8*Identity(2)),T2:T3)</f>
        <v>#NAME?</v>
      </c>
      <c r="V9" s="62" t="e">
        <f t="array" aca="1" ref="V9:X11" ca="1">MMULT(E27:G29,R9:T11)</f>
        <v>#NAME?</v>
      </c>
      <c r="W9" s="63" t="e">
        <f ca="1"/>
        <v>#NAME?</v>
      </c>
      <c r="X9" s="64" t="e">
        <f ca="1"/>
        <v>#NAME?</v>
      </c>
    </row>
    <row r="10" spans="1:24" x14ac:dyDescent="0.35">
      <c r="A10" s="7" t="e">
        <f ca="1"/>
        <v>#NAME?</v>
      </c>
      <c r="B10" s="8" t="e">
        <f ca="1"/>
        <v>#NAME?</v>
      </c>
      <c r="C10" s="9" t="e">
        <f ca="1"/>
        <v>#NAME?</v>
      </c>
      <c r="I10" s="7" t="e">
        <f ca="1"/>
        <v>#NAME?</v>
      </c>
      <c r="J10" s="9" t="e">
        <f ca="1"/>
        <v>#NAME?</v>
      </c>
      <c r="L10" s="58" t="e">
        <f t="array" aca="1" ref="L10:M11" ca="1">QRFactor(L6:M7)</f>
        <v>#NAME?</v>
      </c>
      <c r="M10" s="59" t="e">
        <f ca="1"/>
        <v>#NAME?</v>
      </c>
      <c r="R10" s="4">
        <v>0</v>
      </c>
      <c r="S10" s="5">
        <v>1</v>
      </c>
      <c r="T10" s="26" t="e">
        <f ca="1"/>
        <v>#NAME?</v>
      </c>
      <c r="V10" s="4" t="e">
        <f ca="1"/>
        <v>#NAME?</v>
      </c>
      <c r="W10" s="5" t="e">
        <f ca="1"/>
        <v>#NAME?</v>
      </c>
      <c r="X10" s="26" t="e">
        <f ca="1"/>
        <v>#NAME?</v>
      </c>
    </row>
    <row r="11" spans="1:24" x14ac:dyDescent="0.35">
      <c r="A11" s="62" t="e">
        <f ca="1"/>
        <v>#NAME?</v>
      </c>
      <c r="B11" s="84" t="e">
        <f ca="1"/>
        <v>#NAME?</v>
      </c>
      <c r="C11" s="64" t="e">
        <f ca="1"/>
        <v>#NAME?</v>
      </c>
      <c r="E11" t="s">
        <v>120</v>
      </c>
      <c r="L11" s="23" t="e">
        <f ca="1"/>
        <v>#NAME?</v>
      </c>
      <c r="M11" s="25" t="e">
        <f ca="1"/>
        <v>#NAME?</v>
      </c>
      <c r="R11" s="7">
        <v>0</v>
      </c>
      <c r="S11" s="8">
        <v>0</v>
      </c>
      <c r="T11" s="9">
        <v>1</v>
      </c>
      <c r="V11" s="7" t="e">
        <f ca="1"/>
        <v>#NAME?</v>
      </c>
      <c r="W11" s="8" t="e">
        <f ca="1"/>
        <v>#NAME?</v>
      </c>
      <c r="X11" s="9" t="e">
        <f ca="1"/>
        <v>#NAME?</v>
      </c>
    </row>
    <row r="12" spans="1:24" x14ac:dyDescent="0.35">
      <c r="A12" s="7" t="e">
        <f ca="1"/>
        <v>#NAME?</v>
      </c>
      <c r="B12" s="8" t="e">
        <f ca="1"/>
        <v>#NAME?</v>
      </c>
      <c r="C12" s="9" t="e">
        <f ca="1"/>
        <v>#NAME?</v>
      </c>
      <c r="E12" s="58" t="e">
        <f t="array" aca="1" ref="E12:G14" ca="1">QRFactor(E7:G9)</f>
        <v>#NAME?</v>
      </c>
      <c r="F12" s="83" t="e">
        <f ca="1"/>
        <v>#NAME?</v>
      </c>
      <c r="G12" s="59" t="e">
        <f ca="1"/>
        <v>#NAME?</v>
      </c>
      <c r="I12" s="18" t="s">
        <v>121</v>
      </c>
      <c r="R12">
        <f>SQRT(SUMSQ(R9:R11))</f>
        <v>1</v>
      </c>
      <c r="S12" t="e">
        <f ca="1">SQRT(SUMSQ(S9:S11))</f>
        <v>#NAME?</v>
      </c>
      <c r="T12" t="e">
        <f ca="1">SQRT(SUMSQ(T9:T11))</f>
        <v>#NAME?</v>
      </c>
      <c r="V12" t="e">
        <f ca="1">SQRT(SUMSQ(V9:V11))</f>
        <v>#NAME?</v>
      </c>
      <c r="W12" t="e">
        <f ca="1">SQRT(SUMSQ(W9:W11))</f>
        <v>#NAME?</v>
      </c>
      <c r="X12" t="e">
        <f ca="1">SQRT(SUMSQ(X9:X11))</f>
        <v>#NAME?</v>
      </c>
    </row>
    <row r="13" spans="1:24" ht="15" hidden="1" customHeight="1" x14ac:dyDescent="0.35">
      <c r="E13" s="21" t="e">
        <f ca="1"/>
        <v>#NAME?</v>
      </c>
      <c r="F13" s="5" t="e">
        <f ca="1"/>
        <v>#NAME?</v>
      </c>
      <c r="G13" s="22" t="e">
        <f ca="1"/>
        <v>#NAME?</v>
      </c>
      <c r="I13" s="62" t="e">
        <f t="array" ref="I13:J14" ca="1">I6:J6*I7:J8</f>
        <v>#NAME?</v>
      </c>
      <c r="J13" s="64" t="e">
        <f ca="1"/>
        <v>#NAME?</v>
      </c>
      <c r="L13" t="s">
        <v>122</v>
      </c>
    </row>
    <row r="14" spans="1:24" hidden="1" x14ac:dyDescent="0.35">
      <c r="A14" s="18" t="s">
        <v>121</v>
      </c>
      <c r="E14" s="23" t="e">
        <f ca="1"/>
        <v>#NAME?</v>
      </c>
      <c r="F14" s="24" t="e">
        <f ca="1"/>
        <v>#NAME?</v>
      </c>
      <c r="G14" s="25" t="e">
        <f ca="1"/>
        <v>#NAME?</v>
      </c>
      <c r="I14" s="7" t="e">
        <f ca="1"/>
        <v>#NAME?</v>
      </c>
      <c r="J14" s="9" t="e">
        <f ca="1"/>
        <v>#NAME?</v>
      </c>
      <c r="L14" s="62" t="e">
        <f t="array" aca="1" ref="L14:M15" ca="1">MMULT(TRANSPOSE(L10:M11),MMULT(L2:M3,L10:M11))</f>
        <v>#NAME?</v>
      </c>
      <c r="M14" s="64" t="e">
        <f ca="1"/>
        <v>#NAME?</v>
      </c>
      <c r="R14" s="18" t="s">
        <v>121</v>
      </c>
      <c r="V14" s="18" t="s">
        <v>121</v>
      </c>
    </row>
    <row r="15" spans="1:24" hidden="1" x14ac:dyDescent="0.35">
      <c r="A15" s="62" t="e">
        <f t="array" ref="A15:C17" ca="1">A7:C7*A8:C10</f>
        <v>#NAME?</v>
      </c>
      <c r="B15" s="63" t="e">
        <f ca="1"/>
        <v>#NAME?</v>
      </c>
      <c r="C15" s="64" t="e">
        <f ca="1"/>
        <v>#NAME?</v>
      </c>
      <c r="L15" s="7" t="e">
        <f ca="1"/>
        <v>#NAME?</v>
      </c>
      <c r="M15" s="9" t="e">
        <f ca="1"/>
        <v>#NAME?</v>
      </c>
      <c r="R15" s="62" t="e">
        <f t="array" ref="R15:T17" ca="1">R8:T8*R9:T11</f>
        <v>#NAME?</v>
      </c>
      <c r="S15" s="63" t="e">
        <f ca="1"/>
        <v>#NAME?</v>
      </c>
      <c r="T15" s="64" t="e">
        <f ca="1"/>
        <v>#NAME?</v>
      </c>
      <c r="V15" s="62" t="e">
        <f t="array" ref="V15:X17" ca="1">V8:X8*V9:X11</f>
        <v>#NAME?</v>
      </c>
      <c r="W15" s="63" t="e">
        <f ca="1"/>
        <v>#NAME?</v>
      </c>
      <c r="X15" s="64" t="e">
        <f ca="1"/>
        <v>#NAME?</v>
      </c>
    </row>
    <row r="16" spans="1:24" ht="15" hidden="1" customHeight="1" x14ac:dyDescent="0.35">
      <c r="A16" s="4" t="e">
        <f ca="1"/>
        <v>#NAME?</v>
      </c>
      <c r="B16" s="5" t="e">
        <f ca="1"/>
        <v>#NAME?</v>
      </c>
      <c r="C16" s="6" t="e">
        <f ca="1"/>
        <v>#NAME?</v>
      </c>
      <c r="E16" t="s">
        <v>122</v>
      </c>
      <c r="I16" t="s">
        <v>61</v>
      </c>
      <c r="R16" s="4" t="e">
        <f ca="1"/>
        <v>#NAME?</v>
      </c>
      <c r="S16" s="5" t="e">
        <f ca="1"/>
        <v>#NAME?</v>
      </c>
      <c r="T16" s="6" t="e">
        <f ca="1"/>
        <v>#NAME?</v>
      </c>
      <c r="V16" s="4" t="e">
        <f ca="1"/>
        <v>#NAME?</v>
      </c>
      <c r="W16" s="5" t="e">
        <f ca="1"/>
        <v>#NAME?</v>
      </c>
      <c r="X16" s="6" t="e">
        <f ca="1"/>
        <v>#NAME?</v>
      </c>
    </row>
    <row r="17" spans="1:24" hidden="1" x14ac:dyDescent="0.35">
      <c r="A17" s="7" t="e">
        <f ca="1"/>
        <v>#NAME?</v>
      </c>
      <c r="B17" s="8" t="e">
        <f ca="1"/>
        <v>#NAME?</v>
      </c>
      <c r="C17" s="9" t="e">
        <f ca="1"/>
        <v>#NAME?</v>
      </c>
      <c r="E17" s="62" t="e">
        <f t="array" aca="1" ref="E17:G19" ca="1">MMULT(TRANSPOSE(E12:G14),MMULT(E2:G4,E12:G14))</f>
        <v>#NAME?</v>
      </c>
      <c r="F17" s="63" t="e">
        <f ca="1"/>
        <v>#NAME?</v>
      </c>
      <c r="G17" s="64" t="e">
        <f ca="1"/>
        <v>#NAME?</v>
      </c>
      <c r="I17" s="62" t="e">
        <f t="array" aca="1" ref="I17:J18" ca="1">MMULT(I2:J3,I7:J8)</f>
        <v>#NAME?</v>
      </c>
      <c r="J17" s="64" t="e">
        <f ca="1"/>
        <v>#NAME?</v>
      </c>
      <c r="L17" t="s">
        <v>123</v>
      </c>
      <c r="R17" s="7" t="e">
        <f ca="1"/>
        <v>#NAME?</v>
      </c>
      <c r="S17" s="8" t="e">
        <f ca="1"/>
        <v>#NAME?</v>
      </c>
      <c r="T17" s="9" t="e">
        <f ca="1"/>
        <v>#NAME?</v>
      </c>
      <c r="V17" s="7" t="e">
        <f ca="1"/>
        <v>#NAME?</v>
      </c>
      <c r="W17" s="8" t="e">
        <f ca="1"/>
        <v>#NAME?</v>
      </c>
      <c r="X17" s="9" t="e">
        <f ca="1"/>
        <v>#NAME?</v>
      </c>
    </row>
    <row r="18" spans="1:24" hidden="1" x14ac:dyDescent="0.35">
      <c r="E18" s="4" t="e">
        <f ca="1"/>
        <v>#NAME?</v>
      </c>
      <c r="F18" s="5" t="e">
        <f ca="1"/>
        <v>#NAME?</v>
      </c>
      <c r="G18" s="6" t="e">
        <f ca="1"/>
        <v>#NAME?</v>
      </c>
      <c r="I18" s="7" t="e">
        <f ca="1"/>
        <v>#NAME?</v>
      </c>
      <c r="J18" s="9" t="e">
        <f ca="1"/>
        <v>#NAME?</v>
      </c>
      <c r="L18" s="62">
        <v>1</v>
      </c>
      <c r="M18" s="64">
        <v>0</v>
      </c>
    </row>
    <row r="19" spans="1:24" hidden="1" x14ac:dyDescent="0.35">
      <c r="A19" t="s">
        <v>61</v>
      </c>
      <c r="E19" s="7" t="e">
        <f ca="1"/>
        <v>#NAME?</v>
      </c>
      <c r="F19" s="8" t="e">
        <f ca="1"/>
        <v>#NAME?</v>
      </c>
      <c r="G19" s="9" t="e">
        <f ca="1"/>
        <v>#NAME?</v>
      </c>
      <c r="L19" s="7">
        <v>0</v>
      </c>
      <c r="M19" s="9">
        <f>O5</f>
        <v>1</v>
      </c>
      <c r="R19" t="s">
        <v>124</v>
      </c>
      <c r="V19" t="s">
        <v>61</v>
      </c>
    </row>
    <row r="20" spans="1:24" hidden="1" x14ac:dyDescent="0.35">
      <c r="A20" s="62" t="e">
        <f t="array" aca="1" ref="A20:C22" ca="1">MMULT(A2:C4,A8:C10)</f>
        <v>#NAME?</v>
      </c>
      <c r="B20" s="63" t="e">
        <f ca="1"/>
        <v>#NAME?</v>
      </c>
      <c r="C20" s="64" t="e">
        <f ca="1"/>
        <v>#NAME?</v>
      </c>
      <c r="R20" s="62" t="e">
        <f t="array" aca="1" ref="R20:T22" ca="1">MMULT(R2:T4,R9:T11)</f>
        <v>#NAME?</v>
      </c>
      <c r="S20" s="63" t="e">
        <f ca="1"/>
        <v>#NAME?</v>
      </c>
      <c r="T20" s="64" t="e">
        <f ca="1"/>
        <v>#NAME?</v>
      </c>
      <c r="V20" s="62" t="e">
        <f t="array" aca="1" ref="V20:X22" ca="1">MMULT(V2:X4,V9:X11)</f>
        <v>#NAME?</v>
      </c>
      <c r="W20" s="63" t="e">
        <f ca="1"/>
        <v>#NAME?</v>
      </c>
      <c r="X20" s="64" t="e">
        <f ca="1"/>
        <v>#NAME?</v>
      </c>
    </row>
    <row r="21" spans="1:24" hidden="1" x14ac:dyDescent="0.35">
      <c r="A21" s="4" t="e">
        <f ca="1"/>
        <v>#NAME?</v>
      </c>
      <c r="B21" s="5" t="e">
        <f ca="1"/>
        <v>#NAME?</v>
      </c>
      <c r="C21" s="6" t="e">
        <f ca="1"/>
        <v>#NAME?</v>
      </c>
      <c r="E21" t="s">
        <v>125</v>
      </c>
      <c r="L21" t="s">
        <v>126</v>
      </c>
      <c r="R21" s="4" t="e">
        <f ca="1"/>
        <v>#NAME?</v>
      </c>
      <c r="S21" s="5" t="e">
        <f ca="1"/>
        <v>#NAME?</v>
      </c>
      <c r="T21" s="6" t="e">
        <f ca="1"/>
        <v>#NAME?</v>
      </c>
      <c r="V21" s="4" t="e">
        <f ca="1"/>
        <v>#NAME?</v>
      </c>
      <c r="W21" s="5" t="e">
        <f ca="1"/>
        <v>#NAME?</v>
      </c>
      <c r="X21" s="6" t="e">
        <f ca="1"/>
        <v>#NAME?</v>
      </c>
    </row>
    <row r="22" spans="1:24" hidden="1" x14ac:dyDescent="0.35">
      <c r="A22" s="7" t="e">
        <f ca="1"/>
        <v>#NAME?</v>
      </c>
      <c r="B22" s="8" t="e">
        <f ca="1"/>
        <v>#NAME?</v>
      </c>
      <c r="C22" s="9" t="e">
        <f ca="1"/>
        <v>#NAME?</v>
      </c>
      <c r="E22" s="62">
        <v>1</v>
      </c>
      <c r="F22" s="63">
        <v>0</v>
      </c>
      <c r="G22" s="64">
        <v>0</v>
      </c>
      <c r="L22" s="62" t="e">
        <f t="array" aca="1" ref="L22:M23" ca="1">MMULT(L10:M11,L18:M19)</f>
        <v>#NAME?</v>
      </c>
      <c r="M22" s="64" t="e">
        <f ca="1"/>
        <v>#NAME?</v>
      </c>
      <c r="R22" s="7" t="e">
        <f ca="1"/>
        <v>#NAME?</v>
      </c>
      <c r="S22" s="8" t="e">
        <f ca="1"/>
        <v>#NAME?</v>
      </c>
      <c r="T22" s="9" t="e">
        <f ca="1"/>
        <v>#NAME?</v>
      </c>
      <c r="V22" s="7" t="e">
        <f ca="1"/>
        <v>#NAME?</v>
      </c>
      <c r="W22" s="8" t="e">
        <f ca="1"/>
        <v>#NAME?</v>
      </c>
      <c r="X22" s="9" t="e">
        <f ca="1"/>
        <v>#NAME?</v>
      </c>
    </row>
    <row r="23" spans="1:24" x14ac:dyDescent="0.35">
      <c r="E23" s="4">
        <v>0</v>
      </c>
      <c r="F23" s="5" t="e">
        <f t="array" ref="F23:G24" ca="1">L22:M23</f>
        <v>#NAME?</v>
      </c>
      <c r="G23" s="6" t="e">
        <f ca="1"/>
        <v>#NAME?</v>
      </c>
      <c r="I23" s="32" t="e">
        <f t="array" ref="I23:J24" ca="1">I6:J6*I7:J8</f>
        <v>#NAME?</v>
      </c>
      <c r="J23" s="34" t="e">
        <f ca="1"/>
        <v>#NAME?</v>
      </c>
      <c r="L23" s="7" t="e">
        <f ca="1"/>
        <v>#NAME?</v>
      </c>
      <c r="M23" s="9" t="e">
        <f ca="1"/>
        <v>#NAME?</v>
      </c>
    </row>
    <row r="24" spans="1:24" x14ac:dyDescent="0.35">
      <c r="A24" s="18" t="s">
        <v>121</v>
      </c>
      <c r="E24" s="7">
        <v>0</v>
      </c>
      <c r="F24" s="8" t="e">
        <f ca="1"/>
        <v>#NAME?</v>
      </c>
      <c r="G24" s="9" t="e">
        <f ca="1"/>
        <v>#NAME?</v>
      </c>
      <c r="I24" s="27" t="e">
        <f ca="1"/>
        <v>#NAME?</v>
      </c>
      <c r="J24" s="29" t="e">
        <f ca="1"/>
        <v>#NAME?</v>
      </c>
      <c r="R24" t="s">
        <v>127</v>
      </c>
      <c r="V24" t="s">
        <v>127</v>
      </c>
    </row>
    <row r="25" spans="1:24" x14ac:dyDescent="0.35">
      <c r="A25" s="32" t="e">
        <f t="array" ref="A25:C27" ca="1">A7:C7*A8:C10</f>
        <v>#NAME?</v>
      </c>
      <c r="B25" s="33" t="e">
        <f ca="1"/>
        <v>#NAME?</v>
      </c>
      <c r="C25" s="34" t="e">
        <f ca="1"/>
        <v>#NAME?</v>
      </c>
      <c r="L25" t="s">
        <v>4</v>
      </c>
    </row>
    <row r="26" spans="1:24" x14ac:dyDescent="0.35">
      <c r="A26" s="4" t="e">
        <f ca="1"/>
        <v>#NAME?</v>
      </c>
      <c r="B26" s="5" t="e">
        <f ca="1"/>
        <v>#NAME?</v>
      </c>
      <c r="C26" s="26" t="e">
        <f ca="1"/>
        <v>#NAME?</v>
      </c>
      <c r="E26" t="s">
        <v>157</v>
      </c>
      <c r="I26" t="s">
        <v>61</v>
      </c>
      <c r="L26" s="62" t="e">
        <f ca="1">I6</f>
        <v>#NAME?</v>
      </c>
      <c r="M26" s="64" t="e">
        <f ca="1">M14*O5</f>
        <v>#NAME?</v>
      </c>
      <c r="R26" t="e">
        <f t="array" aca="1" ref="R26:T26" ca="1">DIAG(R20:T22)</f>
        <v>#NAME?</v>
      </c>
      <c r="S26" t="e">
        <f ca="1"/>
        <v>#NAME?</v>
      </c>
      <c r="T26" t="e">
        <f ca="1"/>
        <v>#NAME?</v>
      </c>
      <c r="V26" t="e">
        <f ca="1">R26</f>
        <v>#NAME?</v>
      </c>
      <c r="W26" t="e">
        <f ca="1">S26</f>
        <v>#NAME?</v>
      </c>
      <c r="X26" t="e">
        <f ca="1">T26</f>
        <v>#NAME?</v>
      </c>
    </row>
    <row r="27" spans="1:24" x14ac:dyDescent="0.35">
      <c r="A27" s="27" t="e">
        <f ca="1"/>
        <v>#NAME?</v>
      </c>
      <c r="B27" s="28" t="e">
        <f ca="1"/>
        <v>#NAME?</v>
      </c>
      <c r="C27" s="29" t="e">
        <f ca="1"/>
        <v>#NAME?</v>
      </c>
      <c r="E27" s="62" t="e">
        <f t="array" aca="1" ref="E27:G29" ca="1">MMULT(E12:G14,E22:G24)</f>
        <v>#NAME?</v>
      </c>
      <c r="F27" s="63" t="e">
        <f ca="1"/>
        <v>#NAME?</v>
      </c>
      <c r="G27" s="64" t="e">
        <f ca="1"/>
        <v>#NAME?</v>
      </c>
      <c r="I27" s="32" t="e">
        <f t="array" aca="1" ref="I27:J28" ca="1">MMULT(I2:J3,I7:J8)</f>
        <v>#NAME?</v>
      </c>
      <c r="J27" s="34" t="e">
        <f ca="1"/>
        <v>#NAME?</v>
      </c>
      <c r="L27" s="7">
        <v>0</v>
      </c>
      <c r="M27" s="9" t="e">
        <f ca="1">O8</f>
        <v>#NAME?</v>
      </c>
      <c r="R27" s="62">
        <f t="array" ref="R27:T29">R9:T11/R12:T12</f>
        <v>1</v>
      </c>
      <c r="S27" s="63" t="e">
        <f ca="1"/>
        <v>#NAME?</v>
      </c>
      <c r="T27" s="64" t="e">
        <f ca="1"/>
        <v>#NAME?</v>
      </c>
      <c r="V27" s="62" t="e">
        <f t="array" ref="V27:X29" ca="1">V9:X11/V12:X12</f>
        <v>#NAME?</v>
      </c>
      <c r="W27" s="63" t="e">
        <f ca="1"/>
        <v>#NAME?</v>
      </c>
      <c r="X27" s="64" t="e">
        <f ca="1"/>
        <v>#NAME?</v>
      </c>
    </row>
    <row r="28" spans="1:24" x14ac:dyDescent="0.35">
      <c r="E28" s="4" t="e">
        <f ca="1"/>
        <v>#NAME?</v>
      </c>
      <c r="F28" s="5" t="e">
        <f ca="1"/>
        <v>#NAME?</v>
      </c>
      <c r="G28" s="6" t="e">
        <f ca="1"/>
        <v>#NAME?</v>
      </c>
      <c r="I28" s="27" t="e">
        <f ca="1"/>
        <v>#NAME?</v>
      </c>
      <c r="J28" s="29" t="e">
        <f ca="1"/>
        <v>#NAME?</v>
      </c>
      <c r="R28" s="4">
        <v>0</v>
      </c>
      <c r="S28" s="5" t="e">
        <f ca="1"/>
        <v>#NAME?</v>
      </c>
      <c r="T28" s="6" t="e">
        <f ca="1"/>
        <v>#NAME?</v>
      </c>
      <c r="V28" s="4" t="e">
        <f ca="1"/>
        <v>#NAME?</v>
      </c>
      <c r="W28" s="5" t="e">
        <f ca="1"/>
        <v>#NAME?</v>
      </c>
      <c r="X28" s="6" t="e">
        <f ca="1"/>
        <v>#NAME?</v>
      </c>
    </row>
    <row r="29" spans="1:24" ht="15" customHeight="1" x14ac:dyDescent="0.35">
      <c r="A29" t="s">
        <v>61</v>
      </c>
      <c r="E29" s="7" t="e">
        <f ca="1"/>
        <v>#NAME?</v>
      </c>
      <c r="F29" s="8" t="e">
        <f ca="1"/>
        <v>#NAME?</v>
      </c>
      <c r="G29" s="9" t="e">
        <f ca="1"/>
        <v>#NAME?</v>
      </c>
      <c r="L29" t="s">
        <v>36</v>
      </c>
      <c r="R29" s="7">
        <v>0</v>
      </c>
      <c r="S29" s="8" t="e">
        <f ca="1"/>
        <v>#NAME?</v>
      </c>
      <c r="T29" s="9" t="e">
        <f ca="1"/>
        <v>#NAME?</v>
      </c>
      <c r="V29" s="7" t="e">
        <f ca="1"/>
        <v>#NAME?</v>
      </c>
      <c r="W29" s="8" t="e">
        <f ca="1"/>
        <v>#NAME?</v>
      </c>
      <c r="X29" s="9" t="e">
        <f ca="1"/>
        <v>#NAME?</v>
      </c>
    </row>
    <row r="30" spans="1:24" x14ac:dyDescent="0.35">
      <c r="A30" s="32" t="e">
        <f t="array" aca="1" ref="A30:C32" ca="1">MMULT(A2:C4,A8:C10)</f>
        <v>#NAME?</v>
      </c>
      <c r="B30" s="33" t="e">
        <f ca="1"/>
        <v>#NAME?</v>
      </c>
      <c r="C30" s="34" t="e">
        <f ca="1"/>
        <v>#NAME?</v>
      </c>
      <c r="L30" s="62" t="e">
        <f t="array" aca="1" ref="L30:M31" ca="1">MMULT(TRANSPOSE(L22:M23),L22:M23)</f>
        <v>#NAME?</v>
      </c>
      <c r="M30" s="64" t="e">
        <f ca="1"/>
        <v>#NAME?</v>
      </c>
    </row>
    <row r="31" spans="1:24" x14ac:dyDescent="0.35">
      <c r="A31" s="4" t="e">
        <f ca="1"/>
        <v>#NAME?</v>
      </c>
      <c r="B31" s="5" t="e">
        <f ca="1"/>
        <v>#NAME?</v>
      </c>
      <c r="C31" s="26" t="e">
        <f ca="1"/>
        <v>#NAME?</v>
      </c>
      <c r="E31" t="s">
        <v>158</v>
      </c>
      <c r="L31" s="7" t="e">
        <f ca="1"/>
        <v>#NAME?</v>
      </c>
      <c r="M31" s="9" t="e">
        <f ca="1"/>
        <v>#NAME?</v>
      </c>
      <c r="R31" t="s">
        <v>129</v>
      </c>
      <c r="V31" t="s">
        <v>130</v>
      </c>
    </row>
    <row r="32" spans="1:24" x14ac:dyDescent="0.35">
      <c r="A32" s="27" t="e">
        <f ca="1"/>
        <v>#NAME?</v>
      </c>
      <c r="B32" s="28" t="e">
        <f ca="1"/>
        <v>#NAME?</v>
      </c>
      <c r="C32" s="29" t="e">
        <f ca="1"/>
        <v>#NAME?</v>
      </c>
      <c r="E32" s="62" t="e">
        <f ca="1">A7</f>
        <v>#NAME?</v>
      </c>
      <c r="F32" s="63" t="e">
        <f t="array" aca="1" ref="F32:G32" ca="1">MMULT(F17:G17,L22:M23)</f>
        <v>#NAME?</v>
      </c>
      <c r="G32" s="64" t="e">
        <f ca="1"/>
        <v>#NAME?</v>
      </c>
    </row>
    <row r="33" spans="1:24" ht="15" customHeight="1" x14ac:dyDescent="0.35">
      <c r="E33" s="4">
        <v>0</v>
      </c>
      <c r="F33" s="5" t="e">
        <f t="array" ref="F33:G34" ca="1">L26:M27</f>
        <v>#NAME?</v>
      </c>
      <c r="G33" s="6" t="e">
        <f ca="1"/>
        <v>#NAME?</v>
      </c>
      <c r="L33" t="s">
        <v>131</v>
      </c>
      <c r="R33" t="e">
        <f t="array" aca="1" ref="R33:T38" ca="1">eVECT(R2:T4)</f>
        <v>#NAME?</v>
      </c>
      <c r="S33" t="e">
        <f ca="1"/>
        <v>#NAME?</v>
      </c>
      <c r="T33" t="e">
        <f ca="1"/>
        <v>#NAME?</v>
      </c>
      <c r="V33" t="e">
        <f t="array" aca="1" ref="V33:X38" ca="1">eVECT(V2:X4)</f>
        <v>#NAME?</v>
      </c>
      <c r="W33" t="e">
        <f ca="1"/>
        <v>#NAME?</v>
      </c>
      <c r="X33" t="e">
        <f ca="1"/>
        <v>#NAME?</v>
      </c>
    </row>
    <row r="34" spans="1:24" x14ac:dyDescent="0.35">
      <c r="E34" s="7">
        <v>0</v>
      </c>
      <c r="F34" s="8">
        <v>0</v>
      </c>
      <c r="G34" s="9" t="e">
        <f ca="1"/>
        <v>#NAME?</v>
      </c>
      <c r="L34" s="62" t="e">
        <f t="array" aca="1" ref="L34:M35" ca="1">MMULT(L22:M23,MMULT(L26:M27,TRANSPOSE(L22:M23)))</f>
        <v>#NAME?</v>
      </c>
      <c r="M34" s="64" t="e">
        <f ca="1"/>
        <v>#NAME?</v>
      </c>
      <c r="R34" s="62" t="e">
        <f ca="1"/>
        <v>#NAME?</v>
      </c>
      <c r="S34" s="63" t="e">
        <f ca="1"/>
        <v>#NAME?</v>
      </c>
      <c r="T34" s="64" t="e">
        <f ca="1"/>
        <v>#NAME?</v>
      </c>
      <c r="V34" s="62" t="e">
        <f ca="1"/>
        <v>#NAME?</v>
      </c>
      <c r="W34" s="63" t="e">
        <f ca="1"/>
        <v>#NAME?</v>
      </c>
      <c r="X34" s="64" t="e">
        <f ca="1"/>
        <v>#NAME?</v>
      </c>
    </row>
    <row r="35" spans="1:24" x14ac:dyDescent="0.35">
      <c r="L35" s="7" t="e">
        <f ca="1"/>
        <v>#NAME?</v>
      </c>
      <c r="M35" s="9" t="e">
        <f ca="1"/>
        <v>#NAME?</v>
      </c>
      <c r="R35" s="4" t="e">
        <f ca="1"/>
        <v>#NAME?</v>
      </c>
      <c r="S35" s="5" t="e">
        <f ca="1"/>
        <v>#NAME?</v>
      </c>
      <c r="T35" s="6" t="e">
        <f ca="1"/>
        <v>#NAME?</v>
      </c>
      <c r="V35" s="4" t="e">
        <f ca="1"/>
        <v>#NAME?</v>
      </c>
      <c r="W35" s="5" t="e">
        <f ca="1"/>
        <v>#NAME?</v>
      </c>
      <c r="X35" s="6" t="e">
        <f ca="1"/>
        <v>#NAME?</v>
      </c>
    </row>
    <row r="36" spans="1:24" ht="15" customHeight="1" x14ac:dyDescent="0.35">
      <c r="A36" t="s">
        <v>128</v>
      </c>
      <c r="E36" t="s">
        <v>36</v>
      </c>
      <c r="R36" s="7" t="e">
        <f ca="1"/>
        <v>#NAME?</v>
      </c>
      <c r="S36" s="8" t="e">
        <f ca="1"/>
        <v>#NAME?</v>
      </c>
      <c r="T36" s="9" t="e">
        <f ca="1"/>
        <v>#NAME?</v>
      </c>
      <c r="V36" s="7" t="e">
        <f ca="1"/>
        <v>#NAME?</v>
      </c>
      <c r="W36" s="8" t="e">
        <f ca="1"/>
        <v>#NAME?</v>
      </c>
      <c r="X36" s="9" t="e">
        <f ca="1"/>
        <v>#NAME?</v>
      </c>
    </row>
    <row r="37" spans="1:24" x14ac:dyDescent="0.35">
      <c r="A37" s="62" t="e">
        <f t="array" aca="1" ref="A37:C39" ca="1">SCHURQ(A2:C4)</f>
        <v>#NAME?</v>
      </c>
      <c r="B37" s="63" t="e">
        <f ca="1"/>
        <v>#NAME?</v>
      </c>
      <c r="C37" s="64" t="e">
        <f ca="1"/>
        <v>#NAME?</v>
      </c>
      <c r="E37" s="62" t="e">
        <f t="array" aca="1" ref="E37:G39" ca="1">MMULT(TRANSPOSE(E27:G29),E27:G29)</f>
        <v>#NAME?</v>
      </c>
      <c r="F37" s="63" t="e">
        <f ca="1"/>
        <v>#NAME?</v>
      </c>
      <c r="G37" s="64" t="e">
        <f ca="1"/>
        <v>#NAME?</v>
      </c>
      <c r="L37" t="s">
        <v>132</v>
      </c>
      <c r="R37" t="e">
        <f ca="1"/>
        <v>#NAME?</v>
      </c>
      <c r="S37" t="e">
        <f ca="1"/>
        <v>#NAME?</v>
      </c>
      <c r="T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</row>
    <row r="38" spans="1:24" x14ac:dyDescent="0.35">
      <c r="A38" s="4" t="e">
        <f ca="1"/>
        <v>#NAME?</v>
      </c>
      <c r="B38" s="5" t="e">
        <f ca="1"/>
        <v>#NAME?</v>
      </c>
      <c r="C38" s="6" t="e">
        <f ca="1"/>
        <v>#NAME?</v>
      </c>
      <c r="E38" s="4" t="e">
        <f ca="1"/>
        <v>#NAME?</v>
      </c>
      <c r="F38" s="5" t="e">
        <f ca="1"/>
        <v>#NAME?</v>
      </c>
      <c r="G38" s="6" t="e">
        <f ca="1"/>
        <v>#NAME?</v>
      </c>
      <c r="L38" s="62" t="e">
        <f t="array" aca="1" ref="L38:M41" ca="1">SCHUR(L2:M3)</f>
        <v>#NAME?</v>
      </c>
      <c r="M38" s="64" t="e">
        <f ca="1"/>
        <v>#NAME?</v>
      </c>
      <c r="R38" t="e">
        <f ca="1"/>
        <v>#NAME?</v>
      </c>
      <c r="S38" t="e">
        <f ca="1"/>
        <v>#NAME?</v>
      </c>
      <c r="T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</row>
    <row r="39" spans="1:24" x14ac:dyDescent="0.35">
      <c r="A39" s="7" t="e">
        <f ca="1"/>
        <v>#NAME?</v>
      </c>
      <c r="B39" s="8" t="e">
        <f ca="1"/>
        <v>#NAME?</v>
      </c>
      <c r="C39" s="9" t="e">
        <f ca="1"/>
        <v>#NAME?</v>
      </c>
      <c r="E39" s="7" t="e">
        <f ca="1"/>
        <v>#NAME?</v>
      </c>
      <c r="F39" s="8" t="e">
        <f ca="1"/>
        <v>#NAME?</v>
      </c>
      <c r="G39" s="9" t="e">
        <f ca="1"/>
        <v>#NAME?</v>
      </c>
      <c r="L39" s="7" t="e">
        <f ca="1"/>
        <v>#NAME?</v>
      </c>
      <c r="M39" s="9" t="e">
        <f ca="1"/>
        <v>#NAME?</v>
      </c>
    </row>
    <row r="40" spans="1:24" x14ac:dyDescent="0.35">
      <c r="L40" s="4" t="e">
        <f ca="1"/>
        <v>#NAME?</v>
      </c>
      <c r="M40" s="6" t="e">
        <f ca="1"/>
        <v>#NAME?</v>
      </c>
    </row>
    <row r="41" spans="1:24" ht="15" customHeight="1" x14ac:dyDescent="0.35">
      <c r="E41" t="s">
        <v>131</v>
      </c>
      <c r="L41" s="7" t="e">
        <f ca="1"/>
        <v>#NAME?</v>
      </c>
      <c r="M41" s="9" t="e">
        <f ca="1"/>
        <v>#NAME?</v>
      </c>
    </row>
    <row r="42" spans="1:24" x14ac:dyDescent="0.35">
      <c r="E42" s="62" t="e">
        <f t="array" aca="1" ref="E42:G44" ca="1">MMULT(E27:G29,MMULT(E32:G34,TRANSPOSE(E27:G29)))</f>
        <v>#NAME?</v>
      </c>
      <c r="F42" s="63" t="e">
        <f ca="1"/>
        <v>#NAME?</v>
      </c>
      <c r="G42" s="64" t="e">
        <f ca="1"/>
        <v>#NAME?</v>
      </c>
    </row>
    <row r="43" spans="1:24" x14ac:dyDescent="0.35">
      <c r="E43" s="4" t="e">
        <f ca="1"/>
        <v>#NAME?</v>
      </c>
      <c r="F43" s="5" t="e">
        <f ca="1"/>
        <v>#NAME?</v>
      </c>
      <c r="G43" s="6" t="e">
        <f ca="1"/>
        <v>#NAME?</v>
      </c>
    </row>
    <row r="44" spans="1:24" x14ac:dyDescent="0.35">
      <c r="E44" s="7" t="e">
        <f ca="1"/>
        <v>#NAME?</v>
      </c>
      <c r="F44" s="8" t="e">
        <f ca="1"/>
        <v>#NAME?</v>
      </c>
      <c r="G44" s="9" t="e">
        <f ca="1"/>
        <v>#NAME?</v>
      </c>
    </row>
    <row r="46" spans="1:24" x14ac:dyDescent="0.35">
      <c r="E46" t="s">
        <v>133</v>
      </c>
    </row>
    <row r="47" spans="1:24" x14ac:dyDescent="0.35">
      <c r="E47" s="62" t="e">
        <f t="array" aca="1" ref="E47:G49" ca="1">MMULT(TRANSPOSE(E27:G29),MMULT(E2:G4,E27:G29))</f>
        <v>#NAME?</v>
      </c>
      <c r="F47" s="63" t="e">
        <f ca="1"/>
        <v>#NAME?</v>
      </c>
      <c r="G47" s="64" t="e">
        <f ca="1"/>
        <v>#NAME?</v>
      </c>
    </row>
    <row r="48" spans="1:24" x14ac:dyDescent="0.35">
      <c r="E48" s="4" t="e">
        <f ca="1"/>
        <v>#NAME?</v>
      </c>
      <c r="F48" s="5" t="e">
        <f ca="1"/>
        <v>#NAME?</v>
      </c>
      <c r="G48" s="6" t="e">
        <f ca="1"/>
        <v>#NAME?</v>
      </c>
    </row>
    <row r="49" spans="5:7" x14ac:dyDescent="0.35">
      <c r="E49" s="7" t="e">
        <f ca="1"/>
        <v>#NAME?</v>
      </c>
      <c r="F49" s="8" t="e">
        <f ca="1"/>
        <v>#NAME?</v>
      </c>
      <c r="G49" s="9" t="e">
        <f ca="1"/>
        <v>#NAME?</v>
      </c>
    </row>
    <row r="51" spans="5:7" x14ac:dyDescent="0.35">
      <c r="E51" t="s">
        <v>132</v>
      </c>
    </row>
    <row r="52" spans="5:7" x14ac:dyDescent="0.35">
      <c r="E52" s="62" t="e">
        <f t="array" aca="1" ref="E52:G57" ca="1">SCHUR(E2:G4)</f>
        <v>#NAME?</v>
      </c>
      <c r="F52" s="63" t="e">
        <f ca="1"/>
        <v>#NAME?</v>
      </c>
      <c r="G52" s="64" t="e">
        <f ca="1"/>
        <v>#NAME?</v>
      </c>
    </row>
    <row r="53" spans="5:7" x14ac:dyDescent="0.35">
      <c r="E53" s="4" t="e">
        <f ca="1"/>
        <v>#NAME?</v>
      </c>
      <c r="F53" s="5" t="e">
        <f ca="1"/>
        <v>#NAME?</v>
      </c>
      <c r="G53" s="6" t="e">
        <f ca="1"/>
        <v>#NAME?</v>
      </c>
    </row>
    <row r="54" spans="5:7" x14ac:dyDescent="0.35">
      <c r="E54" s="7" t="e">
        <f ca="1"/>
        <v>#NAME?</v>
      </c>
      <c r="F54" s="8" t="e">
        <f ca="1"/>
        <v>#NAME?</v>
      </c>
      <c r="G54" s="9" t="e">
        <f ca="1"/>
        <v>#NAME?</v>
      </c>
    </row>
    <row r="55" spans="5:7" x14ac:dyDescent="0.35">
      <c r="E55" s="4" t="e">
        <f ca="1"/>
        <v>#NAME?</v>
      </c>
      <c r="F55" s="5" t="e">
        <f ca="1"/>
        <v>#NAME?</v>
      </c>
      <c r="G55" s="6" t="e">
        <f ca="1"/>
        <v>#NAME?</v>
      </c>
    </row>
    <row r="56" spans="5:7" x14ac:dyDescent="0.35">
      <c r="E56" s="4" t="e">
        <f ca="1"/>
        <v>#NAME?</v>
      </c>
      <c r="F56" s="5" t="e">
        <f ca="1"/>
        <v>#NAME?</v>
      </c>
      <c r="G56" s="6" t="e">
        <f ca="1"/>
        <v>#NAME?</v>
      </c>
    </row>
    <row r="57" spans="5:7" x14ac:dyDescent="0.35">
      <c r="E57" s="7" t="e">
        <f ca="1"/>
        <v>#NAME?</v>
      </c>
      <c r="F57" s="8" t="e">
        <f ca="1"/>
        <v>#NAME?</v>
      </c>
      <c r="G57" s="9" t="e">
        <f ca="1"/>
        <v>#NAME?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7"/>
  <dimension ref="A1:P29"/>
  <sheetViews>
    <sheetView workbookViewId="0"/>
  </sheetViews>
  <sheetFormatPr defaultRowHeight="14.5" x14ac:dyDescent="0.35"/>
  <cols>
    <col min="11" max="14" width="9.1796875" customWidth="1"/>
  </cols>
  <sheetData>
    <row r="1" spans="1:14" x14ac:dyDescent="0.35">
      <c r="A1" s="10" t="s">
        <v>32</v>
      </c>
    </row>
    <row r="2" spans="1:14" x14ac:dyDescent="0.35">
      <c r="A2" s="10"/>
    </row>
    <row r="3" spans="1:14" x14ac:dyDescent="0.35">
      <c r="A3" t="s">
        <v>16</v>
      </c>
      <c r="F3" t="s">
        <v>33</v>
      </c>
      <c r="K3" t="s">
        <v>34</v>
      </c>
    </row>
    <row r="4" spans="1:14" x14ac:dyDescent="0.35">
      <c r="A4" s="43">
        <v>4</v>
      </c>
      <c r="B4" s="44">
        <v>1</v>
      </c>
      <c r="C4" s="44">
        <v>3</v>
      </c>
      <c r="D4" s="45">
        <v>2</v>
      </c>
      <c r="F4" s="43" t="e">
        <f t="array" aca="1" ref="F4:I7" ca="1">QRFactorR(A4:D9)</f>
        <v>#NAME?</v>
      </c>
      <c r="G4" s="44" t="e">
        <f ca="1"/>
        <v>#NAME?</v>
      </c>
      <c r="H4" s="44" t="e">
        <f ca="1"/>
        <v>#NAME?</v>
      </c>
      <c r="I4" s="45" t="e">
        <f ca="1"/>
        <v>#NAME?</v>
      </c>
      <c r="K4" s="43" t="e">
        <f t="array" aca="1" ref="K4:N13" ca="1">QRFactor(A4:D9)</f>
        <v>#NAME?</v>
      </c>
      <c r="L4" s="44" t="e">
        <f ca="1"/>
        <v>#NAME?</v>
      </c>
      <c r="M4" s="44" t="e">
        <f ca="1"/>
        <v>#NAME?</v>
      </c>
      <c r="N4" s="45" t="e">
        <f ca="1"/>
        <v>#NAME?</v>
      </c>
    </row>
    <row r="5" spans="1:14" x14ac:dyDescent="0.35">
      <c r="A5" s="30">
        <v>5</v>
      </c>
      <c r="B5" s="5">
        <v>4</v>
      </c>
      <c r="C5" s="5">
        <v>-1</v>
      </c>
      <c r="D5" s="26">
        <v>5</v>
      </c>
      <c r="F5" s="30" t="e">
        <f ca="1"/>
        <v>#NAME?</v>
      </c>
      <c r="G5" s="5" t="e">
        <f ca="1"/>
        <v>#NAME?</v>
      </c>
      <c r="H5" s="5" t="e">
        <f ca="1"/>
        <v>#NAME?</v>
      </c>
      <c r="I5" s="26" t="e">
        <f ca="1"/>
        <v>#NAME?</v>
      </c>
      <c r="K5" s="30" t="e">
        <f ca="1"/>
        <v>#NAME?</v>
      </c>
      <c r="L5" s="5" t="e">
        <f ca="1"/>
        <v>#NAME?</v>
      </c>
      <c r="M5" s="5" t="e">
        <f ca="1"/>
        <v>#NAME?</v>
      </c>
      <c r="N5" s="26" t="e">
        <f ca="1"/>
        <v>#NAME?</v>
      </c>
    </row>
    <row r="6" spans="1:14" x14ac:dyDescent="0.35">
      <c r="A6" s="30">
        <v>7</v>
      </c>
      <c r="B6" s="5">
        <v>3</v>
      </c>
      <c r="C6" s="5">
        <v>0</v>
      </c>
      <c r="D6" s="26">
        <v>7</v>
      </c>
      <c r="F6" s="30" t="e">
        <f ca="1"/>
        <v>#NAME?</v>
      </c>
      <c r="G6" s="5" t="e">
        <f ca="1"/>
        <v>#NAME?</v>
      </c>
      <c r="H6" s="5" t="e">
        <f ca="1"/>
        <v>#NAME?</v>
      </c>
      <c r="I6" s="26" t="e">
        <f ca="1"/>
        <v>#NAME?</v>
      </c>
      <c r="K6" s="30" t="e">
        <f ca="1"/>
        <v>#NAME?</v>
      </c>
      <c r="L6" s="5" t="e">
        <f ca="1"/>
        <v>#NAME?</v>
      </c>
      <c r="M6" s="5" t="e">
        <f ca="1"/>
        <v>#NAME?</v>
      </c>
      <c r="N6" s="26" t="e">
        <f ca="1"/>
        <v>#NAME?</v>
      </c>
    </row>
    <row r="7" spans="1:14" x14ac:dyDescent="0.35">
      <c r="A7" s="30">
        <v>1</v>
      </c>
      <c r="B7" s="16">
        <v>2</v>
      </c>
      <c r="C7" s="16">
        <v>5</v>
      </c>
      <c r="D7" s="26">
        <v>8</v>
      </c>
      <c r="F7" s="27" t="e">
        <f ca="1"/>
        <v>#NAME?</v>
      </c>
      <c r="G7" s="28" t="e">
        <f ca="1"/>
        <v>#NAME?</v>
      </c>
      <c r="H7" s="28" t="e">
        <f ca="1"/>
        <v>#NAME?</v>
      </c>
      <c r="I7" s="29" t="e">
        <f ca="1"/>
        <v>#NAME?</v>
      </c>
      <c r="K7" s="30" t="e">
        <f ca="1"/>
        <v>#NAME?</v>
      </c>
      <c r="L7" s="5" t="e">
        <f ca="1"/>
        <v>#NAME?</v>
      </c>
      <c r="M7" s="5" t="e">
        <f ca="1"/>
        <v>#NAME?</v>
      </c>
      <c r="N7" s="26" t="e">
        <f ca="1"/>
        <v>#NAME?</v>
      </c>
    </row>
    <row r="8" spans="1:14" x14ac:dyDescent="0.35">
      <c r="A8" s="30">
        <v>-3</v>
      </c>
      <c r="B8" s="16">
        <v>-5</v>
      </c>
      <c r="C8" s="16">
        <v>2</v>
      </c>
      <c r="D8" s="26">
        <v>8</v>
      </c>
      <c r="K8" s="30" t="e">
        <f ca="1"/>
        <v>#NAME?</v>
      </c>
      <c r="L8" s="5" t="e">
        <f ca="1"/>
        <v>#NAME?</v>
      </c>
      <c r="M8" s="5" t="e">
        <f ca="1"/>
        <v>#NAME?</v>
      </c>
      <c r="N8" s="26" t="e">
        <f ca="1"/>
        <v>#NAME?</v>
      </c>
    </row>
    <row r="9" spans="1:14" x14ac:dyDescent="0.35">
      <c r="A9" s="27">
        <v>5</v>
      </c>
      <c r="B9" s="28">
        <v>7</v>
      </c>
      <c r="C9" s="28">
        <v>4</v>
      </c>
      <c r="D9" s="29">
        <v>9</v>
      </c>
      <c r="F9" t="s">
        <v>35</v>
      </c>
      <c r="K9" s="30" t="e">
        <f ca="1"/>
        <v>#NAME?</v>
      </c>
      <c r="L9" s="5" t="e">
        <f ca="1"/>
        <v>#NAME?</v>
      </c>
      <c r="M9" s="5" t="e">
        <f ca="1"/>
        <v>#NAME?</v>
      </c>
      <c r="N9" s="26" t="e">
        <f ca="1"/>
        <v>#NAME?</v>
      </c>
    </row>
    <row r="10" spans="1:14" x14ac:dyDescent="0.35">
      <c r="F10" s="43" t="e">
        <f t="array" aca="1" ref="F10:I15" ca="1">MMULT(A4:D9,MINVERSE(F4:I7))</f>
        <v>#NAME?</v>
      </c>
      <c r="G10" s="44" t="e">
        <f ca="1"/>
        <v>#NAME?</v>
      </c>
      <c r="H10" s="44" t="e">
        <f ca="1"/>
        <v>#NAME?</v>
      </c>
      <c r="I10" s="45" t="e">
        <f ca="1"/>
        <v>#NAME?</v>
      </c>
      <c r="K10" s="43" t="e">
        <f ca="1"/>
        <v>#NAME?</v>
      </c>
      <c r="L10" s="44" t="e">
        <f ca="1"/>
        <v>#NAME?</v>
      </c>
      <c r="M10" s="44" t="e">
        <f ca="1"/>
        <v>#NAME?</v>
      </c>
      <c r="N10" s="45" t="e">
        <f ca="1"/>
        <v>#NAME?</v>
      </c>
    </row>
    <row r="11" spans="1:14" x14ac:dyDescent="0.35">
      <c r="F11" s="30" t="e">
        <f ca="1"/>
        <v>#NAME?</v>
      </c>
      <c r="G11" s="5" t="e">
        <f ca="1"/>
        <v>#NAME?</v>
      </c>
      <c r="H11" s="5" t="e">
        <f ca="1"/>
        <v>#NAME?</v>
      </c>
      <c r="I11" s="26" t="e">
        <f ca="1"/>
        <v>#NAME?</v>
      </c>
      <c r="K11" s="30" t="e">
        <f ca="1"/>
        <v>#NAME?</v>
      </c>
      <c r="L11" s="5" t="e">
        <f ca="1"/>
        <v>#NAME?</v>
      </c>
      <c r="M11" s="5" t="e">
        <f ca="1"/>
        <v>#NAME?</v>
      </c>
      <c r="N11" s="26" t="e">
        <f ca="1"/>
        <v>#NAME?</v>
      </c>
    </row>
    <row r="12" spans="1:14" x14ac:dyDescent="0.35">
      <c r="F12" s="30" t="e">
        <f ca="1"/>
        <v>#NAME?</v>
      </c>
      <c r="G12" s="5" t="e">
        <f ca="1"/>
        <v>#NAME?</v>
      </c>
      <c r="H12" s="5" t="e">
        <f ca="1"/>
        <v>#NAME?</v>
      </c>
      <c r="I12" s="26" t="e">
        <f ca="1"/>
        <v>#NAME?</v>
      </c>
      <c r="K12" s="30" t="e">
        <f ca="1"/>
        <v>#NAME?</v>
      </c>
      <c r="L12" s="5" t="e">
        <f ca="1"/>
        <v>#NAME?</v>
      </c>
      <c r="M12" s="5" t="e">
        <f ca="1"/>
        <v>#NAME?</v>
      </c>
      <c r="N12" s="26" t="e">
        <f ca="1"/>
        <v>#NAME?</v>
      </c>
    </row>
    <row r="13" spans="1:14" x14ac:dyDescent="0.35">
      <c r="F13" s="30" t="e">
        <f ca="1"/>
        <v>#NAME?</v>
      </c>
      <c r="G13" s="5" t="e">
        <f ca="1"/>
        <v>#NAME?</v>
      </c>
      <c r="H13" s="5" t="e">
        <f ca="1"/>
        <v>#NAME?</v>
      </c>
      <c r="I13" s="26" t="e">
        <f ca="1"/>
        <v>#NAME?</v>
      </c>
      <c r="K13" s="27" t="e">
        <f ca="1"/>
        <v>#NAME?</v>
      </c>
      <c r="L13" s="28" t="e">
        <f ca="1"/>
        <v>#NAME?</v>
      </c>
      <c r="M13" s="28" t="e">
        <f ca="1"/>
        <v>#NAME?</v>
      </c>
      <c r="N13" s="29" t="e">
        <f ca="1"/>
        <v>#NAME?</v>
      </c>
    </row>
    <row r="14" spans="1:14" x14ac:dyDescent="0.35">
      <c r="F14" s="30" t="e">
        <f ca="1"/>
        <v>#NAME?</v>
      </c>
      <c r="G14" s="5" t="e">
        <f ca="1"/>
        <v>#NAME?</v>
      </c>
      <c r="H14" s="5" t="e">
        <f ca="1"/>
        <v>#NAME?</v>
      </c>
      <c r="I14" s="26" t="e">
        <f ca="1"/>
        <v>#NAME?</v>
      </c>
    </row>
    <row r="15" spans="1:14" x14ac:dyDescent="0.35">
      <c r="F15" s="27" t="e">
        <f ca="1"/>
        <v>#NAME?</v>
      </c>
      <c r="G15" s="28" t="e">
        <f ca="1"/>
        <v>#NAME?</v>
      </c>
      <c r="H15" s="28" t="e">
        <f ca="1"/>
        <v>#NAME?</v>
      </c>
      <c r="I15" s="29" t="e">
        <f ca="1"/>
        <v>#NAME?</v>
      </c>
    </row>
    <row r="17" spans="6:16" ht="16.5" x14ac:dyDescent="0.35">
      <c r="F17" t="s">
        <v>34</v>
      </c>
      <c r="K17" t="s">
        <v>36</v>
      </c>
    </row>
    <row r="18" spans="6:16" x14ac:dyDescent="0.35">
      <c r="F18" s="43" t="e">
        <f t="array" aca="1" ref="F18:I23" ca="1">MMULT(F10:I15,F4:I7)</f>
        <v>#NAME?</v>
      </c>
      <c r="G18" s="44" t="e">
        <f ca="1"/>
        <v>#NAME?</v>
      </c>
      <c r="H18" s="44" t="e">
        <f ca="1"/>
        <v>#NAME?</v>
      </c>
      <c r="I18" s="45" t="e">
        <f ca="1"/>
        <v>#NAME?</v>
      </c>
      <c r="K18" s="43" t="e">
        <f t="array" aca="1" ref="K18:N21" ca="1">MMULT(TRANSPOSE(F10:I15),F10:I15)</f>
        <v>#NAME?</v>
      </c>
      <c r="L18" s="44" t="e">
        <f ca="1"/>
        <v>#NAME?</v>
      </c>
      <c r="M18" s="44" t="e">
        <f ca="1"/>
        <v>#NAME?</v>
      </c>
      <c r="N18" s="45" t="e">
        <f ca="1"/>
        <v>#NAME?</v>
      </c>
    </row>
    <row r="19" spans="6:16" x14ac:dyDescent="0.35">
      <c r="F19" s="30" t="e">
        <f ca="1"/>
        <v>#NAME?</v>
      </c>
      <c r="G19" s="5" t="e">
        <f ca="1"/>
        <v>#NAME?</v>
      </c>
      <c r="H19" s="5" t="e">
        <f ca="1"/>
        <v>#NAME?</v>
      </c>
      <c r="I19" s="26" t="e">
        <f ca="1"/>
        <v>#NAME?</v>
      </c>
      <c r="K19" s="30" t="e">
        <f ca="1"/>
        <v>#NAME?</v>
      </c>
      <c r="L19" s="5" t="e">
        <f ca="1"/>
        <v>#NAME?</v>
      </c>
      <c r="M19" s="5" t="e">
        <f ca="1"/>
        <v>#NAME?</v>
      </c>
      <c r="N19" s="26" t="e">
        <f ca="1"/>
        <v>#NAME?</v>
      </c>
    </row>
    <row r="20" spans="6:16" x14ac:dyDescent="0.35">
      <c r="F20" s="30" t="e">
        <f ca="1"/>
        <v>#NAME?</v>
      </c>
      <c r="G20" s="5" t="e">
        <f ca="1"/>
        <v>#NAME?</v>
      </c>
      <c r="H20" s="5" t="e">
        <f ca="1"/>
        <v>#NAME?</v>
      </c>
      <c r="I20" s="26" t="e">
        <f ca="1"/>
        <v>#NAME?</v>
      </c>
      <c r="K20" s="30" t="e">
        <f ca="1"/>
        <v>#NAME?</v>
      </c>
      <c r="L20" s="5" t="e">
        <f ca="1"/>
        <v>#NAME?</v>
      </c>
      <c r="M20" s="5" t="e">
        <f ca="1"/>
        <v>#NAME?</v>
      </c>
      <c r="N20" s="26" t="e">
        <f ca="1"/>
        <v>#NAME?</v>
      </c>
    </row>
    <row r="21" spans="6:16" x14ac:dyDescent="0.35">
      <c r="F21" s="30" t="e">
        <f ca="1"/>
        <v>#NAME?</v>
      </c>
      <c r="G21" s="5" t="e">
        <f ca="1"/>
        <v>#NAME?</v>
      </c>
      <c r="H21" s="5" t="e">
        <f ca="1"/>
        <v>#NAME?</v>
      </c>
      <c r="I21" s="26" t="e">
        <f ca="1"/>
        <v>#NAME?</v>
      </c>
      <c r="K21" s="27" t="e">
        <f ca="1"/>
        <v>#NAME?</v>
      </c>
      <c r="L21" s="28" t="e">
        <f ca="1"/>
        <v>#NAME?</v>
      </c>
      <c r="M21" s="28" t="e">
        <f ca="1"/>
        <v>#NAME?</v>
      </c>
      <c r="N21" s="29" t="e">
        <f ca="1"/>
        <v>#NAME?</v>
      </c>
    </row>
    <row r="22" spans="6:16" x14ac:dyDescent="0.35">
      <c r="F22" s="30" t="e">
        <f ca="1"/>
        <v>#NAME?</v>
      </c>
      <c r="G22" s="5" t="e">
        <f ca="1"/>
        <v>#NAME?</v>
      </c>
      <c r="H22" s="5" t="e">
        <f ca="1"/>
        <v>#NAME?</v>
      </c>
      <c r="I22" s="26" t="e">
        <f ca="1"/>
        <v>#NAME?</v>
      </c>
    </row>
    <row r="23" spans="6:16" ht="16.5" x14ac:dyDescent="0.35">
      <c r="F23" s="27" t="e">
        <f ca="1"/>
        <v>#NAME?</v>
      </c>
      <c r="G23" s="28" t="e">
        <f ca="1"/>
        <v>#NAME?</v>
      </c>
      <c r="H23" s="28" t="e">
        <f ca="1"/>
        <v>#NAME?</v>
      </c>
      <c r="I23" s="29" t="e">
        <f ca="1"/>
        <v>#NAME?</v>
      </c>
      <c r="K23" t="s">
        <v>165</v>
      </c>
    </row>
    <row r="24" spans="6:16" x14ac:dyDescent="0.35">
      <c r="K24" s="32" t="e">
        <f t="array" aca="1" ref="K24:P29" ca="1">MMULT(F10:I15,TRANSPOSE(F10:I15))</f>
        <v>#NAME?</v>
      </c>
      <c r="L24" s="33" t="e">
        <f ca="1"/>
        <v>#NAME?</v>
      </c>
      <c r="M24" s="33" t="e">
        <f ca="1"/>
        <v>#NAME?</v>
      </c>
      <c r="N24" s="33" t="e">
        <f ca="1"/>
        <v>#NAME?</v>
      </c>
      <c r="O24" s="33" t="e">
        <f ca="1"/>
        <v>#NAME?</v>
      </c>
      <c r="P24" s="34" t="e">
        <f ca="1"/>
        <v>#NAME?</v>
      </c>
    </row>
    <row r="25" spans="6:16" x14ac:dyDescent="0.35">
      <c r="K25" s="30" t="e">
        <f ca="1"/>
        <v>#NAME?</v>
      </c>
      <c r="L25" s="5" t="e">
        <f ca="1"/>
        <v>#NAME?</v>
      </c>
      <c r="M25" s="5" t="e">
        <f ca="1"/>
        <v>#NAME?</v>
      </c>
      <c r="N25" s="5" t="e">
        <f ca="1"/>
        <v>#NAME?</v>
      </c>
      <c r="O25" s="5" t="e">
        <f ca="1"/>
        <v>#NAME?</v>
      </c>
      <c r="P25" s="26" t="e">
        <f ca="1"/>
        <v>#NAME?</v>
      </c>
    </row>
    <row r="26" spans="6:16" x14ac:dyDescent="0.35">
      <c r="K26" s="30" t="e">
        <f ca="1"/>
        <v>#NAME?</v>
      </c>
      <c r="L26" s="5" t="e">
        <f ca="1"/>
        <v>#NAME?</v>
      </c>
      <c r="M26" s="5" t="e">
        <f ca="1"/>
        <v>#NAME?</v>
      </c>
      <c r="N26" s="5" t="e">
        <f ca="1"/>
        <v>#NAME?</v>
      </c>
      <c r="O26" s="5" t="e">
        <f ca="1"/>
        <v>#NAME?</v>
      </c>
      <c r="P26" s="26" t="e">
        <f ca="1"/>
        <v>#NAME?</v>
      </c>
    </row>
    <row r="27" spans="6:16" x14ac:dyDescent="0.35">
      <c r="K27" s="30" t="e">
        <f ca="1"/>
        <v>#NAME?</v>
      </c>
      <c r="L27" s="5" t="e">
        <f ca="1"/>
        <v>#NAME?</v>
      </c>
      <c r="M27" s="5" t="e">
        <f ca="1"/>
        <v>#NAME?</v>
      </c>
      <c r="N27" s="5" t="e">
        <f ca="1"/>
        <v>#NAME?</v>
      </c>
      <c r="O27" s="5" t="e">
        <f ca="1"/>
        <v>#NAME?</v>
      </c>
      <c r="P27" s="26" t="e">
        <f ca="1"/>
        <v>#NAME?</v>
      </c>
    </row>
    <row r="28" spans="6:16" x14ac:dyDescent="0.35">
      <c r="K28" s="30" t="e">
        <f ca="1"/>
        <v>#NAME?</v>
      </c>
      <c r="L28" s="5" t="e">
        <f ca="1"/>
        <v>#NAME?</v>
      </c>
      <c r="M28" s="5" t="e">
        <f ca="1"/>
        <v>#NAME?</v>
      </c>
      <c r="N28" s="5" t="e">
        <f ca="1"/>
        <v>#NAME?</v>
      </c>
      <c r="O28" s="5" t="e">
        <f ca="1"/>
        <v>#NAME?</v>
      </c>
      <c r="P28" s="26" t="e">
        <f ca="1"/>
        <v>#NAME?</v>
      </c>
    </row>
    <row r="29" spans="6:16" x14ac:dyDescent="0.35">
      <c r="K29" s="27" t="e">
        <f ca="1"/>
        <v>#NAME?</v>
      </c>
      <c r="L29" s="28" t="e">
        <f ca="1"/>
        <v>#NAME?</v>
      </c>
      <c r="M29" s="28" t="e">
        <f ca="1"/>
        <v>#NAME?</v>
      </c>
      <c r="N29" s="28" t="e">
        <f ca="1"/>
        <v>#NAME?</v>
      </c>
      <c r="O29" s="28" t="e">
        <f ca="1"/>
        <v>#NAME?</v>
      </c>
      <c r="P29" s="29" t="e">
        <f ca="1"/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84FF-7A7E-42BA-8FD7-8F97A93344A8}">
  <sheetPr codeName="Sheet85"/>
  <dimension ref="A1:W19"/>
  <sheetViews>
    <sheetView workbookViewId="0"/>
  </sheetViews>
  <sheetFormatPr defaultRowHeight="14.5" x14ac:dyDescent="0.35"/>
  <cols>
    <col min="1" max="3" width="5.6328125" customWidth="1"/>
    <col min="4" max="4" width="3.6328125" customWidth="1"/>
    <col min="8" max="8" width="3.6328125" customWidth="1"/>
    <col min="12" max="12" width="3.6328125" customWidth="1"/>
    <col min="13" max="15" width="5.6328125" customWidth="1"/>
    <col min="16" max="16" width="3.6328125" customWidth="1"/>
    <col min="20" max="20" width="3.6328125" customWidth="1"/>
  </cols>
  <sheetData>
    <row r="1" spans="1:23" ht="15" customHeight="1" x14ac:dyDescent="0.35">
      <c r="A1" t="s">
        <v>16</v>
      </c>
      <c r="E1" t="s">
        <v>35</v>
      </c>
      <c r="I1" t="s">
        <v>33</v>
      </c>
      <c r="M1" t="s">
        <v>34</v>
      </c>
      <c r="Q1" t="s">
        <v>165</v>
      </c>
      <c r="U1" t="s">
        <v>36</v>
      </c>
    </row>
    <row r="2" spans="1:23" x14ac:dyDescent="0.35">
      <c r="A2" s="94">
        <v>1</v>
      </c>
      <c r="B2" s="95">
        <v>0</v>
      </c>
      <c r="C2" s="96">
        <v>1</v>
      </c>
      <c r="E2" s="94" t="e" cm="1">
        <f t="array" aca="1" ref="E2" ca="1">QRFactorQ(A2:C4)</f>
        <v>#NAME?</v>
      </c>
      <c r="F2" s="95"/>
      <c r="G2" s="96"/>
      <c r="I2" s="94" t="e" cm="1">
        <f t="array" aca="1" ref="I2" ca="1">QRFactorR(A2:C4)</f>
        <v>#NAME?</v>
      </c>
      <c r="J2" s="95"/>
      <c r="K2" s="96"/>
      <c r="M2" s="94" t="e" cm="1">
        <f t="array" aca="1" ref="M2" ca="1">MMULT(_xlfn.ANCHORARRAY(E2),_xlfn.ANCHORARRAY(I2))</f>
        <v>#NAME?</v>
      </c>
      <c r="N2" s="95"/>
      <c r="O2" s="96"/>
      <c r="Q2" s="94" t="e" cm="1">
        <f t="array" aca="1" ref="Q2" ca="1">MMULT(_xlfn.ANCHORARRAY(E2),TRANSPOSE(_xlfn.ANCHORARRAY(E2)))</f>
        <v>#NAME?</v>
      </c>
      <c r="R2" s="95"/>
      <c r="S2" s="96"/>
      <c r="U2" s="94" t="e" cm="1">
        <f t="array" aca="1" ref="U2" ca="1">MMULT(TRANSPOSE(_xlfn.ANCHORARRAY(E2)),_xlfn.ANCHORARRAY(E2))</f>
        <v>#NAME?</v>
      </c>
      <c r="V2" s="95"/>
      <c r="W2" s="96"/>
    </row>
    <row r="3" spans="1:23" x14ac:dyDescent="0.35">
      <c r="A3" s="30">
        <v>2</v>
      </c>
      <c r="B3">
        <v>0</v>
      </c>
      <c r="C3" s="26">
        <v>-2</v>
      </c>
      <c r="E3" s="30"/>
      <c r="G3" s="26"/>
      <c r="I3" s="30"/>
      <c r="K3" s="26"/>
      <c r="M3" s="30"/>
      <c r="O3" s="26"/>
      <c r="Q3" s="30"/>
      <c r="S3" s="26"/>
      <c r="U3" s="30"/>
      <c r="W3" s="26"/>
    </row>
    <row r="4" spans="1:23" x14ac:dyDescent="0.35">
      <c r="A4" s="27">
        <v>3</v>
      </c>
      <c r="B4" s="28">
        <v>0</v>
      </c>
      <c r="C4" s="29">
        <v>3</v>
      </c>
      <c r="E4" s="27"/>
      <c r="F4" s="28"/>
      <c r="G4" s="29"/>
      <c r="I4" s="27"/>
      <c r="J4" s="28"/>
      <c r="K4" s="29"/>
      <c r="M4" s="27"/>
      <c r="N4" s="28"/>
      <c r="O4" s="29"/>
      <c r="Q4" s="27"/>
      <c r="R4" s="28"/>
      <c r="S4" s="29"/>
      <c r="U4" s="27"/>
      <c r="V4" s="28"/>
      <c r="W4" s="29"/>
    </row>
    <row r="6" spans="1:23" ht="15" customHeight="1" x14ac:dyDescent="0.35">
      <c r="A6" t="s">
        <v>16</v>
      </c>
      <c r="E6" t="s">
        <v>35</v>
      </c>
      <c r="I6" t="s">
        <v>33</v>
      </c>
      <c r="M6" t="s">
        <v>34</v>
      </c>
      <c r="Q6" t="s">
        <v>165</v>
      </c>
      <c r="U6" t="s">
        <v>36</v>
      </c>
    </row>
    <row r="7" spans="1:23" x14ac:dyDescent="0.35">
      <c r="A7" s="94">
        <v>1</v>
      </c>
      <c r="B7" s="95">
        <v>2</v>
      </c>
      <c r="C7" s="96">
        <v>-3</v>
      </c>
      <c r="E7" s="94" t="e" cm="1">
        <f t="array" aca="1" ref="E7" ca="1">QRFactorQ(A7:C9)</f>
        <v>#NAME?</v>
      </c>
      <c r="F7" s="95"/>
      <c r="G7" s="96"/>
      <c r="I7" s="94" t="e" cm="1">
        <f t="array" aca="1" ref="I7" ca="1">QRFactorR(A7:C9)</f>
        <v>#NAME?</v>
      </c>
      <c r="J7" s="95"/>
      <c r="K7" s="96"/>
      <c r="M7" s="94" t="e" cm="1">
        <f t="array" aca="1" ref="M7" ca="1">MMULT(_xlfn.ANCHORARRAY(E7),_xlfn.ANCHORARRAY(I7))</f>
        <v>#NAME?</v>
      </c>
      <c r="N7" s="95"/>
      <c r="O7" s="96"/>
      <c r="Q7" s="94" t="e" cm="1">
        <f t="array" aca="1" ref="Q7" ca="1">MMULT(_xlfn.ANCHORARRAY(E7),TRANSPOSE(_xlfn.ANCHORARRAY(E7)))</f>
        <v>#NAME?</v>
      </c>
      <c r="R7" s="95"/>
      <c r="S7" s="96"/>
      <c r="U7" s="94" t="e" cm="1">
        <f t="array" aca="1" ref="U7" ca="1">MMULT(TRANSPOSE(_xlfn.ANCHORARRAY(E7)),_xlfn.ANCHORARRAY(E7))</f>
        <v>#NAME?</v>
      </c>
      <c r="V7" s="95"/>
      <c r="W7" s="96"/>
    </row>
    <row r="8" spans="1:23" x14ac:dyDescent="0.35">
      <c r="A8" s="30">
        <v>2</v>
      </c>
      <c r="B8">
        <v>4</v>
      </c>
      <c r="C8" s="26">
        <v>-2</v>
      </c>
      <c r="E8" s="30"/>
      <c r="G8" s="26"/>
      <c r="I8" s="30"/>
      <c r="K8" s="26"/>
      <c r="M8" s="30"/>
      <c r="O8" s="26"/>
      <c r="Q8" s="30"/>
      <c r="S8" s="26"/>
      <c r="U8" s="30"/>
      <c r="W8" s="26"/>
    </row>
    <row r="9" spans="1:23" x14ac:dyDescent="0.35">
      <c r="A9" s="27">
        <v>-1</v>
      </c>
      <c r="B9" s="28">
        <v>-2</v>
      </c>
      <c r="C9" s="29">
        <v>3</v>
      </c>
      <c r="E9" s="27"/>
      <c r="F9" s="28"/>
      <c r="G9" s="29"/>
      <c r="I9" s="27"/>
      <c r="J9" s="28"/>
      <c r="K9" s="29"/>
      <c r="M9" s="27"/>
      <c r="N9" s="28"/>
      <c r="O9" s="29"/>
      <c r="Q9" s="27"/>
      <c r="R9" s="28"/>
      <c r="S9" s="29"/>
      <c r="U9" s="27"/>
      <c r="V9" s="28"/>
      <c r="W9" s="29"/>
    </row>
    <row r="11" spans="1:23" ht="15" customHeight="1" x14ac:dyDescent="0.35">
      <c r="A11" t="s">
        <v>16</v>
      </c>
      <c r="E11" t="s">
        <v>35</v>
      </c>
      <c r="I11" t="s">
        <v>33</v>
      </c>
      <c r="M11" t="s">
        <v>34</v>
      </c>
      <c r="Q11" t="s">
        <v>165</v>
      </c>
      <c r="U11" t="s">
        <v>36</v>
      </c>
    </row>
    <row r="12" spans="1:23" x14ac:dyDescent="0.35">
      <c r="A12" s="94">
        <v>1</v>
      </c>
      <c r="B12" s="95">
        <v>0</v>
      </c>
      <c r="C12" s="96">
        <v>1</v>
      </c>
      <c r="E12" s="94" t="e" cm="1">
        <f t="array" aca="1" ref="E12" ca="1">QRFullQ(A12:C14)</f>
        <v>#NAME?</v>
      </c>
      <c r="F12" s="95"/>
      <c r="G12" s="96"/>
      <c r="I12" s="94" t="e" cm="1">
        <f t="array" aca="1" ref="I12" ca="1">QRFullR(A12:C14)</f>
        <v>#NAME?</v>
      </c>
      <c r="J12" s="95"/>
      <c r="K12" s="96"/>
      <c r="M12" s="94" t="e" cm="1">
        <f t="array" aca="1" ref="M12" ca="1">MMULT(_xlfn.ANCHORARRAY(E12),_xlfn.ANCHORARRAY(I12))</f>
        <v>#NAME?</v>
      </c>
      <c r="N12" s="95"/>
      <c r="O12" s="96"/>
      <c r="Q12" s="94" t="e" cm="1">
        <f t="array" aca="1" ref="Q12" ca="1">MMULT(_xlfn.ANCHORARRAY(E12),TRANSPOSE(_xlfn.ANCHORARRAY(E12)))</f>
        <v>#NAME?</v>
      </c>
      <c r="R12" s="95"/>
      <c r="S12" s="96"/>
      <c r="U12" s="94" t="e" cm="1">
        <f t="array" aca="1" ref="U12" ca="1">MMULT(TRANSPOSE(_xlfn.ANCHORARRAY(E12)),_xlfn.ANCHORARRAY(E12))</f>
        <v>#NAME?</v>
      </c>
      <c r="V12" s="95"/>
      <c r="W12" s="96"/>
    </row>
    <row r="13" spans="1:23" x14ac:dyDescent="0.35">
      <c r="A13" s="30">
        <v>2</v>
      </c>
      <c r="B13">
        <v>0</v>
      </c>
      <c r="C13" s="26">
        <v>-2</v>
      </c>
      <c r="E13" s="30"/>
      <c r="G13" s="26"/>
      <c r="I13" s="30"/>
      <c r="K13" s="26"/>
      <c r="M13" s="30"/>
      <c r="O13" s="26"/>
      <c r="Q13" s="30"/>
      <c r="S13" s="26"/>
      <c r="U13" s="30"/>
      <c r="W13" s="26"/>
    </row>
    <row r="14" spans="1:23" x14ac:dyDescent="0.35">
      <c r="A14" s="27">
        <v>3</v>
      </c>
      <c r="B14" s="28">
        <v>0</v>
      </c>
      <c r="C14" s="29">
        <v>3</v>
      </c>
      <c r="E14" s="27"/>
      <c r="F14" s="28"/>
      <c r="G14" s="29"/>
      <c r="I14" s="27"/>
      <c r="J14" s="28"/>
      <c r="K14" s="29"/>
      <c r="M14" s="27"/>
      <c r="N14" s="28"/>
      <c r="O14" s="29"/>
      <c r="Q14" s="27"/>
      <c r="R14" s="28"/>
      <c r="S14" s="29"/>
      <c r="U14" s="27"/>
      <c r="V14" s="28"/>
      <c r="W14" s="29"/>
    </row>
    <row r="16" spans="1:23" ht="15" customHeight="1" x14ac:dyDescent="0.35">
      <c r="A16" t="s">
        <v>16</v>
      </c>
      <c r="E16" t="s">
        <v>35</v>
      </c>
      <c r="I16" t="s">
        <v>33</v>
      </c>
      <c r="M16" t="s">
        <v>34</v>
      </c>
      <c r="Q16" t="s">
        <v>165</v>
      </c>
      <c r="U16" t="s">
        <v>36</v>
      </c>
    </row>
    <row r="17" spans="1:23" x14ac:dyDescent="0.35">
      <c r="A17" s="94">
        <v>1</v>
      </c>
      <c r="B17" s="95">
        <v>2</v>
      </c>
      <c r="C17" s="96">
        <v>-3</v>
      </c>
      <c r="E17" s="94" t="e" cm="1">
        <f t="array" aca="1" ref="E17" ca="1">QRFullQ(A17:C19)</f>
        <v>#NAME?</v>
      </c>
      <c r="F17" s="95"/>
      <c r="G17" s="96"/>
      <c r="I17" s="94" t="e" cm="1">
        <f t="array" aca="1" ref="I17" ca="1">QRFullR(A17:C19)</f>
        <v>#NAME?</v>
      </c>
      <c r="J17" s="95"/>
      <c r="K17" s="96"/>
      <c r="M17" s="94" t="e" cm="1">
        <f t="array" aca="1" ref="M17" ca="1">MMULT(_xlfn.ANCHORARRAY(E17),_xlfn.ANCHORARRAY(I17))</f>
        <v>#NAME?</v>
      </c>
      <c r="N17" s="95"/>
      <c r="O17" s="96"/>
      <c r="Q17" s="94" t="e" cm="1">
        <f t="array" aca="1" ref="Q17" ca="1">MMULT(_xlfn.ANCHORARRAY(E17),TRANSPOSE(_xlfn.ANCHORARRAY(E17)))</f>
        <v>#NAME?</v>
      </c>
      <c r="R17" s="95"/>
      <c r="S17" s="96"/>
      <c r="U17" s="94" t="e" cm="1">
        <f t="array" aca="1" ref="U17" ca="1">MMULT(TRANSPOSE(_xlfn.ANCHORARRAY(E17)),_xlfn.ANCHORARRAY(E17))</f>
        <v>#NAME?</v>
      </c>
      <c r="V17" s="95"/>
      <c r="W17" s="96"/>
    </row>
    <row r="18" spans="1:23" x14ac:dyDescent="0.35">
      <c r="A18" s="30">
        <v>2</v>
      </c>
      <c r="B18">
        <v>4</v>
      </c>
      <c r="C18" s="26">
        <v>-2</v>
      </c>
      <c r="E18" s="30"/>
      <c r="G18" s="26"/>
      <c r="I18" s="30"/>
      <c r="K18" s="26"/>
      <c r="M18" s="30"/>
      <c r="O18" s="26"/>
      <c r="Q18" s="30"/>
      <c r="S18" s="26"/>
      <c r="U18" s="30"/>
      <c r="W18" s="26"/>
    </row>
    <row r="19" spans="1:23" x14ac:dyDescent="0.35">
      <c r="A19" s="27">
        <v>-1</v>
      </c>
      <c r="B19" s="28">
        <v>-2</v>
      </c>
      <c r="C19" s="29">
        <v>3</v>
      </c>
      <c r="E19" s="27"/>
      <c r="F19" s="28"/>
      <c r="G19" s="29"/>
      <c r="I19" s="27"/>
      <c r="J19" s="28"/>
      <c r="K19" s="29"/>
      <c r="M19" s="27"/>
      <c r="N19" s="28"/>
      <c r="O19" s="29"/>
      <c r="Q19" s="27"/>
      <c r="R19" s="28"/>
      <c r="S19" s="29"/>
      <c r="U19" s="27"/>
      <c r="V19" s="28"/>
      <c r="W19" s="2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0F4-B63E-494F-8B4C-0D0AEA42031E}">
  <sheetPr codeName="Sheet86"/>
  <dimension ref="A1:O17"/>
  <sheetViews>
    <sheetView workbookViewId="0"/>
  </sheetViews>
  <sheetFormatPr defaultRowHeight="14.5" x14ac:dyDescent="0.35"/>
  <cols>
    <col min="1" max="3" width="5.6328125" customWidth="1"/>
    <col min="4" max="4" width="4.6328125" customWidth="1"/>
    <col min="8" max="8" width="4.6328125" customWidth="1"/>
    <col min="12" max="12" width="4.6328125" customWidth="1"/>
    <col min="13" max="15" width="5.6328125" customWidth="1"/>
  </cols>
  <sheetData>
    <row r="1" spans="1:15" ht="15" customHeight="1" x14ac:dyDescent="0.35">
      <c r="A1" t="s">
        <v>16</v>
      </c>
      <c r="E1" t="s">
        <v>35</v>
      </c>
      <c r="I1" t="s">
        <v>33</v>
      </c>
      <c r="M1" t="s">
        <v>34</v>
      </c>
    </row>
    <row r="2" spans="1:15" x14ac:dyDescent="0.35">
      <c r="A2" s="94">
        <v>1</v>
      </c>
      <c r="B2" s="95">
        <v>2</v>
      </c>
      <c r="C2" s="96">
        <v>3</v>
      </c>
      <c r="E2" s="94" t="e" cm="1">
        <f t="array" aca="1" ref="E2" ca="1">QRFactorQ(A2:C3)</f>
        <v>#NAME?</v>
      </c>
      <c r="F2" s="95"/>
      <c r="G2" s="96"/>
      <c r="I2" s="94" t="e" cm="1">
        <f t="array" aca="1" ref="I2" ca="1">QRFactorR(A2:C3)</f>
        <v>#NAME?</v>
      </c>
      <c r="J2" s="95"/>
      <c r="K2" s="96"/>
      <c r="M2" s="94" t="e" cm="1">
        <f t="array" aca="1" ref="M2" ca="1">MMULT(_xlfn.ANCHORARRAY(E2),_xlfn.ANCHORARRAY(I2))</f>
        <v>#NAME?</v>
      </c>
      <c r="N2" s="95"/>
      <c r="O2" s="96"/>
    </row>
    <row r="3" spans="1:15" x14ac:dyDescent="0.35">
      <c r="A3" s="27">
        <v>4</v>
      </c>
      <c r="B3" s="28">
        <v>3</v>
      </c>
      <c r="C3" s="29">
        <v>2</v>
      </c>
      <c r="E3" s="27"/>
      <c r="F3" s="28"/>
      <c r="G3" s="29"/>
      <c r="I3" s="30"/>
      <c r="K3" s="26"/>
      <c r="M3" s="27"/>
      <c r="N3" s="28"/>
      <c r="O3" s="29"/>
    </row>
    <row r="4" spans="1:15" x14ac:dyDescent="0.35">
      <c r="I4" s="27"/>
      <c r="J4" s="28"/>
      <c r="K4" s="29"/>
    </row>
    <row r="6" spans="1:15" ht="16.5" x14ac:dyDescent="0.35">
      <c r="E6" t="s">
        <v>165</v>
      </c>
      <c r="I6" t="s">
        <v>36</v>
      </c>
    </row>
    <row r="7" spans="1:15" x14ac:dyDescent="0.35">
      <c r="E7" s="94" t="e" cm="1">
        <f t="array" aca="1" ref="E7" ca="1">MMULT(_xlfn.ANCHORARRAY(E2),TRANSPOSE(_xlfn.ANCHORARRAY(E2)))</f>
        <v>#NAME?</v>
      </c>
      <c r="F7" s="96"/>
      <c r="I7" s="94" t="e" cm="1">
        <f t="array" aca="1" ref="I7" ca="1">MMULT(TRANSPOSE(_xlfn.ANCHORARRAY(E2)),_xlfn.ANCHORARRAY(E2))</f>
        <v>#NAME?</v>
      </c>
      <c r="J7" s="95"/>
      <c r="K7" s="96"/>
    </row>
    <row r="8" spans="1:15" x14ac:dyDescent="0.35">
      <c r="E8" s="27"/>
      <c r="F8" s="29"/>
      <c r="I8" s="30"/>
      <c r="K8" s="26"/>
    </row>
    <row r="9" spans="1:15" x14ac:dyDescent="0.35">
      <c r="I9" s="27"/>
      <c r="J9" s="28"/>
      <c r="K9" s="29"/>
    </row>
    <row r="11" spans="1:15" ht="15" customHeight="1" x14ac:dyDescent="0.35">
      <c r="A11" t="s">
        <v>16</v>
      </c>
      <c r="E11" t="s">
        <v>35</v>
      </c>
      <c r="I11" t="s">
        <v>33</v>
      </c>
      <c r="M11" t="s">
        <v>34</v>
      </c>
    </row>
    <row r="12" spans="1:15" x14ac:dyDescent="0.35">
      <c r="A12" s="94">
        <v>1</v>
      </c>
      <c r="B12" s="95">
        <v>2</v>
      </c>
      <c r="C12" s="96">
        <v>3</v>
      </c>
      <c r="E12" s="94" t="e" cm="1">
        <f t="array" aca="1" ref="E12" ca="1">QRFullQ(A12:C13)</f>
        <v>#NAME?</v>
      </c>
      <c r="F12" s="96"/>
      <c r="I12" s="94" t="e" cm="1">
        <f t="array" aca="1" ref="I12" ca="1">QRFullR(A12:C13)</f>
        <v>#NAME?</v>
      </c>
      <c r="J12" s="95"/>
      <c r="K12" s="96"/>
      <c r="M12" s="94" t="e" cm="1">
        <f t="array" aca="1" ref="M12" ca="1">MMULT(_xlfn.ANCHORARRAY(E12),_xlfn.ANCHORARRAY(I12))</f>
        <v>#NAME?</v>
      </c>
      <c r="N12" s="95"/>
      <c r="O12" s="96"/>
    </row>
    <row r="13" spans="1:15" x14ac:dyDescent="0.35">
      <c r="A13" s="27">
        <v>4</v>
      </c>
      <c r="B13" s="28">
        <v>3</v>
      </c>
      <c r="C13" s="29">
        <v>2</v>
      </c>
      <c r="E13" s="27"/>
      <c r="F13" s="29"/>
      <c r="I13" s="27"/>
      <c r="J13" s="28"/>
      <c r="K13" s="29"/>
      <c r="M13" s="27"/>
      <c r="N13" s="28"/>
      <c r="O13" s="29"/>
    </row>
    <row r="15" spans="1:15" ht="16.5" x14ac:dyDescent="0.35">
      <c r="E15" t="s">
        <v>165</v>
      </c>
      <c r="I15" t="s">
        <v>36</v>
      </c>
    </row>
    <row r="16" spans="1:15" x14ac:dyDescent="0.35">
      <c r="E16" s="94" t="e" cm="1">
        <f t="array" aca="1" ref="E16" ca="1">MMULT(_xlfn.ANCHORARRAY(E12),TRANSPOSE(_xlfn.ANCHORARRAY(E12)))</f>
        <v>#NAME?</v>
      </c>
      <c r="F16" s="96"/>
      <c r="I16" s="94" t="e" cm="1">
        <f t="array" aca="1" ref="I16" ca="1">MMULT(TRANSPOSE(_xlfn.ANCHORARRAY(E12)),_xlfn.ANCHORARRAY(E12))</f>
        <v>#NAME?</v>
      </c>
      <c r="J16" s="96"/>
    </row>
    <row r="17" spans="5:10" x14ac:dyDescent="0.35">
      <c r="E17" s="27"/>
      <c r="F17" s="29"/>
      <c r="I17" s="27"/>
      <c r="J17" s="2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F542-E2F6-4CAA-89BD-95E47EB1928A}">
  <sheetPr codeName="Sheet87"/>
  <dimension ref="A1:L19"/>
  <sheetViews>
    <sheetView workbookViewId="0"/>
  </sheetViews>
  <sheetFormatPr defaultRowHeight="14.5" x14ac:dyDescent="0.35"/>
  <cols>
    <col min="3" max="3" width="5.6328125" customWidth="1"/>
    <col min="7" max="7" width="5.6328125" customWidth="1"/>
  </cols>
  <sheetData>
    <row r="1" spans="1:12" ht="15" customHeight="1" x14ac:dyDescent="0.35">
      <c r="A1" t="s">
        <v>16</v>
      </c>
      <c r="D1" t="s">
        <v>35</v>
      </c>
      <c r="E1" s="3"/>
      <c r="H1" t="s">
        <v>33</v>
      </c>
      <c r="I1" s="3"/>
      <c r="K1" t="s">
        <v>34</v>
      </c>
    </row>
    <row r="2" spans="1:12" x14ac:dyDescent="0.35">
      <c r="A2" s="94">
        <v>1</v>
      </c>
      <c r="B2" s="96">
        <v>-1</v>
      </c>
      <c r="D2" s="94" t="e" cm="1">
        <f t="array" aca="1" ref="D2" ca="1">QRFactorQ(A2:B4)</f>
        <v>#NAME?</v>
      </c>
      <c r="E2" s="96"/>
      <c r="H2" s="94" t="e" cm="1">
        <f t="array" aca="1" ref="H2" ca="1">QRFactorR(A2:B4)</f>
        <v>#NAME?</v>
      </c>
      <c r="I2" s="96"/>
      <c r="K2" s="94" t="e" cm="1">
        <f t="array" aca="1" ref="K2" ca="1">MMULT(_xlfn.ANCHORARRAY(D2),_xlfn.ANCHORARRAY(H2))</f>
        <v>#NAME?</v>
      </c>
      <c r="L2" s="96"/>
    </row>
    <row r="3" spans="1:12" x14ac:dyDescent="0.35">
      <c r="A3" s="30">
        <v>2</v>
      </c>
      <c r="B3" s="26">
        <v>3</v>
      </c>
      <c r="D3" s="30"/>
      <c r="E3" s="26"/>
      <c r="H3" s="27"/>
      <c r="I3" s="29"/>
      <c r="K3" s="30"/>
      <c r="L3" s="26"/>
    </row>
    <row r="4" spans="1:12" x14ac:dyDescent="0.35">
      <c r="A4" s="27">
        <v>3</v>
      </c>
      <c r="B4" s="29">
        <v>2</v>
      </c>
      <c r="D4" s="27"/>
      <c r="E4" s="29"/>
      <c r="K4" s="27"/>
      <c r="L4" s="29"/>
    </row>
    <row r="6" spans="1:12" ht="16.5" x14ac:dyDescent="0.35">
      <c r="D6" t="s">
        <v>165</v>
      </c>
      <c r="H6" t="s">
        <v>36</v>
      </c>
    </row>
    <row r="7" spans="1:12" x14ac:dyDescent="0.35">
      <c r="D7" s="94" t="e" cm="1">
        <f t="array" aca="1" ref="D7" ca="1">MMULT(_xlfn.ANCHORARRAY(D2),TRANSPOSE(_xlfn.ANCHORARRAY(D2)))</f>
        <v>#NAME?</v>
      </c>
      <c r="E7" s="95"/>
      <c r="F7" s="96"/>
      <c r="H7" s="94" t="e" cm="1">
        <f t="array" aca="1" ref="H7" ca="1">MMULT(TRANSPOSE(_xlfn.ANCHORARRAY(D2)),_xlfn.ANCHORARRAY(D2))</f>
        <v>#NAME?</v>
      </c>
      <c r="I7" s="96"/>
    </row>
    <row r="8" spans="1:12" x14ac:dyDescent="0.35">
      <c r="D8" s="30"/>
      <c r="F8" s="26"/>
      <c r="H8" s="27"/>
      <c r="I8" s="29"/>
    </row>
    <row r="9" spans="1:12" x14ac:dyDescent="0.35">
      <c r="D9" s="27"/>
      <c r="E9" s="28"/>
      <c r="F9" s="29"/>
    </row>
    <row r="11" spans="1:12" ht="15" customHeight="1" x14ac:dyDescent="0.35">
      <c r="A11" t="s">
        <v>16</v>
      </c>
      <c r="D11" t="s">
        <v>35</v>
      </c>
      <c r="E11" s="3"/>
      <c r="H11" t="s">
        <v>33</v>
      </c>
      <c r="I11" s="3"/>
      <c r="K11" t="s">
        <v>34</v>
      </c>
    </row>
    <row r="12" spans="1:12" x14ac:dyDescent="0.35">
      <c r="A12" s="94">
        <v>1</v>
      </c>
      <c r="B12" s="96">
        <v>-1</v>
      </c>
      <c r="D12" s="94" t="e" cm="1">
        <f t="array" aca="1" ref="D12" ca="1">QRFullQ(A12:B14)</f>
        <v>#NAME?</v>
      </c>
      <c r="E12" s="95"/>
      <c r="F12" s="96"/>
      <c r="H12" s="94" t="e" cm="1">
        <f t="array" aca="1" ref="H12" ca="1">QRFullR(A12:B14)</f>
        <v>#NAME?</v>
      </c>
      <c r="I12" s="96"/>
      <c r="K12" s="94" t="e" cm="1">
        <f t="array" aca="1" ref="K12" ca="1">MMULT(_xlfn.ANCHORARRAY(D12),_xlfn.ANCHORARRAY(H12))</f>
        <v>#NAME?</v>
      </c>
      <c r="L12" s="96"/>
    </row>
    <row r="13" spans="1:12" x14ac:dyDescent="0.35">
      <c r="A13" s="30">
        <v>2</v>
      </c>
      <c r="B13" s="26">
        <v>3</v>
      </c>
      <c r="D13" s="30"/>
      <c r="F13" s="26"/>
      <c r="H13" s="30"/>
      <c r="I13" s="26"/>
      <c r="K13" s="30"/>
      <c r="L13" s="26"/>
    </row>
    <row r="14" spans="1:12" x14ac:dyDescent="0.35">
      <c r="A14" s="27">
        <v>3</v>
      </c>
      <c r="B14" s="29">
        <v>2</v>
      </c>
      <c r="D14" s="27"/>
      <c r="E14" s="28"/>
      <c r="F14" s="29"/>
      <c r="H14" s="27"/>
      <c r="I14" s="29"/>
      <c r="K14" s="27"/>
      <c r="L14" s="29"/>
    </row>
    <row r="16" spans="1:12" ht="16.5" x14ac:dyDescent="0.35">
      <c r="D16" t="s">
        <v>165</v>
      </c>
      <c r="H16" t="s">
        <v>36</v>
      </c>
    </row>
    <row r="17" spans="4:10" x14ac:dyDescent="0.35">
      <c r="D17" s="94" t="e" cm="1">
        <f t="array" aca="1" ref="D17" ca="1">MMULT(_xlfn.ANCHORARRAY(D12),TRANSPOSE(_xlfn.ANCHORARRAY(D12)))</f>
        <v>#NAME?</v>
      </c>
      <c r="E17" s="95"/>
      <c r="F17" s="96"/>
      <c r="H17" s="94" t="e" cm="1">
        <f t="array" aca="1" ref="H17" ca="1">MMULT(TRANSPOSE(_xlfn.ANCHORARRAY(D12)),_xlfn.ANCHORARRAY(D12))</f>
        <v>#NAME?</v>
      </c>
      <c r="I17" s="95"/>
      <c r="J17" s="96"/>
    </row>
    <row r="18" spans="4:10" x14ac:dyDescent="0.35">
      <c r="D18" s="30"/>
      <c r="F18" s="26"/>
      <c r="H18" s="30"/>
      <c r="J18" s="26"/>
    </row>
    <row r="19" spans="4:10" x14ac:dyDescent="0.35">
      <c r="D19" s="27"/>
      <c r="E19" s="28"/>
      <c r="F19" s="29"/>
      <c r="H19" s="27"/>
      <c r="I19" s="28"/>
      <c r="J19" s="2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34"/>
  <dimension ref="A1:W22"/>
  <sheetViews>
    <sheetView workbookViewId="0"/>
  </sheetViews>
  <sheetFormatPr defaultRowHeight="14.5" x14ac:dyDescent="0.35"/>
  <cols>
    <col min="1" max="3" width="6.453125" customWidth="1"/>
    <col min="4" max="4" width="5.26953125" customWidth="1"/>
    <col min="8" max="8" width="5.26953125" customWidth="1"/>
    <col min="12" max="12" width="5.26953125" customWidth="1"/>
    <col min="16" max="16" width="5.26953125" customWidth="1"/>
    <col min="17" max="19" width="7.26953125" customWidth="1"/>
  </cols>
  <sheetData>
    <row r="1" spans="1:23" x14ac:dyDescent="0.35">
      <c r="A1" s="10" t="s">
        <v>42</v>
      </c>
      <c r="U1" t="s">
        <v>38</v>
      </c>
    </row>
    <row r="2" spans="1:23" x14ac:dyDescent="0.35">
      <c r="A2" s="10"/>
    </row>
    <row r="3" spans="1:23" x14ac:dyDescent="0.35">
      <c r="A3" t="s">
        <v>16</v>
      </c>
      <c r="E3" t="s">
        <v>45</v>
      </c>
      <c r="U3" t="s">
        <v>137</v>
      </c>
    </row>
    <row r="4" spans="1:23" x14ac:dyDescent="0.35">
      <c r="A4" s="62">
        <v>4</v>
      </c>
      <c r="B4" s="63">
        <v>2</v>
      </c>
      <c r="C4" s="64">
        <v>-1</v>
      </c>
      <c r="E4" s="15" t="e">
        <f t="array" aca="1" ref="E4:G7" ca="1">eVECTORS(A4:C6)</f>
        <v>#NAME?</v>
      </c>
      <c r="F4" s="47" t="e">
        <f ca="1"/>
        <v>#NAME?</v>
      </c>
      <c r="G4" s="48" t="e">
        <f ca="1"/>
        <v>#NAME?</v>
      </c>
    </row>
    <row r="5" spans="1:23" x14ac:dyDescent="0.35">
      <c r="A5" s="30">
        <f>B4</f>
        <v>2</v>
      </c>
      <c r="B5" s="5">
        <v>3</v>
      </c>
      <c r="C5" s="26">
        <v>1</v>
      </c>
      <c r="E5" s="30" t="e">
        <f ca="1"/>
        <v>#NAME?</v>
      </c>
      <c r="F5" s="5" t="e">
        <f ca="1"/>
        <v>#NAME?</v>
      </c>
      <c r="G5" s="26" t="e">
        <f ca="1"/>
        <v>#NAME?</v>
      </c>
      <c r="U5" s="39" t="e">
        <f t="array" aca="1" ref="U5:W7" ca="1">SPECTRAL(A4:C6)</f>
        <v>#NAME?</v>
      </c>
      <c r="V5" s="86" t="e">
        <f ca="1"/>
        <v>#NAME?</v>
      </c>
      <c r="W5" s="20" t="e">
        <f ca="1"/>
        <v>#NAME?</v>
      </c>
    </row>
    <row r="6" spans="1:23" x14ac:dyDescent="0.35">
      <c r="A6" s="27">
        <f>C4</f>
        <v>-1</v>
      </c>
      <c r="B6" s="28">
        <v>1</v>
      </c>
      <c r="C6" s="29">
        <v>9</v>
      </c>
      <c r="E6" s="30" t="e">
        <f ca="1"/>
        <v>#NAME?</v>
      </c>
      <c r="F6" s="5" t="e">
        <f ca="1"/>
        <v>#NAME?</v>
      </c>
      <c r="G6" s="26" t="e">
        <f ca="1"/>
        <v>#NAME?</v>
      </c>
      <c r="U6" s="21" t="e">
        <f ca="1"/>
        <v>#NAME?</v>
      </c>
      <c r="V6" s="5" t="e">
        <f ca="1"/>
        <v>#NAME?</v>
      </c>
      <c r="W6" s="22" t="e">
        <f ca="1"/>
        <v>#NAME?</v>
      </c>
    </row>
    <row r="7" spans="1:23" x14ac:dyDescent="0.35">
      <c r="E7" s="27" t="e">
        <f ca="1"/>
        <v>#NAME?</v>
      </c>
      <c r="F7" s="28" t="e">
        <f ca="1"/>
        <v>#NAME?</v>
      </c>
      <c r="G7" s="29" t="e">
        <f ca="1"/>
        <v>#NAME?</v>
      </c>
      <c r="U7" s="23" t="e">
        <f ca="1"/>
        <v>#NAME?</v>
      </c>
      <c r="V7" s="24" t="e">
        <f ca="1"/>
        <v>#NAME?</v>
      </c>
      <c r="W7" s="25" t="e">
        <f ca="1"/>
        <v>#NAME?</v>
      </c>
    </row>
    <row r="9" spans="1:23" ht="16.5" x14ac:dyDescent="0.35">
      <c r="E9" t="s">
        <v>18</v>
      </c>
      <c r="I9" t="s">
        <v>19</v>
      </c>
      <c r="M9" t="s">
        <v>30</v>
      </c>
      <c r="Q9" t="s">
        <v>31</v>
      </c>
      <c r="U9" t="s">
        <v>138</v>
      </c>
    </row>
    <row r="10" spans="1:23" x14ac:dyDescent="0.35">
      <c r="E10" s="62" t="e">
        <f t="array" ref="E10:G12" ca="1">E5:G7</f>
        <v>#NAME?</v>
      </c>
      <c r="F10" s="63" t="e">
        <f ca="1"/>
        <v>#NAME?</v>
      </c>
      <c r="G10" s="64" t="e">
        <f ca="1"/>
        <v>#NAME?</v>
      </c>
      <c r="I10" s="62" t="e">
        <f t="array" aca="1" ref="I10:K12" ca="1">DIAGONAL(E4:G4)</f>
        <v>#NAME?</v>
      </c>
      <c r="J10" s="63" t="e">
        <f ca="1"/>
        <v>#NAME?</v>
      </c>
      <c r="K10" s="64" t="e">
        <f ca="1"/>
        <v>#NAME?</v>
      </c>
      <c r="M10" s="62" t="e">
        <f t="array" aca="1" ref="M10:O12" ca="1">TRANSPOSE(E10:G12)</f>
        <v>#NAME?</v>
      </c>
      <c r="N10" s="63" t="e">
        <f ca="1"/>
        <v>#NAME?</v>
      </c>
      <c r="O10" s="64" t="e">
        <f ca="1"/>
        <v>#NAME?</v>
      </c>
      <c r="Q10" s="62" t="e">
        <f t="array" aca="1" ref="Q10:S12" ca="1">MMULT(E10:G12,MMULT(I10:K12,M10:O12))</f>
        <v>#NAME?</v>
      </c>
      <c r="R10" s="63" t="e">
        <f ca="1"/>
        <v>#NAME?</v>
      </c>
      <c r="S10" s="64" t="e">
        <f ca="1"/>
        <v>#NAME?</v>
      </c>
    </row>
    <row r="11" spans="1:23" x14ac:dyDescent="0.35">
      <c r="E11" s="30" t="e">
        <f ca="1"/>
        <v>#NAME?</v>
      </c>
      <c r="F11" s="5" t="e">
        <f ca="1"/>
        <v>#NAME?</v>
      </c>
      <c r="G11" s="26" t="e">
        <f ca="1"/>
        <v>#NAME?</v>
      </c>
      <c r="I11" s="30" t="e">
        <f ca="1"/>
        <v>#NAME?</v>
      </c>
      <c r="J11" s="5" t="e">
        <f ca="1"/>
        <v>#NAME?</v>
      </c>
      <c r="K11" s="26" t="e">
        <f ca="1"/>
        <v>#NAME?</v>
      </c>
      <c r="M11" s="30" t="e">
        <f ca="1"/>
        <v>#NAME?</v>
      </c>
      <c r="N11" s="5" t="e">
        <f ca="1"/>
        <v>#NAME?</v>
      </c>
      <c r="O11" s="26" t="e">
        <f ca="1"/>
        <v>#NAME?</v>
      </c>
      <c r="Q11" s="30" t="e">
        <f ca="1"/>
        <v>#NAME?</v>
      </c>
      <c r="R11" s="5" t="e">
        <f ca="1"/>
        <v>#NAME?</v>
      </c>
      <c r="S11" s="26" t="e">
        <f ca="1"/>
        <v>#NAME?</v>
      </c>
      <c r="U11" s="39" t="e">
        <f t="array" aca="1" ref="U11:W13" ca="1">DIAGONAL(SUBMATRIX(eVALUES(A4:C6),1,1,1))</f>
        <v>#NAME?</v>
      </c>
      <c r="V11" s="86" t="e">
        <f ca="1"/>
        <v>#NAME?</v>
      </c>
      <c r="W11" s="20" t="e">
        <f ca="1"/>
        <v>#NAME?</v>
      </c>
    </row>
    <row r="12" spans="1:23" x14ac:dyDescent="0.35">
      <c r="E12" s="27" t="e">
        <f ca="1"/>
        <v>#NAME?</v>
      </c>
      <c r="F12" s="28" t="e">
        <f ca="1"/>
        <v>#NAME?</v>
      </c>
      <c r="G12" s="29" t="e">
        <f ca="1"/>
        <v>#NAME?</v>
      </c>
      <c r="I12" s="27" t="e">
        <f ca="1"/>
        <v>#NAME?</v>
      </c>
      <c r="J12" s="28" t="e">
        <f ca="1"/>
        <v>#NAME?</v>
      </c>
      <c r="K12" s="29" t="e">
        <f ca="1"/>
        <v>#NAME?</v>
      </c>
      <c r="M12" s="27" t="e">
        <f ca="1"/>
        <v>#NAME?</v>
      </c>
      <c r="N12" s="28" t="e">
        <f ca="1"/>
        <v>#NAME?</v>
      </c>
      <c r="O12" s="29" t="e">
        <f ca="1"/>
        <v>#NAME?</v>
      </c>
      <c r="Q12" s="27" t="e">
        <f ca="1"/>
        <v>#NAME?</v>
      </c>
      <c r="R12" s="28" t="e">
        <f ca="1"/>
        <v>#NAME?</v>
      </c>
      <c r="S12" s="29" t="e">
        <f ca="1"/>
        <v>#NAME?</v>
      </c>
      <c r="U12" s="21" t="e">
        <f ca="1"/>
        <v>#NAME?</v>
      </c>
      <c r="V12" s="5" t="e">
        <f ca="1"/>
        <v>#NAME?</v>
      </c>
      <c r="W12" s="22" t="e">
        <f ca="1"/>
        <v>#NAME?</v>
      </c>
    </row>
    <row r="13" spans="1:23" x14ac:dyDescent="0.35">
      <c r="U13" s="23" t="e">
        <f ca="1"/>
        <v>#NAME?</v>
      </c>
      <c r="V13" s="24" t="e">
        <f ca="1"/>
        <v>#NAME?</v>
      </c>
      <c r="W13" s="25" t="e">
        <f ca="1"/>
        <v>#NAME?</v>
      </c>
    </row>
    <row r="14" spans="1:23" ht="16.5" x14ac:dyDescent="0.35">
      <c r="I14" t="s">
        <v>29</v>
      </c>
    </row>
    <row r="15" spans="1:23" x14ac:dyDescent="0.35">
      <c r="I15" s="62" t="e">
        <f t="array" ref="I15:K17" ca="1">SQRT(I10:K12)</f>
        <v>#NAME?</v>
      </c>
      <c r="J15" s="63" t="e">
        <f ca="1"/>
        <v>#NAME?</v>
      </c>
      <c r="K15" s="64" t="e">
        <f ca="1"/>
        <v>#NAME?</v>
      </c>
    </row>
    <row r="16" spans="1:23" x14ac:dyDescent="0.35">
      <c r="I16" s="30" t="e">
        <f ca="1"/>
        <v>#NAME?</v>
      </c>
      <c r="J16" s="5" t="e">
        <f ca="1"/>
        <v>#NAME?</v>
      </c>
      <c r="K16" s="26" t="e">
        <f ca="1"/>
        <v>#NAME?</v>
      </c>
    </row>
    <row r="17" spans="9:15" x14ac:dyDescent="0.35">
      <c r="I17" s="27" t="e">
        <f ca="1"/>
        <v>#NAME?</v>
      </c>
      <c r="J17" s="28" t="e">
        <f ca="1"/>
        <v>#NAME?</v>
      </c>
      <c r="K17" s="29" t="e">
        <f ca="1"/>
        <v>#NAME?</v>
      </c>
    </row>
    <row r="19" spans="9:15" ht="16.5" x14ac:dyDescent="0.35">
      <c r="I19" t="s">
        <v>43</v>
      </c>
      <c r="M19" t="s">
        <v>44</v>
      </c>
    </row>
    <row r="20" spans="9:15" x14ac:dyDescent="0.35">
      <c r="I20" s="62" t="e">
        <f t="array" aca="1" ref="I20:K22" ca="1">TRANSPOSE(MMULT(E10:G12,I15:K17))</f>
        <v>#NAME?</v>
      </c>
      <c r="J20" s="63" t="e">
        <f ca="1"/>
        <v>#NAME?</v>
      </c>
      <c r="K20" s="64" t="e">
        <f ca="1"/>
        <v>#NAME?</v>
      </c>
      <c r="M20" s="62" t="e">
        <f t="array" aca="1" ref="M20:O22" ca="1">MMULT(TRANSPOSE(I20:K22),I20:K22)</f>
        <v>#NAME?</v>
      </c>
      <c r="N20" s="63" t="e">
        <f ca="1"/>
        <v>#NAME?</v>
      </c>
      <c r="O20" s="64" t="e">
        <f ca="1"/>
        <v>#NAME?</v>
      </c>
    </row>
    <row r="21" spans="9:15" x14ac:dyDescent="0.35">
      <c r="I21" s="30" t="e">
        <f ca="1"/>
        <v>#NAME?</v>
      </c>
      <c r="J21" s="5" t="e">
        <f ca="1"/>
        <v>#NAME?</v>
      </c>
      <c r="K21" s="26" t="e">
        <f ca="1"/>
        <v>#NAME?</v>
      </c>
      <c r="M21" s="30" t="e">
        <f ca="1"/>
        <v>#NAME?</v>
      </c>
      <c r="N21" s="5" t="e">
        <f ca="1"/>
        <v>#NAME?</v>
      </c>
      <c r="O21" s="26" t="e">
        <f ca="1"/>
        <v>#NAME?</v>
      </c>
    </row>
    <row r="22" spans="9:15" x14ac:dyDescent="0.35">
      <c r="I22" s="27" t="e">
        <f ca="1"/>
        <v>#NAME?</v>
      </c>
      <c r="J22" s="28" t="e">
        <f ca="1"/>
        <v>#NAME?</v>
      </c>
      <c r="K22" s="29" t="e">
        <f ca="1"/>
        <v>#NAME?</v>
      </c>
      <c r="M22" s="27" t="e">
        <f ca="1"/>
        <v>#NAME?</v>
      </c>
      <c r="N22" s="28" t="e">
        <f ca="1"/>
        <v>#NAME?</v>
      </c>
      <c r="O22" s="29" t="e">
        <f ca="1"/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40"/>
  <dimension ref="A1:AA67"/>
  <sheetViews>
    <sheetView topLeftCell="I1" workbookViewId="0">
      <selection activeCell="P21" sqref="P21"/>
    </sheetView>
  </sheetViews>
  <sheetFormatPr defaultRowHeight="14.5" x14ac:dyDescent="0.35"/>
  <cols>
    <col min="9" max="9" width="9.1796875" customWidth="1"/>
    <col min="12" max="12" width="9.1796875" customWidth="1"/>
    <col min="24" max="24" width="9.1796875" customWidth="1"/>
  </cols>
  <sheetData>
    <row r="1" spans="1:27" x14ac:dyDescent="0.35">
      <c r="A1" s="10" t="s">
        <v>46</v>
      </c>
    </row>
    <row r="3" spans="1:27" ht="16.5" x14ac:dyDescent="0.35">
      <c r="A3" t="s">
        <v>16</v>
      </c>
      <c r="E3" t="s">
        <v>47</v>
      </c>
      <c r="I3" t="s">
        <v>48</v>
      </c>
      <c r="O3" t="s">
        <v>49</v>
      </c>
      <c r="V3" t="s">
        <v>16</v>
      </c>
      <c r="Y3" s="12" t="s">
        <v>18</v>
      </c>
      <c r="AA3" s="12" t="s">
        <v>50</v>
      </c>
    </row>
    <row r="4" spans="1:27" x14ac:dyDescent="0.35">
      <c r="A4" s="62">
        <v>1</v>
      </c>
      <c r="B4" s="63">
        <v>2</v>
      </c>
      <c r="C4" s="64">
        <v>-4</v>
      </c>
      <c r="E4" s="62">
        <f t="array" ref="E4:G6">MMULT(TRANSPOSE(A4:C8),A4:C8)</f>
        <v>151</v>
      </c>
      <c r="F4" s="63">
        <v>56</v>
      </c>
      <c r="G4" s="64">
        <v>95</v>
      </c>
      <c r="I4" s="62">
        <f t="array" ref="I4:M8">MMULT(A4:C8,TRANSPOSE(A4:C8))</f>
        <v>21</v>
      </c>
      <c r="J4" s="63">
        <v>-14</v>
      </c>
      <c r="K4" s="63">
        <v>-1</v>
      </c>
      <c r="L4" s="63">
        <v>-9</v>
      </c>
      <c r="M4" s="64">
        <v>4</v>
      </c>
      <c r="O4" s="62" t="e">
        <f t="array" ref="O4:S8" ca="1">I18:M22</f>
        <v>#NAME?</v>
      </c>
      <c r="P4" s="63" t="e">
        <f ca="1"/>
        <v>#NAME?</v>
      </c>
      <c r="Q4" s="63" t="e">
        <f ca="1"/>
        <v>#NAME?</v>
      </c>
      <c r="R4" s="63" t="e">
        <f ca="1"/>
        <v>#NAME?</v>
      </c>
      <c r="S4" s="64" t="e">
        <f ca="1"/>
        <v>#NAME?</v>
      </c>
      <c r="V4" s="62">
        <f t="array" ref="V4:X8">A4:C8</f>
        <v>1</v>
      </c>
      <c r="W4" s="63">
        <v>2</v>
      </c>
      <c r="X4" s="64">
        <v>-4</v>
      </c>
      <c r="Y4" s="65">
        <v>12</v>
      </c>
      <c r="AA4" s="65" t="e">
        <f t="array" aca="1" ref="AA4:AA8" ca="1">MMULT(TRANSPOSE(O4:S8),Y4:Y8)</f>
        <v>#NAME?</v>
      </c>
    </row>
    <row r="5" spans="1:27" x14ac:dyDescent="0.35">
      <c r="A5" s="30">
        <v>8</v>
      </c>
      <c r="B5" s="5">
        <v>7</v>
      </c>
      <c r="C5" s="26">
        <v>9</v>
      </c>
      <c r="E5" s="30">
        <v>56</v>
      </c>
      <c r="F5" s="5">
        <v>120</v>
      </c>
      <c r="G5" s="26">
        <v>70</v>
      </c>
      <c r="I5" s="30">
        <v>-14</v>
      </c>
      <c r="J5" s="5">
        <v>194</v>
      </c>
      <c r="K5" s="5">
        <v>88</v>
      </c>
      <c r="L5" s="5">
        <v>-9</v>
      </c>
      <c r="M5" s="26">
        <v>87</v>
      </c>
      <c r="O5" s="30" t="e">
        <f ca="1"/>
        <v>#NAME?</v>
      </c>
      <c r="P5" s="5" t="e">
        <f ca="1"/>
        <v>#NAME?</v>
      </c>
      <c r="Q5" s="5" t="e">
        <f ca="1"/>
        <v>#NAME?</v>
      </c>
      <c r="R5" s="5" t="e">
        <f ca="1"/>
        <v>#NAME?</v>
      </c>
      <c r="S5" s="26" t="e">
        <f ca="1"/>
        <v>#NAME?</v>
      </c>
      <c r="V5" s="30">
        <v>8</v>
      </c>
      <c r="W5" s="5">
        <v>7</v>
      </c>
      <c r="X5" s="26">
        <v>9</v>
      </c>
      <c r="Y5" s="52">
        <v>4</v>
      </c>
      <c r="AA5" s="52" t="e">
        <f ca="1"/>
        <v>#NAME?</v>
      </c>
    </row>
    <row r="6" spans="1:27" x14ac:dyDescent="0.35">
      <c r="A6" s="30">
        <v>5</v>
      </c>
      <c r="B6" s="5">
        <v>3</v>
      </c>
      <c r="C6" s="26">
        <v>3</v>
      </c>
      <c r="E6" s="27">
        <v>95</v>
      </c>
      <c r="F6" s="28">
        <v>70</v>
      </c>
      <c r="G6" s="29">
        <v>110</v>
      </c>
      <c r="I6" s="30">
        <v>-1</v>
      </c>
      <c r="J6" s="5">
        <v>88</v>
      </c>
      <c r="K6" s="5">
        <v>43</v>
      </c>
      <c r="L6" s="5">
        <v>4</v>
      </c>
      <c r="M6" s="26">
        <v>45</v>
      </c>
      <c r="O6" s="30" t="e">
        <f ca="1"/>
        <v>#NAME?</v>
      </c>
      <c r="P6" s="5" t="e">
        <f ca="1"/>
        <v>#NAME?</v>
      </c>
      <c r="Q6" s="5" t="e">
        <f ca="1"/>
        <v>#NAME?</v>
      </c>
      <c r="R6" s="5" t="e">
        <f ca="1"/>
        <v>#NAME?</v>
      </c>
      <c r="S6" s="26" t="e">
        <f ca="1"/>
        <v>#NAME?</v>
      </c>
      <c r="V6" s="30">
        <v>5</v>
      </c>
      <c r="W6" s="5">
        <v>3</v>
      </c>
      <c r="X6" s="26">
        <v>3</v>
      </c>
      <c r="Y6" s="52">
        <v>-6</v>
      </c>
      <c r="AA6" s="52" t="e">
        <f ca="1"/>
        <v>#NAME?</v>
      </c>
    </row>
    <row r="7" spans="1:27" x14ac:dyDescent="0.35">
      <c r="A7" s="30">
        <v>5</v>
      </c>
      <c r="B7" s="16">
        <v>-7</v>
      </c>
      <c r="C7" s="26">
        <v>0</v>
      </c>
      <c r="I7" s="30">
        <v>-9</v>
      </c>
      <c r="J7" s="5">
        <v>-9</v>
      </c>
      <c r="K7" s="5">
        <v>4</v>
      </c>
      <c r="L7" s="5">
        <v>74</v>
      </c>
      <c r="M7" s="26">
        <v>9</v>
      </c>
      <c r="O7" s="30" t="e">
        <f ca="1"/>
        <v>#NAME?</v>
      </c>
      <c r="P7" s="5" t="e">
        <f ca="1"/>
        <v>#NAME?</v>
      </c>
      <c r="Q7" s="5" t="e">
        <f ca="1"/>
        <v>#NAME?</v>
      </c>
      <c r="R7" s="5" t="e">
        <f ca="1"/>
        <v>#NAME?</v>
      </c>
      <c r="S7" s="26" t="e">
        <f ca="1"/>
        <v>#NAME?</v>
      </c>
      <c r="V7" s="30">
        <v>5</v>
      </c>
      <c r="W7" s="16">
        <v>-7</v>
      </c>
      <c r="X7" s="26">
        <v>0</v>
      </c>
      <c r="Y7" s="49">
        <v>8</v>
      </c>
      <c r="AA7" s="52" t="e">
        <f ca="1"/>
        <v>#NAME?</v>
      </c>
    </row>
    <row r="8" spans="1:27" x14ac:dyDescent="0.35">
      <c r="A8" s="27">
        <v>6</v>
      </c>
      <c r="B8" s="28">
        <v>3</v>
      </c>
      <c r="C8" s="29">
        <v>2</v>
      </c>
      <c r="I8" s="27">
        <v>4</v>
      </c>
      <c r="J8" s="28">
        <v>87</v>
      </c>
      <c r="K8" s="28">
        <v>45</v>
      </c>
      <c r="L8" s="28">
        <v>9</v>
      </c>
      <c r="M8" s="29">
        <v>49</v>
      </c>
      <c r="O8" s="27" t="e">
        <f ca="1"/>
        <v>#NAME?</v>
      </c>
      <c r="P8" s="28" t="e">
        <f ca="1"/>
        <v>#NAME?</v>
      </c>
      <c r="Q8" s="28" t="e">
        <f ca="1"/>
        <v>#NAME?</v>
      </c>
      <c r="R8" s="28" t="e">
        <f ca="1"/>
        <v>#NAME?</v>
      </c>
      <c r="S8" s="29" t="e">
        <f ca="1"/>
        <v>#NAME?</v>
      </c>
      <c r="V8" s="27">
        <v>6</v>
      </c>
      <c r="W8" s="28">
        <v>3</v>
      </c>
      <c r="X8" s="29">
        <v>2</v>
      </c>
      <c r="Y8" s="50">
        <v>3</v>
      </c>
      <c r="AA8" s="53" t="e">
        <f ca="1"/>
        <v>#NAME?</v>
      </c>
    </row>
    <row r="9" spans="1:27" x14ac:dyDescent="0.35">
      <c r="E9" t="s">
        <v>7</v>
      </c>
      <c r="AA9" s="12" t="s">
        <v>51</v>
      </c>
    </row>
    <row r="10" spans="1:27" x14ac:dyDescent="0.35">
      <c r="E10" s="46" t="e">
        <f t="array" aca="1" ref="E10:G13" ca="1">eVECTORS(E4:G6)</f>
        <v>#NAME?</v>
      </c>
      <c r="F10" s="47" t="e">
        <f ca="1"/>
        <v>#NAME?</v>
      </c>
      <c r="G10" s="48" t="e">
        <f ca="1"/>
        <v>#NAME?</v>
      </c>
      <c r="I10" s="46" t="e">
        <f t="array" aca="1" ref="I10:M15" ca="1">eVECTORS(I4:M8)</f>
        <v>#NAME?</v>
      </c>
      <c r="J10" s="47" t="e">
        <f ca="1"/>
        <v>#NAME?</v>
      </c>
      <c r="K10" s="47" t="e">
        <f ca="1"/>
        <v>#NAME?</v>
      </c>
      <c r="L10" s="47" t="e">
        <f ca="1"/>
        <v>#NAME?</v>
      </c>
      <c r="M10" s="48" t="e">
        <f ca="1"/>
        <v>#NAME?</v>
      </c>
      <c r="O10" t="s">
        <v>19</v>
      </c>
      <c r="V10" s="62" t="e">
        <f t="array" aca="1" ref="V10:Y14" ca="1">ELIM(V4:Y8)</f>
        <v>#NAME?</v>
      </c>
      <c r="W10" s="63" t="e">
        <f ca="1"/>
        <v>#NAME?</v>
      </c>
      <c r="X10" s="63" t="e">
        <f ca="1"/>
        <v>#NAME?</v>
      </c>
      <c r="Y10" s="65" t="e">
        <f ca="1"/>
        <v>#NAME?</v>
      </c>
      <c r="AA10" s="65" t="e">
        <f t="array" aca="1" ref="AA10:AA12" ca="1">1/DIAG(O11:Q13)</f>
        <v>#NAME?</v>
      </c>
    </row>
    <row r="11" spans="1:27" x14ac:dyDescent="0.35">
      <c r="E11" s="30" t="e">
        <f ca="1"/>
        <v>#NAME?</v>
      </c>
      <c r="F11" s="5" t="e">
        <f ca="1"/>
        <v>#NAME?</v>
      </c>
      <c r="G11" s="26" t="e">
        <f ca="1"/>
        <v>#NAME?</v>
      </c>
      <c r="I11" s="30" t="e">
        <f ca="1"/>
        <v>#NAME?</v>
      </c>
      <c r="J11" s="5" t="e">
        <f ca="1"/>
        <v>#NAME?</v>
      </c>
      <c r="K11" s="5" t="e">
        <f ca="1"/>
        <v>#NAME?</v>
      </c>
      <c r="L11" s="5" t="e">
        <f ca="1"/>
        <v>#NAME?</v>
      </c>
      <c r="M11" s="26" t="e">
        <f ca="1"/>
        <v>#NAME?</v>
      </c>
      <c r="O11" s="62" t="e">
        <f t="array" aca="1" ref="O11:Q13" ca="1">DIAGONAL(E16:E18)</f>
        <v>#NAME?</v>
      </c>
      <c r="P11" s="63" t="e">
        <f ca="1"/>
        <v>#NAME?</v>
      </c>
      <c r="Q11" s="64" t="e">
        <f ca="1"/>
        <v>#NAME?</v>
      </c>
      <c r="V11" s="30" t="e">
        <f ca="1"/>
        <v>#NAME?</v>
      </c>
      <c r="W11" s="5" t="e">
        <f ca="1"/>
        <v>#NAME?</v>
      </c>
      <c r="X11" s="5" t="e">
        <f ca="1"/>
        <v>#NAME?</v>
      </c>
      <c r="Y11" s="52" t="e">
        <f ca="1"/>
        <v>#NAME?</v>
      </c>
      <c r="AA11" s="52" t="e">
        <f ca="1"/>
        <v>#NAME?</v>
      </c>
    </row>
    <row r="12" spans="1:27" x14ac:dyDescent="0.35">
      <c r="E12" s="30" t="e">
        <f ca="1"/>
        <v>#NAME?</v>
      </c>
      <c r="F12" s="5" t="e">
        <f ca="1"/>
        <v>#NAME?</v>
      </c>
      <c r="G12" s="26" t="e">
        <f ca="1"/>
        <v>#NAME?</v>
      </c>
      <c r="I12" s="30" t="e">
        <f ca="1"/>
        <v>#NAME?</v>
      </c>
      <c r="J12" s="5" t="e">
        <f ca="1"/>
        <v>#NAME?</v>
      </c>
      <c r="K12" s="5" t="e">
        <f ca="1"/>
        <v>#NAME?</v>
      </c>
      <c r="L12" s="5" t="e">
        <f ca="1"/>
        <v>#NAME?</v>
      </c>
      <c r="M12" s="26" t="e">
        <f ca="1"/>
        <v>#NAME?</v>
      </c>
      <c r="O12" s="30" t="e">
        <f ca="1"/>
        <v>#NAME?</v>
      </c>
      <c r="P12" s="5" t="e">
        <f ca="1"/>
        <v>#NAME?</v>
      </c>
      <c r="Q12" s="26" t="e">
        <f ca="1"/>
        <v>#NAME?</v>
      </c>
      <c r="V12" s="30" t="e">
        <f ca="1"/>
        <v>#NAME?</v>
      </c>
      <c r="W12" s="5" t="e">
        <f ca="1"/>
        <v>#NAME?</v>
      </c>
      <c r="X12" s="5" t="e">
        <f ca="1"/>
        <v>#NAME?</v>
      </c>
      <c r="Y12" s="52" t="e">
        <f ca="1"/>
        <v>#NAME?</v>
      </c>
      <c r="AA12" s="52" t="e">
        <f ca="1"/>
        <v>#NAME?</v>
      </c>
    </row>
    <row r="13" spans="1:27" x14ac:dyDescent="0.35">
      <c r="E13" s="27" t="e">
        <f ca="1"/>
        <v>#NAME?</v>
      </c>
      <c r="F13" s="28" t="e">
        <f ca="1"/>
        <v>#NAME?</v>
      </c>
      <c r="G13" s="29" t="e">
        <f ca="1"/>
        <v>#NAME?</v>
      </c>
      <c r="I13" s="30" t="e">
        <f ca="1"/>
        <v>#NAME?</v>
      </c>
      <c r="J13" s="5" t="e">
        <f ca="1"/>
        <v>#NAME?</v>
      </c>
      <c r="K13" s="5" t="e">
        <f ca="1"/>
        <v>#NAME?</v>
      </c>
      <c r="L13" s="5" t="e">
        <f ca="1"/>
        <v>#NAME?</v>
      </c>
      <c r="M13" s="26" t="e">
        <f ca="1"/>
        <v>#NAME?</v>
      </c>
      <c r="O13" s="30" t="e">
        <f ca="1"/>
        <v>#NAME?</v>
      </c>
      <c r="P13" s="5" t="e">
        <f ca="1"/>
        <v>#NAME?</v>
      </c>
      <c r="Q13" s="26" t="e">
        <f ca="1"/>
        <v>#NAME?</v>
      </c>
      <c r="V13" s="30" t="e">
        <f ca="1"/>
        <v>#NAME?</v>
      </c>
      <c r="W13" s="5" t="e">
        <f ca="1"/>
        <v>#NAME?</v>
      </c>
      <c r="X13" s="5" t="e">
        <f ca="1"/>
        <v>#NAME?</v>
      </c>
      <c r="Y13" s="52" t="e">
        <f ca="1"/>
        <v>#NAME?</v>
      </c>
      <c r="AA13" s="52">
        <v>0</v>
      </c>
    </row>
    <row r="14" spans="1:27" x14ac:dyDescent="0.35">
      <c r="I14" s="30" t="e">
        <f ca="1"/>
        <v>#NAME?</v>
      </c>
      <c r="J14" s="5" t="e">
        <f ca="1"/>
        <v>#NAME?</v>
      </c>
      <c r="K14" s="5" t="e">
        <f ca="1"/>
        <v>#NAME?</v>
      </c>
      <c r="L14" s="5" t="e">
        <f ca="1"/>
        <v>#NAME?</v>
      </c>
      <c r="M14" s="26" t="e">
        <f ca="1"/>
        <v>#NAME?</v>
      </c>
      <c r="O14" s="30">
        <v>0</v>
      </c>
      <c r="P14" s="5">
        <v>0</v>
      </c>
      <c r="Q14" s="26">
        <v>0</v>
      </c>
      <c r="V14" s="27" t="e">
        <f ca="1"/>
        <v>#NAME?</v>
      </c>
      <c r="W14" s="28" t="e">
        <f ca="1"/>
        <v>#NAME?</v>
      </c>
      <c r="X14" s="28" t="e">
        <f ca="1"/>
        <v>#NAME?</v>
      </c>
      <c r="Y14" s="53" t="e">
        <f ca="1"/>
        <v>#NAME?</v>
      </c>
      <c r="AA14" s="53">
        <v>0</v>
      </c>
    </row>
    <row r="15" spans="1:27" x14ac:dyDescent="0.35">
      <c r="I15" s="27" t="e">
        <f ca="1"/>
        <v>#NAME?</v>
      </c>
      <c r="J15" s="28" t="e">
        <f ca="1"/>
        <v>#NAME?</v>
      </c>
      <c r="K15" s="28" t="e">
        <f ca="1"/>
        <v>#NAME?</v>
      </c>
      <c r="L15" s="28" t="e">
        <f ca="1"/>
        <v>#NAME?</v>
      </c>
      <c r="M15" s="29" t="e">
        <f ca="1"/>
        <v>#NAME?</v>
      </c>
      <c r="O15" s="27">
        <v>0</v>
      </c>
      <c r="P15" s="28">
        <v>0</v>
      </c>
      <c r="Q15" s="29">
        <v>0</v>
      </c>
    </row>
    <row r="16" spans="1:27" x14ac:dyDescent="0.35">
      <c r="E16" s="65" t="e">
        <f t="array" aca="1" ref="E16:E18" ca="1">SQRT(TRANSPOSE(E10:G10))</f>
        <v>#NAME?</v>
      </c>
      <c r="U16" t="s">
        <v>52</v>
      </c>
      <c r="AA16" s="12" t="s">
        <v>12</v>
      </c>
    </row>
    <row r="17" spans="1:27" x14ac:dyDescent="0.35">
      <c r="E17" s="52" t="e">
        <f ca="1"/>
        <v>#NAME?</v>
      </c>
      <c r="I17" t="s">
        <v>49</v>
      </c>
      <c r="O17" t="s">
        <v>7</v>
      </c>
      <c r="U17" s="62" t="e">
        <f t="array" aca="1" ref="U17:Y21" ca="1">DIAGONAL(AA10:AA14)</f>
        <v>#NAME?</v>
      </c>
      <c r="V17" s="63" t="e">
        <f ca="1"/>
        <v>#NAME?</v>
      </c>
      <c r="W17" s="63" t="e">
        <f ca="1"/>
        <v>#NAME?</v>
      </c>
      <c r="X17" s="63" t="e">
        <f ca="1"/>
        <v>#NAME?</v>
      </c>
      <c r="Y17" s="64" t="e">
        <f ca="1"/>
        <v>#NAME?</v>
      </c>
      <c r="AA17" s="65" t="e">
        <f t="array" aca="1" ref="AA17:AA19" ca="1">MMULT(O18:Q20,MMULT(U17:Y19,AA4:AA8))</f>
        <v>#NAME?</v>
      </c>
    </row>
    <row r="18" spans="1:27" x14ac:dyDescent="0.35">
      <c r="E18" s="53" t="e">
        <f ca="1"/>
        <v>#NAME?</v>
      </c>
      <c r="I18" s="62" t="e">
        <f t="array" aca="1" ref="I18:K22" ca="1">1/SQRT(E10:G10)*MMULT(A4:C8,E11:G13)</f>
        <v>#NAME?</v>
      </c>
      <c r="J18" s="63" t="e">
        <f ca="1"/>
        <v>#NAME?</v>
      </c>
      <c r="K18" s="63" t="e">
        <f ca="1"/>
        <v>#NAME?</v>
      </c>
      <c r="L18" s="63" t="e">
        <f ca="1">L11</f>
        <v>#NAME?</v>
      </c>
      <c r="M18" s="64" t="e">
        <f ca="1">M11</f>
        <v>#NAME?</v>
      </c>
      <c r="O18" s="62" t="e">
        <f t="array" ref="O18:Q20" ca="1">E11:G13</f>
        <v>#NAME?</v>
      </c>
      <c r="P18" s="63" t="e">
        <f ca="1"/>
        <v>#NAME?</v>
      </c>
      <c r="Q18" s="64" t="e">
        <f ca="1"/>
        <v>#NAME?</v>
      </c>
      <c r="U18" s="30" t="e">
        <f ca="1"/>
        <v>#NAME?</v>
      </c>
      <c r="V18" s="5" t="e">
        <f ca="1"/>
        <v>#NAME?</v>
      </c>
      <c r="W18" s="5" t="e">
        <f ca="1"/>
        <v>#NAME?</v>
      </c>
      <c r="X18" s="5" t="e">
        <f ca="1"/>
        <v>#NAME?</v>
      </c>
      <c r="Y18" s="26" t="e">
        <f ca="1"/>
        <v>#NAME?</v>
      </c>
      <c r="AA18" s="52" t="e">
        <f ca="1"/>
        <v>#NAME?</v>
      </c>
    </row>
    <row r="19" spans="1:27" x14ac:dyDescent="0.35">
      <c r="I19" s="30" t="e">
        <f ca="1"/>
        <v>#NAME?</v>
      </c>
      <c r="J19" s="5" t="e">
        <f ca="1"/>
        <v>#NAME?</v>
      </c>
      <c r="K19" s="5" t="e">
        <f ca="1"/>
        <v>#NAME?</v>
      </c>
      <c r="L19" s="5" t="e">
        <f t="shared" ref="L19:M22" ca="1" si="0">L12</f>
        <v>#NAME?</v>
      </c>
      <c r="M19" s="26" t="e">
        <f t="shared" ca="1" si="0"/>
        <v>#NAME?</v>
      </c>
      <c r="O19" s="30" t="e">
        <f ca="1"/>
        <v>#NAME?</v>
      </c>
      <c r="P19" s="5" t="e">
        <f ca="1"/>
        <v>#NAME?</v>
      </c>
      <c r="Q19" s="26" t="e">
        <f ca="1"/>
        <v>#NAME?</v>
      </c>
      <c r="U19" s="27" t="e">
        <f ca="1"/>
        <v>#NAME?</v>
      </c>
      <c r="V19" s="28" t="e">
        <f ca="1"/>
        <v>#NAME?</v>
      </c>
      <c r="W19" s="28" t="e">
        <f ca="1"/>
        <v>#NAME?</v>
      </c>
      <c r="X19" s="28" t="e">
        <f ca="1"/>
        <v>#NAME?</v>
      </c>
      <c r="Y19" s="29" t="e">
        <f ca="1"/>
        <v>#NAME?</v>
      </c>
      <c r="AA19" s="53" t="e">
        <f ca="1"/>
        <v>#NAME?</v>
      </c>
    </row>
    <row r="20" spans="1:27" x14ac:dyDescent="0.35">
      <c r="I20" s="30" t="e">
        <f ca="1"/>
        <v>#NAME?</v>
      </c>
      <c r="J20" s="5" t="e">
        <f ca="1"/>
        <v>#NAME?</v>
      </c>
      <c r="K20" s="5" t="e">
        <f ca="1"/>
        <v>#NAME?</v>
      </c>
      <c r="L20" s="5" t="e">
        <f t="shared" ca="1" si="0"/>
        <v>#NAME?</v>
      </c>
      <c r="M20" s="26" t="e">
        <f t="shared" ca="1" si="0"/>
        <v>#NAME?</v>
      </c>
      <c r="O20" s="27" t="e">
        <f ca="1"/>
        <v>#NAME?</v>
      </c>
      <c r="P20" s="28" t="e">
        <f ca="1"/>
        <v>#NAME?</v>
      </c>
      <c r="Q20" s="29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</row>
    <row r="21" spans="1:27" x14ac:dyDescent="0.35">
      <c r="I21" s="30" t="e">
        <f ca="1"/>
        <v>#NAME?</v>
      </c>
      <c r="J21" s="5" t="e">
        <f ca="1"/>
        <v>#NAME?</v>
      </c>
      <c r="K21" s="5" t="e">
        <f ca="1"/>
        <v>#NAME?</v>
      </c>
      <c r="L21" s="5" t="e">
        <f t="shared" ca="1" si="0"/>
        <v>#NAME?</v>
      </c>
      <c r="M21" s="26" t="e">
        <f t="shared" ca="1" si="0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</row>
    <row r="22" spans="1:27" ht="16.5" x14ac:dyDescent="0.35">
      <c r="I22" s="27" t="e">
        <f ca="1"/>
        <v>#NAME?</v>
      </c>
      <c r="J22" s="28" t="e">
        <f ca="1"/>
        <v>#NAME?</v>
      </c>
      <c r="K22" s="28" t="e">
        <f ca="1"/>
        <v>#NAME?</v>
      </c>
      <c r="L22" s="28" t="e">
        <f t="shared" ca="1" si="0"/>
        <v>#NAME?</v>
      </c>
      <c r="M22" s="29" t="e">
        <f t="shared" ca="1" si="0"/>
        <v>#NAME?</v>
      </c>
      <c r="O22" t="s">
        <v>53</v>
      </c>
    </row>
    <row r="23" spans="1:27" x14ac:dyDescent="0.35">
      <c r="O23" s="62" t="e">
        <f t="array" aca="1" ref="O23:Q27" ca="1">MMULT(O4:S8,MMULT(O11:Q15,TRANSPOSE(O18:Q20)))</f>
        <v>#NAME?</v>
      </c>
      <c r="P23" s="63" t="e">
        <f ca="1"/>
        <v>#NAME?</v>
      </c>
      <c r="Q23" s="64" t="e">
        <f ca="1"/>
        <v>#NAME?</v>
      </c>
    </row>
    <row r="24" spans="1:27" x14ac:dyDescent="0.35">
      <c r="O24" s="30" t="e">
        <f ca="1"/>
        <v>#NAME?</v>
      </c>
      <c r="P24" s="5" t="e">
        <f ca="1"/>
        <v>#NAME?</v>
      </c>
      <c r="Q24" s="26" t="e">
        <f ca="1"/>
        <v>#NAME?</v>
      </c>
    </row>
    <row r="25" spans="1:27" x14ac:dyDescent="0.35">
      <c r="O25" s="30" t="e">
        <f ca="1"/>
        <v>#NAME?</v>
      </c>
      <c r="P25" s="5" t="e">
        <f ca="1"/>
        <v>#NAME?</v>
      </c>
      <c r="Q25" s="26" t="e">
        <f ca="1"/>
        <v>#NAME?</v>
      </c>
    </row>
    <row r="26" spans="1:27" x14ac:dyDescent="0.35">
      <c r="O26" s="30" t="e">
        <f ca="1"/>
        <v>#NAME?</v>
      </c>
      <c r="P26" s="5" t="e">
        <f ca="1"/>
        <v>#NAME?</v>
      </c>
      <c r="Q26" s="26" t="e">
        <f ca="1"/>
        <v>#NAME?</v>
      </c>
    </row>
    <row r="27" spans="1:27" x14ac:dyDescent="0.35">
      <c r="O27" s="27" t="e">
        <f ca="1"/>
        <v>#NAME?</v>
      </c>
      <c r="P27" s="28" t="e">
        <f ca="1"/>
        <v>#NAME?</v>
      </c>
      <c r="Q27" s="29" t="e">
        <f ca="1"/>
        <v>#NAME?</v>
      </c>
    </row>
    <row r="29" spans="1:27" ht="16.5" x14ac:dyDescent="0.35">
      <c r="A29" t="s">
        <v>16</v>
      </c>
      <c r="D29" t="s">
        <v>47</v>
      </c>
      <c r="G29" t="s">
        <v>48</v>
      </c>
      <c r="K29" t="s">
        <v>49</v>
      </c>
      <c r="O29" t="s">
        <v>53</v>
      </c>
    </row>
    <row r="30" spans="1:27" x14ac:dyDescent="0.35">
      <c r="A30" s="62">
        <v>1</v>
      </c>
      <c r="B30" s="64">
        <v>-1</v>
      </c>
      <c r="D30" s="62">
        <f t="array" ref="D30:E31">MMULT(TRANSPOSE(A30:B32),A30:B32)</f>
        <v>5</v>
      </c>
      <c r="E30" s="64">
        <v>-2</v>
      </c>
      <c r="G30" s="62">
        <f t="array" ref="G30:I32">MMULT(A30:B32,TRANSPOSE(A30:B32))</f>
        <v>2</v>
      </c>
      <c r="H30" s="63">
        <v>2</v>
      </c>
      <c r="I30" s="64">
        <v>1.7320508075688772</v>
      </c>
      <c r="K30" s="62" t="e">
        <f t="array" ref="K30:M32" ca="1">G40:I42</f>
        <v>#NAME?</v>
      </c>
      <c r="L30" s="63" t="e">
        <f ca="1"/>
        <v>#NAME?</v>
      </c>
      <c r="M30" s="64" t="e">
        <f ca="1"/>
        <v>#NAME?</v>
      </c>
      <c r="O30" s="62" t="e">
        <f t="array" aca="1" ref="O30:P32" ca="1">MMULT(K30:M32,MMULT(K35:L37,TRANSPOSE(K40:L41)))</f>
        <v>#NAME?</v>
      </c>
      <c r="P30" s="64" t="e">
        <f ca="1"/>
        <v>#NAME?</v>
      </c>
    </row>
    <row r="31" spans="1:27" x14ac:dyDescent="0.35">
      <c r="A31" s="30">
        <v>1</v>
      </c>
      <c r="B31" s="26">
        <v>-1</v>
      </c>
      <c r="D31" s="27">
        <v>-2</v>
      </c>
      <c r="E31" s="29">
        <v>2</v>
      </c>
      <c r="G31" s="30">
        <v>2</v>
      </c>
      <c r="H31" s="5">
        <v>2</v>
      </c>
      <c r="I31" s="26">
        <v>1.7320508075688772</v>
      </c>
      <c r="K31" s="30" t="e">
        <f ca="1"/>
        <v>#NAME?</v>
      </c>
      <c r="L31" s="5" t="e">
        <f ca="1"/>
        <v>#NAME?</v>
      </c>
      <c r="M31" s="26" t="e">
        <f ca="1"/>
        <v>#NAME?</v>
      </c>
      <c r="O31" s="30" t="e">
        <f ca="1"/>
        <v>#NAME?</v>
      </c>
      <c r="P31" s="26" t="e">
        <f ca="1"/>
        <v>#NAME?</v>
      </c>
    </row>
    <row r="32" spans="1:27" x14ac:dyDescent="0.35">
      <c r="A32" s="27">
        <f>SQRT(3)</f>
        <v>1.7320508075688772</v>
      </c>
      <c r="B32" s="29">
        <v>0</v>
      </c>
      <c r="G32" s="27">
        <v>1.7320508075688772</v>
      </c>
      <c r="H32" s="28">
        <v>1.7320508075688772</v>
      </c>
      <c r="I32" s="29">
        <v>2.9999999999999996</v>
      </c>
      <c r="K32" s="27" t="e">
        <f ca="1"/>
        <v>#NAME?</v>
      </c>
      <c r="L32" s="28" t="e">
        <f ca="1"/>
        <v>#NAME?</v>
      </c>
      <c r="M32" s="29" t="e">
        <f ca="1"/>
        <v>#NAME?</v>
      </c>
      <c r="O32" s="27" t="e">
        <f ca="1"/>
        <v>#NAME?</v>
      </c>
      <c r="P32" s="29" t="e">
        <f ca="1"/>
        <v>#NAME?</v>
      </c>
    </row>
    <row r="33" spans="1:24" x14ac:dyDescent="0.35">
      <c r="D33" t="s">
        <v>7</v>
      </c>
    </row>
    <row r="34" spans="1:24" x14ac:dyDescent="0.35">
      <c r="D34" s="46" t="e">
        <f t="array" aca="1" ref="D34:E36" ca="1">eVECTORS(D30:E31)</f>
        <v>#NAME?</v>
      </c>
      <c r="E34" s="48" t="e">
        <f ca="1"/>
        <v>#NAME?</v>
      </c>
      <c r="G34" s="46" t="e">
        <f t="array" aca="1" ref="G34:I37" ca="1">eVECTORS(G30:I32)</f>
        <v>#NAME?</v>
      </c>
      <c r="H34" s="47" t="e">
        <f ca="1"/>
        <v>#NAME?</v>
      </c>
      <c r="I34" s="48" t="e">
        <f ca="1"/>
        <v>#NAME?</v>
      </c>
      <c r="K34" t="s">
        <v>19</v>
      </c>
    </row>
    <row r="35" spans="1:24" x14ac:dyDescent="0.35">
      <c r="D35" s="30" t="e">
        <f ca="1"/>
        <v>#NAME?</v>
      </c>
      <c r="E35" s="26" t="e">
        <f ca="1"/>
        <v>#NAME?</v>
      </c>
      <c r="G35" s="30" t="e">
        <f ca="1"/>
        <v>#NAME?</v>
      </c>
      <c r="H35" s="5" t="e">
        <f ca="1"/>
        <v>#NAME?</v>
      </c>
      <c r="I35" s="26" t="e">
        <f ca="1"/>
        <v>#NAME?</v>
      </c>
      <c r="K35" s="62" t="e">
        <f t="array" aca="1" ref="K35:L36" ca="1">DIAGONAL(D38:D39)</f>
        <v>#NAME?</v>
      </c>
      <c r="L35" s="64" t="e">
        <f ca="1"/>
        <v>#NAME?</v>
      </c>
    </row>
    <row r="36" spans="1:24" x14ac:dyDescent="0.35">
      <c r="D36" s="27" t="e">
        <f ca="1"/>
        <v>#NAME?</v>
      </c>
      <c r="E36" s="29" t="e">
        <f ca="1"/>
        <v>#NAME?</v>
      </c>
      <c r="G36" s="30" t="e">
        <f ca="1"/>
        <v>#NAME?</v>
      </c>
      <c r="H36" s="5" t="e">
        <f ca="1"/>
        <v>#NAME?</v>
      </c>
      <c r="I36" s="26" t="e">
        <f ca="1"/>
        <v>#NAME?</v>
      </c>
      <c r="K36" s="30" t="e">
        <f ca="1"/>
        <v>#NAME?</v>
      </c>
      <c r="L36" s="26" t="e">
        <f ca="1"/>
        <v>#NAME?</v>
      </c>
    </row>
    <row r="37" spans="1:24" x14ac:dyDescent="0.35">
      <c r="G37" s="27" t="e">
        <f ca="1"/>
        <v>#NAME?</v>
      </c>
      <c r="H37" s="28" t="e">
        <f ca="1"/>
        <v>#NAME?</v>
      </c>
      <c r="I37" s="29" t="e">
        <f ca="1"/>
        <v>#NAME?</v>
      </c>
      <c r="K37" s="27">
        <v>0</v>
      </c>
      <c r="L37" s="29">
        <v>0</v>
      </c>
    </row>
    <row r="38" spans="1:24" x14ac:dyDescent="0.35">
      <c r="D38" s="65" t="e">
        <f t="array" aca="1" ref="D38:D39" ca="1">SQRT(TRANSPOSE(D34:E34))</f>
        <v>#NAME?</v>
      </c>
    </row>
    <row r="39" spans="1:24" x14ac:dyDescent="0.35">
      <c r="D39" s="53" t="e">
        <f ca="1"/>
        <v>#NAME?</v>
      </c>
      <c r="G39" t="s">
        <v>49</v>
      </c>
      <c r="K39" t="s">
        <v>7</v>
      </c>
    </row>
    <row r="40" spans="1:24" x14ac:dyDescent="0.35">
      <c r="G40" s="62" t="e">
        <f t="array" aca="1" ref="G40:H42" ca="1">1/SQRT(D34:E34)*MMULT(A30:B32,D35:E36)</f>
        <v>#NAME?</v>
      </c>
      <c r="H40" s="63" t="e">
        <f ca="1"/>
        <v>#NAME?</v>
      </c>
      <c r="I40" s="64" t="e">
        <f t="array" ref="I40:I42" ca="1">I35:I37</f>
        <v>#NAME?</v>
      </c>
      <c r="K40" s="62" t="e">
        <f t="array" ref="K40:L41" ca="1">D35:E36</f>
        <v>#NAME?</v>
      </c>
      <c r="L40" s="64" t="e">
        <f ca="1"/>
        <v>#NAME?</v>
      </c>
    </row>
    <row r="41" spans="1:24" x14ac:dyDescent="0.35">
      <c r="G41" s="30" t="e">
        <f ca="1"/>
        <v>#NAME?</v>
      </c>
      <c r="H41" s="5" t="e">
        <f ca="1"/>
        <v>#NAME?</v>
      </c>
      <c r="I41" s="26" t="e">
        <f ca="1"/>
        <v>#NAME?</v>
      </c>
      <c r="K41" s="27" t="e">
        <f ca="1"/>
        <v>#NAME?</v>
      </c>
      <c r="L41" s="29" t="e">
        <f ca="1"/>
        <v>#NAME?</v>
      </c>
    </row>
    <row r="42" spans="1:24" x14ac:dyDescent="0.35">
      <c r="G42" s="27" t="e">
        <f ca="1"/>
        <v>#NAME?</v>
      </c>
      <c r="H42" s="28" t="e">
        <f ca="1"/>
        <v>#NAME?</v>
      </c>
      <c r="I42" s="29" t="e">
        <f ca="1"/>
        <v>#NAME?</v>
      </c>
    </row>
    <row r="46" spans="1:24" ht="16.5" x14ac:dyDescent="0.35">
      <c r="A46" s="206" t="s">
        <v>16</v>
      </c>
      <c r="B46" s="206"/>
      <c r="C46" s="206"/>
      <c r="E46" t="s">
        <v>47</v>
      </c>
      <c r="I46" t="s">
        <v>48</v>
      </c>
      <c r="N46" t="s">
        <v>49</v>
      </c>
      <c r="S46" s="206" t="s">
        <v>16</v>
      </c>
      <c r="T46" s="206"/>
      <c r="U46" s="206"/>
      <c r="V46" s="19" t="s">
        <v>18</v>
      </c>
      <c r="X46" s="12" t="s">
        <v>50</v>
      </c>
    </row>
    <row r="47" spans="1:24" x14ac:dyDescent="0.35">
      <c r="A47" s="62">
        <v>1</v>
      </c>
      <c r="B47" s="63">
        <v>2</v>
      </c>
      <c r="C47" s="64">
        <v>0</v>
      </c>
      <c r="E47" s="62">
        <f t="array" ref="E47:G49">MMULT(TRANSPOSE(A47:C50),A47:C50)</f>
        <v>3</v>
      </c>
      <c r="F47" s="63">
        <v>1</v>
      </c>
      <c r="G47" s="64">
        <v>2</v>
      </c>
      <c r="I47" s="62">
        <f t="array" ref="I47:L50">MMULT(A47:C50,TRANSPOSE(A47:C50))</f>
        <v>5</v>
      </c>
      <c r="J47" s="63">
        <v>3</v>
      </c>
      <c r="K47" s="63">
        <v>2</v>
      </c>
      <c r="L47" s="64">
        <v>3</v>
      </c>
      <c r="N47" s="62" t="e">
        <f t="array" ref="N47:Q50" ca="1">I59:L62</f>
        <v>#NAME?</v>
      </c>
      <c r="O47" s="63" t="e">
        <f ca="1"/>
        <v>#NAME?</v>
      </c>
      <c r="P47" s="63" t="e">
        <f ca="1"/>
        <v>#NAME?</v>
      </c>
      <c r="Q47" s="64" t="e">
        <f ca="1"/>
        <v>#NAME?</v>
      </c>
      <c r="S47" s="62">
        <v>1</v>
      </c>
      <c r="T47" s="63">
        <v>2</v>
      </c>
      <c r="U47" s="63">
        <v>0</v>
      </c>
      <c r="V47" s="65">
        <v>4</v>
      </c>
      <c r="X47" s="65" t="e">
        <f t="array" aca="1" ref="X47:X50" ca="1">MMULT(TRANSPOSE(N47:Q50),V47:V50)</f>
        <v>#NAME?</v>
      </c>
    </row>
    <row r="48" spans="1:24" x14ac:dyDescent="0.35">
      <c r="A48" s="30">
        <v>-1</v>
      </c>
      <c r="B48" s="5">
        <v>2</v>
      </c>
      <c r="C48" s="26">
        <v>1</v>
      </c>
      <c r="E48" s="30">
        <v>1</v>
      </c>
      <c r="F48" s="5">
        <v>10</v>
      </c>
      <c r="G48" s="26">
        <v>2</v>
      </c>
      <c r="I48" s="30">
        <v>3</v>
      </c>
      <c r="J48" s="5">
        <v>6</v>
      </c>
      <c r="K48" s="5">
        <v>-1</v>
      </c>
      <c r="L48" s="26">
        <v>4</v>
      </c>
      <c r="N48" s="30" t="e">
        <f ca="1"/>
        <v>#NAME?</v>
      </c>
      <c r="O48" s="5" t="e">
        <f ca="1"/>
        <v>#NAME?</v>
      </c>
      <c r="P48" s="5" t="e">
        <f ca="1"/>
        <v>#NAME?</v>
      </c>
      <c r="Q48" s="26" t="e">
        <f ca="1"/>
        <v>#NAME?</v>
      </c>
      <c r="S48" s="30">
        <v>-1</v>
      </c>
      <c r="T48" s="5">
        <v>2</v>
      </c>
      <c r="U48" s="5">
        <v>1</v>
      </c>
      <c r="V48" s="52">
        <v>3</v>
      </c>
      <c r="X48" s="52" t="e">
        <f ca="1"/>
        <v>#NAME?</v>
      </c>
    </row>
    <row r="49" spans="1:24" x14ac:dyDescent="0.35">
      <c r="A49" s="30">
        <v>0</v>
      </c>
      <c r="B49" s="5">
        <v>1</v>
      </c>
      <c r="C49" s="26">
        <v>-3</v>
      </c>
      <c r="E49" s="27">
        <v>2</v>
      </c>
      <c r="F49" s="28">
        <v>2</v>
      </c>
      <c r="G49" s="29">
        <v>19</v>
      </c>
      <c r="I49" s="30">
        <v>2</v>
      </c>
      <c r="J49" s="5">
        <v>-1</v>
      </c>
      <c r="K49" s="5">
        <v>10</v>
      </c>
      <c r="L49" s="26">
        <v>-8</v>
      </c>
      <c r="N49" s="30" t="e">
        <f ca="1"/>
        <v>#NAME?</v>
      </c>
      <c r="O49" s="5" t="e">
        <f ca="1"/>
        <v>#NAME?</v>
      </c>
      <c r="P49" s="5" t="e">
        <f ca="1"/>
        <v>#NAME?</v>
      </c>
      <c r="Q49" s="26" t="e">
        <f ca="1"/>
        <v>#NAME?</v>
      </c>
      <c r="S49" s="30">
        <v>0</v>
      </c>
      <c r="T49" s="5">
        <v>1</v>
      </c>
      <c r="U49" s="5">
        <v>-3</v>
      </c>
      <c r="V49" s="52">
        <v>5</v>
      </c>
      <c r="X49" s="52" t="e">
        <f ca="1"/>
        <v>#NAME?</v>
      </c>
    </row>
    <row r="50" spans="1:24" x14ac:dyDescent="0.35">
      <c r="A50" s="27">
        <v>1</v>
      </c>
      <c r="B50" s="28">
        <v>1</v>
      </c>
      <c r="C50" s="29">
        <v>3</v>
      </c>
      <c r="I50" s="27">
        <v>3</v>
      </c>
      <c r="J50" s="28">
        <v>4</v>
      </c>
      <c r="K50" s="28">
        <v>-8</v>
      </c>
      <c r="L50" s="29">
        <v>11</v>
      </c>
      <c r="N50" s="27" t="e">
        <f ca="1"/>
        <v>#NAME?</v>
      </c>
      <c r="O50" s="28" t="e">
        <f ca="1"/>
        <v>#NAME?</v>
      </c>
      <c r="P50" s="28" t="e">
        <f ca="1"/>
        <v>#NAME?</v>
      </c>
      <c r="Q50" s="29" t="e">
        <f ca="1"/>
        <v>#NAME?</v>
      </c>
      <c r="S50" s="27">
        <v>1</v>
      </c>
      <c r="T50" s="28">
        <v>1</v>
      </c>
      <c r="U50" s="28">
        <v>3</v>
      </c>
      <c r="V50" s="53">
        <v>-1</v>
      </c>
      <c r="X50" s="53" t="e">
        <f ca="1"/>
        <v>#NAME?</v>
      </c>
    </row>
    <row r="51" spans="1:24" x14ac:dyDescent="0.35">
      <c r="E51" t="s">
        <v>7</v>
      </c>
      <c r="X51" s="12" t="s">
        <v>51</v>
      </c>
    </row>
    <row r="52" spans="1:24" x14ac:dyDescent="0.35">
      <c r="E52" s="46" t="e">
        <f t="array" aca="1" ref="E52:G55" ca="1">eVECTORS(E47:G49)</f>
        <v>#NAME?</v>
      </c>
      <c r="F52" s="47" t="e">
        <f ca="1"/>
        <v>#NAME?</v>
      </c>
      <c r="G52" s="48" t="e">
        <f ca="1"/>
        <v>#NAME?</v>
      </c>
      <c r="I52" s="46" t="e">
        <f t="array" aca="1" ref="I52:L56" ca="1">eVECTORS(I47:L50)</f>
        <v>#NAME?</v>
      </c>
      <c r="J52" s="47" t="e">
        <f ca="1"/>
        <v>#NAME?</v>
      </c>
      <c r="K52" s="47" t="e">
        <f ca="1"/>
        <v>#NAME?</v>
      </c>
      <c r="L52" s="48" t="e">
        <f ca="1"/>
        <v>#NAME?</v>
      </c>
      <c r="N52" t="s">
        <v>19</v>
      </c>
      <c r="S52" s="62" t="e">
        <f t="array" aca="1" ref="S52:V55" ca="1">ELIM(S47:V50)</f>
        <v>#NAME?</v>
      </c>
      <c r="T52" s="63" t="e">
        <f ca="1"/>
        <v>#NAME?</v>
      </c>
      <c r="U52" s="63" t="e">
        <f ca="1"/>
        <v>#NAME?</v>
      </c>
      <c r="V52" s="64" t="e">
        <f ca="1"/>
        <v>#NAME?</v>
      </c>
      <c r="X52" s="65" t="e">
        <f t="array" ref="X52:X54" ca="1">1/E57:E59</f>
        <v>#NAME?</v>
      </c>
    </row>
    <row r="53" spans="1:24" x14ac:dyDescent="0.35">
      <c r="E53" s="30" t="e">
        <f ca="1"/>
        <v>#NAME?</v>
      </c>
      <c r="F53" s="5" t="e">
        <f ca="1"/>
        <v>#NAME?</v>
      </c>
      <c r="G53" s="26" t="e">
        <f ca="1"/>
        <v>#NAME?</v>
      </c>
      <c r="I53" s="30" t="e">
        <f ca="1"/>
        <v>#NAME?</v>
      </c>
      <c r="J53" s="5" t="e">
        <f ca="1"/>
        <v>#NAME?</v>
      </c>
      <c r="K53" s="5" t="e">
        <f ca="1"/>
        <v>#NAME?</v>
      </c>
      <c r="L53" s="26" t="e">
        <f ca="1"/>
        <v>#NAME?</v>
      </c>
      <c r="N53" s="62" t="e">
        <f t="array" aca="1" ref="N53:P55" ca="1">DIAGONAL(E57:E59)</f>
        <v>#NAME?</v>
      </c>
      <c r="O53" s="63" t="e">
        <f ca="1"/>
        <v>#NAME?</v>
      </c>
      <c r="P53" s="64" t="e">
        <f ca="1"/>
        <v>#NAME?</v>
      </c>
      <c r="S53" s="30" t="e">
        <f ca="1"/>
        <v>#NAME?</v>
      </c>
      <c r="T53" s="5" t="e">
        <f ca="1"/>
        <v>#NAME?</v>
      </c>
      <c r="U53" s="5" t="e">
        <f ca="1"/>
        <v>#NAME?</v>
      </c>
      <c r="V53" s="26" t="e">
        <f ca="1"/>
        <v>#NAME?</v>
      </c>
      <c r="X53" s="52" t="e">
        <f ca="1"/>
        <v>#NAME?</v>
      </c>
    </row>
    <row r="54" spans="1:24" x14ac:dyDescent="0.35">
      <c r="E54" s="30" t="e">
        <f ca="1"/>
        <v>#NAME?</v>
      </c>
      <c r="F54" s="5" t="e">
        <f ca="1"/>
        <v>#NAME?</v>
      </c>
      <c r="G54" s="26" t="e">
        <f ca="1"/>
        <v>#NAME?</v>
      </c>
      <c r="I54" s="30" t="e">
        <f ca="1"/>
        <v>#NAME?</v>
      </c>
      <c r="J54" s="5" t="e">
        <f ca="1"/>
        <v>#NAME?</v>
      </c>
      <c r="K54" s="5" t="e">
        <f ca="1"/>
        <v>#NAME?</v>
      </c>
      <c r="L54" s="26" t="e">
        <f ca="1"/>
        <v>#NAME?</v>
      </c>
      <c r="N54" s="30" t="e">
        <f ca="1"/>
        <v>#NAME?</v>
      </c>
      <c r="O54" s="5" t="e">
        <f ca="1"/>
        <v>#NAME?</v>
      </c>
      <c r="P54" s="26" t="e">
        <f ca="1"/>
        <v>#NAME?</v>
      </c>
      <c r="S54" s="30" t="e">
        <f ca="1"/>
        <v>#NAME?</v>
      </c>
      <c r="T54" s="5" t="e">
        <f ca="1"/>
        <v>#NAME?</v>
      </c>
      <c r="U54" s="5" t="e">
        <f ca="1"/>
        <v>#NAME?</v>
      </c>
      <c r="V54" s="26" t="e">
        <f ca="1"/>
        <v>#NAME?</v>
      </c>
      <c r="X54" s="52" t="e">
        <f ca="1"/>
        <v>#NAME?</v>
      </c>
    </row>
    <row r="55" spans="1:24" x14ac:dyDescent="0.35">
      <c r="E55" s="27" t="e">
        <f ca="1"/>
        <v>#NAME?</v>
      </c>
      <c r="F55" s="28" t="e">
        <f ca="1"/>
        <v>#NAME?</v>
      </c>
      <c r="G55" s="29" t="e">
        <f ca="1"/>
        <v>#NAME?</v>
      </c>
      <c r="I55" s="30" t="e">
        <f ca="1"/>
        <v>#NAME?</v>
      </c>
      <c r="J55" s="5" t="e">
        <f ca="1"/>
        <v>#NAME?</v>
      </c>
      <c r="K55" s="5" t="e">
        <f ca="1"/>
        <v>#NAME?</v>
      </c>
      <c r="L55" s="26" t="e">
        <f ca="1"/>
        <v>#NAME?</v>
      </c>
      <c r="N55" s="30" t="e">
        <f ca="1"/>
        <v>#NAME?</v>
      </c>
      <c r="O55" s="5" t="e">
        <f ca="1"/>
        <v>#NAME?</v>
      </c>
      <c r="P55" s="26" t="e">
        <f ca="1"/>
        <v>#NAME?</v>
      </c>
      <c r="S55" s="27" t="e">
        <f ca="1"/>
        <v>#NAME?</v>
      </c>
      <c r="T55" s="28" t="e">
        <f ca="1"/>
        <v>#NAME?</v>
      </c>
      <c r="U55" s="28" t="e">
        <f ca="1"/>
        <v>#NAME?</v>
      </c>
      <c r="V55" s="29" t="e">
        <f ca="1"/>
        <v>#NAME?</v>
      </c>
      <c r="X55" s="53">
        <v>0</v>
      </c>
    </row>
    <row r="56" spans="1:24" x14ac:dyDescent="0.35">
      <c r="I56" s="27" t="e">
        <f ca="1"/>
        <v>#NAME?</v>
      </c>
      <c r="J56" s="28" t="e">
        <f ca="1"/>
        <v>#NAME?</v>
      </c>
      <c r="K56" s="28" t="e">
        <f ca="1"/>
        <v>#NAME?</v>
      </c>
      <c r="L56" s="29" t="e">
        <f ca="1"/>
        <v>#NAME?</v>
      </c>
      <c r="N56" s="27">
        <v>0</v>
      </c>
      <c r="O56" s="28">
        <v>0</v>
      </c>
      <c r="P56" s="29">
        <v>0</v>
      </c>
    </row>
    <row r="57" spans="1:24" x14ac:dyDescent="0.35">
      <c r="E57" s="65" t="e">
        <f t="array" aca="1" ref="E57:E59" ca="1">SQRT(TRANSPOSE(E52:G52))</f>
        <v>#NAME?</v>
      </c>
      <c r="S57" t="s">
        <v>52</v>
      </c>
      <c r="X57" s="12" t="s">
        <v>12</v>
      </c>
    </row>
    <row r="58" spans="1:24" x14ac:dyDescent="0.35">
      <c r="E58" s="52" t="e">
        <f ca="1"/>
        <v>#NAME?</v>
      </c>
      <c r="I58" t="s">
        <v>49</v>
      </c>
      <c r="N58" t="s">
        <v>7</v>
      </c>
      <c r="S58" s="62" t="e">
        <f t="array" aca="1" ref="S58:V61" ca="1">DIAGONAL(X52:X55)</f>
        <v>#NAME?</v>
      </c>
      <c r="T58" s="63" t="e">
        <f ca="1"/>
        <v>#NAME?</v>
      </c>
      <c r="U58" s="63" t="e">
        <f ca="1"/>
        <v>#NAME?</v>
      </c>
      <c r="V58" s="64" t="e">
        <f ca="1"/>
        <v>#NAME?</v>
      </c>
      <c r="X58" s="65" t="e">
        <f t="array" aca="1" ref="X58:X60" ca="1">MMULT(N59:P61,MMULT(S58:V60,X47:X50))</f>
        <v>#NAME?</v>
      </c>
    </row>
    <row r="59" spans="1:24" x14ac:dyDescent="0.35">
      <c r="E59" s="53" t="e">
        <f ca="1"/>
        <v>#NAME?</v>
      </c>
      <c r="I59" s="62" t="e">
        <f t="array" aca="1" ref="I59:K62" ca="1">1/SQRT(E52:G52)*MMULT(A47:C50,E53:G55)</f>
        <v>#NAME?</v>
      </c>
      <c r="J59" s="63" t="e">
        <f ca="1"/>
        <v>#NAME?</v>
      </c>
      <c r="K59" s="63" t="e">
        <f ca="1"/>
        <v>#NAME?</v>
      </c>
      <c r="L59" s="64" t="e">
        <f t="array" ref="L59:L62" ca="1">L53:L56</f>
        <v>#NAME?</v>
      </c>
      <c r="N59" s="62" t="e">
        <f t="array" ref="N59:P61" ca="1">E53:G55</f>
        <v>#NAME?</v>
      </c>
      <c r="O59" s="63" t="e">
        <f ca="1"/>
        <v>#NAME?</v>
      </c>
      <c r="P59" s="64" t="e">
        <f ca="1"/>
        <v>#NAME?</v>
      </c>
      <c r="S59" s="30" t="e">
        <f ca="1"/>
        <v>#NAME?</v>
      </c>
      <c r="T59" s="5" t="e">
        <f ca="1"/>
        <v>#NAME?</v>
      </c>
      <c r="U59" s="5" t="e">
        <f ca="1"/>
        <v>#NAME?</v>
      </c>
      <c r="V59" s="26" t="e">
        <f ca="1"/>
        <v>#NAME?</v>
      </c>
      <c r="X59" s="52" t="e">
        <f ca="1"/>
        <v>#NAME?</v>
      </c>
    </row>
    <row r="60" spans="1:24" x14ac:dyDescent="0.35">
      <c r="I60" s="30" t="e">
        <f ca="1"/>
        <v>#NAME?</v>
      </c>
      <c r="J60" s="5" t="e">
        <f ca="1"/>
        <v>#NAME?</v>
      </c>
      <c r="K60" s="5" t="e">
        <f ca="1"/>
        <v>#NAME?</v>
      </c>
      <c r="L60" s="26" t="e">
        <f ca="1"/>
        <v>#NAME?</v>
      </c>
      <c r="N60" s="30" t="e">
        <f ca="1"/>
        <v>#NAME?</v>
      </c>
      <c r="O60" s="5" t="e">
        <f ca="1"/>
        <v>#NAME?</v>
      </c>
      <c r="P60" s="26" t="e">
        <f ca="1"/>
        <v>#NAME?</v>
      </c>
      <c r="S60" s="27" t="e">
        <f ca="1"/>
        <v>#NAME?</v>
      </c>
      <c r="T60" s="28" t="e">
        <f ca="1"/>
        <v>#NAME?</v>
      </c>
      <c r="U60" s="28" t="e">
        <f ca="1"/>
        <v>#NAME?</v>
      </c>
      <c r="V60" s="29" t="e">
        <f ca="1"/>
        <v>#NAME?</v>
      </c>
      <c r="X60" s="53" t="e">
        <f ca="1"/>
        <v>#NAME?</v>
      </c>
    </row>
    <row r="61" spans="1:24" x14ac:dyDescent="0.35">
      <c r="I61" s="30" t="e">
        <f ca="1"/>
        <v>#NAME?</v>
      </c>
      <c r="J61" s="5" t="e">
        <f ca="1"/>
        <v>#NAME?</v>
      </c>
      <c r="K61" s="5" t="e">
        <f ca="1"/>
        <v>#NAME?</v>
      </c>
      <c r="L61" s="26" t="e">
        <f ca="1"/>
        <v>#NAME?</v>
      </c>
      <c r="N61" s="27" t="e">
        <f ca="1"/>
        <v>#NAME?</v>
      </c>
      <c r="O61" s="28" t="e">
        <f ca="1"/>
        <v>#NAME?</v>
      </c>
      <c r="P61" s="29" t="e">
        <f ca="1"/>
        <v>#NAME?</v>
      </c>
      <c r="S61" t="e">
        <f ca="1"/>
        <v>#NAME?</v>
      </c>
      <c r="T61" t="e">
        <f ca="1"/>
        <v>#NAME?</v>
      </c>
      <c r="U61" t="e">
        <f ca="1"/>
        <v>#NAME?</v>
      </c>
      <c r="V61" t="e">
        <f ca="1"/>
        <v>#NAME?</v>
      </c>
    </row>
    <row r="62" spans="1:24" x14ac:dyDescent="0.35">
      <c r="I62" s="27" t="e">
        <f ca="1"/>
        <v>#NAME?</v>
      </c>
      <c r="J62" s="28" t="e">
        <f ca="1"/>
        <v>#NAME?</v>
      </c>
      <c r="K62" s="28" t="e">
        <f ca="1"/>
        <v>#NAME?</v>
      </c>
      <c r="L62" s="29" t="e">
        <f ca="1"/>
        <v>#NAME?</v>
      </c>
    </row>
    <row r="63" spans="1:24" ht="16.5" x14ac:dyDescent="0.35">
      <c r="N63" t="s">
        <v>53</v>
      </c>
    </row>
    <row r="64" spans="1:24" x14ac:dyDescent="0.35">
      <c r="N64" s="62" t="e">
        <f t="array" aca="1" ref="N64:P67" ca="1">MMULT(N47:Q50,MMULT(N53:P56,TRANSPOSE(N59:P61)))</f>
        <v>#NAME?</v>
      </c>
      <c r="O64" s="63" t="e">
        <f ca="1"/>
        <v>#NAME?</v>
      </c>
      <c r="P64" s="64" t="e">
        <f ca="1"/>
        <v>#NAME?</v>
      </c>
    </row>
    <row r="65" spans="14:16" x14ac:dyDescent="0.35">
      <c r="N65" s="30" t="e">
        <f ca="1"/>
        <v>#NAME?</v>
      </c>
      <c r="O65" s="5" t="e">
        <f ca="1"/>
        <v>#NAME?</v>
      </c>
      <c r="P65" s="26" t="e">
        <f ca="1"/>
        <v>#NAME?</v>
      </c>
    </row>
    <row r="66" spans="14:16" x14ac:dyDescent="0.35">
      <c r="N66" s="30" t="e">
        <f ca="1"/>
        <v>#NAME?</v>
      </c>
      <c r="O66" s="5" t="e">
        <f ca="1"/>
        <v>#NAME?</v>
      </c>
      <c r="P66" s="26" t="e">
        <f ca="1"/>
        <v>#NAME?</v>
      </c>
    </row>
    <row r="67" spans="14:16" x14ac:dyDescent="0.35">
      <c r="N67" s="27" t="e">
        <f ca="1"/>
        <v>#NAME?</v>
      </c>
      <c r="O67" s="28" t="e">
        <f ca="1"/>
        <v>#NAME?</v>
      </c>
      <c r="P67" s="29" t="e">
        <f ca="1"/>
        <v>#NAME?</v>
      </c>
    </row>
  </sheetData>
  <mergeCells count="2">
    <mergeCell ref="A46:C46"/>
    <mergeCell ref="S46:U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685-1386-4B71-80BE-772EF6CC2FA0}">
  <sheetPr codeName="Sheet99"/>
  <dimension ref="A1:S16"/>
  <sheetViews>
    <sheetView topLeftCell="A2" workbookViewId="0">
      <selection activeCell="D18" sqref="D18"/>
    </sheetView>
  </sheetViews>
  <sheetFormatPr defaultRowHeight="14.5" x14ac:dyDescent="0.35"/>
  <cols>
    <col min="1" max="4" width="7.6328125" customWidth="1"/>
    <col min="5" max="5" width="6" customWidth="1"/>
  </cols>
  <sheetData>
    <row r="1" spans="1:19" x14ac:dyDescent="0.35">
      <c r="A1" s="10" t="s">
        <v>81</v>
      </c>
    </row>
    <row r="2" spans="1:19" x14ac:dyDescent="0.35">
      <c r="F2" t="s">
        <v>49</v>
      </c>
      <c r="G2" t="e" cm="1">
        <f t="array" aca="1" ref="G2" ca="1">FTEXT(F3)</f>
        <v>#NAME?</v>
      </c>
      <c r="K2" t="e" cm="1">
        <f t="array" aca="1" ref="K2" ca="1">FTEXT(K3)</f>
        <v>#NAME?</v>
      </c>
      <c r="O2" t="e" cm="1">
        <f t="array" aca="1" ref="O2" ca="1">FTEXT(O3)</f>
        <v>#NAME?</v>
      </c>
    </row>
    <row r="3" spans="1:19" x14ac:dyDescent="0.35">
      <c r="A3" s="101">
        <v>1</v>
      </c>
      <c r="B3" s="101">
        <v>6</v>
      </c>
      <c r="C3" s="101">
        <v>4</v>
      </c>
      <c r="D3" s="101">
        <v>5</v>
      </c>
      <c r="F3" s="39" t="e">
        <f t="array" aca="1" ref="F3:H5" ca="1">SVD_U(A3:D5)</f>
        <v>#NAME?</v>
      </c>
      <c r="G3" s="35" t="e">
        <f ca="1"/>
        <v>#NAME?</v>
      </c>
      <c r="H3" s="40" t="e">
        <f ca="1"/>
        <v>#NAME?</v>
      </c>
      <c r="K3" s="32" t="e" cm="1">
        <f t="array" aca="1" ref="K3" ca="1">SSCP(F3:H5)</f>
        <v>#NAME?</v>
      </c>
      <c r="L3" s="33"/>
      <c r="M3" s="34"/>
      <c r="O3" s="32" t="e" cm="1">
        <f t="array" aca="1" ref="O3" ca="1">MMULT(F3:H5,TRANSPOSE(F3:H5))</f>
        <v>#NAME?</v>
      </c>
      <c r="P3" s="33"/>
      <c r="Q3" s="34"/>
    </row>
    <row r="4" spans="1:19" x14ac:dyDescent="0.35">
      <c r="A4" s="101">
        <v>2</v>
      </c>
      <c r="B4" s="101">
        <v>-1</v>
      </c>
      <c r="C4" s="101">
        <v>0</v>
      </c>
      <c r="D4" s="101">
        <v>2</v>
      </c>
      <c r="F4" s="21" t="e">
        <f ca="1"/>
        <v>#NAME?</v>
      </c>
      <c r="G4" t="e">
        <f ca="1"/>
        <v>#NAME?</v>
      </c>
      <c r="H4" s="22" t="e">
        <f ca="1"/>
        <v>#NAME?</v>
      </c>
      <c r="K4" s="4"/>
      <c r="M4" s="6"/>
      <c r="O4" s="4"/>
      <c r="Q4" s="6"/>
    </row>
    <row r="5" spans="1:19" x14ac:dyDescent="0.35">
      <c r="A5" s="101">
        <v>4</v>
      </c>
      <c r="B5" s="101">
        <v>3</v>
      </c>
      <c r="C5" s="101">
        <v>-2</v>
      </c>
      <c r="D5" s="101">
        <v>3</v>
      </c>
      <c r="F5" s="23" t="e">
        <f ca="1"/>
        <v>#NAME?</v>
      </c>
      <c r="G5" s="24" t="e">
        <f ca="1"/>
        <v>#NAME?</v>
      </c>
      <c r="H5" s="25" t="e">
        <f ca="1"/>
        <v>#NAME?</v>
      </c>
      <c r="K5" s="7"/>
      <c r="L5" s="8"/>
      <c r="M5" s="9"/>
      <c r="O5" s="7"/>
      <c r="P5" s="8"/>
      <c r="Q5" s="9"/>
    </row>
    <row r="7" spans="1:19" x14ac:dyDescent="0.35">
      <c r="A7" t="s">
        <v>186</v>
      </c>
      <c r="F7" t="s">
        <v>19</v>
      </c>
      <c r="G7" t="e" cm="1">
        <f t="array" aca="1" ref="G7" ca="1">FTEXT(F8)</f>
        <v>#NAME?</v>
      </c>
    </row>
    <row r="8" spans="1:19" x14ac:dyDescent="0.35">
      <c r="A8" s="39" t="e">
        <f t="array" aca="1" ref="A8:D10" ca="1">MMULT(F3:H5,MMULT(F8:I10,TRANSPOSE(F13:I16)))</f>
        <v>#NAME?</v>
      </c>
      <c r="B8" s="35" t="e">
        <f ca="1"/>
        <v>#NAME?</v>
      </c>
      <c r="C8" s="35" t="e">
        <f ca="1"/>
        <v>#NAME?</v>
      </c>
      <c r="D8" s="40" t="e">
        <f ca="1"/>
        <v>#NAME?</v>
      </c>
      <c r="F8" s="39" t="e">
        <f t="array" aca="1" ref="F8:I10" ca="1">SVD_D(A3:D5)</f>
        <v>#NAME?</v>
      </c>
      <c r="G8" s="35" t="e">
        <f ca="1"/>
        <v>#NAME?</v>
      </c>
      <c r="H8" s="35" t="e">
        <f ca="1"/>
        <v>#NAME?</v>
      </c>
      <c r="I8" s="40" t="e">
        <f ca="1"/>
        <v>#NAME?</v>
      </c>
    </row>
    <row r="9" spans="1:19" x14ac:dyDescent="0.35">
      <c r="A9" s="21" t="e">
        <f ca="1"/>
        <v>#NAME?</v>
      </c>
      <c r="B9" t="e">
        <f ca="1"/>
        <v>#NAME?</v>
      </c>
      <c r="C9" t="e">
        <f ca="1"/>
        <v>#NAME?</v>
      </c>
      <c r="D9" s="22" t="e">
        <f ca="1"/>
        <v>#NAME?</v>
      </c>
      <c r="F9" s="21" t="e">
        <f ca="1"/>
        <v>#NAME?</v>
      </c>
      <c r="G9" t="e">
        <f ca="1"/>
        <v>#NAME?</v>
      </c>
      <c r="H9" t="e">
        <f ca="1"/>
        <v>#NAME?</v>
      </c>
      <c r="I9" s="22" t="e">
        <f ca="1"/>
        <v>#NAME?</v>
      </c>
    </row>
    <row r="10" spans="1:19" x14ac:dyDescent="0.35">
      <c r="A10" s="23" t="e">
        <f ca="1"/>
        <v>#NAME?</v>
      </c>
      <c r="B10" s="24" t="e">
        <f ca="1"/>
        <v>#NAME?</v>
      </c>
      <c r="C10" s="24" t="e">
        <f ca="1"/>
        <v>#NAME?</v>
      </c>
      <c r="D10" s="25" t="e">
        <f ca="1"/>
        <v>#NAME?</v>
      </c>
      <c r="F10" s="23" t="e">
        <f ca="1"/>
        <v>#NAME?</v>
      </c>
      <c r="G10" s="24" t="e">
        <f ca="1"/>
        <v>#NAME?</v>
      </c>
      <c r="H10" s="24" t="e">
        <f ca="1"/>
        <v>#NAME?</v>
      </c>
      <c r="I10" s="25" t="e">
        <f ca="1"/>
        <v>#NAME?</v>
      </c>
    </row>
    <row r="12" spans="1:19" x14ac:dyDescent="0.35">
      <c r="F12" t="s">
        <v>7</v>
      </c>
      <c r="G12" t="e" cm="1">
        <f t="array" aca="1" ref="G12" ca="1">FTEXT(F13)</f>
        <v>#NAME?</v>
      </c>
      <c r="K12" t="e" cm="1">
        <f t="array" aca="1" ref="K12" ca="1">FTEXT(K13)</f>
        <v>#NAME?</v>
      </c>
      <c r="P12" t="e" cm="1">
        <f t="array" aca="1" ref="P12" ca="1">FTEXT(P13)</f>
        <v>#NAME?</v>
      </c>
    </row>
    <row r="13" spans="1:19" x14ac:dyDescent="0.35">
      <c r="F13" s="39" t="e">
        <f t="array" aca="1" ref="F13:I16" ca="1">SVD_V(A3:D5)</f>
        <v>#NAME?</v>
      </c>
      <c r="G13" s="35" t="e">
        <f ca="1"/>
        <v>#NAME?</v>
      </c>
      <c r="H13" s="35" t="e">
        <f ca="1"/>
        <v>#NAME?</v>
      </c>
      <c r="I13" s="40" t="e">
        <f ca="1"/>
        <v>#NAME?</v>
      </c>
      <c r="K13" s="32" t="e" cm="1">
        <f t="array" aca="1" ref="K13" ca="1">SSCP(F13:I16)</f>
        <v>#NAME?</v>
      </c>
      <c r="L13" s="33"/>
      <c r="M13" s="33"/>
      <c r="N13" s="34"/>
      <c r="P13" s="32" t="e" cm="1">
        <f t="array" aca="1" ref="P13" ca="1">MMULT(F13:I16,TRANSPOSE(F13:I16))</f>
        <v>#NAME?</v>
      </c>
      <c r="Q13" s="33"/>
      <c r="R13" s="33"/>
      <c r="S13" s="34"/>
    </row>
    <row r="14" spans="1:19" x14ac:dyDescent="0.35">
      <c r="F14" s="21" t="e">
        <f ca="1"/>
        <v>#NAME?</v>
      </c>
      <c r="G14" t="e">
        <f ca="1"/>
        <v>#NAME?</v>
      </c>
      <c r="H14" t="e">
        <f ca="1"/>
        <v>#NAME?</v>
      </c>
      <c r="I14" s="22" t="e">
        <f ca="1"/>
        <v>#NAME?</v>
      </c>
      <c r="K14" s="4"/>
      <c r="N14" s="6"/>
      <c r="P14" s="4"/>
      <c r="S14" s="6"/>
    </row>
    <row r="15" spans="1:19" x14ac:dyDescent="0.35">
      <c r="F15" s="21" t="e">
        <f ca="1"/>
        <v>#NAME?</v>
      </c>
      <c r="G15" t="e">
        <f ca="1"/>
        <v>#NAME?</v>
      </c>
      <c r="H15" t="e">
        <f ca="1"/>
        <v>#NAME?</v>
      </c>
      <c r="I15" s="22" t="e">
        <f ca="1"/>
        <v>#NAME?</v>
      </c>
      <c r="K15" s="4"/>
      <c r="N15" s="6"/>
      <c r="P15" s="4"/>
      <c r="S15" s="6"/>
    </row>
    <row r="16" spans="1:19" x14ac:dyDescent="0.35">
      <c r="F16" s="23" t="e">
        <f ca="1"/>
        <v>#NAME?</v>
      </c>
      <c r="G16" s="24" t="e">
        <f ca="1"/>
        <v>#NAME?</v>
      </c>
      <c r="H16" s="24" t="e">
        <f ca="1"/>
        <v>#NAME?</v>
      </c>
      <c r="I16" s="25" t="e">
        <f ca="1"/>
        <v>#NAME?</v>
      </c>
      <c r="K16" s="7"/>
      <c r="L16" s="8"/>
      <c r="M16" s="8"/>
      <c r="N16" s="9"/>
      <c r="P16" s="7"/>
      <c r="Q16" s="8"/>
      <c r="R16" s="8"/>
      <c r="S16" s="9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8E49-0CB8-4D48-9789-00C43D966C25}">
  <sheetPr codeName="Sheet100"/>
  <dimension ref="A1:P11"/>
  <sheetViews>
    <sheetView workbookViewId="0"/>
  </sheetViews>
  <sheetFormatPr defaultRowHeight="14.5" x14ac:dyDescent="0.35"/>
  <cols>
    <col min="1" max="4" width="6.6328125" customWidth="1"/>
    <col min="6" max="8" width="8.7265625" customWidth="1"/>
  </cols>
  <sheetData>
    <row r="1" spans="1:16" x14ac:dyDescent="0.35">
      <c r="A1" s="10" t="s">
        <v>81</v>
      </c>
    </row>
    <row r="2" spans="1:16" x14ac:dyDescent="0.35">
      <c r="F2" t="e" cm="1">
        <f t="array" aca="1" ref="F2" ca="1">FTEXT(F3)</f>
        <v>#NAME?</v>
      </c>
      <c r="J2" t="e" cm="1">
        <f t="array" aca="1" ref="J2" ca="1">FTEXT(J3)</f>
        <v>#NAME?</v>
      </c>
      <c r="N2" t="e" cm="1">
        <f t="array" aca="1" ref="N2" ca="1">FTEXT(N3)</f>
        <v>#NAME?</v>
      </c>
    </row>
    <row r="3" spans="1:16" x14ac:dyDescent="0.35">
      <c r="A3" s="101">
        <v>1</v>
      </c>
      <c r="B3" s="101">
        <v>6</v>
      </c>
      <c r="C3" s="101">
        <v>4</v>
      </c>
      <c r="D3" s="101">
        <v>5</v>
      </c>
      <c r="F3" s="32" t="e">
        <f t="array" aca="1" ref="F3:H6" ca="1">PseudoInv(A3:D5,0)</f>
        <v>#NAME?</v>
      </c>
      <c r="G3" s="33" t="e">
        <f ca="1"/>
        <v>#NAME?</v>
      </c>
      <c r="H3" s="34" t="e">
        <f ca="1"/>
        <v>#NAME?</v>
      </c>
      <c r="J3" s="32" t="e">
        <f t="array" aca="1" ref="J3:L6" ca="1">PseudoInv(A3:D5)</f>
        <v>#NAME?</v>
      </c>
      <c r="K3" s="33" t="e">
        <f ca="1"/>
        <v>#NAME?</v>
      </c>
      <c r="L3" s="34" t="e">
        <f ca="1"/>
        <v>#NAME?</v>
      </c>
      <c r="N3" s="62" t="e" cm="1">
        <f t="array" aca="1" ref="N3" ca="1">PseudoInv(A3:D5,-1)</f>
        <v>#NAME?</v>
      </c>
      <c r="O3" s="63"/>
      <c r="P3" s="64"/>
    </row>
    <row r="4" spans="1:16" x14ac:dyDescent="0.35">
      <c r="A4" s="101">
        <v>2</v>
      </c>
      <c r="B4" s="101">
        <v>-1</v>
      </c>
      <c r="C4" s="101">
        <v>0</v>
      </c>
      <c r="D4" s="101">
        <v>2</v>
      </c>
      <c r="F4" s="4" t="e">
        <f ca="1"/>
        <v>#NAME?</v>
      </c>
      <c r="G4" t="e">
        <f ca="1"/>
        <v>#NAME?</v>
      </c>
      <c r="H4" s="6" t="e">
        <f ca="1"/>
        <v>#NAME?</v>
      </c>
      <c r="J4" s="4" t="e">
        <f ca="1"/>
        <v>#NAME?</v>
      </c>
      <c r="K4" t="e">
        <f ca="1"/>
        <v>#NAME?</v>
      </c>
      <c r="L4" s="6" t="e">
        <f ca="1"/>
        <v>#NAME?</v>
      </c>
      <c r="N4" s="163"/>
      <c r="O4" s="5"/>
      <c r="P4" s="185"/>
    </row>
    <row r="5" spans="1:16" x14ac:dyDescent="0.35">
      <c r="A5" s="101">
        <v>4</v>
      </c>
      <c r="B5" s="101">
        <v>3</v>
      </c>
      <c r="C5" s="101">
        <v>-2</v>
      </c>
      <c r="D5" s="101">
        <v>3</v>
      </c>
      <c r="F5" s="4" t="e">
        <f ca="1"/>
        <v>#NAME?</v>
      </c>
      <c r="G5" t="e">
        <f ca="1"/>
        <v>#NAME?</v>
      </c>
      <c r="H5" s="6" t="e">
        <f ca="1"/>
        <v>#NAME?</v>
      </c>
      <c r="J5" s="4" t="e">
        <f ca="1"/>
        <v>#NAME?</v>
      </c>
      <c r="K5" t="e">
        <f ca="1"/>
        <v>#NAME?</v>
      </c>
      <c r="L5" s="6" t="e">
        <f ca="1"/>
        <v>#NAME?</v>
      </c>
      <c r="N5" s="163"/>
      <c r="O5" s="5"/>
      <c r="P5" s="185"/>
    </row>
    <row r="6" spans="1:16" x14ac:dyDescent="0.35">
      <c r="F6" s="7" t="e">
        <f ca="1"/>
        <v>#NAME?</v>
      </c>
      <c r="G6" s="8" t="e">
        <f ca="1"/>
        <v>#NAME?</v>
      </c>
      <c r="H6" s="9" t="e">
        <f ca="1"/>
        <v>#NAME?</v>
      </c>
      <c r="J6" s="7" t="e">
        <f ca="1"/>
        <v>#NAME?</v>
      </c>
      <c r="K6" s="8" t="e">
        <f ca="1"/>
        <v>#NAME?</v>
      </c>
      <c r="L6" s="9" t="e">
        <f ca="1"/>
        <v>#NAME?</v>
      </c>
      <c r="N6" s="7"/>
      <c r="O6" s="8"/>
      <c r="P6" s="9"/>
    </row>
    <row r="8" spans="1:16" x14ac:dyDescent="0.35">
      <c r="F8" t="e" cm="1">
        <f t="array" aca="1" ref="F8" ca="1">FTEXT(F9)</f>
        <v>#NAME?</v>
      </c>
    </row>
    <row r="9" spans="1:16" x14ac:dyDescent="0.35">
      <c r="F9" s="32" t="e">
        <f t="array" aca="1" ref="F9:H11" ca="1">MMULT(A3:D5,F3:H6)</f>
        <v>#NAME?</v>
      </c>
      <c r="G9" s="33" t="e">
        <f ca="1"/>
        <v>#NAME?</v>
      </c>
      <c r="H9" s="34" t="e">
        <f ca="1"/>
        <v>#NAME?</v>
      </c>
    </row>
    <row r="10" spans="1:16" x14ac:dyDescent="0.35">
      <c r="F10" s="4" t="e">
        <f ca="1"/>
        <v>#NAME?</v>
      </c>
      <c r="G10" t="e">
        <f ca="1"/>
        <v>#NAME?</v>
      </c>
      <c r="H10" s="6" t="e">
        <f ca="1"/>
        <v>#NAME?</v>
      </c>
    </row>
    <row r="11" spans="1:16" x14ac:dyDescent="0.35">
      <c r="F11" s="7" t="e">
        <f ca="1"/>
        <v>#NAME?</v>
      </c>
      <c r="G11" s="8" t="e">
        <f ca="1"/>
        <v>#NAME?</v>
      </c>
      <c r="H11" s="9" t="e">
        <f ca="1"/>
        <v>#NAME?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C2CB-A2EE-4183-9BD5-69B45A49DA6A}">
  <sheetPr codeName="Sheet10"/>
  <dimension ref="B1:N20"/>
  <sheetViews>
    <sheetView topLeftCell="A3" workbookViewId="0">
      <selection sqref="A1:XFD1048576"/>
    </sheetView>
  </sheetViews>
  <sheetFormatPr defaultRowHeight="14.5" x14ac:dyDescent="0.35"/>
  <cols>
    <col min="1" max="1" width="3.08984375" customWidth="1"/>
    <col min="2" max="10" width="5.6328125" customWidth="1"/>
    <col min="11" max="11" width="4.1796875" customWidth="1"/>
  </cols>
  <sheetData>
    <row r="1" spans="2:14" x14ac:dyDescent="0.35">
      <c r="B1" s="10" t="s">
        <v>188</v>
      </c>
    </row>
    <row r="2" spans="2:14" x14ac:dyDescent="0.35">
      <c r="B2" s="10"/>
    </row>
    <row r="3" spans="2:14" x14ac:dyDescent="0.35">
      <c r="B3" t="s">
        <v>16</v>
      </c>
      <c r="G3" t="s">
        <v>558</v>
      </c>
      <c r="L3" t="s">
        <v>559</v>
      </c>
    </row>
    <row r="4" spans="2:14" x14ac:dyDescent="0.35">
      <c r="B4" s="94">
        <v>1</v>
      </c>
      <c r="C4" s="95">
        <v>6</v>
      </c>
      <c r="D4" s="95">
        <v>4</v>
      </c>
      <c r="E4" s="96">
        <v>5</v>
      </c>
      <c r="G4" s="94" cm="1">
        <f t="array" ref="G4:J7">MMULT(TRANSPOSE(B4:E6),B4:E6)</f>
        <v>21</v>
      </c>
      <c r="H4" s="95">
        <v>16</v>
      </c>
      <c r="I4" s="95">
        <v>-4</v>
      </c>
      <c r="J4" s="96">
        <v>21</v>
      </c>
      <c r="L4" s="94" cm="1">
        <f t="array" ref="L4:N6">MMULT(B4:E6,TRANSPOSE(B4:E6))</f>
        <v>78</v>
      </c>
      <c r="M4" s="95">
        <v>6</v>
      </c>
      <c r="N4" s="96">
        <v>29</v>
      </c>
    </row>
    <row r="5" spans="2:14" x14ac:dyDescent="0.35">
      <c r="B5" s="163">
        <v>2</v>
      </c>
      <c r="C5">
        <v>-1</v>
      </c>
      <c r="D5">
        <v>0</v>
      </c>
      <c r="E5" s="185">
        <v>2</v>
      </c>
      <c r="G5" s="163">
        <v>16</v>
      </c>
      <c r="H5">
        <v>46</v>
      </c>
      <c r="I5">
        <v>18</v>
      </c>
      <c r="J5" s="185">
        <v>37</v>
      </c>
      <c r="L5" s="163">
        <v>6</v>
      </c>
      <c r="M5">
        <v>9</v>
      </c>
      <c r="N5" s="185">
        <v>11</v>
      </c>
    </row>
    <row r="6" spans="2:14" x14ac:dyDescent="0.35">
      <c r="B6" s="27">
        <v>4</v>
      </c>
      <c r="C6" s="28">
        <v>3</v>
      </c>
      <c r="D6" s="28">
        <v>-2</v>
      </c>
      <c r="E6" s="29">
        <v>3</v>
      </c>
      <c r="G6" s="163">
        <v>-4</v>
      </c>
      <c r="H6">
        <v>18</v>
      </c>
      <c r="I6">
        <v>20</v>
      </c>
      <c r="J6" s="185">
        <v>14</v>
      </c>
      <c r="L6" s="27">
        <v>29</v>
      </c>
      <c r="M6" s="28">
        <v>11</v>
      </c>
      <c r="N6" s="29">
        <v>38</v>
      </c>
    </row>
    <row r="7" spans="2:14" x14ac:dyDescent="0.35">
      <c r="G7" s="27">
        <v>21</v>
      </c>
      <c r="H7" s="28">
        <v>37</v>
      </c>
      <c r="I7" s="28">
        <v>14</v>
      </c>
      <c r="J7" s="29">
        <v>38</v>
      </c>
    </row>
    <row r="9" spans="2:14" x14ac:dyDescent="0.35">
      <c r="B9" t="s">
        <v>231</v>
      </c>
      <c r="C9" s="85" t="e" cm="1">
        <f t="array" aca="1" ref="C9" ca="1">MRANK(B4:E6)</f>
        <v>#NAME?</v>
      </c>
      <c r="G9" t="s">
        <v>400</v>
      </c>
      <c r="H9" s="85">
        <f>MDETERM(_xlfn.ANCHORARRAY(G4))</f>
        <v>-5.8033577943206183E-12</v>
      </c>
      <c r="L9" t="s">
        <v>400</v>
      </c>
      <c r="M9" s="85">
        <f>MDETERM(_xlfn.ANCHORARRAY(L4))</f>
        <v>12129</v>
      </c>
    </row>
    <row r="11" spans="2:14" ht="16.5" x14ac:dyDescent="0.35">
      <c r="L11" t="s">
        <v>560</v>
      </c>
    </row>
    <row r="12" spans="2:14" x14ac:dyDescent="0.35">
      <c r="L12" s="94" cm="1">
        <f t="array" ref="L12:N15">MMULT(TRANSPOSE(B4:E6),MINVERSE(_xlfn.ANCHORARRAY(L4)))</f>
        <v>-3.1082529474812437E-2</v>
      </c>
      <c r="M12" s="95">
        <v>0.13199769148322202</v>
      </c>
      <c r="N12" s="96">
        <v>9.0774177590897842E-2</v>
      </c>
    </row>
    <row r="13" spans="2:14" x14ac:dyDescent="0.35">
      <c r="L13" s="163">
        <v>5.3590568060021437E-2</v>
      </c>
      <c r="M13">
        <v>-0.29920026383048892</v>
      </c>
      <c r="N13" s="185">
        <v>0.12465990601038834</v>
      </c>
    </row>
    <row r="14" spans="2:14" x14ac:dyDescent="0.35">
      <c r="L14" s="163">
        <v>0.10503751339764203</v>
      </c>
      <c r="M14">
        <v>0.142798252123011</v>
      </c>
      <c r="N14" s="185">
        <v>-0.17412812268117739</v>
      </c>
    </row>
    <row r="15" spans="2:14" x14ac:dyDescent="0.35">
      <c r="L15" s="27">
        <v>5.7877813504823156E-2</v>
      </c>
      <c r="M15" s="28">
        <v>0.21840217660153352</v>
      </c>
      <c r="N15" s="29">
        <v>-2.8444224585703726E-2</v>
      </c>
    </row>
    <row r="17" spans="12:14" ht="16.5" x14ac:dyDescent="0.35">
      <c r="L17" t="s">
        <v>561</v>
      </c>
    </row>
    <row r="18" spans="12:14" x14ac:dyDescent="0.35">
      <c r="L18" s="94" cm="1">
        <f t="array" ref="L18:N20">MMULT(B4:E6,_xlfn.ANCHORARRAY(L12))</f>
        <v>1</v>
      </c>
      <c r="M18" s="95">
        <v>0</v>
      </c>
      <c r="N18" s="96">
        <v>-2.2204460492503131E-16</v>
      </c>
    </row>
    <row r="19" spans="12:14" x14ac:dyDescent="0.35">
      <c r="L19" s="163">
        <v>0</v>
      </c>
      <c r="M19">
        <v>1</v>
      </c>
      <c r="N19" s="185">
        <v>-1.1102230246251565E-16</v>
      </c>
    </row>
    <row r="20" spans="12:14" x14ac:dyDescent="0.35">
      <c r="L20" s="27">
        <v>-2.7755575615628914E-17</v>
      </c>
      <c r="M20" s="28">
        <v>-1.1102230246251565E-16</v>
      </c>
      <c r="N20" s="2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5485-C4DD-4B41-93CB-65F16B0F34DC}">
  <sheetPr codeName="Sheet11"/>
  <dimension ref="B1:N17"/>
  <sheetViews>
    <sheetView workbookViewId="0">
      <selection sqref="A1:XFD1048576"/>
    </sheetView>
  </sheetViews>
  <sheetFormatPr defaultRowHeight="14.5" x14ac:dyDescent="0.35"/>
  <cols>
    <col min="1" max="1" width="3.7265625" customWidth="1"/>
    <col min="2" max="10" width="5.6328125" customWidth="1"/>
  </cols>
  <sheetData>
    <row r="1" spans="2:14" x14ac:dyDescent="0.35">
      <c r="B1" t="s">
        <v>16</v>
      </c>
      <c r="F1" t="s">
        <v>559</v>
      </c>
      <c r="K1" t="s">
        <v>558</v>
      </c>
    </row>
    <row r="2" spans="2:14" x14ac:dyDescent="0.35">
      <c r="B2" s="94">
        <v>1</v>
      </c>
      <c r="C2" s="95">
        <v>5</v>
      </c>
      <c r="D2" s="96">
        <v>9</v>
      </c>
      <c r="F2" s="94" cm="1">
        <f t="array" ref="F2:I5">MMULT(B2:D5,TRANSPOSE(B2:D5))</f>
        <v>107</v>
      </c>
      <c r="G2" s="95">
        <v>-40</v>
      </c>
      <c r="H2" s="95">
        <v>29</v>
      </c>
      <c r="I2" s="96">
        <v>-10</v>
      </c>
      <c r="K2" s="94" cm="1">
        <f t="array" ref="K2:M4">MMULT(TRANSPOSE(B2:D5),B2:D5)</f>
        <v>30</v>
      </c>
      <c r="L2" s="95">
        <v>70</v>
      </c>
      <c r="M2" s="96">
        <v>-34</v>
      </c>
    </row>
    <row r="3" spans="2:14" x14ac:dyDescent="0.35">
      <c r="B3" s="163">
        <v>2</v>
      </c>
      <c r="C3">
        <v>6</v>
      </c>
      <c r="D3" s="185">
        <v>-8</v>
      </c>
      <c r="F3" s="163">
        <v>-40</v>
      </c>
      <c r="G3">
        <v>104</v>
      </c>
      <c r="H3">
        <v>56</v>
      </c>
      <c r="I3" s="185">
        <v>104</v>
      </c>
      <c r="K3" s="163">
        <v>70</v>
      </c>
      <c r="L3">
        <v>174</v>
      </c>
      <c r="M3" s="185">
        <v>-58</v>
      </c>
    </row>
    <row r="4" spans="2:14" x14ac:dyDescent="0.35">
      <c r="B4" s="163">
        <v>3</v>
      </c>
      <c r="C4">
        <v>7</v>
      </c>
      <c r="D4" s="185">
        <v>-1</v>
      </c>
      <c r="F4" s="163">
        <v>29</v>
      </c>
      <c r="G4">
        <v>56</v>
      </c>
      <c r="H4">
        <v>59</v>
      </c>
      <c r="I4" s="185">
        <v>74</v>
      </c>
      <c r="K4" s="27">
        <v>-34</v>
      </c>
      <c r="L4" s="28">
        <v>-58</v>
      </c>
      <c r="M4" s="29">
        <v>182</v>
      </c>
    </row>
    <row r="5" spans="2:14" x14ac:dyDescent="0.35">
      <c r="B5" s="27">
        <v>4</v>
      </c>
      <c r="C5" s="28">
        <v>8</v>
      </c>
      <c r="D5" s="29">
        <v>-6</v>
      </c>
      <c r="F5" s="27">
        <v>-10</v>
      </c>
      <c r="G5" s="28">
        <v>104</v>
      </c>
      <c r="H5" s="28">
        <v>74</v>
      </c>
      <c r="I5" s="29">
        <v>116</v>
      </c>
    </row>
    <row r="7" spans="2:14" x14ac:dyDescent="0.35">
      <c r="B7" t="s">
        <v>231</v>
      </c>
      <c r="C7" s="85" t="e" cm="1">
        <f t="array" aca="1" ref="C7" ca="1">MRANK(B2:D5)</f>
        <v>#NAME?</v>
      </c>
      <c r="F7" t="s">
        <v>400</v>
      </c>
      <c r="G7" s="85">
        <f>MDETERM(_xlfn.ANCHORARRAY(F2))</f>
        <v>0</v>
      </c>
      <c r="K7" t="s">
        <v>400</v>
      </c>
      <c r="L7" s="85">
        <f>MDETERM(_xlfn.ANCHORARRAY(K2))</f>
        <v>32255.999999999971</v>
      </c>
    </row>
    <row r="9" spans="2:14" ht="16.5" x14ac:dyDescent="0.35">
      <c r="K9" t="s">
        <v>562</v>
      </c>
    </row>
    <row r="10" spans="2:14" x14ac:dyDescent="0.35">
      <c r="K10" s="94" cm="1">
        <f t="array" ref="K10:N12">MMULT(MINVERSE(_xlfn.ANCHORARRAY(K2)),TRANSPOSE(B2:D5))</f>
        <v>-0.2738095238095235</v>
      </c>
      <c r="L10" s="95">
        <v>-0.70833333333333404</v>
      </c>
      <c r="M10" s="95">
        <v>0.23809523809523875</v>
      </c>
      <c r="N10" s="96">
        <v>0.49404761904761951</v>
      </c>
    </row>
    <row r="11" spans="2:14" x14ac:dyDescent="0.35">
      <c r="K11" s="163">
        <v>0.15476190476190466</v>
      </c>
      <c r="L11">
        <v>0.29166666666666702</v>
      </c>
      <c r="M11">
        <v>-4.761904761904779E-2</v>
      </c>
      <c r="N11" s="185">
        <v>-0.148809523809524</v>
      </c>
    </row>
    <row r="12" spans="2:14" x14ac:dyDescent="0.35">
      <c r="K12" s="27">
        <v>4.7619047619047623E-2</v>
      </c>
      <c r="L12" s="28">
        <v>-8.3333333333333384E-2</v>
      </c>
      <c r="M12" s="28">
        <v>2.3809523809523822E-2</v>
      </c>
      <c r="N12" s="29">
        <v>1.1904761904761946E-2</v>
      </c>
    </row>
    <row r="14" spans="2:14" ht="16.5" x14ac:dyDescent="0.35">
      <c r="K14" t="s">
        <v>563</v>
      </c>
    </row>
    <row r="15" spans="2:14" x14ac:dyDescent="0.35">
      <c r="K15" s="94" cm="1">
        <f t="array" ref="K15:M17">MMULT(_xlfn.ANCHORARRAY(K10),B2:D5)</f>
        <v>1.0000000000000027</v>
      </c>
      <c r="L15" s="95">
        <v>5.3290705182007514E-15</v>
      </c>
      <c r="M15" s="96">
        <v>4.8849813083506888E-15</v>
      </c>
    </row>
    <row r="16" spans="2:14" x14ac:dyDescent="0.35">
      <c r="K16" s="163">
        <v>-6.6613381477509392E-16</v>
      </c>
      <c r="L16">
        <v>0.99999999999999911</v>
      </c>
      <c r="M16" s="185">
        <v>-2.4424906541753444E-15</v>
      </c>
    </row>
    <row r="17" spans="11:13" x14ac:dyDescent="0.35">
      <c r="K17" s="27">
        <v>9.7144514654701197E-17</v>
      </c>
      <c r="L17" s="28">
        <v>1.1102230246251565E-16</v>
      </c>
      <c r="M17" s="29">
        <v>1.0000000000000004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37C7-64BC-478E-88E9-D2C47B150570}">
  <sheetPr codeName="Sheet12"/>
  <dimension ref="B1:L14"/>
  <sheetViews>
    <sheetView workbookViewId="0">
      <selection sqref="A1:XFD1048576"/>
    </sheetView>
  </sheetViews>
  <sheetFormatPr defaultRowHeight="14.5" x14ac:dyDescent="0.35"/>
  <cols>
    <col min="1" max="1" width="2.81640625" customWidth="1"/>
    <col min="2" max="8" width="6.6328125" customWidth="1"/>
  </cols>
  <sheetData>
    <row r="1" spans="2:12" x14ac:dyDescent="0.35">
      <c r="B1" t="s">
        <v>16</v>
      </c>
      <c r="F1" t="e" cm="1">
        <f t="array" aca="1" ref="F1" ca="1">FTEXT(F2)</f>
        <v>#NAME?</v>
      </c>
    </row>
    <row r="2" spans="2:12" x14ac:dyDescent="0.35">
      <c r="B2" s="94">
        <v>1</v>
      </c>
      <c r="C2" s="95">
        <v>2</v>
      </c>
      <c r="D2" s="96">
        <v>3</v>
      </c>
      <c r="F2" s="94" t="e" cm="1">
        <f t="array" aca="1" ref="F2" ca="1">PseudoInv(B2:D4,0)</f>
        <v>#NAME?</v>
      </c>
      <c r="G2" s="95"/>
      <c r="H2" s="96"/>
    </row>
    <row r="3" spans="2:12" x14ac:dyDescent="0.35">
      <c r="B3" s="163">
        <v>4</v>
      </c>
      <c r="C3">
        <v>5</v>
      </c>
      <c r="D3" s="185">
        <v>6</v>
      </c>
      <c r="F3" s="163"/>
      <c r="H3" s="185"/>
    </row>
    <row r="4" spans="2:12" x14ac:dyDescent="0.35">
      <c r="B4" s="27">
        <v>7</v>
      </c>
      <c r="C4" s="28">
        <v>6</v>
      </c>
      <c r="D4" s="29">
        <v>5</v>
      </c>
      <c r="F4" s="27"/>
      <c r="G4" s="28"/>
      <c r="H4" s="29"/>
    </row>
    <row r="6" spans="2:12" ht="15" customHeight="1" x14ac:dyDescent="0.35">
      <c r="B6" t="s">
        <v>231</v>
      </c>
      <c r="C6" s="85" t="e" cm="1">
        <f t="array" aca="1" ref="C6" ca="1">MRANK(B2:D4)</f>
        <v>#NAME?</v>
      </c>
      <c r="F6" t="s">
        <v>563</v>
      </c>
      <c r="J6" t="s">
        <v>564</v>
      </c>
    </row>
    <row r="7" spans="2:12" x14ac:dyDescent="0.35">
      <c r="F7" s="94" t="e" cm="1">
        <f t="array" aca="1" ref="F7" ca="1">MMULT(_xlfn.ANCHORARRAY(F2),B2:D4)</f>
        <v>#NAME?</v>
      </c>
      <c r="G7" s="95"/>
      <c r="H7" s="96"/>
      <c r="J7" s="94" t="e" cm="1">
        <f t="array" aca="1" ref="J7" ca="1">PseudoInv(_xlfn.ANCHORARRAY(F7))</f>
        <v>#NAME?</v>
      </c>
      <c r="K7" s="95"/>
      <c r="L7" s="96"/>
    </row>
    <row r="8" spans="2:12" x14ac:dyDescent="0.35">
      <c r="B8" t="s">
        <v>400</v>
      </c>
      <c r="C8" s="85">
        <f>MDETERM(B2:D4)</f>
        <v>0</v>
      </c>
      <c r="F8" s="163"/>
      <c r="H8" s="185"/>
      <c r="J8" s="163"/>
      <c r="L8" s="185"/>
    </row>
    <row r="9" spans="2:12" x14ac:dyDescent="0.35">
      <c r="F9" s="27"/>
      <c r="G9" s="28"/>
      <c r="H9" s="29"/>
      <c r="J9" s="27"/>
      <c r="K9" s="28"/>
      <c r="L9" s="29"/>
    </row>
    <row r="11" spans="2:12" ht="15" customHeight="1" x14ac:dyDescent="0.35">
      <c r="F11" t="s">
        <v>561</v>
      </c>
      <c r="J11" t="s">
        <v>565</v>
      </c>
    </row>
    <row r="12" spans="2:12" x14ac:dyDescent="0.35">
      <c r="F12" s="94" t="e" cm="1">
        <f t="array" aca="1" ref="F12" ca="1">MMULT(B2:D4,_xlfn.ANCHORARRAY(F2))</f>
        <v>#NAME?</v>
      </c>
      <c r="G12" s="95"/>
      <c r="H12" s="96"/>
      <c r="J12" s="94" t="e" cm="1">
        <f t="array" aca="1" ref="J12" ca="1">PseudoInv0(_xlfn.ANCHORARRAY(F12))</f>
        <v>#NAME?</v>
      </c>
      <c r="K12" s="95"/>
      <c r="L12" s="96"/>
    </row>
    <row r="13" spans="2:12" x14ac:dyDescent="0.35">
      <c r="F13" s="163"/>
      <c r="H13" s="185"/>
      <c r="J13" s="163"/>
      <c r="L13" s="185"/>
    </row>
    <row r="14" spans="2:12" x14ac:dyDescent="0.35">
      <c r="F14" s="27"/>
      <c r="G14" s="28"/>
      <c r="H14" s="29"/>
      <c r="J14" s="27"/>
      <c r="K14" s="28"/>
      <c r="L14" s="2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8A2-CB64-4D02-87A9-790C2A868973}">
  <sheetPr codeName="Sheet13"/>
  <dimension ref="B1:P23"/>
  <sheetViews>
    <sheetView workbookViewId="0">
      <selection sqref="A1:XFD1048576"/>
    </sheetView>
  </sheetViews>
  <sheetFormatPr defaultRowHeight="14.5" x14ac:dyDescent="0.35"/>
  <cols>
    <col min="1" max="1" width="2.6328125" customWidth="1"/>
    <col min="2" max="4" width="6.6328125" customWidth="1"/>
    <col min="5" max="5" width="5.36328125" customWidth="1"/>
    <col min="9" max="9" width="5.90625" customWidth="1"/>
  </cols>
  <sheetData>
    <row r="1" spans="2:16" x14ac:dyDescent="0.35">
      <c r="B1" t="s">
        <v>16</v>
      </c>
      <c r="F1" t="s">
        <v>147</v>
      </c>
    </row>
    <row r="2" spans="2:16" x14ac:dyDescent="0.35">
      <c r="B2" s="94">
        <v>1</v>
      </c>
      <c r="C2" s="95">
        <v>2</v>
      </c>
      <c r="D2" s="96">
        <v>3</v>
      </c>
    </row>
    <row r="3" spans="2:16" x14ac:dyDescent="0.35">
      <c r="B3" s="163">
        <v>4</v>
      </c>
      <c r="C3">
        <v>5</v>
      </c>
      <c r="D3" s="185">
        <v>6</v>
      </c>
      <c r="F3" s="58" t="e">
        <f t="array" aca="1" ref="F3:H5" ca="1">SVD_U(B2:D4,100)</f>
        <v>#NAME?</v>
      </c>
      <c r="G3" s="86" t="e">
        <f ca="1"/>
        <v>#NAME?</v>
      </c>
      <c r="H3" s="59" t="e">
        <f ca="1"/>
        <v>#NAME?</v>
      </c>
    </row>
    <row r="4" spans="2:16" x14ac:dyDescent="0.35">
      <c r="B4" s="7">
        <v>7</v>
      </c>
      <c r="C4" s="8">
        <v>6</v>
      </c>
      <c r="D4" s="9">
        <v>5</v>
      </c>
      <c r="F4" s="186" t="e">
        <f ca="1"/>
        <v>#NAME?</v>
      </c>
      <c r="G4" t="e">
        <f ca="1"/>
        <v>#NAME?</v>
      </c>
      <c r="H4" s="162" t="e">
        <f ca="1"/>
        <v>#NAME?</v>
      </c>
    </row>
    <row r="5" spans="2:16" x14ac:dyDescent="0.35">
      <c r="F5" s="23" t="e">
        <f ca="1"/>
        <v>#NAME?</v>
      </c>
      <c r="G5" s="24" t="e">
        <f ca="1"/>
        <v>#NAME?</v>
      </c>
      <c r="H5" s="25" t="e">
        <f ca="1"/>
        <v>#NAME?</v>
      </c>
    </row>
    <row r="7" spans="2:16" x14ac:dyDescent="0.35">
      <c r="F7" t="s">
        <v>148</v>
      </c>
    </row>
    <row r="8" spans="2:16" ht="15" customHeight="1" x14ac:dyDescent="0.35">
      <c r="J8" t="s">
        <v>566</v>
      </c>
    </row>
    <row r="9" spans="2:16" x14ac:dyDescent="0.35">
      <c r="F9" s="58" t="e">
        <f t="array" aca="1" ref="F9:H11" ca="1">SVD_D(B2:D4,100)</f>
        <v>#NAME?</v>
      </c>
      <c r="G9" s="86" t="e">
        <f ca="1"/>
        <v>#NAME?</v>
      </c>
      <c r="H9" s="59" t="e">
        <f ca="1"/>
        <v>#NAME?</v>
      </c>
      <c r="J9" s="62" t="e" cm="1">
        <f t="array" aca="1" ref="J9" ca="1">MINVERSE(F9:G10)</f>
        <v>#NAME?</v>
      </c>
      <c r="K9" s="63"/>
      <c r="L9" s="64">
        <v>0</v>
      </c>
    </row>
    <row r="10" spans="2:16" x14ac:dyDescent="0.35">
      <c r="F10" s="186" t="e">
        <f ca="1"/>
        <v>#NAME?</v>
      </c>
      <c r="G10" t="e">
        <f ca="1"/>
        <v>#NAME?</v>
      </c>
      <c r="H10" s="162" t="e">
        <f ca="1"/>
        <v>#NAME?</v>
      </c>
      <c r="J10" s="163"/>
      <c r="L10" s="185">
        <v>0</v>
      </c>
    </row>
    <row r="11" spans="2:16" x14ac:dyDescent="0.35">
      <c r="F11" s="23" t="e">
        <f ca="1"/>
        <v>#NAME?</v>
      </c>
      <c r="G11" s="24" t="e">
        <f ca="1"/>
        <v>#NAME?</v>
      </c>
      <c r="H11" s="25" t="e">
        <f ca="1"/>
        <v>#NAME?</v>
      </c>
      <c r="J11" s="7">
        <v>0</v>
      </c>
      <c r="K11" s="8">
        <v>0</v>
      </c>
      <c r="L11" s="9">
        <v>0</v>
      </c>
    </row>
    <row r="13" spans="2:16" x14ac:dyDescent="0.35">
      <c r="F13" t="s">
        <v>151</v>
      </c>
    </row>
    <row r="14" spans="2:16" ht="15" customHeight="1" x14ac:dyDescent="0.35">
      <c r="J14" t="s">
        <v>567</v>
      </c>
      <c r="N14" t="e" cm="1">
        <f t="array" aca="1" ref="N14" ca="1">FTEXT(N15)</f>
        <v>#NAME?</v>
      </c>
    </row>
    <row r="15" spans="2:16" x14ac:dyDescent="0.35">
      <c r="F15" s="58" t="e">
        <f t="array" aca="1" ref="F15:H17" ca="1">SVD_V(B2:D4,100)</f>
        <v>#NAME?</v>
      </c>
      <c r="G15" s="86" t="e">
        <f ca="1"/>
        <v>#NAME?</v>
      </c>
      <c r="H15" s="59" t="e">
        <f ca="1"/>
        <v>#NAME?</v>
      </c>
      <c r="J15" s="62" t="e" cm="1">
        <f t="array" aca="1" ref="J15" ca="1">MMULT(MMULT(F15:H17,J9:L11),TRANSPOSE(F3:H5))</f>
        <v>#NAME?</v>
      </c>
      <c r="K15" s="63"/>
      <c r="L15" s="64"/>
      <c r="N15" s="62" t="e" cm="1">
        <f t="array" aca="1" ref="N15" ca="1">PseudoInv(B2:D4)</f>
        <v>#NAME?</v>
      </c>
      <c r="O15" s="63"/>
      <c r="P15" s="64"/>
    </row>
    <row r="16" spans="2:16" x14ac:dyDescent="0.35">
      <c r="F16" s="186" t="e">
        <f ca="1"/>
        <v>#NAME?</v>
      </c>
      <c r="G16" t="e">
        <f ca="1"/>
        <v>#NAME?</v>
      </c>
      <c r="H16" s="162" t="e">
        <f ca="1"/>
        <v>#NAME?</v>
      </c>
      <c r="J16" s="163"/>
      <c r="L16" s="185"/>
      <c r="N16" s="163"/>
      <c r="P16" s="185"/>
    </row>
    <row r="17" spans="6:16" x14ac:dyDescent="0.35">
      <c r="F17" s="23" t="e">
        <f ca="1"/>
        <v>#NAME?</v>
      </c>
      <c r="G17" s="24" t="e">
        <f ca="1"/>
        <v>#NAME?</v>
      </c>
      <c r="H17" s="25" t="e">
        <f ca="1"/>
        <v>#NAME?</v>
      </c>
      <c r="J17" s="7"/>
      <c r="K17" s="8"/>
      <c r="L17" s="9"/>
      <c r="N17" s="7"/>
      <c r="O17" s="8"/>
      <c r="P17" s="9"/>
    </row>
    <row r="19" spans="6:16" x14ac:dyDescent="0.35">
      <c r="F19" t="s">
        <v>200</v>
      </c>
    </row>
    <row r="21" spans="6:16" x14ac:dyDescent="0.35">
      <c r="F21" s="58" t="e">
        <f t="array" aca="1" ref="F21:H23" ca="1">MMULT(F3:H5,MMULT(F9:H11,TRANSPOSE(F15:H17)))</f>
        <v>#NAME?</v>
      </c>
      <c r="G21" s="86" t="e">
        <f ca="1"/>
        <v>#NAME?</v>
      </c>
      <c r="H21" s="59" t="e">
        <f ca="1"/>
        <v>#NAME?</v>
      </c>
    </row>
    <row r="22" spans="6:16" x14ac:dyDescent="0.35">
      <c r="F22" s="186" t="e">
        <f ca="1"/>
        <v>#NAME?</v>
      </c>
      <c r="G22" t="e">
        <f ca="1"/>
        <v>#NAME?</v>
      </c>
      <c r="H22" s="162" t="e">
        <f ca="1"/>
        <v>#NAME?</v>
      </c>
    </row>
    <row r="23" spans="6:16" x14ac:dyDescent="0.35">
      <c r="F23" s="23" t="e">
        <f ca="1"/>
        <v>#NAME?</v>
      </c>
      <c r="G23" s="24" t="e">
        <f ca="1"/>
        <v>#NAME?</v>
      </c>
      <c r="H23" s="25" t="e">
        <f ca="1"/>
        <v>#NAME?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EE1D-E0D9-46B4-9588-FEDA1030BD9D}">
  <sheetPr codeName="Sheet14"/>
  <dimension ref="B1:R24"/>
  <sheetViews>
    <sheetView workbookViewId="0">
      <selection sqref="A1:XFD1048576"/>
    </sheetView>
  </sheetViews>
  <sheetFormatPr defaultRowHeight="14.5" x14ac:dyDescent="0.35"/>
  <cols>
    <col min="1" max="1" width="2.54296875" customWidth="1"/>
    <col min="2" max="5" width="6.6328125" customWidth="1"/>
    <col min="6" max="6" width="5" customWidth="1"/>
    <col min="11" max="11" width="4.453125" customWidth="1"/>
  </cols>
  <sheetData>
    <row r="1" spans="2:18" x14ac:dyDescent="0.35">
      <c r="B1" t="s">
        <v>16</v>
      </c>
      <c r="G1" t="s">
        <v>147</v>
      </c>
    </row>
    <row r="2" spans="2:18" x14ac:dyDescent="0.35">
      <c r="B2" s="62">
        <v>1</v>
      </c>
      <c r="C2" s="63">
        <v>2</v>
      </c>
      <c r="D2" s="63">
        <v>3</v>
      </c>
      <c r="E2" s="64">
        <v>4</v>
      </c>
    </row>
    <row r="3" spans="2:18" x14ac:dyDescent="0.35">
      <c r="B3" s="163">
        <v>5</v>
      </c>
      <c r="C3">
        <v>6</v>
      </c>
      <c r="D3">
        <v>7</v>
      </c>
      <c r="E3" s="185">
        <v>8</v>
      </c>
      <c r="G3" s="58" t="e">
        <f t="array" aca="1" ref="G3:I5" ca="1">SVD_U(B2:E4,100)</f>
        <v>#NAME?</v>
      </c>
      <c r="H3" s="86" t="e">
        <f ca="1"/>
        <v>#NAME?</v>
      </c>
      <c r="I3" s="59" t="e">
        <f ca="1"/>
        <v>#NAME?</v>
      </c>
    </row>
    <row r="4" spans="2:18" x14ac:dyDescent="0.35">
      <c r="B4" s="7">
        <v>9</v>
      </c>
      <c r="C4" s="8">
        <v>-8</v>
      </c>
      <c r="D4" s="8">
        <v>-1</v>
      </c>
      <c r="E4" s="9">
        <v>-6</v>
      </c>
      <c r="G4" s="186" t="e">
        <f ca="1"/>
        <v>#NAME?</v>
      </c>
      <c r="H4" t="e">
        <f ca="1"/>
        <v>#NAME?</v>
      </c>
      <c r="I4" s="162" t="e">
        <f ca="1"/>
        <v>#NAME?</v>
      </c>
    </row>
    <row r="5" spans="2:18" x14ac:dyDescent="0.35">
      <c r="G5" s="23" t="e">
        <f ca="1"/>
        <v>#NAME?</v>
      </c>
      <c r="H5" s="24" t="e">
        <f ca="1"/>
        <v>#NAME?</v>
      </c>
      <c r="I5" s="25" t="e">
        <f ca="1"/>
        <v>#NAME?</v>
      </c>
    </row>
    <row r="7" spans="2:18" x14ac:dyDescent="0.35">
      <c r="G7" t="s">
        <v>148</v>
      </c>
    </row>
    <row r="8" spans="2:18" ht="15" customHeight="1" x14ac:dyDescent="0.35">
      <c r="L8" t="s">
        <v>566</v>
      </c>
    </row>
    <row r="9" spans="2:18" x14ac:dyDescent="0.35">
      <c r="G9" s="58" t="e">
        <f t="array" aca="1" ref="G9:J11" ca="1">SVD_D(B2:E4,100)</f>
        <v>#NAME?</v>
      </c>
      <c r="H9" s="86" t="e">
        <f ca="1"/>
        <v>#NAME?</v>
      </c>
      <c r="I9" s="86" t="e">
        <f ca="1"/>
        <v>#NAME?</v>
      </c>
      <c r="J9" s="59" t="e">
        <f ca="1"/>
        <v>#NAME?</v>
      </c>
      <c r="L9" s="62" t="e" cm="1">
        <f t="array" aca="1" ref="L9" ca="1">MINVERSE(G9:I11)</f>
        <v>#NAME?</v>
      </c>
      <c r="M9" s="63"/>
      <c r="N9" s="64"/>
    </row>
    <row r="10" spans="2:18" x14ac:dyDescent="0.35">
      <c r="G10" s="186" t="e">
        <f ca="1"/>
        <v>#NAME?</v>
      </c>
      <c r="H10" t="e">
        <f ca="1"/>
        <v>#NAME?</v>
      </c>
      <c r="I10" t="e">
        <f ca="1"/>
        <v>#NAME?</v>
      </c>
      <c r="J10" s="162" t="e">
        <f ca="1"/>
        <v>#NAME?</v>
      </c>
      <c r="L10" s="163"/>
      <c r="N10" s="185"/>
    </row>
    <row r="11" spans="2:18" x14ac:dyDescent="0.35">
      <c r="G11" s="23" t="e">
        <f ca="1"/>
        <v>#NAME?</v>
      </c>
      <c r="H11" s="24" t="e">
        <f ca="1"/>
        <v>#NAME?</v>
      </c>
      <c r="I11" s="24" t="e">
        <f ca="1"/>
        <v>#NAME?</v>
      </c>
      <c r="J11" s="25" t="e">
        <f ca="1"/>
        <v>#NAME?</v>
      </c>
      <c r="L11" s="163"/>
      <c r="N11" s="185"/>
    </row>
    <row r="12" spans="2:18" x14ac:dyDescent="0.35">
      <c r="L12" s="7">
        <v>0</v>
      </c>
      <c r="M12" s="8">
        <v>0</v>
      </c>
      <c r="N12" s="9">
        <v>0</v>
      </c>
    </row>
    <row r="13" spans="2:18" x14ac:dyDescent="0.35">
      <c r="G13" t="s">
        <v>151</v>
      </c>
    </row>
    <row r="14" spans="2:18" ht="15" customHeight="1" x14ac:dyDescent="0.35">
      <c r="L14" t="s">
        <v>567</v>
      </c>
      <c r="P14" t="e" cm="1">
        <f t="array" aca="1" ref="P14" ca="1">FTEXT(P15)</f>
        <v>#NAME?</v>
      </c>
    </row>
    <row r="15" spans="2:18" x14ac:dyDescent="0.35">
      <c r="G15" s="58" t="e">
        <f t="array" aca="1" ref="G15:J18" ca="1">SVD_V(B2:E4,100)</f>
        <v>#NAME?</v>
      </c>
      <c r="H15" s="86" t="e">
        <f ca="1"/>
        <v>#NAME?</v>
      </c>
      <c r="I15" s="86" t="e">
        <f ca="1"/>
        <v>#NAME?</v>
      </c>
      <c r="J15" s="59" t="e">
        <f ca="1"/>
        <v>#NAME?</v>
      </c>
      <c r="L15" s="62" t="e" cm="1">
        <f t="array" aca="1" ref="L15" ca="1">MMULT(MMULT(G15:J18,L9:N12),TRANSPOSE(G3:I5))</f>
        <v>#NAME?</v>
      </c>
      <c r="M15" s="63"/>
      <c r="N15" s="64"/>
      <c r="P15" s="62" t="e" cm="1">
        <f t="array" aca="1" ref="P15" ca="1">PseudoInv(B2:E4)</f>
        <v>#NAME?</v>
      </c>
      <c r="Q15" s="63"/>
      <c r="R15" s="64"/>
    </row>
    <row r="16" spans="2:18" x14ac:dyDescent="0.35">
      <c r="G16" s="186" t="e">
        <f ca="1"/>
        <v>#NAME?</v>
      </c>
      <c r="H16" t="e">
        <f ca="1"/>
        <v>#NAME?</v>
      </c>
      <c r="I16" t="e">
        <f ca="1"/>
        <v>#NAME?</v>
      </c>
      <c r="J16" s="162" t="e">
        <f ca="1"/>
        <v>#NAME?</v>
      </c>
      <c r="L16" s="163"/>
      <c r="N16" s="185"/>
      <c r="P16" s="163"/>
      <c r="R16" s="185"/>
    </row>
    <row r="17" spans="7:18" x14ac:dyDescent="0.35">
      <c r="G17" s="186" t="e">
        <f ca="1"/>
        <v>#NAME?</v>
      </c>
      <c r="H17" t="e">
        <f ca="1"/>
        <v>#NAME?</v>
      </c>
      <c r="I17" t="e">
        <f ca="1"/>
        <v>#NAME?</v>
      </c>
      <c r="J17" s="162" t="e">
        <f ca="1"/>
        <v>#NAME?</v>
      </c>
      <c r="L17" s="163"/>
      <c r="N17" s="185"/>
      <c r="P17" s="163"/>
      <c r="R17" s="185"/>
    </row>
    <row r="18" spans="7:18" x14ac:dyDescent="0.35">
      <c r="G18" s="23" t="e">
        <f ca="1"/>
        <v>#NAME?</v>
      </c>
      <c r="H18" s="24" t="e">
        <f ca="1"/>
        <v>#NAME?</v>
      </c>
      <c r="I18" s="24" t="e">
        <f ca="1"/>
        <v>#NAME?</v>
      </c>
      <c r="J18" s="25" t="e">
        <f ca="1"/>
        <v>#NAME?</v>
      </c>
      <c r="L18" s="7"/>
      <c r="M18" s="8"/>
      <c r="N18" s="9"/>
      <c r="P18" s="7"/>
      <c r="Q18" s="8"/>
      <c r="R18" s="9"/>
    </row>
    <row r="20" spans="7:18" x14ac:dyDescent="0.35">
      <c r="G20" t="s">
        <v>200</v>
      </c>
    </row>
    <row r="22" spans="7:18" x14ac:dyDescent="0.35">
      <c r="G22" s="58" t="e">
        <f t="array" aca="1" ref="G22:J24" ca="1">MMULT(G3:I5,MMULT(G9:J11,TRANSPOSE(G15:J18)))</f>
        <v>#NAME?</v>
      </c>
      <c r="H22" s="86" t="e">
        <f ca="1"/>
        <v>#NAME?</v>
      </c>
      <c r="I22" s="86" t="e">
        <f ca="1"/>
        <v>#NAME?</v>
      </c>
      <c r="J22" s="59" t="e">
        <f ca="1"/>
        <v>#NAME?</v>
      </c>
    </row>
    <row r="23" spans="7:18" x14ac:dyDescent="0.35">
      <c r="G23" s="186" t="e">
        <f ca="1"/>
        <v>#NAME?</v>
      </c>
      <c r="H23" t="e">
        <f ca="1"/>
        <v>#NAME?</v>
      </c>
      <c r="I23" t="e">
        <f ca="1"/>
        <v>#NAME?</v>
      </c>
      <c r="J23" s="162" t="e">
        <f ca="1"/>
        <v>#NAME?</v>
      </c>
    </row>
    <row r="24" spans="7:18" x14ac:dyDescent="0.35">
      <c r="G24" s="23" t="e">
        <f ca="1"/>
        <v>#NAME?</v>
      </c>
      <c r="H24" s="24" t="e">
        <f ca="1"/>
        <v>#NAME?</v>
      </c>
      <c r="I24" s="24" t="e">
        <f ca="1"/>
        <v>#NAME?</v>
      </c>
      <c r="J24" s="25" t="e">
        <f ca="1"/>
        <v>#NAME?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D32F-1F80-41D6-9235-DF58352BF008}">
  <sheetPr codeName="Sheet15"/>
  <dimension ref="B1:T32"/>
  <sheetViews>
    <sheetView workbookViewId="0"/>
  </sheetViews>
  <sheetFormatPr defaultRowHeight="14.5" x14ac:dyDescent="0.35"/>
  <cols>
    <col min="1" max="1" width="2.6328125" customWidth="1"/>
    <col min="2" max="4" width="7.1796875" customWidth="1"/>
    <col min="5" max="5" width="5.6328125" customWidth="1"/>
    <col min="6" max="8" width="7.1796875" customWidth="1"/>
    <col min="9" max="9" width="3" customWidth="1"/>
    <col min="10" max="12" width="7.1796875" customWidth="1"/>
    <col min="13" max="13" width="3" customWidth="1"/>
  </cols>
  <sheetData>
    <row r="1" spans="2:20" x14ac:dyDescent="0.35">
      <c r="B1" t="s">
        <v>16</v>
      </c>
      <c r="F1" t="s">
        <v>559</v>
      </c>
      <c r="J1" t="s">
        <v>558</v>
      </c>
      <c r="N1" t="s">
        <v>568</v>
      </c>
    </row>
    <row r="2" spans="2:20" x14ac:dyDescent="0.35">
      <c r="B2" s="62">
        <v>1</v>
      </c>
      <c r="C2" s="63">
        <v>2</v>
      </c>
      <c r="D2" s="64">
        <v>3</v>
      </c>
      <c r="F2" s="62" cm="1">
        <f t="array" ref="F2:H4">MMULT(B2:D4,TRANSPOSE(B2:D4))</f>
        <v>14</v>
      </c>
      <c r="G2" s="63">
        <v>32</v>
      </c>
      <c r="H2" s="64">
        <v>34</v>
      </c>
      <c r="J2" s="62" cm="1">
        <f t="array" ref="J2:L4">MMULT(TRANSPOSE(B2:D4),B2:D4)</f>
        <v>66</v>
      </c>
      <c r="K2" s="63">
        <v>64</v>
      </c>
      <c r="L2" s="64">
        <v>62</v>
      </c>
      <c r="N2" s="62" t="e" cm="1">
        <f t="array" aca="1" ref="N2" ca="1">MINVERSE(MMULT(MMULT(F9:H10,B2:D4),_xlfn.ANCHORARRAY(J14)))</f>
        <v>#NAME?</v>
      </c>
      <c r="O2" s="64"/>
    </row>
    <row r="3" spans="2:20" x14ac:dyDescent="0.35">
      <c r="B3" s="163">
        <v>4</v>
      </c>
      <c r="C3">
        <v>5</v>
      </c>
      <c r="D3" s="185">
        <v>6</v>
      </c>
      <c r="F3" s="163">
        <v>32</v>
      </c>
      <c r="G3">
        <v>77</v>
      </c>
      <c r="H3" s="185">
        <v>88</v>
      </c>
      <c r="J3" s="163">
        <v>64</v>
      </c>
      <c r="K3">
        <v>65</v>
      </c>
      <c r="L3" s="185">
        <v>66</v>
      </c>
      <c r="N3" s="7"/>
      <c r="O3" s="9"/>
    </row>
    <row r="4" spans="2:20" x14ac:dyDescent="0.35">
      <c r="B4" s="7">
        <v>7</v>
      </c>
      <c r="C4" s="8">
        <v>6</v>
      </c>
      <c r="D4" s="9">
        <v>5</v>
      </c>
      <c r="F4" s="7">
        <v>34</v>
      </c>
      <c r="G4" s="8">
        <v>88</v>
      </c>
      <c r="H4" s="9">
        <v>110</v>
      </c>
      <c r="J4" s="7">
        <v>62</v>
      </c>
      <c r="K4" s="8">
        <v>66</v>
      </c>
      <c r="L4" s="9">
        <v>70</v>
      </c>
    </row>
    <row r="6" spans="2:20" x14ac:dyDescent="0.35">
      <c r="B6" t="s">
        <v>569</v>
      </c>
      <c r="C6" s="85">
        <f>MDETERM(B2:D4)</f>
        <v>0</v>
      </c>
      <c r="F6" t="s">
        <v>570</v>
      </c>
      <c r="G6" s="85">
        <f>MDETERM(_xlfn.ANCHORARRAY(F2))</f>
        <v>-7.0343730840249969E-13</v>
      </c>
      <c r="J6" t="s">
        <v>571</v>
      </c>
      <c r="K6" s="85">
        <f>MDETERM(_xlfn.ANCHORARRAY(J2))</f>
        <v>0</v>
      </c>
    </row>
    <row r="8" spans="2:20" ht="15" customHeight="1" x14ac:dyDescent="0.35">
      <c r="B8" t="s">
        <v>572</v>
      </c>
      <c r="C8" s="85" t="e" cm="1">
        <f t="array" aca="1" ref="C8" ca="1">MRANK(B2:D4)</f>
        <v>#NAME?</v>
      </c>
      <c r="F8" t="s">
        <v>573</v>
      </c>
      <c r="J8" t="s">
        <v>574</v>
      </c>
      <c r="N8" t="s">
        <v>575</v>
      </c>
      <c r="R8" t="e" cm="1">
        <f t="array" aca="1" ref="R8" ca="1">FTEXT(R9)</f>
        <v>#NAME?</v>
      </c>
    </row>
    <row r="9" spans="2:20" x14ac:dyDescent="0.35">
      <c r="F9" s="62" t="e" cm="1">
        <f t="array" aca="1" ref="F9" ca="1">ELIM(_xlfn.ANCHORARRAY(F2))</f>
        <v>#NAME?</v>
      </c>
      <c r="G9" s="63"/>
      <c r="H9" s="64"/>
      <c r="J9" s="62" t="e" cm="1">
        <f t="array" aca="1" ref="J9" ca="1">ELIM(_xlfn.ANCHORARRAY(J2))</f>
        <v>#NAME?</v>
      </c>
      <c r="K9" s="63"/>
      <c r="L9" s="64"/>
      <c r="N9" s="62" t="e" cm="1">
        <f t="array" aca="1" ref="N9" ca="1">MMULT(MMULT(TRANSPOSE(J9:L10),_xlfn.ANCHORARRAY(N2)),F9:H10)</f>
        <v>#NAME?</v>
      </c>
      <c r="O9" s="63"/>
      <c r="P9" s="64"/>
      <c r="R9" s="62" t="e" cm="1">
        <f t="array" aca="1" ref="R9" ca="1">PseudoInv(B2:D4,-1)</f>
        <v>#NAME?</v>
      </c>
      <c r="S9" s="63"/>
      <c r="T9" s="64"/>
    </row>
    <row r="10" spans="2:20" x14ac:dyDescent="0.35">
      <c r="F10" s="7"/>
      <c r="G10" s="8"/>
      <c r="H10" s="9"/>
      <c r="J10" s="7"/>
      <c r="K10" s="8"/>
      <c r="L10" s="9"/>
      <c r="N10" s="163"/>
      <c r="P10" s="185"/>
      <c r="R10" s="163"/>
      <c r="T10" s="185"/>
    </row>
    <row r="11" spans="2:20" x14ac:dyDescent="0.35">
      <c r="N11" s="7"/>
      <c r="O11" s="8"/>
      <c r="P11" s="9"/>
      <c r="R11" s="7"/>
      <c r="S11" s="8"/>
      <c r="T11" s="9"/>
    </row>
    <row r="13" spans="2:20" x14ac:dyDescent="0.35">
      <c r="J13" t="s">
        <v>576</v>
      </c>
    </row>
    <row r="14" spans="2:20" x14ac:dyDescent="0.35">
      <c r="J14" s="62" t="e" cm="1">
        <f t="array" aca="1" ref="J14:K16" ca="1">TRANSPOSE(J9:L10)</f>
        <v>#NAME?</v>
      </c>
      <c r="K14" s="64">
        <f ca="1"/>
        <v>0</v>
      </c>
    </row>
    <row r="15" spans="2:20" x14ac:dyDescent="0.35">
      <c r="J15" s="163">
        <f ca="1"/>
        <v>0</v>
      </c>
      <c r="K15" s="185">
        <f ca="1"/>
        <v>0</v>
      </c>
    </row>
    <row r="16" spans="2:20" x14ac:dyDescent="0.35">
      <c r="J16" s="7">
        <f ca="1"/>
        <v>0</v>
      </c>
      <c r="K16" s="9">
        <f ca="1"/>
        <v>0</v>
      </c>
    </row>
    <row r="19" spans="14:20" ht="16.5" x14ac:dyDescent="0.35">
      <c r="N19" t="s">
        <v>563</v>
      </c>
      <c r="R19" t="s">
        <v>561</v>
      </c>
    </row>
    <row r="20" spans="14:20" x14ac:dyDescent="0.35">
      <c r="N20" s="62" t="e" cm="1">
        <f t="array" aca="1" ref="N20" ca="1">MMULT(_xlfn.ANCHORARRAY(N9),B2:D4)</f>
        <v>#NAME?</v>
      </c>
      <c r="O20" s="63"/>
      <c r="P20" s="64"/>
      <c r="R20" s="62" t="e" cm="1">
        <f t="array" aca="1" ref="R20" ca="1">MMULT(B2:D4,_xlfn.ANCHORARRAY(N9))</f>
        <v>#NAME?</v>
      </c>
      <c r="S20" s="63"/>
      <c r="T20" s="64"/>
    </row>
    <row r="21" spans="14:20" x14ac:dyDescent="0.35">
      <c r="N21" s="163"/>
      <c r="P21" s="185"/>
      <c r="R21" s="163"/>
      <c r="T21" s="185"/>
    </row>
    <row r="22" spans="14:20" x14ac:dyDescent="0.35">
      <c r="N22" s="7"/>
      <c r="O22" s="8"/>
      <c r="P22" s="9"/>
      <c r="R22" s="7"/>
      <c r="S22" s="8"/>
      <c r="T22" s="9"/>
    </row>
    <row r="24" spans="14:20" ht="16.5" x14ac:dyDescent="0.35">
      <c r="N24" t="s">
        <v>577</v>
      </c>
      <c r="R24" t="s">
        <v>578</v>
      </c>
    </row>
    <row r="25" spans="14:20" x14ac:dyDescent="0.35">
      <c r="N25" s="62" t="e" cm="1">
        <f t="array" aca="1" ref="N25" ca="1">MMULT(B2:D4,_xlfn.ANCHORARRAY(N20))</f>
        <v>#NAME?</v>
      </c>
      <c r="O25" s="63"/>
      <c r="P25" s="64"/>
      <c r="R25" s="62" t="e" cm="1">
        <f t="array" aca="1" ref="R25" ca="1">MMULT(_xlfn.ANCHORARRAY(R20),B2:D4)</f>
        <v>#NAME?</v>
      </c>
      <c r="S25" s="63"/>
      <c r="T25" s="64"/>
    </row>
    <row r="26" spans="14:20" x14ac:dyDescent="0.35">
      <c r="N26" s="163"/>
      <c r="P26" s="185"/>
      <c r="R26" s="163"/>
      <c r="T26" s="185"/>
    </row>
    <row r="27" spans="14:20" x14ac:dyDescent="0.35">
      <c r="N27" s="7"/>
      <c r="O27" s="8"/>
      <c r="P27" s="9"/>
      <c r="R27" s="7"/>
      <c r="S27" s="8"/>
      <c r="T27" s="9"/>
    </row>
    <row r="29" spans="14:20" ht="16.5" x14ac:dyDescent="0.35">
      <c r="N29" t="s">
        <v>564</v>
      </c>
      <c r="R29" t="s">
        <v>565</v>
      </c>
    </row>
    <row r="30" spans="14:20" x14ac:dyDescent="0.35">
      <c r="N30" s="62" t="e" cm="1">
        <f t="array" aca="1" ref="N30" ca="1">PseudoInv0(_xlfn.ANCHORARRAY(N20))</f>
        <v>#NAME?</v>
      </c>
      <c r="O30" s="63"/>
      <c r="P30" s="64"/>
      <c r="R30" s="62" t="e" cm="1">
        <f t="array" aca="1" ref="R30" ca="1">PseudoInv0(_xlfn.ANCHORARRAY(R20))</f>
        <v>#NAME?</v>
      </c>
      <c r="S30" s="63"/>
      <c r="T30" s="64"/>
    </row>
    <row r="31" spans="14:20" x14ac:dyDescent="0.35">
      <c r="N31" s="163"/>
      <c r="P31" s="185"/>
      <c r="R31" s="163"/>
      <c r="T31" s="185"/>
    </row>
    <row r="32" spans="14:20" x14ac:dyDescent="0.35">
      <c r="N32" s="7"/>
      <c r="O32" s="8"/>
      <c r="P32" s="9"/>
      <c r="R32" s="7"/>
      <c r="S32" s="8"/>
      <c r="T32" s="9"/>
    </row>
  </sheetData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1"/>
  <dimension ref="A1:AC27"/>
  <sheetViews>
    <sheetView workbookViewId="0"/>
  </sheetViews>
  <sheetFormatPr defaultRowHeight="14.5" x14ac:dyDescent="0.35"/>
  <cols>
    <col min="6" max="6" width="9.1796875" customWidth="1"/>
    <col min="7" max="9" width="9.26953125" bestFit="1" customWidth="1"/>
  </cols>
  <sheetData>
    <row r="1" spans="1:29" x14ac:dyDescent="0.35">
      <c r="A1" s="10" t="s">
        <v>142</v>
      </c>
      <c r="F1" t="s">
        <v>143</v>
      </c>
      <c r="K1" t="s">
        <v>145</v>
      </c>
      <c r="P1" t="s">
        <v>137</v>
      </c>
      <c r="U1" t="s">
        <v>147</v>
      </c>
      <c r="Z1" t="s">
        <v>149</v>
      </c>
    </row>
    <row r="3" spans="1:29" x14ac:dyDescent="0.35">
      <c r="A3" s="32">
        <v>1</v>
      </c>
      <c r="B3" s="87">
        <v>3</v>
      </c>
      <c r="C3" s="87">
        <v>2</v>
      </c>
      <c r="D3" s="88">
        <v>5</v>
      </c>
      <c r="F3" s="89" t="e">
        <f t="array" aca="1" ref="F3:I9" ca="1">eVECTORS(A3:D6)</f>
        <v>#NAME?</v>
      </c>
      <c r="G3" s="90" t="e">
        <f ca="1"/>
        <v>#NAME?</v>
      </c>
      <c r="H3" s="90" t="e">
        <f ca="1"/>
        <v>#NAME?</v>
      </c>
      <c r="I3" s="91" t="e">
        <f ca="1"/>
        <v>#NAME?</v>
      </c>
      <c r="K3" s="39" t="e">
        <f t="array" aca="1" ref="K3:N6" ca="1">MMULT(A3:D6,MINVERSE(K10:N13))</f>
        <v>#NAME?</v>
      </c>
      <c r="L3" s="86" t="e">
        <f ca="1"/>
        <v>#NAME?</v>
      </c>
      <c r="M3" s="86" t="e">
        <f ca="1"/>
        <v>#NAME?</v>
      </c>
      <c r="N3" s="20" t="e">
        <f ca="1"/>
        <v>#NAME?</v>
      </c>
      <c r="P3" s="39" t="e">
        <f t="array" aca="1" ref="P3:S6" ca="1">SPECTRAL(A3:D6)</f>
        <v>#NAME?</v>
      </c>
      <c r="Q3" s="86" t="e">
        <f ca="1"/>
        <v>#NAME?</v>
      </c>
      <c r="R3" s="86" t="e">
        <f ca="1"/>
        <v>#NAME?</v>
      </c>
      <c r="S3" s="20" t="e">
        <f ca="1"/>
        <v>#NAME?</v>
      </c>
      <c r="U3" s="39" t="e">
        <f t="array" aca="1" ref="U3:X6" ca="1">SVD_U(A3:D6)</f>
        <v>#NAME?</v>
      </c>
      <c r="V3" s="86" t="e">
        <f ca="1"/>
        <v>#NAME?</v>
      </c>
      <c r="W3" s="86" t="e">
        <f ca="1"/>
        <v>#NAME?</v>
      </c>
      <c r="X3" s="20" t="e">
        <f ca="1"/>
        <v>#NAME?</v>
      </c>
      <c r="Z3" s="39" t="e">
        <f t="array" aca="1" ref="Z3:AC6" ca="1">SCHURQ(A3:D6)</f>
        <v>#NAME?</v>
      </c>
      <c r="AA3" s="86" t="e">
        <f ca="1"/>
        <v>#NAME?</v>
      </c>
      <c r="AB3" s="86" t="e">
        <f ca="1"/>
        <v>#NAME?</v>
      </c>
      <c r="AC3" s="20" t="e">
        <f ca="1"/>
        <v>#NAME?</v>
      </c>
    </row>
    <row r="4" spans="1:29" x14ac:dyDescent="0.35">
      <c r="A4" s="4">
        <v>3</v>
      </c>
      <c r="B4" s="5">
        <v>4</v>
      </c>
      <c r="C4" s="5">
        <v>1</v>
      </c>
      <c r="D4" s="6">
        <v>3</v>
      </c>
      <c r="F4" s="39" t="e">
        <f ca="1"/>
        <v>#NAME?</v>
      </c>
      <c r="G4" s="86" t="e">
        <f ca="1"/>
        <v>#NAME?</v>
      </c>
      <c r="H4" s="86" t="e">
        <f ca="1"/>
        <v>#NAME?</v>
      </c>
      <c r="I4" s="20" t="e">
        <f ca="1"/>
        <v>#NAME?</v>
      </c>
      <c r="K4" s="21" t="e">
        <f ca="1"/>
        <v>#NAME?</v>
      </c>
      <c r="L4" s="5" t="e">
        <f ca="1"/>
        <v>#NAME?</v>
      </c>
      <c r="M4" s="5" t="e">
        <f ca="1"/>
        <v>#NAME?</v>
      </c>
      <c r="N4" s="22" t="e">
        <f ca="1"/>
        <v>#NAME?</v>
      </c>
      <c r="P4" s="21" t="e">
        <f ca="1"/>
        <v>#NAME?</v>
      </c>
      <c r="Q4" s="5" t="e">
        <f ca="1"/>
        <v>#NAME?</v>
      </c>
      <c r="R4" s="5" t="e">
        <f ca="1"/>
        <v>#NAME?</v>
      </c>
      <c r="S4" s="22" t="e">
        <f ca="1"/>
        <v>#NAME?</v>
      </c>
      <c r="U4" s="21" t="e">
        <f ca="1"/>
        <v>#NAME?</v>
      </c>
      <c r="V4" s="5" t="e">
        <f ca="1"/>
        <v>#NAME?</v>
      </c>
      <c r="W4" s="5" t="e">
        <f ca="1"/>
        <v>#NAME?</v>
      </c>
      <c r="X4" s="22" t="e">
        <f ca="1"/>
        <v>#NAME?</v>
      </c>
      <c r="Z4" s="21" t="e">
        <f ca="1"/>
        <v>#NAME?</v>
      </c>
      <c r="AA4" s="5" t="e">
        <f ca="1"/>
        <v>#NAME?</v>
      </c>
      <c r="AB4" s="5" t="e">
        <f ca="1"/>
        <v>#NAME?</v>
      </c>
      <c r="AC4" s="22" t="e">
        <f ca="1"/>
        <v>#NAME?</v>
      </c>
    </row>
    <row r="5" spans="1:29" x14ac:dyDescent="0.35">
      <c r="A5" s="4">
        <v>2</v>
      </c>
      <c r="B5" s="5">
        <v>1</v>
      </c>
      <c r="C5" s="5">
        <v>3</v>
      </c>
      <c r="D5" s="6">
        <v>2</v>
      </c>
      <c r="F5" s="21" t="e">
        <f ca="1"/>
        <v>#NAME?</v>
      </c>
      <c r="G5" s="5" t="e">
        <f ca="1"/>
        <v>#NAME?</v>
      </c>
      <c r="H5" s="5" t="e">
        <f ca="1"/>
        <v>#NAME?</v>
      </c>
      <c r="I5" s="22" t="e">
        <f ca="1"/>
        <v>#NAME?</v>
      </c>
      <c r="K5" s="21" t="e">
        <f ca="1"/>
        <v>#NAME?</v>
      </c>
      <c r="L5" s="5" t="e">
        <f ca="1"/>
        <v>#NAME?</v>
      </c>
      <c r="M5" s="5" t="e">
        <f ca="1"/>
        <v>#NAME?</v>
      </c>
      <c r="N5" s="22" t="e">
        <f ca="1"/>
        <v>#NAME?</v>
      </c>
      <c r="P5" s="21" t="e">
        <f ca="1"/>
        <v>#NAME?</v>
      </c>
      <c r="Q5" s="5" t="e">
        <f ca="1"/>
        <v>#NAME?</v>
      </c>
      <c r="R5" s="5" t="e">
        <f ca="1"/>
        <v>#NAME?</v>
      </c>
      <c r="S5" s="22" t="e">
        <f ca="1"/>
        <v>#NAME?</v>
      </c>
      <c r="U5" s="21" t="e">
        <f ca="1"/>
        <v>#NAME?</v>
      </c>
      <c r="V5" s="5" t="e">
        <f ca="1"/>
        <v>#NAME?</v>
      </c>
      <c r="W5" s="5" t="e">
        <f ca="1"/>
        <v>#NAME?</v>
      </c>
      <c r="X5" s="22" t="e">
        <f ca="1"/>
        <v>#NAME?</v>
      </c>
      <c r="Z5" s="21" t="e">
        <f ca="1"/>
        <v>#NAME?</v>
      </c>
      <c r="AA5" s="5" t="e">
        <f ca="1"/>
        <v>#NAME?</v>
      </c>
      <c r="AB5" s="5" t="e">
        <f ca="1"/>
        <v>#NAME?</v>
      </c>
      <c r="AC5" s="22" t="e">
        <f ca="1"/>
        <v>#NAME?</v>
      </c>
    </row>
    <row r="6" spans="1:29" x14ac:dyDescent="0.35">
      <c r="A6" s="7">
        <v>5</v>
      </c>
      <c r="B6" s="8">
        <v>3</v>
      </c>
      <c r="C6" s="8">
        <v>2</v>
      </c>
      <c r="D6" s="9">
        <v>3</v>
      </c>
      <c r="F6" s="21" t="e">
        <f ca="1"/>
        <v>#NAME?</v>
      </c>
      <c r="G6" s="5" t="e">
        <f ca="1"/>
        <v>#NAME?</v>
      </c>
      <c r="H6" s="5" t="e">
        <f ca="1"/>
        <v>#NAME?</v>
      </c>
      <c r="I6" s="22" t="e">
        <f ca="1"/>
        <v>#NAME?</v>
      </c>
      <c r="K6" s="23" t="e">
        <f ca="1"/>
        <v>#NAME?</v>
      </c>
      <c r="L6" s="24" t="e">
        <f ca="1"/>
        <v>#NAME?</v>
      </c>
      <c r="M6" s="24" t="e">
        <f ca="1"/>
        <v>#NAME?</v>
      </c>
      <c r="N6" s="25" t="e">
        <f ca="1"/>
        <v>#NAME?</v>
      </c>
      <c r="P6" s="23" t="e">
        <f ca="1"/>
        <v>#NAME?</v>
      </c>
      <c r="Q6" s="24" t="e">
        <f ca="1"/>
        <v>#NAME?</v>
      </c>
      <c r="R6" s="24" t="e">
        <f ca="1"/>
        <v>#NAME?</v>
      </c>
      <c r="S6" s="25" t="e">
        <f ca="1"/>
        <v>#NAME?</v>
      </c>
      <c r="U6" s="23" t="e">
        <f ca="1"/>
        <v>#NAME?</v>
      </c>
      <c r="V6" s="24" t="e">
        <f ca="1"/>
        <v>#NAME?</v>
      </c>
      <c r="W6" s="24" t="e">
        <f ca="1"/>
        <v>#NAME?</v>
      </c>
      <c r="X6" s="25" t="e">
        <f ca="1"/>
        <v>#NAME?</v>
      </c>
      <c r="Z6" s="23" t="e">
        <f ca="1"/>
        <v>#NAME?</v>
      </c>
      <c r="AA6" s="24" t="e">
        <f ca="1"/>
        <v>#NAME?</v>
      </c>
      <c r="AB6" s="24" t="e">
        <f ca="1"/>
        <v>#NAME?</v>
      </c>
      <c r="AC6" s="25" t="e">
        <f ca="1"/>
        <v>#NAME?</v>
      </c>
    </row>
    <row r="7" spans="1:29" x14ac:dyDescent="0.35">
      <c r="F7" s="23" t="e">
        <f ca="1"/>
        <v>#NAME?</v>
      </c>
      <c r="G7" s="24" t="e">
        <f ca="1"/>
        <v>#NAME?</v>
      </c>
      <c r="H7" s="24" t="e">
        <f ca="1"/>
        <v>#NAME?</v>
      </c>
      <c r="I7" s="25" t="e">
        <f ca="1"/>
        <v>#NAME?</v>
      </c>
    </row>
    <row r="8" spans="1:29" x14ac:dyDescent="0.35">
      <c r="F8" s="21" t="e">
        <f ca="1"/>
        <v>#NAME?</v>
      </c>
      <c r="G8" s="5" t="e">
        <f ca="1"/>
        <v>#NAME?</v>
      </c>
      <c r="H8" s="5" t="e">
        <f ca="1"/>
        <v>#NAME?</v>
      </c>
      <c r="I8" s="22" t="e">
        <f ca="1"/>
        <v>#NAME?</v>
      </c>
      <c r="K8" t="s">
        <v>146</v>
      </c>
      <c r="P8" t="s">
        <v>138</v>
      </c>
      <c r="U8" t="s">
        <v>148</v>
      </c>
      <c r="Z8" t="s">
        <v>150</v>
      </c>
    </row>
    <row r="9" spans="1:29" x14ac:dyDescent="0.35">
      <c r="F9" s="23" t="e">
        <f ca="1"/>
        <v>#NAME?</v>
      </c>
      <c r="G9" s="24" t="e">
        <f ca="1"/>
        <v>#NAME?</v>
      </c>
      <c r="H9" s="24" t="e">
        <f ca="1"/>
        <v>#NAME?</v>
      </c>
      <c r="I9" s="25" t="e">
        <f ca="1"/>
        <v>#NAME?</v>
      </c>
    </row>
    <row r="10" spans="1:29" x14ac:dyDescent="0.35">
      <c r="K10" s="39" t="e">
        <f t="array" aca="1" ref="K10:N13" ca="1">QRFactorR(A3:D6)</f>
        <v>#NAME?</v>
      </c>
      <c r="L10" s="86" t="e">
        <f ca="1"/>
        <v>#NAME?</v>
      </c>
      <c r="M10" s="86" t="e">
        <f ca="1"/>
        <v>#NAME?</v>
      </c>
      <c r="N10" s="20" t="e">
        <f ca="1"/>
        <v>#NAME?</v>
      </c>
      <c r="P10" s="39" t="e">
        <f t="array" aca="1" ref="P10:S13" ca="1">DIAGONAL(SUBMATRIX(eVALUES(A3:D6),1,1,1))</f>
        <v>#NAME?</v>
      </c>
      <c r="Q10" s="86" t="e">
        <f ca="1"/>
        <v>#NAME?</v>
      </c>
      <c r="R10" s="86" t="e">
        <f ca="1"/>
        <v>#NAME?</v>
      </c>
      <c r="S10" s="20" t="e">
        <f ca="1"/>
        <v>#NAME?</v>
      </c>
      <c r="U10" s="39" t="e">
        <f t="array" aca="1" ref="U10:X13" ca="1">SVD_D(A3:D6)</f>
        <v>#NAME?</v>
      </c>
      <c r="V10" s="86" t="e">
        <f ca="1"/>
        <v>#NAME?</v>
      </c>
      <c r="W10" s="86" t="e">
        <f ca="1"/>
        <v>#NAME?</v>
      </c>
      <c r="X10" s="20" t="e">
        <f ca="1"/>
        <v>#NAME?</v>
      </c>
      <c r="Z10" s="39" t="e">
        <f t="array" aca="1" ref="Z10:AC13" ca="1">MMULT(TRANSPOSE(Z3:AC6),MMULT(A3:D6,Z3:AC6))</f>
        <v>#NAME?</v>
      </c>
      <c r="AA10" s="86" t="e">
        <f ca="1"/>
        <v>#NAME?</v>
      </c>
      <c r="AB10" s="86" t="e">
        <f ca="1"/>
        <v>#NAME?</v>
      </c>
      <c r="AC10" s="20" t="e">
        <f ca="1"/>
        <v>#NAME?</v>
      </c>
    </row>
    <row r="11" spans="1:29" x14ac:dyDescent="0.35">
      <c r="F11" t="s">
        <v>144</v>
      </c>
      <c r="K11" s="21" t="e">
        <f ca="1"/>
        <v>#NAME?</v>
      </c>
      <c r="L11" s="5" t="e">
        <f ca="1"/>
        <v>#NAME?</v>
      </c>
      <c r="M11" s="5" t="e">
        <f ca="1"/>
        <v>#NAME?</v>
      </c>
      <c r="N11" s="22" t="e">
        <f ca="1"/>
        <v>#NAME?</v>
      </c>
      <c r="P11" s="21" t="e">
        <f ca="1"/>
        <v>#NAME?</v>
      </c>
      <c r="Q11" s="5" t="e">
        <f ca="1"/>
        <v>#NAME?</v>
      </c>
      <c r="R11" s="5" t="e">
        <f ca="1"/>
        <v>#NAME?</v>
      </c>
      <c r="S11" s="22" t="e">
        <f ca="1"/>
        <v>#NAME?</v>
      </c>
      <c r="U11" s="21" t="e">
        <f ca="1"/>
        <v>#NAME?</v>
      </c>
      <c r="V11" s="5" t="e">
        <f ca="1"/>
        <v>#NAME?</v>
      </c>
      <c r="W11" s="5" t="e">
        <f ca="1"/>
        <v>#NAME?</v>
      </c>
      <c r="X11" s="22" t="e">
        <f ca="1"/>
        <v>#NAME?</v>
      </c>
      <c r="Z11" s="21" t="e">
        <f ca="1"/>
        <v>#NAME?</v>
      </c>
      <c r="AA11" s="5" t="e">
        <f ca="1"/>
        <v>#NAME?</v>
      </c>
      <c r="AB11" s="5" t="e">
        <f ca="1"/>
        <v>#NAME?</v>
      </c>
      <c r="AC11" s="22" t="e">
        <f ca="1"/>
        <v>#NAME?</v>
      </c>
    </row>
    <row r="12" spans="1:29" x14ac:dyDescent="0.35">
      <c r="K12" s="21" t="e">
        <f ca="1"/>
        <v>#NAME?</v>
      </c>
      <c r="L12" s="5" t="e">
        <f ca="1"/>
        <v>#NAME?</v>
      </c>
      <c r="M12" s="5" t="e">
        <f ca="1"/>
        <v>#NAME?</v>
      </c>
      <c r="N12" s="22" t="e">
        <f ca="1"/>
        <v>#NAME?</v>
      </c>
      <c r="P12" s="21" t="e">
        <f ca="1"/>
        <v>#NAME?</v>
      </c>
      <c r="Q12" s="5" t="e">
        <f ca="1"/>
        <v>#NAME?</v>
      </c>
      <c r="R12" s="5" t="e">
        <f ca="1"/>
        <v>#NAME?</v>
      </c>
      <c r="S12" s="22" t="e">
        <f ca="1"/>
        <v>#NAME?</v>
      </c>
      <c r="U12" s="21" t="e">
        <f ca="1"/>
        <v>#NAME?</v>
      </c>
      <c r="V12" s="5" t="e">
        <f ca="1"/>
        <v>#NAME?</v>
      </c>
      <c r="W12" s="5" t="e">
        <f ca="1"/>
        <v>#NAME?</v>
      </c>
      <c r="X12" s="22" t="e">
        <f ca="1"/>
        <v>#NAME?</v>
      </c>
      <c r="Z12" s="21" t="e">
        <f ca="1"/>
        <v>#NAME?</v>
      </c>
      <c r="AA12" s="5" t="e">
        <f ca="1"/>
        <v>#NAME?</v>
      </c>
      <c r="AB12" s="5" t="e">
        <f ca="1"/>
        <v>#NAME?</v>
      </c>
      <c r="AC12" s="22" t="e">
        <f ca="1"/>
        <v>#NAME?</v>
      </c>
    </row>
    <row r="13" spans="1:29" x14ac:dyDescent="0.35">
      <c r="F13" s="89" t="e">
        <f t="array" aca="1" ref="F13:I19" ca="1">eVECT(A3:D6)</f>
        <v>#NAME?</v>
      </c>
      <c r="G13" s="90" t="e">
        <f ca="1"/>
        <v>#NAME?</v>
      </c>
      <c r="H13" s="90" t="e">
        <f ca="1"/>
        <v>#NAME?</v>
      </c>
      <c r="I13" s="91" t="e">
        <f ca="1"/>
        <v>#NAME?</v>
      </c>
      <c r="K13" s="23" t="e">
        <f ca="1"/>
        <v>#NAME?</v>
      </c>
      <c r="L13" s="24" t="e">
        <f ca="1"/>
        <v>#NAME?</v>
      </c>
      <c r="M13" s="24" t="e">
        <f ca="1"/>
        <v>#NAME?</v>
      </c>
      <c r="N13" s="25" t="e">
        <f ca="1"/>
        <v>#NAME?</v>
      </c>
      <c r="P13" s="23" t="e">
        <f ca="1"/>
        <v>#NAME?</v>
      </c>
      <c r="Q13" s="24" t="e">
        <f ca="1"/>
        <v>#NAME?</v>
      </c>
      <c r="R13" s="24" t="e">
        <f ca="1"/>
        <v>#NAME?</v>
      </c>
      <c r="S13" s="25" t="e">
        <f ca="1"/>
        <v>#NAME?</v>
      </c>
      <c r="U13" s="23" t="e">
        <f ca="1"/>
        <v>#NAME?</v>
      </c>
      <c r="V13" s="24" t="e">
        <f ca="1"/>
        <v>#NAME?</v>
      </c>
      <c r="W13" s="24" t="e">
        <f ca="1"/>
        <v>#NAME?</v>
      </c>
      <c r="X13" s="25" t="e">
        <f ca="1"/>
        <v>#NAME?</v>
      </c>
      <c r="Z13" s="23" t="e">
        <f ca="1"/>
        <v>#NAME?</v>
      </c>
      <c r="AA13" s="24" t="e">
        <f ca="1"/>
        <v>#NAME?</v>
      </c>
      <c r="AB13" s="24" t="e">
        <f ca="1"/>
        <v>#NAME?</v>
      </c>
      <c r="AC13" s="25" t="e">
        <f ca="1"/>
        <v>#NAME?</v>
      </c>
    </row>
    <row r="14" spans="1:29" x14ac:dyDescent="0.35">
      <c r="F14" s="39" t="e">
        <f ca="1"/>
        <v>#NAME?</v>
      </c>
      <c r="G14" s="86" t="e">
        <f ca="1"/>
        <v>#NAME?</v>
      </c>
      <c r="H14" s="86" t="e">
        <f ca="1"/>
        <v>#NAME?</v>
      </c>
      <c r="I14" s="20" t="e">
        <f ca="1"/>
        <v>#NAME?</v>
      </c>
    </row>
    <row r="15" spans="1:29" x14ac:dyDescent="0.35">
      <c r="F15" s="21" t="e">
        <f ca="1"/>
        <v>#NAME?</v>
      </c>
      <c r="G15" s="5" t="e">
        <f ca="1"/>
        <v>#NAME?</v>
      </c>
      <c r="H15" s="5" t="e">
        <f ca="1"/>
        <v>#NAME?</v>
      </c>
      <c r="I15" s="22" t="e">
        <f ca="1"/>
        <v>#NAME?</v>
      </c>
      <c r="U15" t="s">
        <v>151</v>
      </c>
    </row>
    <row r="16" spans="1:29" x14ac:dyDescent="0.35">
      <c r="F16" s="21" t="e">
        <f ca="1"/>
        <v>#NAME?</v>
      </c>
      <c r="G16" s="5" t="e">
        <f ca="1"/>
        <v>#NAME?</v>
      </c>
      <c r="H16" s="5" t="e">
        <f ca="1"/>
        <v>#NAME?</v>
      </c>
      <c r="I16" s="22" t="e">
        <f ca="1"/>
        <v>#NAME?</v>
      </c>
    </row>
    <row r="17" spans="6:29" x14ac:dyDescent="0.35">
      <c r="F17" s="23" t="e">
        <f ca="1"/>
        <v>#NAME?</v>
      </c>
      <c r="G17" s="24" t="e">
        <f ca="1"/>
        <v>#NAME?</v>
      </c>
      <c r="H17" s="24" t="e">
        <f ca="1"/>
        <v>#NAME?</v>
      </c>
      <c r="I17" s="25" t="e">
        <f ca="1"/>
        <v>#NAME?</v>
      </c>
      <c r="U17" s="39" t="e">
        <f t="array" aca="1" ref="U17:X20" ca="1">SVD_V(A3:D6)</f>
        <v>#NAME?</v>
      </c>
      <c r="V17" s="86" t="e">
        <f ca="1"/>
        <v>#NAME?</v>
      </c>
      <c r="W17" s="86" t="e">
        <f ca="1"/>
        <v>#NAME?</v>
      </c>
      <c r="X17" s="20" t="e">
        <f ca="1"/>
        <v>#NAME?</v>
      </c>
    </row>
    <row r="18" spans="6:29" x14ac:dyDescent="0.35">
      <c r="F18" s="21" t="e">
        <f ca="1"/>
        <v>#NAME?</v>
      </c>
      <c r="G18" s="5" t="e">
        <f ca="1"/>
        <v>#NAME?</v>
      </c>
      <c r="H18" s="5" t="e">
        <f ca="1"/>
        <v>#NAME?</v>
      </c>
      <c r="I18" s="22" t="e">
        <f ca="1"/>
        <v>#NAME?</v>
      </c>
      <c r="U18" s="21" t="e">
        <f ca="1"/>
        <v>#NAME?</v>
      </c>
      <c r="V18" s="5" t="e">
        <f ca="1"/>
        <v>#NAME?</v>
      </c>
      <c r="W18" s="5" t="e">
        <f ca="1"/>
        <v>#NAME?</v>
      </c>
      <c r="X18" s="22" t="e">
        <f ca="1"/>
        <v>#NAME?</v>
      </c>
    </row>
    <row r="19" spans="6:29" x14ac:dyDescent="0.35">
      <c r="F19" s="23" t="e">
        <f ca="1"/>
        <v>#NAME?</v>
      </c>
      <c r="G19" s="24" t="e">
        <f ca="1"/>
        <v>#NAME?</v>
      </c>
      <c r="H19" s="24" t="e">
        <f ca="1"/>
        <v>#NAME?</v>
      </c>
      <c r="I19" s="25" t="e">
        <f ca="1"/>
        <v>#NAME?</v>
      </c>
      <c r="U19" s="21" t="e">
        <f ca="1"/>
        <v>#NAME?</v>
      </c>
      <c r="V19" s="5" t="e">
        <f ca="1"/>
        <v>#NAME?</v>
      </c>
      <c r="W19" s="5" t="e">
        <f ca="1"/>
        <v>#NAME?</v>
      </c>
      <c r="X19" s="22" t="e">
        <f ca="1"/>
        <v>#NAME?</v>
      </c>
    </row>
    <row r="20" spans="6:29" x14ac:dyDescent="0.35">
      <c r="U20" s="23" t="e">
        <f ca="1"/>
        <v>#NAME?</v>
      </c>
      <c r="V20" s="24" t="e">
        <f ca="1"/>
        <v>#NAME?</v>
      </c>
      <c r="W20" s="24" t="e">
        <f ca="1"/>
        <v>#NAME?</v>
      </c>
      <c r="X20" s="25" t="e">
        <f ca="1"/>
        <v>#NAME?</v>
      </c>
    </row>
    <row r="23" spans="6:29" ht="15" customHeight="1" x14ac:dyDescent="0.35">
      <c r="K23" t="s">
        <v>34</v>
      </c>
      <c r="P23" t="s">
        <v>152</v>
      </c>
      <c r="U23" t="s">
        <v>53</v>
      </c>
      <c r="Z23" t="s">
        <v>131</v>
      </c>
    </row>
    <row r="24" spans="6:29" x14ac:dyDescent="0.35">
      <c r="K24" s="39" t="e">
        <f t="array" aca="1" ref="K24:N27" ca="1">MMULT(K3:N6,K10:N13)</f>
        <v>#NAME?</v>
      </c>
      <c r="L24" s="86" t="e">
        <f ca="1"/>
        <v>#NAME?</v>
      </c>
      <c r="M24" s="86" t="e">
        <f ca="1"/>
        <v>#NAME?</v>
      </c>
      <c r="N24" s="20" t="e">
        <f ca="1"/>
        <v>#NAME?</v>
      </c>
      <c r="P24" s="39" t="e">
        <f t="array" aca="1" ref="P24:S27" ca="1">MMULT(P3:S6,MMULT(P10:S13,TRANSPOSE(P3:S6)))</f>
        <v>#NAME?</v>
      </c>
      <c r="Q24" s="86" t="e">
        <f ca="1"/>
        <v>#NAME?</v>
      </c>
      <c r="R24" s="86" t="e">
        <f ca="1"/>
        <v>#NAME?</v>
      </c>
      <c r="S24" s="20" t="e">
        <f ca="1"/>
        <v>#NAME?</v>
      </c>
      <c r="U24" s="39" t="e">
        <f t="array" aca="1" ref="U24:X27" ca="1">MMULT(U3:X6,MMULT(U10:X13,TRANSPOSE(U17:X20)))</f>
        <v>#NAME?</v>
      </c>
      <c r="V24" s="86" t="e">
        <f ca="1"/>
        <v>#NAME?</v>
      </c>
      <c r="W24" s="86" t="e">
        <f ca="1"/>
        <v>#NAME?</v>
      </c>
      <c r="X24" s="20" t="e">
        <f ca="1"/>
        <v>#NAME?</v>
      </c>
      <c r="Z24" s="39" t="e">
        <f t="array" aca="1" ref="Z24:AC27" ca="1">MMULT(Z3:AC6,MMULT(Z10:AC13,TRANSPOSE(Z3:AC6)))</f>
        <v>#NAME?</v>
      </c>
      <c r="AA24" s="86" t="e">
        <f ca="1"/>
        <v>#NAME?</v>
      </c>
      <c r="AB24" s="86" t="e">
        <f ca="1"/>
        <v>#NAME?</v>
      </c>
      <c r="AC24" s="20" t="e">
        <f ca="1"/>
        <v>#NAME?</v>
      </c>
    </row>
    <row r="25" spans="6:29" x14ac:dyDescent="0.35">
      <c r="K25" s="21" t="e">
        <f ca="1"/>
        <v>#NAME?</v>
      </c>
      <c r="L25" s="5" t="e">
        <f ca="1"/>
        <v>#NAME?</v>
      </c>
      <c r="M25" s="5" t="e">
        <f ca="1"/>
        <v>#NAME?</v>
      </c>
      <c r="N25" s="22" t="e">
        <f ca="1"/>
        <v>#NAME?</v>
      </c>
      <c r="P25" s="21" t="e">
        <f ca="1"/>
        <v>#NAME?</v>
      </c>
      <c r="Q25" s="5" t="e">
        <f ca="1"/>
        <v>#NAME?</v>
      </c>
      <c r="R25" s="5" t="e">
        <f ca="1"/>
        <v>#NAME?</v>
      </c>
      <c r="S25" s="22" t="e">
        <f ca="1"/>
        <v>#NAME?</v>
      </c>
      <c r="U25" s="21" t="e">
        <f ca="1"/>
        <v>#NAME?</v>
      </c>
      <c r="V25" s="5" t="e">
        <f ca="1"/>
        <v>#NAME?</v>
      </c>
      <c r="W25" s="5" t="e">
        <f ca="1"/>
        <v>#NAME?</v>
      </c>
      <c r="X25" s="22" t="e">
        <f ca="1"/>
        <v>#NAME?</v>
      </c>
      <c r="Z25" s="21" t="e">
        <f ca="1"/>
        <v>#NAME?</v>
      </c>
      <c r="AA25" s="5" t="e">
        <f ca="1"/>
        <v>#NAME?</v>
      </c>
      <c r="AB25" s="5" t="e">
        <f ca="1"/>
        <v>#NAME?</v>
      </c>
      <c r="AC25" s="22" t="e">
        <f ca="1"/>
        <v>#NAME?</v>
      </c>
    </row>
    <row r="26" spans="6:29" x14ac:dyDescent="0.35">
      <c r="K26" s="21" t="e">
        <f ca="1"/>
        <v>#NAME?</v>
      </c>
      <c r="L26" s="5" t="e">
        <f ca="1"/>
        <v>#NAME?</v>
      </c>
      <c r="M26" s="5" t="e">
        <f ca="1"/>
        <v>#NAME?</v>
      </c>
      <c r="N26" s="22" t="e">
        <f ca="1"/>
        <v>#NAME?</v>
      </c>
      <c r="P26" s="21" t="e">
        <f ca="1"/>
        <v>#NAME?</v>
      </c>
      <c r="Q26" s="5" t="e">
        <f ca="1"/>
        <v>#NAME?</v>
      </c>
      <c r="R26" s="5" t="e">
        <f ca="1"/>
        <v>#NAME?</v>
      </c>
      <c r="S26" s="22" t="e">
        <f ca="1"/>
        <v>#NAME?</v>
      </c>
      <c r="U26" s="21" t="e">
        <f ca="1"/>
        <v>#NAME?</v>
      </c>
      <c r="V26" s="5" t="e">
        <f ca="1"/>
        <v>#NAME?</v>
      </c>
      <c r="W26" s="5" t="e">
        <f ca="1"/>
        <v>#NAME?</v>
      </c>
      <c r="X26" s="22" t="e">
        <f ca="1"/>
        <v>#NAME?</v>
      </c>
      <c r="Z26" s="21" t="e">
        <f ca="1"/>
        <v>#NAME?</v>
      </c>
      <c r="AA26" s="5" t="e">
        <f ca="1"/>
        <v>#NAME?</v>
      </c>
      <c r="AB26" s="5" t="e">
        <f ca="1"/>
        <v>#NAME?</v>
      </c>
      <c r="AC26" s="22" t="e">
        <f ca="1"/>
        <v>#NAME?</v>
      </c>
    </row>
    <row r="27" spans="6:29" x14ac:dyDescent="0.35">
      <c r="K27" s="23" t="e">
        <f ca="1"/>
        <v>#NAME?</v>
      </c>
      <c r="L27" s="24" t="e">
        <f ca="1"/>
        <v>#NAME?</v>
      </c>
      <c r="M27" s="24" t="e">
        <f ca="1"/>
        <v>#NAME?</v>
      </c>
      <c r="N27" s="25" t="e">
        <f ca="1"/>
        <v>#NAME?</v>
      </c>
      <c r="P27" s="23" t="e">
        <f ca="1"/>
        <v>#NAME?</v>
      </c>
      <c r="Q27" s="24" t="e">
        <f ca="1"/>
        <v>#NAME?</v>
      </c>
      <c r="R27" s="24" t="e">
        <f ca="1"/>
        <v>#NAME?</v>
      </c>
      <c r="S27" s="25" t="e">
        <f ca="1"/>
        <v>#NAME?</v>
      </c>
      <c r="U27" s="23" t="e">
        <f ca="1"/>
        <v>#NAME?</v>
      </c>
      <c r="V27" s="24" t="e">
        <f ca="1"/>
        <v>#NAME?</v>
      </c>
      <c r="W27" s="24" t="e">
        <f ca="1"/>
        <v>#NAME?</v>
      </c>
      <c r="X27" s="25" t="e">
        <f ca="1"/>
        <v>#NAME?</v>
      </c>
      <c r="Z27" s="23" t="e">
        <f ca="1"/>
        <v>#NAME?</v>
      </c>
      <c r="AA27" s="24" t="e">
        <f ca="1"/>
        <v>#NAME?</v>
      </c>
      <c r="AB27" s="24" t="e">
        <f ca="1"/>
        <v>#NAME?</v>
      </c>
      <c r="AC27" s="25" t="e">
        <f ca="1"/>
        <v>#NAME?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2"/>
  <dimension ref="A1:S27"/>
  <sheetViews>
    <sheetView workbookViewId="0"/>
  </sheetViews>
  <sheetFormatPr defaultRowHeight="14.5" x14ac:dyDescent="0.35"/>
  <cols>
    <col min="6" max="6" width="9.1796875" customWidth="1"/>
    <col min="7" max="9" width="9.26953125" bestFit="1" customWidth="1"/>
  </cols>
  <sheetData>
    <row r="1" spans="1:19" x14ac:dyDescent="0.35">
      <c r="A1" s="10" t="s">
        <v>142</v>
      </c>
      <c r="F1" t="s">
        <v>143</v>
      </c>
      <c r="K1" t="s">
        <v>147</v>
      </c>
      <c r="P1" t="s">
        <v>149</v>
      </c>
    </row>
    <row r="3" spans="1:19" x14ac:dyDescent="0.35">
      <c r="A3" s="32">
        <v>1</v>
      </c>
      <c r="B3" s="87">
        <v>3</v>
      </c>
      <c r="C3" s="87">
        <v>2</v>
      </c>
      <c r="D3" s="88">
        <v>6</v>
      </c>
      <c r="F3" s="89" t="e">
        <f t="array" aca="1" ref="F3:I9" ca="1">eVECTORS(A3:D6)</f>
        <v>#NAME?</v>
      </c>
      <c r="G3" s="90" t="e">
        <f ca="1"/>
        <v>#NAME?</v>
      </c>
      <c r="H3" s="90" t="e">
        <f ca="1"/>
        <v>#NAME?</v>
      </c>
      <c r="I3" s="91" t="e">
        <f ca="1"/>
        <v>#NAME?</v>
      </c>
      <c r="K3" s="39" t="e">
        <f t="array" aca="1" ref="K3:N6" ca="1">SVD_U(A3:D6)</f>
        <v>#NAME?</v>
      </c>
      <c r="L3" s="86" t="e">
        <f ca="1"/>
        <v>#NAME?</v>
      </c>
      <c r="M3" s="86" t="e">
        <f ca="1"/>
        <v>#NAME?</v>
      </c>
      <c r="N3" s="20" t="e">
        <f ca="1"/>
        <v>#NAME?</v>
      </c>
      <c r="P3" s="39" t="e">
        <f t="array" aca="1" ref="P3:S6" ca="1">SCHURQ(A3:D6)</f>
        <v>#NAME?</v>
      </c>
      <c r="Q3" s="86" t="e">
        <f ca="1"/>
        <v>#NAME?</v>
      </c>
      <c r="R3" s="86" t="e">
        <f ca="1"/>
        <v>#NAME?</v>
      </c>
      <c r="S3" s="20" t="e">
        <f ca="1"/>
        <v>#NAME?</v>
      </c>
    </row>
    <row r="4" spans="1:19" x14ac:dyDescent="0.35">
      <c r="A4" s="4">
        <v>3</v>
      </c>
      <c r="B4" s="5">
        <v>4</v>
      </c>
      <c r="C4" s="5">
        <v>1</v>
      </c>
      <c r="D4" s="6">
        <v>3</v>
      </c>
      <c r="F4" s="39" t="e">
        <f ca="1"/>
        <v>#NAME?</v>
      </c>
      <c r="G4" s="86" t="e">
        <f ca="1"/>
        <v>#NAME?</v>
      </c>
      <c r="H4" s="86" t="e">
        <f ca="1"/>
        <v>#NAME?</v>
      </c>
      <c r="I4" s="20" t="e">
        <f ca="1"/>
        <v>#NAME?</v>
      </c>
      <c r="K4" s="21" t="e">
        <f ca="1"/>
        <v>#NAME?</v>
      </c>
      <c r="L4" s="5" t="e">
        <f ca="1"/>
        <v>#NAME?</v>
      </c>
      <c r="M4" s="5" t="e">
        <f ca="1"/>
        <v>#NAME?</v>
      </c>
      <c r="N4" s="22" t="e">
        <f ca="1"/>
        <v>#NAME?</v>
      </c>
      <c r="P4" s="21" t="e">
        <f ca="1"/>
        <v>#NAME?</v>
      </c>
      <c r="Q4" s="5" t="e">
        <f ca="1"/>
        <v>#NAME?</v>
      </c>
      <c r="R4" s="5" t="e">
        <f ca="1"/>
        <v>#NAME?</v>
      </c>
      <c r="S4" s="22" t="e">
        <f ca="1"/>
        <v>#NAME?</v>
      </c>
    </row>
    <row r="5" spans="1:19" x14ac:dyDescent="0.35">
      <c r="A5" s="4">
        <v>2</v>
      </c>
      <c r="B5" s="5">
        <v>1</v>
      </c>
      <c r="C5" s="5">
        <v>3</v>
      </c>
      <c r="D5" s="6">
        <v>2</v>
      </c>
      <c r="F5" s="21" t="e">
        <f ca="1"/>
        <v>#NAME?</v>
      </c>
      <c r="G5" s="5" t="e">
        <f ca="1"/>
        <v>#NAME?</v>
      </c>
      <c r="H5" s="5" t="e">
        <f ca="1"/>
        <v>#NAME?</v>
      </c>
      <c r="I5" s="22" t="e">
        <f ca="1"/>
        <v>#NAME?</v>
      </c>
      <c r="K5" s="21" t="e">
        <f ca="1"/>
        <v>#NAME?</v>
      </c>
      <c r="L5" s="5" t="e">
        <f ca="1"/>
        <v>#NAME?</v>
      </c>
      <c r="M5" s="5" t="e">
        <f ca="1"/>
        <v>#NAME?</v>
      </c>
      <c r="N5" s="22" t="e">
        <f ca="1"/>
        <v>#NAME?</v>
      </c>
      <c r="P5" s="21" t="e">
        <f ca="1"/>
        <v>#NAME?</v>
      </c>
      <c r="Q5" s="5" t="e">
        <f ca="1"/>
        <v>#NAME?</v>
      </c>
      <c r="R5" s="5" t="e">
        <f ca="1"/>
        <v>#NAME?</v>
      </c>
      <c r="S5" s="22" t="e">
        <f ca="1"/>
        <v>#NAME?</v>
      </c>
    </row>
    <row r="6" spans="1:19" x14ac:dyDescent="0.35">
      <c r="A6" s="7">
        <v>5</v>
      </c>
      <c r="B6" s="8">
        <v>3</v>
      </c>
      <c r="C6" s="8">
        <v>2</v>
      </c>
      <c r="D6" s="9">
        <v>3</v>
      </c>
      <c r="F6" s="21" t="e">
        <f ca="1"/>
        <v>#NAME?</v>
      </c>
      <c r="G6" s="5" t="e">
        <f ca="1"/>
        <v>#NAME?</v>
      </c>
      <c r="H6" s="5" t="e">
        <f ca="1"/>
        <v>#NAME?</v>
      </c>
      <c r="I6" s="22" t="e">
        <f ca="1"/>
        <v>#NAME?</v>
      </c>
      <c r="K6" s="23" t="e">
        <f ca="1"/>
        <v>#NAME?</v>
      </c>
      <c r="L6" s="24" t="e">
        <f ca="1"/>
        <v>#NAME?</v>
      </c>
      <c r="M6" s="24" t="e">
        <f ca="1"/>
        <v>#NAME?</v>
      </c>
      <c r="N6" s="25" t="e">
        <f ca="1"/>
        <v>#NAME?</v>
      </c>
      <c r="P6" s="23" t="e">
        <f ca="1"/>
        <v>#NAME?</v>
      </c>
      <c r="Q6" s="24" t="e">
        <f ca="1"/>
        <v>#NAME?</v>
      </c>
      <c r="R6" s="24" t="e">
        <f ca="1"/>
        <v>#NAME?</v>
      </c>
      <c r="S6" s="25" t="e">
        <f ca="1"/>
        <v>#NAME?</v>
      </c>
    </row>
    <row r="7" spans="1:19" x14ac:dyDescent="0.35">
      <c r="F7" s="23" t="e">
        <f ca="1"/>
        <v>#NAME?</v>
      </c>
      <c r="G7" s="24" t="e">
        <f ca="1"/>
        <v>#NAME?</v>
      </c>
      <c r="H7" s="24" t="e">
        <f ca="1"/>
        <v>#NAME?</v>
      </c>
      <c r="I7" s="25" t="e">
        <f ca="1"/>
        <v>#NAME?</v>
      </c>
    </row>
    <row r="8" spans="1:19" x14ac:dyDescent="0.35">
      <c r="F8" s="21" t="e">
        <f ca="1"/>
        <v>#NAME?</v>
      </c>
      <c r="G8" s="5" t="e">
        <f ca="1"/>
        <v>#NAME?</v>
      </c>
      <c r="H8" s="5" t="e">
        <f ca="1"/>
        <v>#NAME?</v>
      </c>
      <c r="I8" s="22" t="e">
        <f ca="1"/>
        <v>#NAME?</v>
      </c>
      <c r="K8" t="s">
        <v>148</v>
      </c>
      <c r="P8" t="s">
        <v>150</v>
      </c>
    </row>
    <row r="9" spans="1:19" x14ac:dyDescent="0.35">
      <c r="F9" s="23" t="e">
        <f ca="1"/>
        <v>#NAME?</v>
      </c>
      <c r="G9" s="24" t="e">
        <f ca="1"/>
        <v>#NAME?</v>
      </c>
      <c r="H9" s="24" t="e">
        <f ca="1"/>
        <v>#NAME?</v>
      </c>
      <c r="I9" s="25" t="e">
        <f ca="1"/>
        <v>#NAME?</v>
      </c>
    </row>
    <row r="10" spans="1:19" x14ac:dyDescent="0.35">
      <c r="K10" s="39" t="e">
        <f t="array" aca="1" ref="K10:N13" ca="1">SVD_D(A3:D6)</f>
        <v>#NAME?</v>
      </c>
      <c r="L10" s="86" t="e">
        <f ca="1"/>
        <v>#NAME?</v>
      </c>
      <c r="M10" s="86" t="e">
        <f ca="1"/>
        <v>#NAME?</v>
      </c>
      <c r="N10" s="20" t="e">
        <f ca="1"/>
        <v>#NAME?</v>
      </c>
      <c r="P10" s="39" t="e">
        <f t="array" aca="1" ref="P10:S13" ca="1">MMULT(TRANSPOSE(P3:S6),MMULT(A3:D6,P3:S6))</f>
        <v>#NAME?</v>
      </c>
      <c r="Q10" s="86" t="e">
        <f ca="1"/>
        <v>#NAME?</v>
      </c>
      <c r="R10" s="86" t="e">
        <f ca="1"/>
        <v>#NAME?</v>
      </c>
      <c r="S10" s="20" t="e">
        <f ca="1"/>
        <v>#NAME?</v>
      </c>
    </row>
    <row r="11" spans="1:19" x14ac:dyDescent="0.35">
      <c r="F11" t="s">
        <v>144</v>
      </c>
      <c r="K11" s="21" t="e">
        <f ca="1"/>
        <v>#NAME?</v>
      </c>
      <c r="L11" s="5" t="e">
        <f ca="1"/>
        <v>#NAME?</v>
      </c>
      <c r="M11" s="5" t="e">
        <f ca="1"/>
        <v>#NAME?</v>
      </c>
      <c r="N11" s="22" t="e">
        <f ca="1"/>
        <v>#NAME?</v>
      </c>
      <c r="P11" s="21" t="e">
        <f ca="1"/>
        <v>#NAME?</v>
      </c>
      <c r="Q11" s="5" t="e">
        <f ca="1"/>
        <v>#NAME?</v>
      </c>
      <c r="R11" s="5" t="e">
        <f ca="1"/>
        <v>#NAME?</v>
      </c>
      <c r="S11" s="22" t="e">
        <f ca="1"/>
        <v>#NAME?</v>
      </c>
    </row>
    <row r="12" spans="1:19" x14ac:dyDescent="0.35">
      <c r="K12" s="21" t="e">
        <f ca="1"/>
        <v>#NAME?</v>
      </c>
      <c r="L12" s="5" t="e">
        <f ca="1"/>
        <v>#NAME?</v>
      </c>
      <c r="M12" s="5" t="e">
        <f ca="1"/>
        <v>#NAME?</v>
      </c>
      <c r="N12" s="22" t="e">
        <f ca="1"/>
        <v>#NAME?</v>
      </c>
      <c r="P12" s="21" t="e">
        <f ca="1"/>
        <v>#NAME?</v>
      </c>
      <c r="Q12" s="5" t="e">
        <f ca="1"/>
        <v>#NAME?</v>
      </c>
      <c r="R12" s="5" t="e">
        <f ca="1"/>
        <v>#NAME?</v>
      </c>
      <c r="S12" s="22" t="e">
        <f ca="1"/>
        <v>#NAME?</v>
      </c>
    </row>
    <row r="13" spans="1:19" x14ac:dyDescent="0.35">
      <c r="F13" s="89" t="e">
        <f t="array" aca="1" ref="F13:I19" ca="1">eVECT(A3:D6)</f>
        <v>#NAME?</v>
      </c>
      <c r="G13" s="90" t="e">
        <f ca="1"/>
        <v>#NAME?</v>
      </c>
      <c r="H13" s="90" t="e">
        <f ca="1"/>
        <v>#NAME?</v>
      </c>
      <c r="I13" s="91" t="e">
        <f ca="1"/>
        <v>#NAME?</v>
      </c>
      <c r="K13" s="23" t="e">
        <f ca="1"/>
        <v>#NAME?</v>
      </c>
      <c r="L13" s="24" t="e">
        <f ca="1"/>
        <v>#NAME?</v>
      </c>
      <c r="M13" s="24" t="e">
        <f ca="1"/>
        <v>#NAME?</v>
      </c>
      <c r="N13" s="25" t="e">
        <f ca="1"/>
        <v>#NAME?</v>
      </c>
      <c r="P13" s="23" t="e">
        <f ca="1"/>
        <v>#NAME?</v>
      </c>
      <c r="Q13" s="24" t="e">
        <f ca="1"/>
        <v>#NAME?</v>
      </c>
      <c r="R13" s="24" t="e">
        <f ca="1"/>
        <v>#NAME?</v>
      </c>
      <c r="S13" s="25" t="e">
        <f ca="1"/>
        <v>#NAME?</v>
      </c>
    </row>
    <row r="14" spans="1:19" x14ac:dyDescent="0.35">
      <c r="F14" s="39" t="e">
        <f ca="1"/>
        <v>#NAME?</v>
      </c>
      <c r="G14" s="86" t="e">
        <f ca="1"/>
        <v>#NAME?</v>
      </c>
      <c r="H14" s="86" t="e">
        <f ca="1"/>
        <v>#NAME?</v>
      </c>
      <c r="I14" s="20" t="e">
        <f ca="1"/>
        <v>#NAME?</v>
      </c>
    </row>
    <row r="15" spans="1:19" x14ac:dyDescent="0.35">
      <c r="F15" s="21" t="e">
        <f ca="1"/>
        <v>#NAME?</v>
      </c>
      <c r="G15" s="5" t="e">
        <f ca="1"/>
        <v>#NAME?</v>
      </c>
      <c r="H15" s="5" t="e">
        <f ca="1"/>
        <v>#NAME?</v>
      </c>
      <c r="I15" s="22" t="e">
        <f ca="1"/>
        <v>#NAME?</v>
      </c>
      <c r="K15" t="s">
        <v>151</v>
      </c>
    </row>
    <row r="16" spans="1:19" x14ac:dyDescent="0.35">
      <c r="F16" s="21" t="e">
        <f ca="1"/>
        <v>#NAME?</v>
      </c>
      <c r="G16" s="5" t="e">
        <f ca="1"/>
        <v>#NAME?</v>
      </c>
      <c r="H16" s="5" t="e">
        <f ca="1"/>
        <v>#NAME?</v>
      </c>
      <c r="I16" s="22" t="e">
        <f ca="1"/>
        <v>#NAME?</v>
      </c>
    </row>
    <row r="17" spans="6:19" x14ac:dyDescent="0.35">
      <c r="F17" s="23" t="e">
        <f ca="1"/>
        <v>#NAME?</v>
      </c>
      <c r="G17" s="24" t="e">
        <f ca="1"/>
        <v>#NAME?</v>
      </c>
      <c r="H17" s="24" t="e">
        <f ca="1"/>
        <v>#NAME?</v>
      </c>
      <c r="I17" s="25" t="e">
        <f ca="1"/>
        <v>#NAME?</v>
      </c>
      <c r="K17" s="39" t="e">
        <f t="array" aca="1" ref="K17:N20" ca="1">SVD_V(A3:D6)</f>
        <v>#NAME?</v>
      </c>
      <c r="L17" s="86" t="e">
        <f ca="1"/>
        <v>#NAME?</v>
      </c>
      <c r="M17" s="86" t="e">
        <f ca="1"/>
        <v>#NAME?</v>
      </c>
      <c r="N17" s="20" t="e">
        <f ca="1"/>
        <v>#NAME?</v>
      </c>
    </row>
    <row r="18" spans="6:19" x14ac:dyDescent="0.35">
      <c r="F18" s="21" t="e">
        <f ca="1"/>
        <v>#NAME?</v>
      </c>
      <c r="G18" s="5" t="e">
        <f ca="1"/>
        <v>#NAME?</v>
      </c>
      <c r="H18" s="5" t="e">
        <f ca="1"/>
        <v>#NAME?</v>
      </c>
      <c r="I18" s="22" t="e">
        <f ca="1"/>
        <v>#NAME?</v>
      </c>
      <c r="K18" s="21" t="e">
        <f ca="1"/>
        <v>#NAME?</v>
      </c>
      <c r="L18" s="5" t="e">
        <f ca="1"/>
        <v>#NAME?</v>
      </c>
      <c r="M18" s="5" t="e">
        <f ca="1"/>
        <v>#NAME?</v>
      </c>
      <c r="N18" s="22" t="e">
        <f ca="1"/>
        <v>#NAME?</v>
      </c>
    </row>
    <row r="19" spans="6:19" x14ac:dyDescent="0.35">
      <c r="F19" s="23" t="e">
        <f ca="1"/>
        <v>#NAME?</v>
      </c>
      <c r="G19" s="24" t="e">
        <f ca="1"/>
        <v>#NAME?</v>
      </c>
      <c r="H19" s="24" t="e">
        <f ca="1"/>
        <v>#NAME?</v>
      </c>
      <c r="I19" s="25" t="e">
        <f ca="1"/>
        <v>#NAME?</v>
      </c>
      <c r="K19" s="21" t="e">
        <f ca="1"/>
        <v>#NAME?</v>
      </c>
      <c r="L19" s="5" t="e">
        <f ca="1"/>
        <v>#NAME?</v>
      </c>
      <c r="M19" s="5" t="e">
        <f ca="1"/>
        <v>#NAME?</v>
      </c>
      <c r="N19" s="22" t="e">
        <f ca="1"/>
        <v>#NAME?</v>
      </c>
    </row>
    <row r="20" spans="6:19" x14ac:dyDescent="0.35">
      <c r="K20" s="23" t="e">
        <f ca="1"/>
        <v>#NAME?</v>
      </c>
      <c r="L20" s="24" t="e">
        <f ca="1"/>
        <v>#NAME?</v>
      </c>
      <c r="M20" s="24" t="e">
        <f ca="1"/>
        <v>#NAME?</v>
      </c>
      <c r="N20" s="25" t="e">
        <f ca="1"/>
        <v>#NAME?</v>
      </c>
    </row>
    <row r="23" spans="6:19" ht="15" customHeight="1" x14ac:dyDescent="0.35">
      <c r="K23" t="s">
        <v>53</v>
      </c>
      <c r="P23" t="s">
        <v>131</v>
      </c>
    </row>
    <row r="24" spans="6:19" x14ac:dyDescent="0.35">
      <c r="K24" s="39" t="e">
        <f t="array" aca="1" ref="K24:N27" ca="1">MMULT(K3:N6,MMULT(K10:N13,TRANSPOSE(K17:N20)))</f>
        <v>#NAME?</v>
      </c>
      <c r="L24" s="86" t="e">
        <f ca="1"/>
        <v>#NAME?</v>
      </c>
      <c r="M24" s="86" t="e">
        <f ca="1"/>
        <v>#NAME?</v>
      </c>
      <c r="N24" s="20" t="e">
        <f ca="1"/>
        <v>#NAME?</v>
      </c>
      <c r="P24" s="39" t="e">
        <f t="array" aca="1" ref="P24:S27" ca="1">MMULT(P3:S6,MMULT(P10:S13,TRANSPOSE(P3:S6)))</f>
        <v>#NAME?</v>
      </c>
      <c r="Q24" s="86" t="e">
        <f ca="1"/>
        <v>#NAME?</v>
      </c>
      <c r="R24" s="86" t="e">
        <f ca="1"/>
        <v>#NAME?</v>
      </c>
      <c r="S24" s="20" t="e">
        <f ca="1"/>
        <v>#NAME?</v>
      </c>
    </row>
    <row r="25" spans="6:19" x14ac:dyDescent="0.35">
      <c r="K25" s="21" t="e">
        <f ca="1"/>
        <v>#NAME?</v>
      </c>
      <c r="L25" s="5" t="e">
        <f ca="1"/>
        <v>#NAME?</v>
      </c>
      <c r="M25" s="5" t="e">
        <f ca="1"/>
        <v>#NAME?</v>
      </c>
      <c r="N25" s="22" t="e">
        <f ca="1"/>
        <v>#NAME?</v>
      </c>
      <c r="P25" s="21" t="e">
        <f ca="1"/>
        <v>#NAME?</v>
      </c>
      <c r="Q25" s="5" t="e">
        <f ca="1"/>
        <v>#NAME?</v>
      </c>
      <c r="R25" s="5" t="e">
        <f ca="1"/>
        <v>#NAME?</v>
      </c>
      <c r="S25" s="22" t="e">
        <f ca="1"/>
        <v>#NAME?</v>
      </c>
    </row>
    <row r="26" spans="6:19" x14ac:dyDescent="0.35">
      <c r="K26" s="21" t="e">
        <f ca="1"/>
        <v>#NAME?</v>
      </c>
      <c r="L26" s="5" t="e">
        <f ca="1"/>
        <v>#NAME?</v>
      </c>
      <c r="M26" s="5" t="e">
        <f ca="1"/>
        <v>#NAME?</v>
      </c>
      <c r="N26" s="22" t="e">
        <f ca="1"/>
        <v>#NAME?</v>
      </c>
      <c r="P26" s="21" t="e">
        <f ca="1"/>
        <v>#NAME?</v>
      </c>
      <c r="Q26" s="5" t="e">
        <f ca="1"/>
        <v>#NAME?</v>
      </c>
      <c r="R26" s="5" t="e">
        <f ca="1"/>
        <v>#NAME?</v>
      </c>
      <c r="S26" s="22" t="e">
        <f ca="1"/>
        <v>#NAME?</v>
      </c>
    </row>
    <row r="27" spans="6:19" x14ac:dyDescent="0.35">
      <c r="K27" s="23" t="e">
        <f ca="1"/>
        <v>#NAME?</v>
      </c>
      <c r="L27" s="24" t="e">
        <f ca="1"/>
        <v>#NAME?</v>
      </c>
      <c r="M27" s="24" t="e">
        <f ca="1"/>
        <v>#NAME?</v>
      </c>
      <c r="N27" s="25" t="e">
        <f ca="1"/>
        <v>#NAME?</v>
      </c>
      <c r="P27" s="23" t="e">
        <f ca="1"/>
        <v>#NAME?</v>
      </c>
      <c r="Q27" s="24" t="e">
        <f ca="1"/>
        <v>#NAME?</v>
      </c>
      <c r="R27" s="24" t="e">
        <f ca="1"/>
        <v>#NAME?</v>
      </c>
      <c r="S27" s="25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7307-528B-40FB-A08B-D36136CCB25C}">
  <sheetPr codeName="Sheet101"/>
  <dimension ref="A1:O185"/>
  <sheetViews>
    <sheetView topLeftCell="A2" workbookViewId="0">
      <selection activeCell="O19" sqref="O19"/>
    </sheetView>
  </sheetViews>
  <sheetFormatPr defaultRowHeight="14.5" x14ac:dyDescent="0.35"/>
  <cols>
    <col min="1" max="3" width="5.90625" customWidth="1"/>
    <col min="4" max="4" width="2.1796875" customWidth="1"/>
    <col min="8" max="8" width="4.6328125" customWidth="1"/>
    <col min="12" max="12" width="4.6328125" customWidth="1"/>
  </cols>
  <sheetData>
    <row r="1" spans="1:7" x14ac:dyDescent="0.35">
      <c r="A1" s="10" t="s">
        <v>189</v>
      </c>
    </row>
    <row r="3" spans="1:7" x14ac:dyDescent="0.35">
      <c r="A3" s="101">
        <v>3</v>
      </c>
      <c r="B3" s="101">
        <v>-4</v>
      </c>
      <c r="C3" s="101">
        <v>9</v>
      </c>
      <c r="E3" t="s">
        <v>190</v>
      </c>
    </row>
    <row r="4" spans="1:7" x14ac:dyDescent="0.35">
      <c r="A4" s="101">
        <v>5</v>
      </c>
      <c r="B4" s="101">
        <v>2</v>
      </c>
      <c r="C4" s="101">
        <v>3</v>
      </c>
    </row>
    <row r="5" spans="1:7" x14ac:dyDescent="0.35">
      <c r="A5" s="101">
        <v>7</v>
      </c>
      <c r="B5" s="101">
        <v>1</v>
      </c>
      <c r="C5" s="101">
        <v>6</v>
      </c>
      <c r="E5" s="39">
        <f t="array" ref="E5:G7">TRANSPOSE(A3:C5)</f>
        <v>3</v>
      </c>
      <c r="F5" s="35">
        <v>5</v>
      </c>
      <c r="G5" s="40">
        <v>7</v>
      </c>
    </row>
    <row r="6" spans="1:7" x14ac:dyDescent="0.35">
      <c r="E6" s="21">
        <v>-4</v>
      </c>
      <c r="F6">
        <v>2</v>
      </c>
      <c r="G6" s="22">
        <v>1</v>
      </c>
    </row>
    <row r="7" spans="1:7" x14ac:dyDescent="0.35">
      <c r="E7" s="23">
        <v>9</v>
      </c>
      <c r="F7" s="24">
        <v>3</v>
      </c>
      <c r="G7" s="25">
        <v>6</v>
      </c>
    </row>
    <row r="9" spans="1:7" x14ac:dyDescent="0.35">
      <c r="E9" t="s">
        <v>191</v>
      </c>
    </row>
    <row r="11" spans="1:7" x14ac:dyDescent="0.35">
      <c r="E11" s="39">
        <f t="array" ref="E11:G13">MINVERSE(A3:C5)</f>
        <v>-0.5</v>
      </c>
      <c r="F11" s="35">
        <v>-1.8333333333333337</v>
      </c>
      <c r="G11" s="40">
        <v>1.6666666666666667</v>
      </c>
    </row>
    <row r="12" spans="1:7" x14ac:dyDescent="0.35">
      <c r="E12" s="21">
        <v>0.5</v>
      </c>
      <c r="F12">
        <v>2.5000000000000004</v>
      </c>
      <c r="G12" s="22">
        <v>-2</v>
      </c>
    </row>
    <row r="13" spans="1:7" x14ac:dyDescent="0.35">
      <c r="E13" s="23">
        <v>0.5</v>
      </c>
      <c r="F13" s="24">
        <v>1.7222222222222225</v>
      </c>
      <c r="G13" s="25">
        <v>-1.4444444444444446</v>
      </c>
    </row>
    <row r="15" spans="1:7" x14ac:dyDescent="0.35">
      <c r="E15" t="s">
        <v>1</v>
      </c>
    </row>
    <row r="17" spans="5:7" x14ac:dyDescent="0.35">
      <c r="E17" s="39" t="e">
        <f t="array" aca="1" ref="E17:G19" ca="1">CORR(A3:C5)</f>
        <v>#NAME?</v>
      </c>
      <c r="F17" s="35" t="e">
        <f ca="1"/>
        <v>#NAME?</v>
      </c>
      <c r="G17" s="40" t="e">
        <f ca="1"/>
        <v>#NAME?</v>
      </c>
    </row>
    <row r="18" spans="5:7" x14ac:dyDescent="0.35">
      <c r="E18" s="21" t="e">
        <f ca="1"/>
        <v>#NAME?</v>
      </c>
      <c r="F18" t="e">
        <f ca="1"/>
        <v>#NAME?</v>
      </c>
      <c r="G18" s="22" t="e">
        <f ca="1"/>
        <v>#NAME?</v>
      </c>
    </row>
    <row r="19" spans="5:7" x14ac:dyDescent="0.35">
      <c r="E19" s="23" t="e">
        <f ca="1"/>
        <v>#NAME?</v>
      </c>
      <c r="F19" s="24" t="e">
        <f ca="1"/>
        <v>#NAME?</v>
      </c>
      <c r="G19" s="25" t="e">
        <f ca="1"/>
        <v>#NAME?</v>
      </c>
    </row>
    <row r="21" spans="5:7" x14ac:dyDescent="0.35">
      <c r="E21" t="s">
        <v>0</v>
      </c>
    </row>
    <row r="23" spans="5:7" x14ac:dyDescent="0.35">
      <c r="E23" s="39" t="e">
        <f t="array" aca="1" ref="E23:G25" ca="1">COVP(A3:C5)</f>
        <v>#NAME?</v>
      </c>
      <c r="F23" s="35" t="e">
        <f ca="1"/>
        <v>#NAME?</v>
      </c>
      <c r="G23" s="40" t="e">
        <f ca="1"/>
        <v>#NAME?</v>
      </c>
    </row>
    <row r="24" spans="5:7" x14ac:dyDescent="0.35">
      <c r="E24" s="21" t="e">
        <f ca="1"/>
        <v>#NAME?</v>
      </c>
      <c r="F24" t="e">
        <f ca="1"/>
        <v>#NAME?</v>
      </c>
      <c r="G24" s="22" t="e">
        <f ca="1"/>
        <v>#NAME?</v>
      </c>
    </row>
    <row r="25" spans="5:7" x14ac:dyDescent="0.35">
      <c r="E25" s="23" t="e">
        <f ca="1"/>
        <v>#NAME?</v>
      </c>
      <c r="F25" s="24" t="e">
        <f ca="1"/>
        <v>#NAME?</v>
      </c>
      <c r="G25" s="25" t="e">
        <f ca="1"/>
        <v>#NAME?</v>
      </c>
    </row>
    <row r="27" spans="5:7" x14ac:dyDescent="0.35">
      <c r="E27" t="s">
        <v>192</v>
      </c>
    </row>
    <row r="29" spans="5:7" x14ac:dyDescent="0.35">
      <c r="E29" s="39" t="e">
        <f t="array" aca="1" ref="E29:G31" ca="1">COV(A3:C5)</f>
        <v>#NAME?</v>
      </c>
      <c r="F29" s="35" t="e">
        <f ca="1"/>
        <v>#NAME?</v>
      </c>
      <c r="G29" s="40" t="e">
        <f ca="1"/>
        <v>#NAME?</v>
      </c>
    </row>
    <row r="30" spans="5:7" x14ac:dyDescent="0.35">
      <c r="E30" s="21" t="e">
        <f ca="1"/>
        <v>#NAME?</v>
      </c>
      <c r="F30" t="e">
        <f ca="1"/>
        <v>#NAME?</v>
      </c>
      <c r="G30" s="22" t="e">
        <f ca="1"/>
        <v>#NAME?</v>
      </c>
    </row>
    <row r="31" spans="5:7" x14ac:dyDescent="0.35">
      <c r="E31" s="23" t="e">
        <f ca="1"/>
        <v>#NAME?</v>
      </c>
      <c r="F31" s="24" t="e">
        <f ca="1"/>
        <v>#NAME?</v>
      </c>
      <c r="G31" s="25" t="e">
        <f ca="1"/>
        <v>#NAME?</v>
      </c>
    </row>
    <row r="33" spans="5:15" x14ac:dyDescent="0.35">
      <c r="E33" t="s">
        <v>193</v>
      </c>
    </row>
    <row r="35" spans="5:15" x14ac:dyDescent="0.35">
      <c r="E35" s="89" t="e">
        <f t="array" aca="1" ref="E35:G35" ca="1">DIAG(A3:C5)</f>
        <v>#NAME?</v>
      </c>
      <c r="F35" s="90" t="e">
        <f ca="1"/>
        <v>#NAME?</v>
      </c>
      <c r="G35" s="91" t="e">
        <f ca="1"/>
        <v>#NAME?</v>
      </c>
    </row>
    <row r="37" spans="5:15" x14ac:dyDescent="0.35">
      <c r="E37" t="s">
        <v>107</v>
      </c>
      <c r="I37" t="s">
        <v>145</v>
      </c>
      <c r="M37" t="s">
        <v>149</v>
      </c>
    </row>
    <row r="39" spans="5:15" x14ac:dyDescent="0.35">
      <c r="E39" s="39" t="e">
        <f t="array" aca="1" ref="E39:G41" ca="1">eigVAL(A3:C5,100)</f>
        <v>#NAME?</v>
      </c>
      <c r="F39" s="35" t="e">
        <f ca="1"/>
        <v>#NAME?</v>
      </c>
      <c r="G39" s="40" t="e">
        <f ca="1"/>
        <v>#NAME?</v>
      </c>
      <c r="I39" s="32">
        <v>-0.32929277996907103</v>
      </c>
      <c r="J39" s="33">
        <v>0.91892242258380874</v>
      </c>
      <c r="K39" s="34">
        <v>0.21713554829402126</v>
      </c>
      <c r="M39" s="32">
        <v>-0.43562313199327085</v>
      </c>
      <c r="N39" s="33">
        <v>0.81378256244134384</v>
      </c>
      <c r="O39" s="34">
        <v>-0.38469524033807967</v>
      </c>
    </row>
    <row r="40" spans="5:15" x14ac:dyDescent="0.35">
      <c r="E40" s="23" t="e">
        <f ca="1"/>
        <v>#NAME?</v>
      </c>
      <c r="F40" s="24" t="e">
        <f ca="1"/>
        <v>#NAME?</v>
      </c>
      <c r="G40" s="25" t="e">
        <f ca="1"/>
        <v>#NAME?</v>
      </c>
      <c r="I40" s="4">
        <v>-0.54882129994845175</v>
      </c>
      <c r="J40">
        <v>-0.37339499015653321</v>
      </c>
      <c r="K40" s="6">
        <v>0.74791133301274026</v>
      </c>
      <c r="M40" s="4">
        <v>0.78108950298521207</v>
      </c>
      <c r="N40">
        <v>0.12934635905029288</v>
      </c>
      <c r="O40" s="6">
        <v>-0.61087536185931313</v>
      </c>
    </row>
    <row r="41" spans="5:15" x14ac:dyDescent="0.35">
      <c r="E41" t="e">
        <f ca="1"/>
        <v>#NAME?</v>
      </c>
      <c r="F41" t="e">
        <f ca="1"/>
        <v>#NAME?</v>
      </c>
      <c r="G41" t="e">
        <f ca="1"/>
        <v>#NAME?</v>
      </c>
      <c r="I41" s="7">
        <v>-0.76834981992783247</v>
      </c>
      <c r="J41" s="8">
        <v>-0.12711318813839431</v>
      </c>
      <c r="K41" s="9">
        <v>-0.62728047284939503</v>
      </c>
      <c r="M41" s="7">
        <v>0.44736078862444723</v>
      </c>
      <c r="N41" s="8">
        <v>0.56659285246712443</v>
      </c>
      <c r="O41" s="9">
        <v>0.69198328327675673</v>
      </c>
    </row>
    <row r="43" spans="5:15" x14ac:dyDescent="0.35">
      <c r="E43" t="s">
        <v>28</v>
      </c>
      <c r="I43" t="s">
        <v>146</v>
      </c>
      <c r="M43" t="s">
        <v>150</v>
      </c>
    </row>
    <row r="45" spans="5:15" x14ac:dyDescent="0.35">
      <c r="E45" s="39" t="e">
        <f t="array" aca="1" ref="E45:G51" ca="1">eigVECT(A3:C5,100)</f>
        <v>#NAME?</v>
      </c>
      <c r="F45" s="35" t="e">
        <f ca="1"/>
        <v>#NAME?</v>
      </c>
      <c r="G45" s="40" t="e">
        <f ca="1"/>
        <v>#NAME?</v>
      </c>
      <c r="I45" s="32">
        <v>-9.1104335791442992</v>
      </c>
      <c r="J45" s="33">
        <v>-0.54882129994845186</v>
      </c>
      <c r="K45" s="34">
        <v>-9.2201978391339896</v>
      </c>
      <c r="M45" s="32">
        <v>0.9296574964868769</v>
      </c>
      <c r="N45" s="33">
        <v>5.7754893064483417</v>
      </c>
      <c r="O45" s="34">
        <v>-3.730463265422014</v>
      </c>
    </row>
    <row r="46" spans="5:15" x14ac:dyDescent="0.35">
      <c r="E46" s="23" t="e">
        <f ca="1"/>
        <v>#NAME?</v>
      </c>
      <c r="F46" s="24" t="e">
        <f ca="1"/>
        <v>#NAME?</v>
      </c>
      <c r="G46" s="25" t="e">
        <f ca="1"/>
        <v>#NAME?</v>
      </c>
      <c r="I46" s="4">
        <v>0</v>
      </c>
      <c r="J46">
        <v>-4.5495928587866956</v>
      </c>
      <c r="K46" s="6">
        <v>6.3874377039543138</v>
      </c>
      <c r="M46" s="4">
        <v>1.3600232051658168E-15</v>
      </c>
      <c r="N46">
        <v>11.722092735899853</v>
      </c>
      <c r="O46" s="6">
        <v>6.4596723675769887</v>
      </c>
    </row>
    <row r="47" spans="5:15" x14ac:dyDescent="0.35">
      <c r="E47" s="39" t="e">
        <f ca="1"/>
        <v>#NAME?</v>
      </c>
      <c r="F47" s="35" t="e">
        <f ca="1"/>
        <v>#NAME?</v>
      </c>
      <c r="G47" s="40" t="e">
        <f ca="1"/>
        <v>#NAME?</v>
      </c>
      <c r="I47" s="7">
        <v>0</v>
      </c>
      <c r="J47" s="8">
        <v>0</v>
      </c>
      <c r="K47" s="9">
        <v>0.43427109658804275</v>
      </c>
      <c r="M47" s="7">
        <v>6.6613381477509392E-16</v>
      </c>
      <c r="N47" s="8">
        <v>0</v>
      </c>
      <c r="O47" s="9">
        <v>-1.651750232386731</v>
      </c>
    </row>
    <row r="48" spans="5:15" x14ac:dyDescent="0.35">
      <c r="E48" s="21" t="e">
        <f ca="1"/>
        <v>#NAME?</v>
      </c>
      <c r="F48" t="e">
        <f ca="1"/>
        <v>#NAME?</v>
      </c>
      <c r="G48" s="22" t="e">
        <f ca="1"/>
        <v>#NAME?</v>
      </c>
    </row>
    <row r="49" spans="5:15" x14ac:dyDescent="0.35">
      <c r="E49" s="23" t="e">
        <f ca="1"/>
        <v>#NAME?</v>
      </c>
      <c r="F49" s="24" t="e">
        <f ca="1"/>
        <v>#NAME?</v>
      </c>
      <c r="G49" s="25" t="e">
        <f ca="1"/>
        <v>#NAME?</v>
      </c>
      <c r="I49" t="s">
        <v>194</v>
      </c>
      <c r="M49" t="s">
        <v>195</v>
      </c>
    </row>
    <row r="50" spans="5:15" x14ac:dyDescent="0.35">
      <c r="E50" t="e">
        <f ca="1"/>
        <v>#NAME?</v>
      </c>
      <c r="F50" t="e">
        <f ca="1"/>
        <v>#NAME?</v>
      </c>
      <c r="G50" t="e">
        <f ca="1"/>
        <v>#NAME?</v>
      </c>
    </row>
    <row r="51" spans="5:15" x14ac:dyDescent="0.35">
      <c r="E51" t="e">
        <f ca="1"/>
        <v>#NAME?</v>
      </c>
      <c r="F51" t="e">
        <f ca="1"/>
        <v>#NAME?</v>
      </c>
      <c r="G51" t="e">
        <f ca="1"/>
        <v>#NAME?</v>
      </c>
      <c r="I51" s="32">
        <v>3</v>
      </c>
      <c r="J51" s="33">
        <v>-4.0000000000000018</v>
      </c>
      <c r="K51" s="34">
        <v>9.0000000000000018</v>
      </c>
      <c r="M51" s="32">
        <v>2.9999999999999969</v>
      </c>
      <c r="N51" s="33">
        <v>-3.9999999999999964</v>
      </c>
      <c r="O51" s="34">
        <v>8.9999999999999964</v>
      </c>
    </row>
    <row r="52" spans="5:15" x14ac:dyDescent="0.35">
      <c r="I52" s="4">
        <v>5</v>
      </c>
      <c r="J52">
        <v>2.0000000000000004</v>
      </c>
      <c r="K52" s="6">
        <v>2.9999999999999991</v>
      </c>
      <c r="M52" s="4">
        <v>4.9999999999999947</v>
      </c>
      <c r="N52">
        <v>1.9999999999999982</v>
      </c>
      <c r="O52" s="6">
        <v>2.9999999999999987</v>
      </c>
    </row>
    <row r="53" spans="5:15" x14ac:dyDescent="0.35">
      <c r="E53" t="s">
        <v>145</v>
      </c>
      <c r="I53" s="7">
        <v>7.0000000000000009</v>
      </c>
      <c r="J53" s="8">
        <v>1.0000000000000004</v>
      </c>
      <c r="K53" s="9">
        <v>6</v>
      </c>
      <c r="M53" s="7">
        <v>6.9999999999999973</v>
      </c>
      <c r="N53" s="8">
        <v>0.99999999999999911</v>
      </c>
      <c r="O53" s="9">
        <v>6.0000000000000036</v>
      </c>
    </row>
    <row r="55" spans="5:15" x14ac:dyDescent="0.35">
      <c r="E55" s="39" t="e">
        <f t="array" aca="1" ref="E55:G57" ca="1">QRFactorQ(A3:C5)</f>
        <v>#NAME?</v>
      </c>
      <c r="F55" s="35" t="e">
        <f ca="1"/>
        <v>#NAME?</v>
      </c>
      <c r="G55" s="40" t="e">
        <f ca="1"/>
        <v>#NAME?</v>
      </c>
    </row>
    <row r="56" spans="5:15" x14ac:dyDescent="0.35">
      <c r="E56" s="21" t="e">
        <f ca="1"/>
        <v>#NAME?</v>
      </c>
      <c r="F56" t="e">
        <f ca="1"/>
        <v>#NAME?</v>
      </c>
      <c r="G56" s="22" t="e">
        <f ca="1"/>
        <v>#NAME?</v>
      </c>
    </row>
    <row r="57" spans="5:15" x14ac:dyDescent="0.35">
      <c r="E57" s="23" t="e">
        <f ca="1"/>
        <v>#NAME?</v>
      </c>
      <c r="F57" s="24" t="e">
        <f ca="1"/>
        <v>#NAME?</v>
      </c>
      <c r="G57" s="25" t="e">
        <f ca="1"/>
        <v>#NAME?</v>
      </c>
    </row>
    <row r="59" spans="5:15" x14ac:dyDescent="0.35">
      <c r="E59" t="s">
        <v>146</v>
      </c>
    </row>
    <row r="61" spans="5:15" x14ac:dyDescent="0.35">
      <c r="E61" s="39" t="e">
        <f t="array" aca="1" ref="E61:G63" ca="1">QRFactorR(A3:C5)</f>
        <v>#NAME?</v>
      </c>
      <c r="F61" s="35" t="e">
        <f ca="1"/>
        <v>#NAME?</v>
      </c>
      <c r="G61" s="40" t="e">
        <f ca="1"/>
        <v>#NAME?</v>
      </c>
    </row>
    <row r="62" spans="5:15" x14ac:dyDescent="0.35">
      <c r="E62" s="21" t="e">
        <f ca="1"/>
        <v>#NAME?</v>
      </c>
      <c r="F62" t="e">
        <f ca="1"/>
        <v>#NAME?</v>
      </c>
      <c r="G62" s="22" t="e">
        <f ca="1"/>
        <v>#NAME?</v>
      </c>
    </row>
    <row r="63" spans="5:15" x14ac:dyDescent="0.35">
      <c r="E63" s="23" t="e">
        <f ca="1"/>
        <v>#NAME?</v>
      </c>
      <c r="F63" s="24" t="e">
        <f ca="1"/>
        <v>#NAME?</v>
      </c>
      <c r="G63" s="25" t="e">
        <f ca="1"/>
        <v>#NAME?</v>
      </c>
    </row>
    <row r="65" spans="5:11" x14ac:dyDescent="0.35">
      <c r="E65" t="s">
        <v>194</v>
      </c>
    </row>
    <row r="67" spans="5:11" x14ac:dyDescent="0.35">
      <c r="E67" s="39" t="e">
        <f t="array" aca="1" ref="E67:G69" ca="1">MMULT(E55:G57,E61:G63)</f>
        <v>#NAME?</v>
      </c>
      <c r="F67" s="35" t="e">
        <f ca="1"/>
        <v>#NAME?</v>
      </c>
      <c r="G67" s="40" t="e">
        <f ca="1"/>
        <v>#NAME?</v>
      </c>
    </row>
    <row r="68" spans="5:11" x14ac:dyDescent="0.35">
      <c r="E68" s="21" t="e">
        <f ca="1"/>
        <v>#NAME?</v>
      </c>
      <c r="F68" t="e">
        <f ca="1"/>
        <v>#NAME?</v>
      </c>
      <c r="G68" s="22" t="e">
        <f ca="1"/>
        <v>#NAME?</v>
      </c>
    </row>
    <row r="69" spans="5:11" x14ac:dyDescent="0.35">
      <c r="E69" s="23" t="e">
        <f ca="1"/>
        <v>#NAME?</v>
      </c>
      <c r="F69" s="24" t="e">
        <f ca="1"/>
        <v>#NAME?</v>
      </c>
      <c r="G69" s="25" t="e">
        <f ca="1"/>
        <v>#NAME?</v>
      </c>
    </row>
    <row r="71" spans="5:11" x14ac:dyDescent="0.35">
      <c r="E71" t="s">
        <v>137</v>
      </c>
      <c r="I71" t="s">
        <v>196</v>
      </c>
    </row>
    <row r="73" spans="5:11" x14ac:dyDescent="0.35">
      <c r="E73" s="39" t="e">
        <f t="array" aca="1" ref="E73:G75" ca="1">SPECTRAL(A3:C5,100)</f>
        <v>#NAME?</v>
      </c>
      <c r="F73" s="35" t="e">
        <f ca="1"/>
        <v>#NAME?</v>
      </c>
      <c r="G73" s="40" t="e">
        <f ca="1"/>
        <v>#NAME?</v>
      </c>
      <c r="I73" s="39">
        <v>3</v>
      </c>
      <c r="J73" s="35">
        <v>-4.9986484659842301</v>
      </c>
      <c r="K73" s="40">
        <v>8.4860776282988084</v>
      </c>
    </row>
    <row r="74" spans="5:11" x14ac:dyDescent="0.35">
      <c r="E74" s="21" t="e">
        <f ca="1"/>
        <v>#NAME?</v>
      </c>
      <c r="F74" t="e">
        <f ca="1"/>
        <v>#NAME?</v>
      </c>
      <c r="G74" s="22" t="e">
        <f ca="1"/>
        <v>#NAME?</v>
      </c>
      <c r="I74" s="21">
        <v>-8.6023252670426231</v>
      </c>
      <c r="J74">
        <v>6.5405405405405368</v>
      </c>
      <c r="K74" s="22">
        <v>-2.2432432432432434</v>
      </c>
    </row>
    <row r="75" spans="5:11" x14ac:dyDescent="0.35">
      <c r="E75" s="23" t="e">
        <f ca="1"/>
        <v>#NAME?</v>
      </c>
      <c r="F75" s="24" t="e">
        <f ca="1"/>
        <v>#NAME?</v>
      </c>
      <c r="G75" s="25" t="e">
        <f ca="1"/>
        <v>#NAME?</v>
      </c>
      <c r="I75" s="23">
        <v>8.8817841970012523E-16</v>
      </c>
      <c r="J75" s="24">
        <v>-0.24324324324324431</v>
      </c>
      <c r="K75" s="25">
        <v>1.4594594594594597</v>
      </c>
    </row>
    <row r="77" spans="5:11" x14ac:dyDescent="0.35">
      <c r="E77" t="s">
        <v>138</v>
      </c>
      <c r="I77" t="s">
        <v>197</v>
      </c>
    </row>
    <row r="79" spans="5:11" x14ac:dyDescent="0.35">
      <c r="E79" s="39" t="e">
        <f t="array" aca="1" ref="E79:G81" ca="1">DIAGONAL(SUBMATRIX(eVALUES(A3:C5),1,1,1))</f>
        <v>#NAME?</v>
      </c>
      <c r="F79" s="35" t="e">
        <f ca="1"/>
        <v>#NAME?</v>
      </c>
      <c r="G79" s="40" t="e">
        <f ca="1"/>
        <v>#NAME?</v>
      </c>
      <c r="I79" s="39">
        <v>1</v>
      </c>
      <c r="J79" s="35">
        <v>0</v>
      </c>
      <c r="K79" s="40">
        <v>0</v>
      </c>
    </row>
    <row r="80" spans="5:11" x14ac:dyDescent="0.35">
      <c r="E80" s="21" t="e">
        <f ca="1"/>
        <v>#NAME?</v>
      </c>
      <c r="F80" t="e">
        <f ca="1"/>
        <v>#NAME?</v>
      </c>
      <c r="G80" s="22" t="e">
        <f ca="1"/>
        <v>#NAME?</v>
      </c>
      <c r="I80" s="21">
        <v>0</v>
      </c>
      <c r="J80">
        <v>-0.58123819371909602</v>
      </c>
      <c r="K80" s="22">
        <v>-0.81373347120673489</v>
      </c>
    </row>
    <row r="81" spans="5:11" x14ac:dyDescent="0.35">
      <c r="E81" s="23" t="e">
        <f ca="1"/>
        <v>#NAME?</v>
      </c>
      <c r="F81" s="24" t="e">
        <f ca="1"/>
        <v>#NAME?</v>
      </c>
      <c r="G81" s="25" t="e">
        <f ca="1"/>
        <v>#NAME?</v>
      </c>
      <c r="I81" s="23">
        <v>0</v>
      </c>
      <c r="J81" s="24">
        <v>-0.81373347120673489</v>
      </c>
      <c r="K81" s="25">
        <v>0.58123819371909646</v>
      </c>
    </row>
    <row r="83" spans="5:11" x14ac:dyDescent="0.35">
      <c r="E83" t="s">
        <v>198</v>
      </c>
      <c r="I83" t="s">
        <v>199</v>
      </c>
    </row>
    <row r="85" spans="5:11" x14ac:dyDescent="0.35">
      <c r="E85" s="39" t="e">
        <f t="array" aca="1" ref="E85:G87" ca="1">MMULT(E73:G75,MMULT(E79:G81,TRANSPOSE(E73:G75)))</f>
        <v>#NAME?</v>
      </c>
      <c r="F85" s="35" t="e">
        <f ca="1"/>
        <v>#NAME?</v>
      </c>
      <c r="G85" s="40" t="e">
        <f ca="1"/>
        <v>#NAME?</v>
      </c>
      <c r="I85" s="39">
        <v>3</v>
      </c>
      <c r="J85" s="35">
        <v>-4.0000000000000018</v>
      </c>
      <c r="K85" s="40">
        <v>9.0000000000000018</v>
      </c>
    </row>
    <row r="86" spans="5:11" x14ac:dyDescent="0.35">
      <c r="E86" s="21" t="e">
        <f ca="1"/>
        <v>#NAME?</v>
      </c>
      <c r="F86" t="e">
        <f ca="1"/>
        <v>#NAME?</v>
      </c>
      <c r="G86" s="22" t="e">
        <f ca="1"/>
        <v>#NAME?</v>
      </c>
      <c r="I86" s="21">
        <v>4.9999999999999938</v>
      </c>
      <c r="J86">
        <v>1.9999999999999964</v>
      </c>
      <c r="K86" s="22">
        <v>2.9999999999999951</v>
      </c>
    </row>
    <row r="87" spans="5:11" x14ac:dyDescent="0.35">
      <c r="E87" s="23" t="e">
        <f ca="1"/>
        <v>#NAME?</v>
      </c>
      <c r="F87" s="24" t="e">
        <f ca="1"/>
        <v>#NAME?</v>
      </c>
      <c r="G87" s="25" t="e">
        <f ca="1"/>
        <v>#NAME?</v>
      </c>
      <c r="I87" s="23">
        <v>6.9999999999999973</v>
      </c>
      <c r="J87" s="24">
        <v>0.99999999999999645</v>
      </c>
      <c r="K87" s="25">
        <v>5.9999999999999982</v>
      </c>
    </row>
    <row r="89" spans="5:11" x14ac:dyDescent="0.35">
      <c r="E89" t="s">
        <v>147</v>
      </c>
      <c r="I89" t="s">
        <v>181</v>
      </c>
    </row>
    <row r="91" spans="5:11" x14ac:dyDescent="0.35">
      <c r="E91" s="39" t="e">
        <f t="array" aca="1" ref="E91:G93" ca="1">SVD_U(A3:C5,100)</f>
        <v>#NAME?</v>
      </c>
      <c r="F91" s="35" t="e">
        <f ca="1"/>
        <v>#NAME?</v>
      </c>
      <c r="G91" s="40" t="e">
        <f ca="1"/>
        <v>#NAME?</v>
      </c>
      <c r="I91" s="39">
        <v>1</v>
      </c>
      <c r="J91" s="35">
        <v>0</v>
      </c>
      <c r="K91" s="40">
        <v>0</v>
      </c>
    </row>
    <row r="92" spans="5:11" x14ac:dyDescent="0.35">
      <c r="E92" s="21" t="e">
        <f ca="1"/>
        <v>#NAME?</v>
      </c>
      <c r="F92" t="e">
        <f ca="1"/>
        <v>#NAME?</v>
      </c>
      <c r="G92" s="22" t="e">
        <f ca="1"/>
        <v>#NAME?</v>
      </c>
      <c r="I92" s="21">
        <v>0.42857142857142855</v>
      </c>
      <c r="J92">
        <v>1</v>
      </c>
      <c r="K92" s="22">
        <v>0</v>
      </c>
    </row>
    <row r="93" spans="5:11" x14ac:dyDescent="0.35">
      <c r="E93" s="23" t="e">
        <f ca="1"/>
        <v>#NAME?</v>
      </c>
      <c r="F93" s="24" t="e">
        <f ca="1"/>
        <v>#NAME?</v>
      </c>
      <c r="G93" s="25" t="e">
        <f ca="1"/>
        <v>#NAME?</v>
      </c>
      <c r="I93" s="23">
        <v>0.71428571428571419</v>
      </c>
      <c r="J93" s="24">
        <v>-0.29032258064516131</v>
      </c>
      <c r="K93" s="25">
        <v>1</v>
      </c>
    </row>
    <row r="95" spans="5:11" x14ac:dyDescent="0.35">
      <c r="E95" t="s">
        <v>148</v>
      </c>
      <c r="I95" t="s">
        <v>183</v>
      </c>
    </row>
    <row r="97" spans="5:11" x14ac:dyDescent="0.35">
      <c r="E97" s="39" t="e">
        <f t="array" aca="1" ref="E97:G99" ca="1">SVD_D(A3:C5,100)</f>
        <v>#NAME?</v>
      </c>
      <c r="F97" s="35" t="e">
        <f ca="1"/>
        <v>#NAME?</v>
      </c>
      <c r="G97" s="40" t="e">
        <f ca="1"/>
        <v>#NAME?</v>
      </c>
      <c r="I97" s="39">
        <v>7</v>
      </c>
      <c r="J97" s="35">
        <v>1</v>
      </c>
      <c r="K97" s="40">
        <v>6</v>
      </c>
    </row>
    <row r="98" spans="5:11" x14ac:dyDescent="0.35">
      <c r="E98" s="21" t="e">
        <f ca="1"/>
        <v>#NAME?</v>
      </c>
      <c r="F98" t="e">
        <f ca="1"/>
        <v>#NAME?</v>
      </c>
      <c r="G98" s="22" t="e">
        <f ca="1"/>
        <v>#NAME?</v>
      </c>
      <c r="I98" s="21">
        <v>0</v>
      </c>
      <c r="J98">
        <v>-4.4285714285714288</v>
      </c>
      <c r="K98" s="22">
        <v>6.4285714285714288</v>
      </c>
    </row>
    <row r="99" spans="5:11" x14ac:dyDescent="0.35">
      <c r="E99" s="23" t="e">
        <f ca="1"/>
        <v>#NAME?</v>
      </c>
      <c r="F99" s="24" t="e">
        <f ca="1"/>
        <v>#NAME?</v>
      </c>
      <c r="G99" s="25" t="e">
        <f ca="1"/>
        <v>#NAME?</v>
      </c>
      <c r="I99" s="23">
        <v>0</v>
      </c>
      <c r="J99" s="24">
        <v>0</v>
      </c>
      <c r="K99" s="25">
        <v>0.5806451612903234</v>
      </c>
    </row>
    <row r="101" spans="5:11" x14ac:dyDescent="0.35">
      <c r="E101" t="s">
        <v>151</v>
      </c>
      <c r="I101" t="s">
        <v>182</v>
      </c>
    </row>
    <row r="103" spans="5:11" x14ac:dyDescent="0.35">
      <c r="E103" s="39" t="e">
        <f t="array" aca="1" ref="E103:G105" ca="1">SVD_V(A3:C5,100)</f>
        <v>#NAME?</v>
      </c>
      <c r="F103" s="35" t="e">
        <f ca="1"/>
        <v>#NAME?</v>
      </c>
      <c r="G103" s="40" t="e">
        <f ca="1"/>
        <v>#NAME?</v>
      </c>
      <c r="I103" s="39">
        <v>0</v>
      </c>
      <c r="J103" s="35">
        <v>0</v>
      </c>
      <c r="K103" s="40">
        <v>1</v>
      </c>
    </row>
    <row r="104" spans="5:11" x14ac:dyDescent="0.35">
      <c r="E104" s="21" t="e">
        <f ca="1"/>
        <v>#NAME?</v>
      </c>
      <c r="F104" t="e">
        <f ca="1"/>
        <v>#NAME?</v>
      </c>
      <c r="G104" s="22" t="e">
        <f ca="1"/>
        <v>#NAME?</v>
      </c>
      <c r="I104" s="21">
        <v>1</v>
      </c>
      <c r="J104">
        <v>0</v>
      </c>
      <c r="K104" s="22">
        <v>0</v>
      </c>
    </row>
    <row r="105" spans="5:11" x14ac:dyDescent="0.35">
      <c r="E105" s="23" t="e">
        <f ca="1"/>
        <v>#NAME?</v>
      </c>
      <c r="F105" s="24" t="e">
        <f ca="1"/>
        <v>#NAME?</v>
      </c>
      <c r="G105" s="25" t="e">
        <f ca="1"/>
        <v>#NAME?</v>
      </c>
      <c r="I105" s="23">
        <v>0</v>
      </c>
      <c r="J105" s="24">
        <v>1</v>
      </c>
      <c r="K105" s="25">
        <v>0</v>
      </c>
    </row>
    <row r="107" spans="5:11" x14ac:dyDescent="0.35">
      <c r="E107" t="s">
        <v>200</v>
      </c>
      <c r="I107" t="s">
        <v>184</v>
      </c>
    </row>
    <row r="109" spans="5:11" x14ac:dyDescent="0.35">
      <c r="E109" s="39" t="e">
        <f t="array" aca="1" ref="E109:G111" ca="1">MMULT(E91:G93,MMULT(E97:G99,TRANSPOSE(E103:G105)))</f>
        <v>#NAME?</v>
      </c>
      <c r="F109" s="35" t="e">
        <f ca="1"/>
        <v>#NAME?</v>
      </c>
      <c r="G109" s="40" t="e">
        <f ca="1"/>
        <v>#NAME?</v>
      </c>
      <c r="I109" s="39">
        <v>3</v>
      </c>
      <c r="J109" s="35">
        <v>-4</v>
      </c>
      <c r="K109" s="40">
        <v>9</v>
      </c>
    </row>
    <row r="110" spans="5:11" x14ac:dyDescent="0.35">
      <c r="E110" s="21" t="e">
        <f ca="1"/>
        <v>#NAME?</v>
      </c>
      <c r="F110" t="e">
        <f ca="1"/>
        <v>#NAME?</v>
      </c>
      <c r="G110" s="22" t="e">
        <f ca="1"/>
        <v>#NAME?</v>
      </c>
      <c r="I110" s="21">
        <v>4.9999999999999991</v>
      </c>
      <c r="J110">
        <v>2</v>
      </c>
      <c r="K110" s="22">
        <v>2.9999999999999996</v>
      </c>
    </row>
    <row r="111" spans="5:11" x14ac:dyDescent="0.35">
      <c r="E111" s="23" t="e">
        <f ca="1"/>
        <v>#NAME?</v>
      </c>
      <c r="F111" s="24" t="e">
        <f ca="1"/>
        <v>#NAME?</v>
      </c>
      <c r="G111" s="25" t="e">
        <f ca="1"/>
        <v>#NAME?</v>
      </c>
      <c r="I111" s="23">
        <v>7</v>
      </c>
      <c r="J111" s="24">
        <v>1</v>
      </c>
      <c r="K111" s="25">
        <v>6</v>
      </c>
    </row>
    <row r="113" spans="5:7" x14ac:dyDescent="0.35">
      <c r="E113" t="s">
        <v>149</v>
      </c>
    </row>
    <row r="115" spans="5:7" x14ac:dyDescent="0.35">
      <c r="E115" s="39" t="e">
        <f t="array" aca="1" ref="E115:G117" ca="1">SCHURQ(A3:C5,100)</f>
        <v>#NAME?</v>
      </c>
      <c r="F115" s="35" t="e">
        <f ca="1"/>
        <v>#NAME?</v>
      </c>
      <c r="G115" s="40" t="e">
        <f ca="1"/>
        <v>#NAME?</v>
      </c>
    </row>
    <row r="116" spans="5:7" x14ac:dyDescent="0.35">
      <c r="E116" s="21" t="e">
        <f ca="1"/>
        <v>#NAME?</v>
      </c>
      <c r="F116" t="e">
        <f ca="1"/>
        <v>#NAME?</v>
      </c>
      <c r="G116" s="22" t="e">
        <f ca="1"/>
        <v>#NAME?</v>
      </c>
    </row>
    <row r="117" spans="5:7" x14ac:dyDescent="0.35">
      <c r="E117" s="23" t="e">
        <f ca="1"/>
        <v>#NAME?</v>
      </c>
      <c r="F117" s="24" t="e">
        <f ca="1"/>
        <v>#NAME?</v>
      </c>
      <c r="G117" s="25" t="e">
        <f ca="1"/>
        <v>#NAME?</v>
      </c>
    </row>
    <row r="119" spans="5:7" x14ac:dyDescent="0.35">
      <c r="E119" t="s">
        <v>150</v>
      </c>
    </row>
    <row r="121" spans="5:7" x14ac:dyDescent="0.35">
      <c r="E121" s="39" t="e">
        <f t="array" aca="1" ref="E121:G123" ca="1">MMULT(TRANSPOSE(E115:G117),MMULT(A3:C5,E115:G117))</f>
        <v>#NAME?</v>
      </c>
      <c r="F121" s="35" t="e">
        <f ca="1"/>
        <v>#NAME?</v>
      </c>
      <c r="G121" s="40" t="e">
        <f ca="1"/>
        <v>#NAME?</v>
      </c>
    </row>
    <row r="122" spans="5:7" x14ac:dyDescent="0.35">
      <c r="E122" s="21" t="e">
        <f ca="1"/>
        <v>#NAME?</v>
      </c>
      <c r="F122" t="e">
        <f ca="1"/>
        <v>#NAME?</v>
      </c>
      <c r="G122" s="22" t="e">
        <f ca="1"/>
        <v>#NAME?</v>
      </c>
    </row>
    <row r="123" spans="5:7" x14ac:dyDescent="0.35">
      <c r="E123" s="23" t="e">
        <f ca="1"/>
        <v>#NAME?</v>
      </c>
      <c r="F123" s="24" t="e">
        <f ca="1"/>
        <v>#NAME?</v>
      </c>
      <c r="G123" s="25" t="e">
        <f ca="1"/>
        <v>#NAME?</v>
      </c>
    </row>
    <row r="125" spans="5:7" x14ac:dyDescent="0.35">
      <c r="E125" t="s">
        <v>195</v>
      </c>
    </row>
    <row r="127" spans="5:7" x14ac:dyDescent="0.35">
      <c r="E127" s="39" t="e">
        <f t="array" aca="1" ref="E127:G129" ca="1">MMULT(E115:G117,MMULT(E121:G123,TRANSPOSE(E115:G117)))</f>
        <v>#NAME?</v>
      </c>
      <c r="F127" s="35" t="e">
        <f ca="1"/>
        <v>#NAME?</v>
      </c>
      <c r="G127" s="40" t="e">
        <f ca="1"/>
        <v>#NAME?</v>
      </c>
    </row>
    <row r="128" spans="5:7" x14ac:dyDescent="0.35">
      <c r="E128" s="21" t="e">
        <f ca="1"/>
        <v>#NAME?</v>
      </c>
      <c r="F128" t="e">
        <f ca="1"/>
        <v>#NAME?</v>
      </c>
      <c r="G128" s="22" t="e">
        <f ca="1"/>
        <v>#NAME?</v>
      </c>
    </row>
    <row r="129" spans="5:7" x14ac:dyDescent="0.35">
      <c r="E129" s="23" t="e">
        <f ca="1"/>
        <v>#NAME?</v>
      </c>
      <c r="F129" s="24" t="e">
        <f ca="1"/>
        <v>#NAME?</v>
      </c>
      <c r="G129" s="25" t="e">
        <f ca="1"/>
        <v>#NAME?</v>
      </c>
    </row>
    <row r="131" spans="5:7" x14ac:dyDescent="0.35">
      <c r="E131" t="s">
        <v>196</v>
      </c>
    </row>
    <row r="133" spans="5:7" x14ac:dyDescent="0.35">
      <c r="E133" s="39" t="e">
        <f t="array" aca="1" ref="E133:G135" ca="1">HessH(A3:C5)</f>
        <v>#NAME?</v>
      </c>
      <c r="F133" s="35" t="e">
        <f ca="1"/>
        <v>#NAME?</v>
      </c>
      <c r="G133" s="40" t="e">
        <f ca="1"/>
        <v>#NAME?</v>
      </c>
    </row>
    <row r="134" spans="5:7" x14ac:dyDescent="0.35">
      <c r="E134" s="21" t="e">
        <f ca="1"/>
        <v>#NAME?</v>
      </c>
      <c r="F134" t="e">
        <f ca="1"/>
        <v>#NAME?</v>
      </c>
      <c r="G134" s="22" t="e">
        <f ca="1"/>
        <v>#NAME?</v>
      </c>
    </row>
    <row r="135" spans="5:7" x14ac:dyDescent="0.35">
      <c r="E135" s="23" t="e">
        <f ca="1"/>
        <v>#NAME?</v>
      </c>
      <c r="F135" s="24" t="e">
        <f ca="1"/>
        <v>#NAME?</v>
      </c>
      <c r="G135" s="25" t="e">
        <f ca="1"/>
        <v>#NAME?</v>
      </c>
    </row>
    <row r="137" spans="5:7" x14ac:dyDescent="0.35">
      <c r="E137" t="s">
        <v>197</v>
      </c>
    </row>
    <row r="139" spans="5:7" x14ac:dyDescent="0.35">
      <c r="E139" s="39" t="e">
        <f t="array" aca="1" ref="E139:G141" ca="1">HessQ(A3:C5)</f>
        <v>#NAME?</v>
      </c>
      <c r="F139" s="35" t="e">
        <f ca="1"/>
        <v>#NAME?</v>
      </c>
      <c r="G139" s="40" t="e">
        <f ca="1"/>
        <v>#NAME?</v>
      </c>
    </row>
    <row r="140" spans="5:7" x14ac:dyDescent="0.35">
      <c r="E140" s="21" t="e">
        <f ca="1"/>
        <v>#NAME?</v>
      </c>
      <c r="F140" t="e">
        <f ca="1"/>
        <v>#NAME?</v>
      </c>
      <c r="G140" s="22" t="e">
        <f ca="1"/>
        <v>#NAME?</v>
      </c>
    </row>
    <row r="141" spans="5:7" x14ac:dyDescent="0.35">
      <c r="E141" s="23" t="e">
        <f ca="1"/>
        <v>#NAME?</v>
      </c>
      <c r="F141" s="24" t="e">
        <f ca="1"/>
        <v>#NAME?</v>
      </c>
      <c r="G141" s="25" t="e">
        <f ca="1"/>
        <v>#NAME?</v>
      </c>
    </row>
    <row r="143" spans="5:7" x14ac:dyDescent="0.35">
      <c r="E143" t="s">
        <v>199</v>
      </c>
    </row>
    <row r="145" spans="5:7" x14ac:dyDescent="0.35">
      <c r="E145" s="39" t="e">
        <f t="array" aca="1" ref="E145:G147" ca="1">MMULT(E139:G141,MMULT(E133:G135,TRANSPOSE(E139:G141)))</f>
        <v>#NAME?</v>
      </c>
      <c r="F145" s="35" t="e">
        <f ca="1"/>
        <v>#NAME?</v>
      </c>
      <c r="G145" s="40" t="e">
        <f ca="1"/>
        <v>#NAME?</v>
      </c>
    </row>
    <row r="146" spans="5:7" x14ac:dyDescent="0.35">
      <c r="E146" s="21" t="e">
        <f ca="1"/>
        <v>#NAME?</v>
      </c>
      <c r="F146" t="e">
        <f ca="1"/>
        <v>#NAME?</v>
      </c>
      <c r="G146" s="22" t="e">
        <f ca="1"/>
        <v>#NAME?</v>
      </c>
    </row>
    <row r="147" spans="5:7" x14ac:dyDescent="0.35">
      <c r="E147" s="23" t="e">
        <f ca="1"/>
        <v>#NAME?</v>
      </c>
      <c r="F147" s="24" t="e">
        <f ca="1"/>
        <v>#NAME?</v>
      </c>
      <c r="G147" s="25" t="e">
        <f ca="1"/>
        <v>#NAME?</v>
      </c>
    </row>
    <row r="149" spans="5:7" x14ac:dyDescent="0.35">
      <c r="E149" t="s">
        <v>181</v>
      </c>
    </row>
    <row r="151" spans="5:7" x14ac:dyDescent="0.35">
      <c r="E151" s="39" t="e">
        <f t="array" aca="1" ref="E151:G153" ca="1">LUPFactorL(A3:C5)</f>
        <v>#NAME?</v>
      </c>
      <c r="F151" s="35" t="e">
        <f ca="1"/>
        <v>#NAME?</v>
      </c>
      <c r="G151" s="40" t="e">
        <f ca="1"/>
        <v>#NAME?</v>
      </c>
    </row>
    <row r="152" spans="5:7" x14ac:dyDescent="0.35">
      <c r="E152" s="21" t="e">
        <f ca="1"/>
        <v>#NAME?</v>
      </c>
      <c r="F152" t="e">
        <f ca="1"/>
        <v>#NAME?</v>
      </c>
      <c r="G152" s="22" t="e">
        <f ca="1"/>
        <v>#NAME?</v>
      </c>
    </row>
    <row r="153" spans="5:7" x14ac:dyDescent="0.35">
      <c r="E153" s="23" t="e">
        <f ca="1"/>
        <v>#NAME?</v>
      </c>
      <c r="F153" s="24" t="e">
        <f ca="1"/>
        <v>#NAME?</v>
      </c>
      <c r="G153" s="25" t="e">
        <f ca="1"/>
        <v>#NAME?</v>
      </c>
    </row>
    <row r="155" spans="5:7" x14ac:dyDescent="0.35">
      <c r="E155" t="s">
        <v>183</v>
      </c>
    </row>
    <row r="157" spans="5:7" x14ac:dyDescent="0.35">
      <c r="E157" s="39" t="e">
        <f t="array" aca="1" ref="E157:G159" ca="1">LUPFactorU(A3:C5)</f>
        <v>#NAME?</v>
      </c>
      <c r="F157" s="35" t="e">
        <f ca="1"/>
        <v>#NAME?</v>
      </c>
      <c r="G157" s="40" t="e">
        <f ca="1"/>
        <v>#NAME?</v>
      </c>
    </row>
    <row r="158" spans="5:7" x14ac:dyDescent="0.35">
      <c r="E158" s="21" t="e">
        <f ca="1"/>
        <v>#NAME?</v>
      </c>
      <c r="F158" t="e">
        <f ca="1"/>
        <v>#NAME?</v>
      </c>
      <c r="G158" s="22" t="e">
        <f ca="1"/>
        <v>#NAME?</v>
      </c>
    </row>
    <row r="159" spans="5:7" x14ac:dyDescent="0.35">
      <c r="E159" s="23" t="e">
        <f ca="1"/>
        <v>#NAME?</v>
      </c>
      <c r="F159" s="24" t="e">
        <f ca="1"/>
        <v>#NAME?</v>
      </c>
      <c r="G159" s="25" t="e">
        <f ca="1"/>
        <v>#NAME?</v>
      </c>
    </row>
    <row r="161" spans="5:8" x14ac:dyDescent="0.35">
      <c r="E161" t="s">
        <v>182</v>
      </c>
    </row>
    <row r="163" spans="5:8" x14ac:dyDescent="0.35">
      <c r="E163" s="39" t="e">
        <f t="array" aca="1" ref="E163:G165" ca="1">LUPFactorP(A3:C5)</f>
        <v>#NAME?</v>
      </c>
      <c r="F163" s="35" t="e">
        <f ca="1"/>
        <v>#NAME?</v>
      </c>
      <c r="G163" s="40" t="e">
        <f ca="1"/>
        <v>#NAME?</v>
      </c>
    </row>
    <row r="164" spans="5:8" x14ac:dyDescent="0.35">
      <c r="E164" s="21" t="e">
        <f ca="1"/>
        <v>#NAME?</v>
      </c>
      <c r="F164" t="e">
        <f ca="1"/>
        <v>#NAME?</v>
      </c>
      <c r="G164" s="22" t="e">
        <f ca="1"/>
        <v>#NAME?</v>
      </c>
    </row>
    <row r="165" spans="5:8" x14ac:dyDescent="0.35">
      <c r="E165" s="23" t="e">
        <f ca="1"/>
        <v>#NAME?</v>
      </c>
      <c r="F165" s="24" t="e">
        <f ca="1"/>
        <v>#NAME?</v>
      </c>
      <c r="G165" s="25" t="e">
        <f ca="1"/>
        <v>#NAME?</v>
      </c>
    </row>
    <row r="167" spans="5:8" x14ac:dyDescent="0.35">
      <c r="E167" t="s">
        <v>184</v>
      </c>
    </row>
    <row r="169" spans="5:8" x14ac:dyDescent="0.35">
      <c r="E169" s="39" t="e">
        <f t="array" aca="1" ref="E169:G171" ca="1">MMULT(TRANSPOSE(E163:G165),MMULT(E151:G153,E157:G159))</f>
        <v>#NAME?</v>
      </c>
      <c r="F169" s="35" t="e">
        <f ca="1"/>
        <v>#NAME?</v>
      </c>
      <c r="G169" s="40" t="e">
        <f ca="1"/>
        <v>#NAME?</v>
      </c>
    </row>
    <row r="170" spans="5:8" x14ac:dyDescent="0.35">
      <c r="E170" s="21" t="e">
        <f ca="1"/>
        <v>#NAME?</v>
      </c>
      <c r="F170" t="e">
        <f ca="1"/>
        <v>#NAME?</v>
      </c>
      <c r="G170" s="22" t="e">
        <f ca="1"/>
        <v>#NAME?</v>
      </c>
    </row>
    <row r="171" spans="5:8" x14ac:dyDescent="0.35">
      <c r="E171" s="23" t="e">
        <f ca="1"/>
        <v>#NAME?</v>
      </c>
      <c r="F171" s="24" t="e">
        <f ca="1"/>
        <v>#NAME?</v>
      </c>
      <c r="G171" s="25" t="e">
        <f ca="1"/>
        <v>#NAME?</v>
      </c>
    </row>
    <row r="173" spans="5:8" x14ac:dyDescent="0.35">
      <c r="E173" t="s">
        <v>15</v>
      </c>
    </row>
    <row r="175" spans="5:8" x14ac:dyDescent="0.35">
      <c r="E175" s="39" t="e">
        <f t="array" aca="1" ref="E175:H178" ca="1">Identity(4)</f>
        <v>#NAME?</v>
      </c>
      <c r="F175" s="35" t="e">
        <f ca="1"/>
        <v>#NAME?</v>
      </c>
      <c r="G175" s="35" t="e">
        <f ca="1"/>
        <v>#NAME?</v>
      </c>
      <c r="H175" s="40" t="e">
        <f ca="1"/>
        <v>#NAME?</v>
      </c>
    </row>
    <row r="176" spans="5:8" x14ac:dyDescent="0.35">
      <c r="E176" s="21" t="e">
        <f ca="1"/>
        <v>#NAME?</v>
      </c>
      <c r="F176" t="e">
        <f ca="1"/>
        <v>#NAME?</v>
      </c>
      <c r="G176" t="e">
        <f ca="1"/>
        <v>#NAME?</v>
      </c>
      <c r="H176" s="22" t="e">
        <f ca="1"/>
        <v>#NAME?</v>
      </c>
    </row>
    <row r="177" spans="5:8" x14ac:dyDescent="0.35">
      <c r="E177" s="21" t="e">
        <f ca="1"/>
        <v>#NAME?</v>
      </c>
      <c r="F177" t="e">
        <f ca="1"/>
        <v>#NAME?</v>
      </c>
      <c r="G177" t="e">
        <f ca="1"/>
        <v>#NAME?</v>
      </c>
      <c r="H177" s="22" t="e">
        <f ca="1"/>
        <v>#NAME?</v>
      </c>
    </row>
    <row r="178" spans="5:8" x14ac:dyDescent="0.35">
      <c r="E178" s="23" t="e">
        <f ca="1"/>
        <v>#NAME?</v>
      </c>
      <c r="F178" s="24" t="e">
        <f ca="1"/>
        <v>#NAME?</v>
      </c>
      <c r="G178" s="24" t="e">
        <f ca="1"/>
        <v>#NAME?</v>
      </c>
      <c r="H178" s="25" t="e">
        <f ca="1"/>
        <v>#NAME?</v>
      </c>
    </row>
    <row r="180" spans="5:8" x14ac:dyDescent="0.35">
      <c r="E180" t="s">
        <v>201</v>
      </c>
    </row>
    <row r="182" spans="5:8" x14ac:dyDescent="0.35">
      <c r="E182" s="39"/>
      <c r="F182" s="40"/>
    </row>
    <row r="183" spans="5:8" x14ac:dyDescent="0.35">
      <c r="E183" s="21"/>
      <c r="F183" s="22"/>
    </row>
    <row r="184" spans="5:8" x14ac:dyDescent="0.35">
      <c r="E184" s="21"/>
      <c r="F184" s="22"/>
    </row>
    <row r="185" spans="5:8" x14ac:dyDescent="0.35">
      <c r="E185" s="23"/>
      <c r="F185" s="25"/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35"/>
  <dimension ref="A1:F22"/>
  <sheetViews>
    <sheetView workbookViewId="0"/>
  </sheetViews>
  <sheetFormatPr defaultRowHeight="14.5" x14ac:dyDescent="0.35"/>
  <cols>
    <col min="1" max="1" width="6.7265625" customWidth="1"/>
    <col min="5" max="5" width="5.26953125" customWidth="1"/>
  </cols>
  <sheetData>
    <row r="1" spans="1:6" x14ac:dyDescent="0.35">
      <c r="A1" s="10" t="s">
        <v>20</v>
      </c>
    </row>
    <row r="2" spans="1:6" x14ac:dyDescent="0.35">
      <c r="A2" s="10"/>
    </row>
    <row r="3" spans="1:6" x14ac:dyDescent="0.35">
      <c r="A3" s="11" t="s">
        <v>21</v>
      </c>
    </row>
    <row r="4" spans="1:6" x14ac:dyDescent="0.35">
      <c r="A4" s="10"/>
    </row>
    <row r="5" spans="1:6" x14ac:dyDescent="0.35">
      <c r="B5" s="12" t="s">
        <v>22</v>
      </c>
      <c r="C5" s="12" t="s">
        <v>8</v>
      </c>
      <c r="D5" s="12" t="s">
        <v>23</v>
      </c>
    </row>
    <row r="6" spans="1:6" x14ac:dyDescent="0.35">
      <c r="A6" s="12" t="s">
        <v>22</v>
      </c>
      <c r="B6" s="43">
        <v>1</v>
      </c>
      <c r="C6" s="44">
        <v>-0.112</v>
      </c>
      <c r="D6" s="45">
        <v>0.56399999999999995</v>
      </c>
    </row>
    <row r="7" spans="1:6" x14ac:dyDescent="0.35">
      <c r="A7" s="12" t="s">
        <v>8</v>
      </c>
      <c r="B7" s="30">
        <f>C6</f>
        <v>-0.112</v>
      </c>
      <c r="C7" s="5">
        <v>1</v>
      </c>
      <c r="D7" s="26">
        <v>-0.38100000000000001</v>
      </c>
    </row>
    <row r="8" spans="1:6" x14ac:dyDescent="0.35">
      <c r="A8" s="12" t="s">
        <v>23</v>
      </c>
      <c r="B8" s="27">
        <f>D6</f>
        <v>0.56399999999999995</v>
      </c>
      <c r="C8" s="28">
        <f>D7</f>
        <v>-0.38100000000000001</v>
      </c>
      <c r="D8" s="29">
        <v>1</v>
      </c>
    </row>
    <row r="9" spans="1:6" x14ac:dyDescent="0.35">
      <c r="A9" s="12"/>
      <c r="B9" s="5"/>
      <c r="C9" s="5"/>
      <c r="D9" s="5"/>
    </row>
    <row r="10" spans="1:6" ht="16.5" x14ac:dyDescent="0.35">
      <c r="A10" s="17" t="s">
        <v>24</v>
      </c>
      <c r="B10" s="5"/>
      <c r="C10" s="5"/>
      <c r="D10" s="5"/>
    </row>
    <row r="11" spans="1:6" x14ac:dyDescent="0.35">
      <c r="A11" s="12"/>
      <c r="B11" s="5"/>
      <c r="C11" s="5"/>
      <c r="D11" s="5"/>
    </row>
    <row r="12" spans="1:6" x14ac:dyDescent="0.35">
      <c r="B12" s="12" t="s">
        <v>22</v>
      </c>
      <c r="C12" s="12" t="s">
        <v>8</v>
      </c>
      <c r="D12" s="12" t="s">
        <v>23</v>
      </c>
      <c r="F12" s="12" t="s">
        <v>25</v>
      </c>
    </row>
    <row r="13" spans="1:6" x14ac:dyDescent="0.35">
      <c r="A13" s="12" t="s">
        <v>22</v>
      </c>
      <c r="B13" s="43">
        <f t="array" ref="B13:D15">MINVERSE(B6:D8)</f>
        <v>1.4936042061218426</v>
      </c>
      <c r="C13" s="44">
        <v>-0.17976247590790731</v>
      </c>
      <c r="D13" s="45">
        <v>-0.91088227557363177</v>
      </c>
      <c r="F13" s="51" t="e">
        <f t="array" aca="1" ref="F13:F15" ca="1">SQRT(DIAG(B13:D15))</f>
        <v>#NAME?</v>
      </c>
    </row>
    <row r="14" spans="1:6" x14ac:dyDescent="0.35">
      <c r="A14" s="12" t="s">
        <v>8</v>
      </c>
      <c r="B14" s="30">
        <v>-0.17976247590790739</v>
      </c>
      <c r="C14" s="5">
        <v>1.1914462051582921</v>
      </c>
      <c r="D14" s="26">
        <v>0.55532704057736892</v>
      </c>
      <c r="F14" s="52" t="e">
        <f ca="1"/>
        <v>#NAME?</v>
      </c>
    </row>
    <row r="15" spans="1:6" x14ac:dyDescent="0.35">
      <c r="A15" s="12" t="s">
        <v>23</v>
      </c>
      <c r="B15" s="27">
        <v>-0.91088227557363199</v>
      </c>
      <c r="C15" s="28">
        <v>0.55532704057736892</v>
      </c>
      <c r="D15" s="29">
        <v>1.7253172058835058</v>
      </c>
      <c r="F15" s="53" t="e">
        <f ca="1"/>
        <v>#NAME?</v>
      </c>
    </row>
    <row r="16" spans="1:6" x14ac:dyDescent="0.35">
      <c r="A16" s="12"/>
      <c r="B16" s="5"/>
      <c r="C16" s="5"/>
      <c r="D16" s="5"/>
      <c r="F16" s="5"/>
    </row>
    <row r="17" spans="1:6" x14ac:dyDescent="0.35">
      <c r="A17" s="17" t="s">
        <v>20</v>
      </c>
      <c r="B17" s="5"/>
      <c r="C17" s="5"/>
      <c r="D17" s="5"/>
      <c r="F17" s="5"/>
    </row>
    <row r="18" spans="1:6" x14ac:dyDescent="0.35">
      <c r="B18" s="5"/>
      <c r="C18" s="5"/>
      <c r="D18" s="5"/>
      <c r="F18" s="5"/>
    </row>
    <row r="19" spans="1:6" x14ac:dyDescent="0.35">
      <c r="B19" s="12" t="s">
        <v>22</v>
      </c>
      <c r="C19" s="12" t="s">
        <v>8</v>
      </c>
      <c r="D19" s="12" t="s">
        <v>23</v>
      </c>
    </row>
    <row r="20" spans="1:6" x14ac:dyDescent="0.35">
      <c r="A20" s="12" t="s">
        <v>22</v>
      </c>
      <c r="B20" s="43" t="e">
        <f t="array" aca="1" ref="B20:D22" ca="1">-B13:D15/MMULT(F13:F15,TRANSPOSE(F13:F15))+2*Identity()</f>
        <v>#NAME?</v>
      </c>
      <c r="C20" s="44" t="e">
        <f ca="1"/>
        <v>#NAME?</v>
      </c>
      <c r="D20" s="45" t="e">
        <f ca="1"/>
        <v>#NAME?</v>
      </c>
    </row>
    <row r="21" spans="1:6" x14ac:dyDescent="0.35">
      <c r="A21" s="12" t="s">
        <v>8</v>
      </c>
      <c r="B21" s="30" t="e">
        <f ca="1"/>
        <v>#NAME?</v>
      </c>
      <c r="C21" s="5" t="e">
        <f ca="1"/>
        <v>#NAME?</v>
      </c>
      <c r="D21" s="26" t="e">
        <f ca="1"/>
        <v>#NAME?</v>
      </c>
    </row>
    <row r="22" spans="1:6" x14ac:dyDescent="0.35">
      <c r="A22" s="12" t="s">
        <v>23</v>
      </c>
      <c r="B22" s="27" t="e">
        <f ca="1"/>
        <v>#NAME?</v>
      </c>
      <c r="C22" s="28" t="e">
        <f ca="1"/>
        <v>#NAME?</v>
      </c>
      <c r="D22" s="29" t="e">
        <f ca="1"/>
        <v>#NAME?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36"/>
  <dimension ref="A1:K16"/>
  <sheetViews>
    <sheetView workbookViewId="0"/>
  </sheetViews>
  <sheetFormatPr defaultRowHeight="14.5" x14ac:dyDescent="0.35"/>
  <sheetData>
    <row r="1" spans="1:11" x14ac:dyDescent="0.35">
      <c r="A1" s="10" t="s">
        <v>26</v>
      </c>
    </row>
    <row r="2" spans="1:11" x14ac:dyDescent="0.35">
      <c r="A2" s="10"/>
    </row>
    <row r="3" spans="1:11" ht="16.5" x14ac:dyDescent="0.35">
      <c r="A3" t="s">
        <v>16</v>
      </c>
      <c r="E3" t="s">
        <v>18</v>
      </c>
      <c r="I3" t="s">
        <v>27</v>
      </c>
    </row>
    <row r="4" spans="1:11" x14ac:dyDescent="0.35">
      <c r="A4" s="43">
        <v>18</v>
      </c>
      <c r="B4" s="44">
        <v>-6</v>
      </c>
      <c r="C4" s="45">
        <v>11</v>
      </c>
      <c r="E4" s="43" t="e">
        <f t="array" ref="E4:G6" ca="1">A10:C12</f>
        <v>#NAME?</v>
      </c>
      <c r="F4" s="44" t="e">
        <f ca="1"/>
        <v>#NAME?</v>
      </c>
      <c r="G4" s="45" t="e">
        <f ca="1"/>
        <v>#NAME?</v>
      </c>
      <c r="I4" s="43" t="e">
        <f t="array" aca="1" ref="I4:K6" ca="1">MMULT(E4:G6,MMULT(E9:G11,E14:G16))</f>
        <v>#NAME?</v>
      </c>
      <c r="J4" s="44" t="e">
        <f ca="1"/>
        <v>#NAME?</v>
      </c>
      <c r="K4" s="45" t="e">
        <f ca="1"/>
        <v>#NAME?</v>
      </c>
    </row>
    <row r="5" spans="1:11" x14ac:dyDescent="0.35">
      <c r="A5" s="30">
        <v>-6</v>
      </c>
      <c r="B5" s="5">
        <v>14</v>
      </c>
      <c r="C5" s="26">
        <v>-2</v>
      </c>
      <c r="E5" s="30" t="e">
        <f ca="1"/>
        <v>#NAME?</v>
      </c>
      <c r="F5" s="5" t="e">
        <f ca="1"/>
        <v>#NAME?</v>
      </c>
      <c r="G5" s="26" t="e">
        <f ca="1"/>
        <v>#NAME?</v>
      </c>
      <c r="I5" s="30" t="e">
        <f ca="1"/>
        <v>#NAME?</v>
      </c>
      <c r="J5" s="5" t="e">
        <f ca="1"/>
        <v>#NAME?</v>
      </c>
      <c r="K5" s="26" t="e">
        <f ca="1"/>
        <v>#NAME?</v>
      </c>
    </row>
    <row r="6" spans="1:11" x14ac:dyDescent="0.35">
      <c r="A6" s="27">
        <v>11</v>
      </c>
      <c r="B6" s="28">
        <v>-2</v>
      </c>
      <c r="C6" s="29">
        <v>12</v>
      </c>
      <c r="E6" s="27" t="e">
        <f ca="1"/>
        <v>#NAME?</v>
      </c>
      <c r="F6" s="28" t="e">
        <f ca="1"/>
        <v>#NAME?</v>
      </c>
      <c r="G6" s="29" t="e">
        <f ca="1"/>
        <v>#NAME?</v>
      </c>
      <c r="I6" s="27" t="e">
        <f ca="1"/>
        <v>#NAME?</v>
      </c>
      <c r="J6" s="28" t="e">
        <f ca="1"/>
        <v>#NAME?</v>
      </c>
      <c r="K6" s="29" t="e">
        <f ca="1"/>
        <v>#NAME?</v>
      </c>
    </row>
    <row r="8" spans="1:11" ht="16.5" x14ac:dyDescent="0.35">
      <c r="A8" t="s">
        <v>28</v>
      </c>
      <c r="E8" t="s">
        <v>29</v>
      </c>
      <c r="I8" t="s">
        <v>161</v>
      </c>
    </row>
    <row r="9" spans="1:11" x14ac:dyDescent="0.35">
      <c r="A9" s="46" t="e">
        <f t="array" aca="1" ref="A9:C12" ca="1">eVECTORS(A4:C6)</f>
        <v>#NAME?</v>
      </c>
      <c r="B9" s="47" t="e">
        <f ca="1"/>
        <v>#NAME?</v>
      </c>
      <c r="C9" s="48" t="e">
        <f ca="1"/>
        <v>#NAME?</v>
      </c>
      <c r="E9" s="43" t="e">
        <f t="array" aca="1" ref="E9:G11" ca="1">SQRT(DIAGONAL(A9:C9))</f>
        <v>#NAME?</v>
      </c>
      <c r="F9" s="44" t="e">
        <f ca="1"/>
        <v>#NAME?</v>
      </c>
      <c r="G9" s="45" t="e">
        <f ca="1"/>
        <v>#NAME?</v>
      </c>
      <c r="I9" s="43" t="e">
        <f t="array" aca="1" ref="I9:K11" ca="1">MSQRT(A4:C6)</f>
        <v>#NAME?</v>
      </c>
      <c r="J9" s="44" t="e">
        <f ca="1"/>
        <v>#NAME?</v>
      </c>
      <c r="K9" s="45" t="e">
        <f ca="1"/>
        <v>#NAME?</v>
      </c>
    </row>
    <row r="10" spans="1:11" x14ac:dyDescent="0.35">
      <c r="A10" s="30" t="e">
        <f ca="1"/>
        <v>#NAME?</v>
      </c>
      <c r="B10" s="5" t="e">
        <f ca="1"/>
        <v>#NAME?</v>
      </c>
      <c r="C10" s="26" t="e">
        <f ca="1"/>
        <v>#NAME?</v>
      </c>
      <c r="E10" s="30" t="e">
        <f ca="1"/>
        <v>#NAME?</v>
      </c>
      <c r="F10" s="5" t="e">
        <f ca="1"/>
        <v>#NAME?</v>
      </c>
      <c r="G10" s="26" t="e">
        <f ca="1"/>
        <v>#NAME?</v>
      </c>
      <c r="I10" s="30" t="e">
        <f ca="1"/>
        <v>#NAME?</v>
      </c>
      <c r="J10" s="5" t="e">
        <f ca="1"/>
        <v>#NAME?</v>
      </c>
      <c r="K10" s="26" t="e">
        <f ca="1"/>
        <v>#NAME?</v>
      </c>
    </row>
    <row r="11" spans="1:11" x14ac:dyDescent="0.35">
      <c r="A11" s="30" t="e">
        <f ca="1"/>
        <v>#NAME?</v>
      </c>
      <c r="B11" s="5" t="e">
        <f ca="1"/>
        <v>#NAME?</v>
      </c>
      <c r="C11" s="26" t="e">
        <f ca="1"/>
        <v>#NAME?</v>
      </c>
      <c r="E11" s="27" t="e">
        <f ca="1"/>
        <v>#NAME?</v>
      </c>
      <c r="F11" s="28" t="e">
        <f ca="1"/>
        <v>#NAME?</v>
      </c>
      <c r="G11" s="29" t="e">
        <f ca="1"/>
        <v>#NAME?</v>
      </c>
      <c r="I11" s="27" t="e">
        <f ca="1"/>
        <v>#NAME?</v>
      </c>
      <c r="J11" s="28" t="e">
        <f ca="1"/>
        <v>#NAME?</v>
      </c>
      <c r="K11" s="29" t="e">
        <f ca="1"/>
        <v>#NAME?</v>
      </c>
    </row>
    <row r="12" spans="1:11" x14ac:dyDescent="0.35">
      <c r="A12" s="27" t="e">
        <f ca="1"/>
        <v>#NAME?</v>
      </c>
      <c r="B12" s="28" t="e">
        <f ca="1"/>
        <v>#NAME?</v>
      </c>
      <c r="C12" s="29" t="e">
        <f ca="1"/>
        <v>#NAME?</v>
      </c>
    </row>
    <row r="13" spans="1:11" ht="16.5" x14ac:dyDescent="0.35">
      <c r="E13" t="s">
        <v>30</v>
      </c>
      <c r="I13" t="s">
        <v>31</v>
      </c>
    </row>
    <row r="14" spans="1:11" x14ac:dyDescent="0.35">
      <c r="E14" s="43" t="e">
        <f t="array" aca="1" ref="E14:G16" ca="1">TRANSPOSE(E4:G6)</f>
        <v>#NAME?</v>
      </c>
      <c r="F14" s="44" t="e">
        <f ca="1"/>
        <v>#NAME?</v>
      </c>
      <c r="G14" s="45" t="e">
        <f ca="1"/>
        <v>#NAME?</v>
      </c>
      <c r="I14" s="43" t="e">
        <f t="array" aca="1" ref="I14:K16" ca="1">MMULT(E4:G6,MMULT(DIAGONAL(A9:C9),E14:G16))</f>
        <v>#NAME?</v>
      </c>
      <c r="J14" s="44" t="e">
        <f ca="1"/>
        <v>#NAME?</v>
      </c>
      <c r="K14" s="45" t="e">
        <f ca="1"/>
        <v>#NAME?</v>
      </c>
    </row>
    <row r="15" spans="1:11" x14ac:dyDescent="0.35">
      <c r="E15" s="30" t="e">
        <f ca="1"/>
        <v>#NAME?</v>
      </c>
      <c r="F15" s="5" t="e">
        <f ca="1"/>
        <v>#NAME?</v>
      </c>
      <c r="G15" s="26" t="e">
        <f ca="1"/>
        <v>#NAME?</v>
      </c>
      <c r="I15" s="30" t="e">
        <f ca="1"/>
        <v>#NAME?</v>
      </c>
      <c r="J15" s="5" t="e">
        <f ca="1"/>
        <v>#NAME?</v>
      </c>
      <c r="K15" s="26" t="e">
        <f ca="1"/>
        <v>#NAME?</v>
      </c>
    </row>
    <row r="16" spans="1:11" x14ac:dyDescent="0.35">
      <c r="E16" s="27" t="e">
        <f ca="1"/>
        <v>#NAME?</v>
      </c>
      <c r="F16" s="28" t="e">
        <f ca="1"/>
        <v>#NAME?</v>
      </c>
      <c r="G16" s="29" t="e">
        <f ca="1"/>
        <v>#NAME?</v>
      </c>
      <c r="I16" s="27" t="e">
        <f ca="1"/>
        <v>#NAME?</v>
      </c>
      <c r="J16" s="28" t="e">
        <f ca="1"/>
        <v>#NAME?</v>
      </c>
      <c r="K16" s="29" t="e">
        <f ca="1"/>
        <v>#NAME?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33"/>
  <dimension ref="A1:AD13"/>
  <sheetViews>
    <sheetView workbookViewId="0"/>
  </sheetViews>
  <sheetFormatPr defaultRowHeight="14.5" x14ac:dyDescent="0.35"/>
  <cols>
    <col min="1" max="3" width="6" customWidth="1"/>
    <col min="4" max="4" width="4.26953125" customWidth="1"/>
    <col min="8" max="8" width="4.7265625" customWidth="1"/>
    <col min="9" max="11" width="9.1796875" customWidth="1"/>
    <col min="12" max="12" width="5" customWidth="1"/>
    <col min="13" max="14" width="9.1796875" customWidth="1"/>
    <col min="15" max="15" width="9.26953125" bestFit="1" customWidth="1"/>
    <col min="17" max="23" width="5.26953125" customWidth="1"/>
    <col min="24" max="24" width="6.81640625" customWidth="1"/>
    <col min="25" max="25" width="4.54296875" customWidth="1"/>
    <col min="27" max="27" width="4.26953125" customWidth="1"/>
    <col min="29" max="29" width="5" customWidth="1"/>
    <col min="31" max="33" width="5.7265625" customWidth="1"/>
    <col min="35" max="37" width="5.7265625" customWidth="1"/>
  </cols>
  <sheetData>
    <row r="1" spans="1:30" x14ac:dyDescent="0.35">
      <c r="A1" s="10" t="s">
        <v>39</v>
      </c>
      <c r="U1" t="s">
        <v>85</v>
      </c>
    </row>
    <row r="3" spans="1:30" ht="16.5" x14ac:dyDescent="0.35">
      <c r="A3" t="s">
        <v>16</v>
      </c>
      <c r="E3" t="s">
        <v>7</v>
      </c>
      <c r="I3" t="s">
        <v>35</v>
      </c>
      <c r="M3" t="s">
        <v>33</v>
      </c>
      <c r="U3" t="s">
        <v>16</v>
      </c>
      <c r="X3" s="3" t="s">
        <v>18</v>
      </c>
      <c r="Y3" s="3"/>
      <c r="Z3" s="3" t="s">
        <v>86</v>
      </c>
      <c r="AA3" s="3"/>
      <c r="AB3" s="3" t="s">
        <v>12</v>
      </c>
      <c r="AD3" t="s">
        <v>61</v>
      </c>
    </row>
    <row r="4" spans="1:30" x14ac:dyDescent="0.35">
      <c r="A4" s="62">
        <v>4</v>
      </c>
      <c r="B4" s="63">
        <v>9</v>
      </c>
      <c r="C4" s="64">
        <v>6</v>
      </c>
      <c r="E4" s="62">
        <f t="array" ref="E4:E7">A4:A7</f>
        <v>4</v>
      </c>
      <c r="F4" s="63">
        <f t="array" ref="F4:F7">B4:B7-SUMPRODUCT(B4:B7,I4:I7)*I4:I7</f>
        <v>4.9111111111111105</v>
      </c>
      <c r="G4" s="64">
        <f t="array" ref="G4:G7">C4:C7-SUMPRODUCT(C4:C7,I4:I7)*I4:I7-SUMPRODUCT(C4:C7,J4:J7)*J4:J7</f>
        <v>1.606635071090047</v>
      </c>
      <c r="I4" s="62">
        <f t="array" ref="I4:I7">E4:E7/SQRT(SUMSQ(E4:E7))</f>
        <v>0.4216370213557839</v>
      </c>
      <c r="J4" s="63">
        <f t="array" ref="J4:J7">F4:F7/SQRT(SUMSQ(F4:F7))</f>
        <v>0.62903254117893825</v>
      </c>
      <c r="K4" s="64">
        <f t="array" ref="K4:K7">G4:G7/SQRT(SUMSQ(G4:G7))</f>
        <v>0.54621994214630787</v>
      </c>
      <c r="M4" s="62">
        <f t="array" ref="M4:O6">MMULT(TRANSPOSE(I4:K7),A4:C7)</f>
        <v>9.4868329805051381</v>
      </c>
      <c r="N4" s="63">
        <v>9.6976514911830307</v>
      </c>
      <c r="O4" s="64">
        <v>7.273238618387273</v>
      </c>
      <c r="U4" s="62">
        <v>4</v>
      </c>
      <c r="V4" s="63">
        <v>9</v>
      </c>
      <c r="W4" s="64">
        <v>6</v>
      </c>
      <c r="X4" s="78">
        <v>4.95</v>
      </c>
      <c r="Z4" s="65">
        <f t="array" ref="Z4:Z6">MMULT(TRANSPOSE(I4:K7),X4:X7)</f>
        <v>4.1653521339737898</v>
      </c>
      <c r="AB4" s="65">
        <f>(Z4-N4*AB5-O4*AB6)/M4</f>
        <v>-0.34944251311547947</v>
      </c>
      <c r="AD4" s="65">
        <f t="array" ref="AD4:AD7">MMULT(U4:W7,AB4:AB6)</f>
        <v>4.949993426458505</v>
      </c>
    </row>
    <row r="5" spans="1:30" x14ac:dyDescent="0.35">
      <c r="A5" s="30">
        <v>5</v>
      </c>
      <c r="B5" s="5">
        <v>7</v>
      </c>
      <c r="C5" s="26">
        <v>2</v>
      </c>
      <c r="E5" s="30">
        <v>5</v>
      </c>
      <c r="F5" s="5">
        <v>1.8888888888888884</v>
      </c>
      <c r="G5" s="26">
        <v>-2.3436018957345977</v>
      </c>
      <c r="I5" s="30">
        <v>0.52704627669472992</v>
      </c>
      <c r="J5" s="5">
        <v>0.24193559276113005</v>
      </c>
      <c r="K5" s="26">
        <v>-0.79677215749660579</v>
      </c>
      <c r="M5" s="30">
        <v>-8.8817841970012523E-16</v>
      </c>
      <c r="N5" s="5">
        <v>7.8074038934562324</v>
      </c>
      <c r="O5" s="26">
        <v>2.1091091086587932</v>
      </c>
      <c r="U5" s="30">
        <v>5</v>
      </c>
      <c r="V5" s="5">
        <v>7</v>
      </c>
      <c r="W5" s="26">
        <v>2</v>
      </c>
      <c r="X5" s="79">
        <v>1.0760000000000001</v>
      </c>
      <c r="Z5" s="13">
        <v>3.0524700645551741</v>
      </c>
      <c r="AB5" s="13">
        <f>(Z5-O5*AB6)/N5</f>
        <v>0.17682207192971366</v>
      </c>
      <c r="AD5" s="13">
        <v>1.0759968817815981</v>
      </c>
    </row>
    <row r="6" spans="1:30" x14ac:dyDescent="0.35">
      <c r="A6" s="30">
        <v>7</v>
      </c>
      <c r="B6" s="5">
        <v>3</v>
      </c>
      <c r="C6" s="26">
        <v>5</v>
      </c>
      <c r="E6" s="30">
        <v>7</v>
      </c>
      <c r="F6" s="5">
        <v>-4.1555555555555559</v>
      </c>
      <c r="G6" s="26">
        <v>0.7559241706161135</v>
      </c>
      <c r="I6" s="30">
        <v>0.73786478737262184</v>
      </c>
      <c r="J6" s="5">
        <v>-0.53225830407448627</v>
      </c>
      <c r="K6" s="26">
        <v>0.25699728841397079</v>
      </c>
      <c r="M6" s="27">
        <v>-1.9984014443252818E-15</v>
      </c>
      <c r="N6" s="28">
        <v>-2.3037127760971998E-15</v>
      </c>
      <c r="O6" s="29">
        <v>2.9413702194338782</v>
      </c>
      <c r="U6" s="30">
        <v>7</v>
      </c>
      <c r="V6" s="5">
        <v>3</v>
      </c>
      <c r="W6" s="26">
        <v>5</v>
      </c>
      <c r="X6" s="80">
        <v>2.048</v>
      </c>
      <c r="Z6" s="53">
        <v>2.3317049780487715</v>
      </c>
      <c r="AB6" s="53">
        <f>Z6/O6</f>
        <v>0.79272747192549997</v>
      </c>
      <c r="AD6" s="13">
        <v>2.0480059836082845</v>
      </c>
    </row>
    <row r="7" spans="1:30" x14ac:dyDescent="0.35">
      <c r="A7" s="27">
        <v>0</v>
      </c>
      <c r="B7" s="28">
        <v>4</v>
      </c>
      <c r="C7" s="29">
        <v>1</v>
      </c>
      <c r="E7" s="27">
        <v>0</v>
      </c>
      <c r="F7" s="28">
        <v>4</v>
      </c>
      <c r="G7" s="29">
        <v>-8.0568720379146974E-2</v>
      </c>
      <c r="I7" s="27">
        <v>0</v>
      </c>
      <c r="J7" s="28">
        <v>0.51233419643533429</v>
      </c>
      <c r="K7" s="29">
        <v>-2.7391560520611334E-2</v>
      </c>
      <c r="U7" s="27">
        <v>0</v>
      </c>
      <c r="V7" s="28">
        <v>4</v>
      </c>
      <c r="W7" s="29">
        <v>1</v>
      </c>
      <c r="X7" s="81">
        <v>1.5</v>
      </c>
      <c r="AD7" s="53">
        <v>1.5000157596443546</v>
      </c>
    </row>
    <row r="9" spans="1:30" ht="16.5" x14ac:dyDescent="0.35">
      <c r="A9" t="s">
        <v>41</v>
      </c>
      <c r="I9" t="s">
        <v>40</v>
      </c>
      <c r="M9" t="s">
        <v>34</v>
      </c>
      <c r="U9" t="s">
        <v>41</v>
      </c>
    </row>
    <row r="10" spans="1:30" x14ac:dyDescent="0.35">
      <c r="A10" s="62" t="e">
        <f t="array" aca="1" ref="A10:C13" ca="1">ELIM(A4:C7)</f>
        <v>#NAME?</v>
      </c>
      <c r="B10" s="63" t="e">
        <f ca="1"/>
        <v>#NAME?</v>
      </c>
      <c r="C10" s="64" t="e">
        <f ca="1"/>
        <v>#NAME?</v>
      </c>
      <c r="I10" s="62">
        <f t="array" ref="I10:K12">MMULT(TRANSPOSE(I4:K7),I4:K7)</f>
        <v>1</v>
      </c>
      <c r="J10" s="63">
        <v>-5.5511151231257827E-17</v>
      </c>
      <c r="K10" s="64">
        <v>-2.2204460492503131E-16</v>
      </c>
      <c r="M10" s="62">
        <f t="array" ref="M10:O13">MMULT(I4:K7,M4:O6)</f>
        <v>3.9999999999999987</v>
      </c>
      <c r="N10" s="63">
        <v>8.9999999999999982</v>
      </c>
      <c r="O10" s="64">
        <v>5.9999999999999991</v>
      </c>
      <c r="U10" s="62" t="e">
        <f t="array" aca="1" ref="U10:X13" ca="1">ELIM(U4:X7,0.0001)</f>
        <v>#NAME?</v>
      </c>
      <c r="V10" s="63" t="e">
        <f ca="1"/>
        <v>#NAME?</v>
      </c>
      <c r="W10" s="63" t="e">
        <f ca="1"/>
        <v>#NAME?</v>
      </c>
      <c r="X10" s="65" t="e">
        <f ca="1"/>
        <v>#NAME?</v>
      </c>
    </row>
    <row r="11" spans="1:30" x14ac:dyDescent="0.35">
      <c r="A11" s="30" t="e">
        <f ca="1"/>
        <v>#NAME?</v>
      </c>
      <c r="B11" s="5" t="e">
        <f ca="1"/>
        <v>#NAME?</v>
      </c>
      <c r="C11" s="26" t="e">
        <f ca="1"/>
        <v>#NAME?</v>
      </c>
      <c r="I11" s="30">
        <v>-5.5511151231257827E-17</v>
      </c>
      <c r="J11" s="5">
        <v>1</v>
      </c>
      <c r="K11" s="26">
        <v>-3.8163916471489756E-17</v>
      </c>
      <c r="M11" s="30">
        <v>5.0000000000000018</v>
      </c>
      <c r="N11" s="5">
        <v>7.0000000000000018</v>
      </c>
      <c r="O11" s="26">
        <v>2.0000000000000022</v>
      </c>
      <c r="U11" s="4" t="e">
        <f ca="1"/>
        <v>#NAME?</v>
      </c>
      <c r="V11" s="5" t="e">
        <f ca="1"/>
        <v>#NAME?</v>
      </c>
      <c r="W11" s="5" t="e">
        <f ca="1"/>
        <v>#NAME?</v>
      </c>
      <c r="X11" s="13" t="e">
        <f ca="1"/>
        <v>#NAME?</v>
      </c>
    </row>
    <row r="12" spans="1:30" x14ac:dyDescent="0.35">
      <c r="A12" s="30" t="e">
        <f ca="1"/>
        <v>#NAME?</v>
      </c>
      <c r="B12" s="5" t="e">
        <f ca="1"/>
        <v>#NAME?</v>
      </c>
      <c r="C12" s="26" t="e">
        <f ca="1"/>
        <v>#NAME?</v>
      </c>
      <c r="I12" s="27">
        <v>-2.2204460492503131E-16</v>
      </c>
      <c r="J12" s="28">
        <v>-3.8163916471489756E-17</v>
      </c>
      <c r="K12" s="29">
        <v>1</v>
      </c>
      <c r="M12" s="30">
        <v>7</v>
      </c>
      <c r="N12" s="5">
        <v>3.0000000000000004</v>
      </c>
      <c r="O12" s="26">
        <v>4.9999999999999991</v>
      </c>
      <c r="U12" s="4" t="e">
        <f ca="1"/>
        <v>#NAME?</v>
      </c>
      <c r="V12" s="5" t="e">
        <f ca="1"/>
        <v>#NAME?</v>
      </c>
      <c r="W12" s="5" t="e">
        <f ca="1"/>
        <v>#NAME?</v>
      </c>
      <c r="X12" s="13" t="e">
        <f ca="1"/>
        <v>#NAME?</v>
      </c>
    </row>
    <row r="13" spans="1:30" x14ac:dyDescent="0.35">
      <c r="A13" s="27" t="e">
        <f ca="1"/>
        <v>#NAME?</v>
      </c>
      <c r="B13" s="28" t="e">
        <f ca="1"/>
        <v>#NAME?</v>
      </c>
      <c r="C13" s="29" t="e">
        <f ca="1"/>
        <v>#NAME?</v>
      </c>
      <c r="M13" s="27">
        <v>-4.003048428415557E-16</v>
      </c>
      <c r="N13" s="28">
        <v>3.9999999999999991</v>
      </c>
      <c r="O13" s="29">
        <v>1</v>
      </c>
      <c r="U13" s="27" t="e">
        <f ca="1"/>
        <v>#NAME?</v>
      </c>
      <c r="V13" s="28" t="e">
        <f ca="1"/>
        <v>#NAME?</v>
      </c>
      <c r="W13" s="28" t="e">
        <f ca="1"/>
        <v>#NAME?</v>
      </c>
      <c r="X13" s="53" t="e">
        <f ca="1"/>
        <v>#NAME?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45"/>
  <dimension ref="A1:G25"/>
  <sheetViews>
    <sheetView workbookViewId="0"/>
  </sheetViews>
  <sheetFormatPr defaultRowHeight="14.5" x14ac:dyDescent="0.35"/>
  <sheetData>
    <row r="1" spans="1:5" x14ac:dyDescent="0.35">
      <c r="A1" s="10" t="s">
        <v>108</v>
      </c>
    </row>
    <row r="2" spans="1:5" x14ac:dyDescent="0.35">
      <c r="A2" s="10"/>
    </row>
    <row r="3" spans="1:5" x14ac:dyDescent="0.35">
      <c r="A3" t="s">
        <v>16</v>
      </c>
    </row>
    <row r="4" spans="1:5" x14ac:dyDescent="0.35">
      <c r="A4" s="62">
        <v>10</v>
      </c>
      <c r="B4" s="63">
        <v>-2</v>
      </c>
      <c r="C4" s="64">
        <v>3</v>
      </c>
    </row>
    <row r="5" spans="1:5" x14ac:dyDescent="0.35">
      <c r="A5" s="30">
        <v>-2</v>
      </c>
      <c r="B5" s="5">
        <v>5</v>
      </c>
      <c r="C5" s="26">
        <v>2</v>
      </c>
    </row>
    <row r="6" spans="1:5" x14ac:dyDescent="0.35">
      <c r="A6" s="27">
        <v>3</v>
      </c>
      <c r="B6" s="28">
        <v>2</v>
      </c>
      <c r="C6" s="29">
        <v>6</v>
      </c>
    </row>
    <row r="8" spans="1:5" x14ac:dyDescent="0.35">
      <c r="A8" s="62">
        <f>SQRT(A4)</f>
        <v>3.1622776601683795</v>
      </c>
      <c r="B8" s="63">
        <v>0</v>
      </c>
      <c r="C8" s="64">
        <v>0</v>
      </c>
    </row>
    <row r="9" spans="1:5" x14ac:dyDescent="0.35">
      <c r="A9" s="30">
        <f>A5/A8</f>
        <v>-0.63245553203367588</v>
      </c>
      <c r="B9" s="62">
        <f t="array" ref="B9:C10">B5:C6-MMULT(A9:A10,TRANSPOSE(A9:A10))</f>
        <v>4.5999999999999996</v>
      </c>
      <c r="C9" s="64">
        <v>2.6</v>
      </c>
    </row>
    <row r="10" spans="1:5" x14ac:dyDescent="0.35">
      <c r="A10" s="27">
        <f>A6/A8</f>
        <v>0.94868329805051377</v>
      </c>
      <c r="B10" s="27">
        <v>2.6</v>
      </c>
      <c r="C10" s="29">
        <v>5.0999999999999996</v>
      </c>
    </row>
    <row r="12" spans="1:5" x14ac:dyDescent="0.35">
      <c r="A12" s="62">
        <f>A8</f>
        <v>3.1622776601683795</v>
      </c>
      <c r="B12" s="63">
        <f>B8</f>
        <v>0</v>
      </c>
      <c r="C12" s="64">
        <f>C8</f>
        <v>0</v>
      </c>
    </row>
    <row r="13" spans="1:5" x14ac:dyDescent="0.35">
      <c r="A13" s="30">
        <f>A9</f>
        <v>-0.63245553203367588</v>
      </c>
      <c r="B13" s="5">
        <f>SQRT(B9)</f>
        <v>2.1447610589527217</v>
      </c>
      <c r="C13" s="26">
        <v>0</v>
      </c>
    </row>
    <row r="14" spans="1:5" x14ac:dyDescent="0.35">
      <c r="A14" s="27">
        <f>A10</f>
        <v>0.94868329805051377</v>
      </c>
      <c r="B14" s="28">
        <f>B10/B13</f>
        <v>1.2122562507124079</v>
      </c>
      <c r="C14" s="82">
        <f>C10-B14*B14</f>
        <v>3.6304347826086953</v>
      </c>
    </row>
    <row r="15" spans="1:5" x14ac:dyDescent="0.35">
      <c r="A15" s="5"/>
      <c r="B15" s="5"/>
      <c r="C15" s="5"/>
    </row>
    <row r="16" spans="1:5" ht="16.5" x14ac:dyDescent="0.35">
      <c r="A16" t="s">
        <v>110</v>
      </c>
      <c r="E16" t="s">
        <v>111</v>
      </c>
    </row>
    <row r="17" spans="1:7" x14ac:dyDescent="0.35">
      <c r="A17" s="62">
        <f t="shared" ref="A17:C18" si="0">A12</f>
        <v>3.1622776601683795</v>
      </c>
      <c r="B17" s="63">
        <f t="shared" si="0"/>
        <v>0</v>
      </c>
      <c r="C17" s="64">
        <f t="shared" si="0"/>
        <v>0</v>
      </c>
      <c r="E17" s="62">
        <f t="array" ref="E17:G19">MMULT(A17:C19,TRANSPOSE(A17:C19))</f>
        <v>10.000000000000002</v>
      </c>
      <c r="F17" s="63">
        <v>-2</v>
      </c>
      <c r="G17" s="64">
        <v>3</v>
      </c>
    </row>
    <row r="18" spans="1:7" x14ac:dyDescent="0.35">
      <c r="A18" s="30">
        <f t="shared" si="0"/>
        <v>-0.63245553203367588</v>
      </c>
      <c r="B18" s="5">
        <f t="shared" si="0"/>
        <v>2.1447610589527217</v>
      </c>
      <c r="C18" s="26">
        <f t="shared" si="0"/>
        <v>0</v>
      </c>
      <c r="E18" s="30">
        <v>-2</v>
      </c>
      <c r="F18" s="5">
        <v>5.0000000000000009</v>
      </c>
      <c r="G18" s="26">
        <v>2</v>
      </c>
    </row>
    <row r="19" spans="1:7" x14ac:dyDescent="0.35">
      <c r="A19" s="27">
        <f>A14</f>
        <v>0.94868329805051377</v>
      </c>
      <c r="B19" s="28">
        <f>B14</f>
        <v>1.2122562507124079</v>
      </c>
      <c r="C19" s="29">
        <f>SQRT(C14)</f>
        <v>1.9053699857530808</v>
      </c>
      <c r="E19" s="27">
        <v>3</v>
      </c>
      <c r="F19" s="28">
        <v>2</v>
      </c>
      <c r="G19" s="29">
        <v>6</v>
      </c>
    </row>
    <row r="21" spans="1:7" x14ac:dyDescent="0.35">
      <c r="A21" t="s">
        <v>161</v>
      </c>
    </row>
    <row r="23" spans="1:7" x14ac:dyDescent="0.35">
      <c r="A23" s="62" t="e">
        <f t="array" aca="1" ref="A23:C25" ca="1">CHOL(A4:C6)</f>
        <v>#NAME?</v>
      </c>
      <c r="B23" s="63" t="e">
        <f ca="1"/>
        <v>#NAME?</v>
      </c>
      <c r="C23" s="64" t="e">
        <f ca="1"/>
        <v>#NAME?</v>
      </c>
      <c r="E23" s="62" t="e">
        <f t="array" aca="1" ref="E23:G25" ca="1">MMULT(A23:C25,TRANSPOSE(A23:C25))</f>
        <v>#NAME?</v>
      </c>
      <c r="F23" s="63" t="e">
        <f ca="1"/>
        <v>#NAME?</v>
      </c>
      <c r="G23" s="64" t="e">
        <f ca="1"/>
        <v>#NAME?</v>
      </c>
    </row>
    <row r="24" spans="1:7" x14ac:dyDescent="0.35">
      <c r="A24" s="30" t="e">
        <f ca="1"/>
        <v>#NAME?</v>
      </c>
      <c r="B24" s="5" t="e">
        <f ca="1"/>
        <v>#NAME?</v>
      </c>
      <c r="C24" s="26" t="e">
        <f ca="1"/>
        <v>#NAME?</v>
      </c>
      <c r="E24" s="30" t="e">
        <f ca="1"/>
        <v>#NAME?</v>
      </c>
      <c r="F24" s="5" t="e">
        <f ca="1"/>
        <v>#NAME?</v>
      </c>
      <c r="G24" s="26" t="e">
        <f ca="1"/>
        <v>#NAME?</v>
      </c>
    </row>
    <row r="25" spans="1:7" x14ac:dyDescent="0.35">
      <c r="A25" s="27" t="e">
        <f ca="1"/>
        <v>#NAME?</v>
      </c>
      <c r="B25" s="28" t="e">
        <f ca="1"/>
        <v>#NAME?</v>
      </c>
      <c r="C25" s="29" t="e">
        <f ca="1"/>
        <v>#NAME?</v>
      </c>
      <c r="E25" s="27" t="e">
        <f ca="1"/>
        <v>#NAME?</v>
      </c>
      <c r="F25" s="28" t="e">
        <f ca="1"/>
        <v>#NAME?</v>
      </c>
      <c r="G25" s="29" t="e">
        <f ca="1"/>
        <v>#NAME?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5C12-AA2D-4EEE-A0CE-1B0386D19896}">
  <sheetPr codeName="Sheet30"/>
  <dimension ref="A1:AU338"/>
  <sheetViews>
    <sheetView zoomScaleNormal="100" workbookViewId="0"/>
  </sheetViews>
  <sheetFormatPr defaultRowHeight="14.5" x14ac:dyDescent="0.35"/>
  <cols>
    <col min="5" max="5" width="2.6328125" customWidth="1"/>
    <col min="8" max="8" width="2.6328125" customWidth="1"/>
    <col min="11" max="11" width="8.7265625" customWidth="1"/>
    <col min="13" max="13" width="2.6328125" customWidth="1"/>
    <col min="16" max="16" width="2.6328125" customWidth="1"/>
  </cols>
  <sheetData>
    <row r="1" spans="1:47" x14ac:dyDescent="0.35">
      <c r="A1" s="10" t="s">
        <v>14</v>
      </c>
    </row>
    <row r="2" spans="1:47" x14ac:dyDescent="0.35">
      <c r="G2" t="s">
        <v>246</v>
      </c>
      <c r="L2" t="s">
        <v>247</v>
      </c>
      <c r="Q2" t="s">
        <v>248</v>
      </c>
      <c r="V2" t="s">
        <v>249</v>
      </c>
    </row>
    <row r="3" spans="1:47" x14ac:dyDescent="0.35">
      <c r="A3">
        <v>1</v>
      </c>
      <c r="B3">
        <v>2</v>
      </c>
      <c r="C3">
        <v>3</v>
      </c>
      <c r="D3">
        <v>4</v>
      </c>
      <c r="E3" s="12" t="s">
        <v>11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35">
      <c r="A4" s="94">
        <f t="array" ref="A4:D12">[1]Factor!B44:E52</f>
        <v>0.1844378805524543</v>
      </c>
      <c r="B4" s="95">
        <v>-0.76673944089161195</v>
      </c>
      <c r="C4" s="95">
        <v>-0.27758481196282242</v>
      </c>
      <c r="D4" s="96">
        <v>-0.11515839253508237</v>
      </c>
      <c r="E4" s="51">
        <f>SUMSQ(A4:D4)</f>
        <v>0.71222148520516271</v>
      </c>
      <c r="G4" s="94">
        <f>A4/SQRT($E4)</f>
        <v>0.21854586186362829</v>
      </c>
      <c r="H4" s="95">
        <f t="shared" ref="H4:J12" si="0">B4/SQRT($E4)</f>
        <v>-0.9085320837160531</v>
      </c>
      <c r="I4" s="95">
        <f t="shared" si="0"/>
        <v>-0.32891839674667611</v>
      </c>
      <c r="J4" s="96">
        <f t="shared" si="0"/>
        <v>-0.13645456167694339</v>
      </c>
      <c r="L4" s="94">
        <f>A328</f>
        <v>-9.1280476661328908E-2</v>
      </c>
      <c r="M4" s="95">
        <f t="shared" ref="M4:O12" si="1">B328</f>
        <v>-0.88932094108737936</v>
      </c>
      <c r="N4" s="95">
        <f t="shared" si="1"/>
        <v>-0.343268460277809</v>
      </c>
      <c r="O4" s="96">
        <f t="shared" si="1"/>
        <v>-0.28799809461599107</v>
      </c>
      <c r="Q4" s="94">
        <f>L4*SQRT($E4)</f>
        <v>-7.703452953842066E-2</v>
      </c>
      <c r="R4" s="95">
        <f t="shared" ref="R4:T12" si="2">M4*SQRT($E4)</f>
        <v>-0.75052653985926721</v>
      </c>
      <c r="S4" s="95">
        <f t="shared" si="2"/>
        <v>-0.28969529202822281</v>
      </c>
      <c r="T4" s="96">
        <f t="shared" si="2"/>
        <v>-0.24305085313060679</v>
      </c>
      <c r="V4" s="94">
        <f>A4</f>
        <v>0.1844378805524543</v>
      </c>
      <c r="W4" s="95">
        <f t="shared" ref="W4:Y12" si="3">B4</f>
        <v>-0.76673944089161195</v>
      </c>
      <c r="X4" s="95">
        <f t="shared" si="3"/>
        <v>-0.27758481196282242</v>
      </c>
      <c r="Y4" s="96">
        <f t="shared" si="3"/>
        <v>-0.11515839253508237</v>
      </c>
      <c r="Z4" s="94">
        <f>Q4</f>
        <v>-7.703452953842066E-2</v>
      </c>
      <c r="AA4" s="95">
        <f t="shared" ref="AA4:AC12" si="4">R4</f>
        <v>-0.75052653985926721</v>
      </c>
      <c r="AB4" s="95">
        <f t="shared" si="4"/>
        <v>-0.28969529202822281</v>
      </c>
      <c r="AC4" s="96">
        <f t="shared" si="4"/>
        <v>-0.24305085313060679</v>
      </c>
      <c r="AI4" s="110">
        <v>0.28681621692954301</v>
      </c>
      <c r="AJ4" s="111">
        <v>7.5371712423519005E-2</v>
      </c>
      <c r="AK4" s="112">
        <v>0.84088412384119726</v>
      </c>
      <c r="AL4" s="94">
        <v>2.134470470531338E-2</v>
      </c>
      <c r="AM4" s="95">
        <v>0.23770392074205507</v>
      </c>
      <c r="AN4" s="96">
        <v>0.85911105027260837</v>
      </c>
      <c r="AP4" s="94" t="e">
        <f t="array" aca="1" ref="AP4:AU12" ca="1">ELIM(AI4:AN12)</f>
        <v>#NAME?</v>
      </c>
      <c r="AQ4" s="95" t="e">
        <f ca="1"/>
        <v>#NAME?</v>
      </c>
      <c r="AR4" s="95" t="e">
        <f ca="1"/>
        <v>#NAME?</v>
      </c>
      <c r="AS4" s="95" t="e">
        <f ca="1"/>
        <v>#NAME?</v>
      </c>
      <c r="AT4" s="95" t="e">
        <f ca="1"/>
        <v>#NAME?</v>
      </c>
      <c r="AU4" s="96" t="e">
        <f ca="1"/>
        <v>#NAME?</v>
      </c>
    </row>
    <row r="5" spans="1:47" x14ac:dyDescent="0.35">
      <c r="A5" s="30">
        <v>-0.69848518848974095</v>
      </c>
      <c r="B5">
        <v>0.30363015858216291</v>
      </c>
      <c r="C5">
        <v>-0.19538523477740502</v>
      </c>
      <c r="D5" s="26">
        <v>0.26479923502475183</v>
      </c>
      <c r="E5" s="52">
        <f t="shared" ref="E5:E12" si="5">SUMSQ(A5:D5)</f>
        <v>0.68836685657889374</v>
      </c>
      <c r="G5" s="30">
        <f t="shared" ref="G5:G12" si="6">A5/SQRT($E5)</f>
        <v>-0.84187424842749725</v>
      </c>
      <c r="H5">
        <f t="shared" si="0"/>
        <v>0.36596110521538228</v>
      </c>
      <c r="I5">
        <f t="shared" si="0"/>
        <v>-0.23549504039980643</v>
      </c>
      <c r="J5" s="26">
        <f t="shared" si="0"/>
        <v>0.31915874616132023</v>
      </c>
      <c r="L5" s="30">
        <f t="shared" ref="L5:L12" si="7">A329</f>
        <v>-0.80893643665245318</v>
      </c>
      <c r="M5">
        <f t="shared" si="1"/>
        <v>0.58097356983272008</v>
      </c>
      <c r="N5">
        <f t="shared" si="1"/>
        <v>5.8243153650467956E-2</v>
      </c>
      <c r="O5" s="26">
        <f t="shared" si="1"/>
        <v>6.8551350568061983E-2</v>
      </c>
      <c r="Q5" s="30">
        <f t="shared" ref="Q5:Q12" si="8">L5*SQRT($E5)</f>
        <v>-0.67115738542520453</v>
      </c>
      <c r="R5">
        <f t="shared" si="2"/>
        <v>0.48202143513730844</v>
      </c>
      <c r="S5">
        <f t="shared" si="2"/>
        <v>4.8323107912817471E-2</v>
      </c>
      <c r="T5" s="26">
        <f t="shared" si="2"/>
        <v>5.6875600022445301E-2</v>
      </c>
      <c r="V5" s="30">
        <f t="shared" ref="V5:V12" si="9">A5</f>
        <v>-0.69848518848974095</v>
      </c>
      <c r="W5">
        <f t="shared" si="3"/>
        <v>0.30363015858216291</v>
      </c>
      <c r="X5">
        <f t="shared" si="3"/>
        <v>-0.19538523477740502</v>
      </c>
      <c r="Y5" s="26">
        <f t="shared" si="3"/>
        <v>0.26479923502475183</v>
      </c>
      <c r="Z5" s="30">
        <f t="shared" ref="Z5:Z12" si="10">Q5</f>
        <v>-0.67115738542520453</v>
      </c>
      <c r="AA5">
        <f t="shared" si="4"/>
        <v>0.48202143513730844</v>
      </c>
      <c r="AB5">
        <f t="shared" si="4"/>
        <v>4.8323107912817471E-2</v>
      </c>
      <c r="AC5" s="26">
        <f t="shared" si="4"/>
        <v>5.6875600022445301E-2</v>
      </c>
      <c r="AI5" s="113">
        <v>0.69807369973808031</v>
      </c>
      <c r="AJ5" s="114">
        <v>0.15333673618444155</v>
      </c>
      <c r="AK5" s="115">
        <v>8.3684842863132464E-2</v>
      </c>
      <c r="AL5" s="30">
        <v>0.4380521684646308</v>
      </c>
      <c r="AM5">
        <v>0.54610705803162629</v>
      </c>
      <c r="AN5" s="26">
        <v>0.16643189816322013</v>
      </c>
      <c r="AP5" s="30" t="e">
        <f ca="1"/>
        <v>#NAME?</v>
      </c>
      <c r="AQ5" t="e">
        <f ca="1"/>
        <v>#NAME?</v>
      </c>
      <c r="AR5" t="e">
        <f ca="1"/>
        <v>#NAME?</v>
      </c>
      <c r="AS5" t="e">
        <f ca="1"/>
        <v>#NAME?</v>
      </c>
      <c r="AT5" t="e">
        <f ca="1"/>
        <v>#NAME?</v>
      </c>
      <c r="AU5" s="26" t="e">
        <f ca="1"/>
        <v>#NAME?</v>
      </c>
    </row>
    <row r="6" spans="1:47" x14ac:dyDescent="0.35">
      <c r="A6" s="30">
        <v>-0.75409390641255714</v>
      </c>
      <c r="B6">
        <v>-0.34865162907379493</v>
      </c>
      <c r="C6">
        <v>-0.20204851885995068</v>
      </c>
      <c r="D6" s="26">
        <v>0.30587511636389098</v>
      </c>
      <c r="E6" s="52">
        <f t="shared" si="5"/>
        <v>0.82459876892848516</v>
      </c>
      <c r="G6" s="30">
        <f t="shared" si="6"/>
        <v>-0.83043202746502165</v>
      </c>
      <c r="H6">
        <f t="shared" si="0"/>
        <v>-0.38394618594402813</v>
      </c>
      <c r="I6">
        <f t="shared" si="0"/>
        <v>-0.22250221058195188</v>
      </c>
      <c r="J6" s="26">
        <f t="shared" si="0"/>
        <v>0.33683933907059044</v>
      </c>
      <c r="L6" s="30">
        <f t="shared" si="7"/>
        <v>-0.9863103713513437</v>
      </c>
      <c r="M6">
        <f t="shared" si="1"/>
        <v>-0.14235585132659864</v>
      </c>
      <c r="N6">
        <f t="shared" si="1"/>
        <v>8.0851961527159191E-2</v>
      </c>
      <c r="O6" s="26">
        <f t="shared" si="1"/>
        <v>-1.9738877249356926E-2</v>
      </c>
      <c r="Q6" s="30">
        <f t="shared" si="8"/>
        <v>-0.89564301022684578</v>
      </c>
      <c r="R6">
        <f t="shared" si="2"/>
        <v>-0.12926967708032144</v>
      </c>
      <c r="S6">
        <f t="shared" si="2"/>
        <v>7.3419581004420434E-2</v>
      </c>
      <c r="T6" s="26">
        <f t="shared" si="2"/>
        <v>-1.7924365343426594E-2</v>
      </c>
      <c r="V6" s="30">
        <f t="shared" si="9"/>
        <v>-0.75409390641255714</v>
      </c>
      <c r="W6">
        <f t="shared" si="3"/>
        <v>-0.34865162907379493</v>
      </c>
      <c r="X6">
        <f t="shared" si="3"/>
        <v>-0.20204851885995068</v>
      </c>
      <c r="Y6" s="26">
        <f t="shared" si="3"/>
        <v>0.30587511636389098</v>
      </c>
      <c r="Z6" s="30">
        <f t="shared" si="10"/>
        <v>-0.89564301022684578</v>
      </c>
      <c r="AA6">
        <f t="shared" si="4"/>
        <v>-0.12926967708032144</v>
      </c>
      <c r="AB6">
        <f t="shared" si="4"/>
        <v>7.3419581004420434E-2</v>
      </c>
      <c r="AC6" s="26">
        <f t="shared" si="4"/>
        <v>-1.7924365343426594E-2</v>
      </c>
      <c r="AI6" s="113">
        <v>0.74438594238915312</v>
      </c>
      <c r="AJ6" s="114">
        <v>-0.40957759030043861</v>
      </c>
      <c r="AK6" s="115">
        <v>-2.0342245616596158E-2</v>
      </c>
      <c r="AL6" s="30">
        <v>0.82914282581978305</v>
      </c>
      <c r="AM6">
        <v>0.1265547980110012</v>
      </c>
      <c r="AN6" s="26">
        <v>0.13705509166611762</v>
      </c>
      <c r="AP6" s="30" t="e">
        <f ca="1"/>
        <v>#NAME?</v>
      </c>
      <c r="AQ6" t="e">
        <f ca="1"/>
        <v>#NAME?</v>
      </c>
      <c r="AR6" t="e">
        <f ca="1"/>
        <v>#NAME?</v>
      </c>
      <c r="AS6" t="e">
        <f ca="1"/>
        <v>#NAME?</v>
      </c>
      <c r="AT6" t="e">
        <f ca="1"/>
        <v>#NAME?</v>
      </c>
      <c r="AU6" s="26" t="e">
        <f ca="1"/>
        <v>#NAME?</v>
      </c>
    </row>
    <row r="7" spans="1:47" x14ac:dyDescent="0.35">
      <c r="A7" s="30">
        <v>-0.36597842708944234</v>
      </c>
      <c r="B7">
        <v>-0.16252503821235828</v>
      </c>
      <c r="C7">
        <v>-0.19730233536299194</v>
      </c>
      <c r="D7" s="26">
        <v>-0.84984515758013812</v>
      </c>
      <c r="E7" s="52">
        <f t="shared" si="5"/>
        <v>0.92151960054289106</v>
      </c>
      <c r="G7" s="30">
        <f t="shared" si="6"/>
        <v>-0.38124415825934083</v>
      </c>
      <c r="H7">
        <f t="shared" si="0"/>
        <v>-0.16930429993403617</v>
      </c>
      <c r="I7">
        <f t="shared" si="0"/>
        <v>-0.20553223141123222</v>
      </c>
      <c r="J7" s="26">
        <f t="shared" si="0"/>
        <v>-0.88529398940018356</v>
      </c>
      <c r="L7" s="30">
        <f t="shared" si="7"/>
        <v>-0.10438557933008505</v>
      </c>
      <c r="M7">
        <f t="shared" si="1"/>
        <v>5.1626731616735517E-3</v>
      </c>
      <c r="N7">
        <f t="shared" si="1"/>
        <v>9.1038412907884461E-2</v>
      </c>
      <c r="O7" s="26">
        <f t="shared" si="1"/>
        <v>-0.99034792119182102</v>
      </c>
      <c r="Q7" s="30">
        <f t="shared" si="8"/>
        <v>-0.10020578494492571</v>
      </c>
      <c r="R7">
        <f t="shared" si="2"/>
        <v>4.9559500450125837E-3</v>
      </c>
      <c r="S7">
        <f t="shared" si="2"/>
        <v>8.739306410062328E-2</v>
      </c>
      <c r="T7" s="26">
        <f t="shared" si="2"/>
        <v>-0.95069253290047329</v>
      </c>
      <c r="V7" s="30">
        <f t="shared" si="9"/>
        <v>-0.36597842708944234</v>
      </c>
      <c r="W7">
        <f t="shared" si="3"/>
        <v>-0.16252503821235828</v>
      </c>
      <c r="X7">
        <f t="shared" si="3"/>
        <v>-0.19730233536299194</v>
      </c>
      <c r="Y7" s="26">
        <f t="shared" si="3"/>
        <v>-0.84984515758013812</v>
      </c>
      <c r="Z7" s="30">
        <f t="shared" si="10"/>
        <v>-0.10020578494492571</v>
      </c>
      <c r="AA7">
        <f t="shared" si="4"/>
        <v>4.9559500450125837E-3</v>
      </c>
      <c r="AB7">
        <f t="shared" si="4"/>
        <v>8.739306410062328E-2</v>
      </c>
      <c r="AC7" s="26">
        <f t="shared" si="4"/>
        <v>-0.95069253290047329</v>
      </c>
      <c r="AI7" s="113">
        <v>0.47052553753531157</v>
      </c>
      <c r="AJ7" s="114">
        <v>0.52224511849987132</v>
      </c>
      <c r="AK7" s="115">
        <v>0.13489810567247856</v>
      </c>
      <c r="AL7" s="30">
        <v>3.0942332300160295E-2</v>
      </c>
      <c r="AM7">
        <v>0.70123649207596495</v>
      </c>
      <c r="AN7" s="26">
        <v>0.14014884386495546</v>
      </c>
      <c r="AP7" s="30" t="e">
        <f ca="1"/>
        <v>#NAME?</v>
      </c>
      <c r="AQ7" t="e">
        <f ca="1"/>
        <v>#NAME?</v>
      </c>
      <c r="AR7" t="e">
        <f ca="1"/>
        <v>#NAME?</v>
      </c>
      <c r="AS7" t="e">
        <f ca="1"/>
        <v>#NAME?</v>
      </c>
      <c r="AT7" t="e">
        <f ca="1"/>
        <v>#NAME?</v>
      </c>
      <c r="AU7" s="26" t="e">
        <f ca="1"/>
        <v>#NAME?</v>
      </c>
    </row>
    <row r="8" spans="1:47" x14ac:dyDescent="0.35">
      <c r="A8" s="30">
        <v>-0.57816295036903409</v>
      </c>
      <c r="B8">
        <v>-4.4133810816554792E-2</v>
      </c>
      <c r="C8">
        <v>0.45272186814134935</v>
      </c>
      <c r="D8" s="26">
        <v>-0.15789519627101323</v>
      </c>
      <c r="E8" s="52">
        <f t="shared" si="5"/>
        <v>0.56610817333547281</v>
      </c>
      <c r="G8" s="30">
        <f t="shared" si="6"/>
        <v>-0.76842333599820989</v>
      </c>
      <c r="H8">
        <f t="shared" si="0"/>
        <v>-5.8657252451621796E-2</v>
      </c>
      <c r="I8">
        <f t="shared" si="0"/>
        <v>0.60170242312218147</v>
      </c>
      <c r="J8" s="26">
        <f t="shared" si="0"/>
        <v>-0.20985494379952999</v>
      </c>
      <c r="L8" s="30">
        <f t="shared" si="7"/>
        <v>-0.40019063034759506</v>
      </c>
      <c r="M8">
        <f t="shared" si="1"/>
        <v>0.10114804974051779</v>
      </c>
      <c r="N8">
        <f t="shared" si="1"/>
        <v>0.8772041100979362</v>
      </c>
      <c r="O8" s="26">
        <f t="shared" si="1"/>
        <v>-0.24521313309643927</v>
      </c>
      <c r="Q8" s="30">
        <f t="shared" si="8"/>
        <v>-0.301104072081887</v>
      </c>
      <c r="R8">
        <f t="shared" si="2"/>
        <v>7.6103954841615862E-2</v>
      </c>
      <c r="S8">
        <f t="shared" si="2"/>
        <v>0.66000977925955029</v>
      </c>
      <c r="T8" s="26">
        <f t="shared" si="2"/>
        <v>-0.1844987546039365</v>
      </c>
      <c r="V8" s="30">
        <f t="shared" si="9"/>
        <v>-0.57816295036903409</v>
      </c>
      <c r="W8">
        <f t="shared" si="3"/>
        <v>-4.4133810816554792E-2</v>
      </c>
      <c r="X8">
        <f t="shared" si="3"/>
        <v>0.45272186814134935</v>
      </c>
      <c r="Y8" s="26">
        <f t="shared" si="3"/>
        <v>-0.15789519627101323</v>
      </c>
      <c r="Z8" s="30">
        <f t="shared" si="10"/>
        <v>-0.301104072081887</v>
      </c>
      <c r="AA8">
        <f t="shared" si="4"/>
        <v>7.6103954841615862E-2</v>
      </c>
      <c r="AB8">
        <f t="shared" si="4"/>
        <v>0.66000977925955029</v>
      </c>
      <c r="AC8" s="26">
        <f t="shared" si="4"/>
        <v>-0.1844987546039365</v>
      </c>
      <c r="AI8" s="113">
        <v>0.68078968690372377</v>
      </c>
      <c r="AJ8" s="114">
        <v>-0.15585532840255137</v>
      </c>
      <c r="AK8" s="115">
        <v>-0.14833247439129119</v>
      </c>
      <c r="AL8" s="30">
        <v>0.65230562922377366</v>
      </c>
      <c r="AM8">
        <v>0.28895720213505266</v>
      </c>
      <c r="AN8" s="26">
        <v>-2.7732752518274773E-2</v>
      </c>
      <c r="AP8" s="30" t="e">
        <f ca="1"/>
        <v>#NAME?</v>
      </c>
      <c r="AQ8" t="e">
        <f ca="1"/>
        <v>#NAME?</v>
      </c>
      <c r="AR8" t="e">
        <f ca="1"/>
        <v>#NAME?</v>
      </c>
      <c r="AS8" t="e">
        <f ca="1"/>
        <v>#NAME?</v>
      </c>
      <c r="AT8" t="e">
        <f ca="1"/>
        <v>#NAME?</v>
      </c>
      <c r="AU8" s="26" t="e">
        <f ca="1"/>
        <v>#NAME?</v>
      </c>
    </row>
    <row r="9" spans="1:47" x14ac:dyDescent="0.35">
      <c r="A9" s="30">
        <v>-0.29966683800483013</v>
      </c>
      <c r="B9">
        <v>-3.0388016666013516E-2</v>
      </c>
      <c r="C9">
        <v>0.77085649526291034</v>
      </c>
      <c r="D9" s="26">
        <v>-6.3738785374645737E-2</v>
      </c>
      <c r="E9" s="52">
        <f t="shared" si="5"/>
        <v>0.68900601440675935</v>
      </c>
      <c r="G9" s="30">
        <f t="shared" si="6"/>
        <v>-0.36101660589276491</v>
      </c>
      <c r="H9">
        <f t="shared" si="0"/>
        <v>-3.6609251492819989E-2</v>
      </c>
      <c r="I9">
        <f t="shared" si="0"/>
        <v>0.92867131179100471</v>
      </c>
      <c r="J9" s="26">
        <f t="shared" si="0"/>
        <v>-7.6787809131256338E-2</v>
      </c>
      <c r="L9" s="30">
        <f t="shared" si="7"/>
        <v>1.4320378389273353E-3</v>
      </c>
      <c r="M9">
        <f t="shared" si="1"/>
        <v>-2.4803442213399515E-2</v>
      </c>
      <c r="N9">
        <f t="shared" si="1"/>
        <v>0.99722037151826948</v>
      </c>
      <c r="O9" s="26">
        <f t="shared" si="1"/>
        <v>7.0244353160658371E-2</v>
      </c>
      <c r="Q9" s="30">
        <f t="shared" si="8"/>
        <v>1.1886828585998433E-3</v>
      </c>
      <c r="R9">
        <f t="shared" si="2"/>
        <v>-2.0588441025709385E-2</v>
      </c>
      <c r="S9">
        <f t="shared" si="2"/>
        <v>0.82775659249216449</v>
      </c>
      <c r="T9" s="26">
        <f t="shared" si="2"/>
        <v>5.830729904319603E-2</v>
      </c>
      <c r="V9" s="30">
        <f t="shared" si="9"/>
        <v>-0.29966683800483013</v>
      </c>
      <c r="W9">
        <f t="shared" si="3"/>
        <v>-3.0388016666013516E-2</v>
      </c>
      <c r="X9">
        <f t="shared" si="3"/>
        <v>0.77085649526291034</v>
      </c>
      <c r="Y9" s="26">
        <f t="shared" si="3"/>
        <v>-6.3738785374645737E-2</v>
      </c>
      <c r="Z9" s="30">
        <f t="shared" si="10"/>
        <v>1.1886828585998433E-3</v>
      </c>
      <c r="AA9">
        <f t="shared" si="4"/>
        <v>-2.0588441025709385E-2</v>
      </c>
      <c r="AB9">
        <f t="shared" si="4"/>
        <v>0.82775659249216449</v>
      </c>
      <c r="AC9" s="26">
        <f t="shared" si="4"/>
        <v>5.830729904319603E-2</v>
      </c>
      <c r="AI9" s="113">
        <v>0.49816917573692815</v>
      </c>
      <c r="AJ9" s="114">
        <v>-0.49820303064754523</v>
      </c>
      <c r="AK9" s="115">
        <v>-0.25325935865574634</v>
      </c>
      <c r="AL9" s="30">
        <v>0.73336958828156706</v>
      </c>
      <c r="AM9">
        <v>-9.4387302590942163E-2</v>
      </c>
      <c r="AN9" s="26">
        <v>-0.11738472746000909</v>
      </c>
      <c r="AP9" s="30" t="e">
        <f ca="1"/>
        <v>#NAME?</v>
      </c>
      <c r="AQ9" t="e">
        <f ca="1"/>
        <v>#NAME?</v>
      </c>
      <c r="AR9" t="e">
        <f ca="1"/>
        <v>#NAME?</v>
      </c>
      <c r="AS9" t="e">
        <f ca="1"/>
        <v>#NAME?</v>
      </c>
      <c r="AT9" t="e">
        <f ca="1"/>
        <v>#NAME?</v>
      </c>
      <c r="AU9" s="26" t="e">
        <f ca="1"/>
        <v>#NAME?</v>
      </c>
    </row>
    <row r="10" spans="1:47" x14ac:dyDescent="0.35">
      <c r="A10" s="30">
        <v>-0.81718661596991127</v>
      </c>
      <c r="B10">
        <v>-0.23935266908492522</v>
      </c>
      <c r="C10">
        <v>-0.19451473035327382</v>
      </c>
      <c r="D10" s="26">
        <v>0.1664342445594475</v>
      </c>
      <c r="E10" s="52">
        <f t="shared" si="5"/>
        <v>0.7906200036049138</v>
      </c>
      <c r="G10" s="30">
        <f t="shared" si="6"/>
        <v>-0.9190462046766612</v>
      </c>
      <c r="H10">
        <f t="shared" si="0"/>
        <v>-0.26918718173160688</v>
      </c>
      <c r="I10">
        <f t="shared" si="0"/>
        <v>-0.21876034334299801</v>
      </c>
      <c r="J10" s="26">
        <f t="shared" si="0"/>
        <v>0.18717971856286431</v>
      </c>
      <c r="L10" s="30">
        <f t="shared" si="7"/>
        <v>-0.9771492016372969</v>
      </c>
      <c r="M10">
        <f t="shared" si="1"/>
        <v>-1.4712946732603105E-3</v>
      </c>
      <c r="N10">
        <f t="shared" si="1"/>
        <v>0.13726017326560297</v>
      </c>
      <c r="O10" s="26">
        <f t="shared" si="1"/>
        <v>-0.16228653014552546</v>
      </c>
      <c r="Q10" s="30">
        <f t="shared" si="8"/>
        <v>-0.86884995043814595</v>
      </c>
      <c r="R10">
        <f t="shared" si="2"/>
        <v>-1.3082283665587309E-3</v>
      </c>
      <c r="S10">
        <f t="shared" si="2"/>
        <v>0.12204737468865826</v>
      </c>
      <c r="T10" s="26">
        <f t="shared" si="2"/>
        <v>-0.14430001420198318</v>
      </c>
      <c r="V10" s="30">
        <f t="shared" si="9"/>
        <v>-0.81718661596991127</v>
      </c>
      <c r="W10">
        <f t="shared" si="3"/>
        <v>-0.23935266908492522</v>
      </c>
      <c r="X10">
        <f t="shared" si="3"/>
        <v>-0.19451473035327382</v>
      </c>
      <c r="Y10" s="26">
        <f t="shared" si="3"/>
        <v>0.1664342445594475</v>
      </c>
      <c r="Z10" s="30">
        <f t="shared" si="10"/>
        <v>-0.86884995043814595</v>
      </c>
      <c r="AA10">
        <f t="shared" si="4"/>
        <v>-1.3082283665587309E-3</v>
      </c>
      <c r="AB10">
        <f t="shared" si="4"/>
        <v>0.12204737468865826</v>
      </c>
      <c r="AC10" s="26">
        <f t="shared" si="4"/>
        <v>-0.14430001420198318</v>
      </c>
      <c r="AI10" s="113">
        <v>0.8604957870010006</v>
      </c>
      <c r="AJ10" s="114">
        <v>-0.1150420711694501</v>
      </c>
      <c r="AK10" s="115">
        <v>1.1605686981563886E-2</v>
      </c>
      <c r="AL10" s="30">
        <v>0.73831868891076147</v>
      </c>
      <c r="AM10">
        <v>0.43120679142970381</v>
      </c>
      <c r="AN10" s="26">
        <v>0.15089263131689856</v>
      </c>
      <c r="AP10" s="30" t="e">
        <f ca="1"/>
        <v>#NAME?</v>
      </c>
      <c r="AQ10" t="e">
        <f ca="1"/>
        <v>#NAME?</v>
      </c>
      <c r="AR10" t="e">
        <f ca="1"/>
        <v>#NAME?</v>
      </c>
      <c r="AS10" t="e">
        <f ca="1"/>
        <v>#NAME?</v>
      </c>
      <c r="AT10" t="e">
        <f ca="1"/>
        <v>#NAME?</v>
      </c>
      <c r="AU10" s="26" t="e">
        <f ca="1"/>
        <v>#NAME?</v>
      </c>
    </row>
    <row r="11" spans="1:47" x14ac:dyDescent="0.35">
      <c r="A11" s="30">
        <v>-0.687892728351156</v>
      </c>
      <c r="B11">
        <v>-3.5303982803742376E-2</v>
      </c>
      <c r="C11">
        <v>0.11603236905930761</v>
      </c>
      <c r="D11" s="26">
        <v>-0.11762701672464819</v>
      </c>
      <c r="E11" s="52">
        <f t="shared" si="5"/>
        <v>0.50174240265326031</v>
      </c>
      <c r="G11" s="30">
        <f t="shared" si="6"/>
        <v>-0.97113658653328405</v>
      </c>
      <c r="H11">
        <f t="shared" si="0"/>
        <v>-4.9840604411149271E-2</v>
      </c>
      <c r="I11">
        <f t="shared" si="0"/>
        <v>0.16380937633360707</v>
      </c>
      <c r="J11" s="26">
        <f t="shared" si="0"/>
        <v>-0.16606062951105244</v>
      </c>
      <c r="L11" s="30">
        <f t="shared" si="7"/>
        <v>-0.72024965265711782</v>
      </c>
      <c r="M11">
        <f t="shared" si="1"/>
        <v>0.20370847712026638</v>
      </c>
      <c r="N11">
        <f t="shared" si="1"/>
        <v>0.55084721420237359</v>
      </c>
      <c r="O11" s="26">
        <f t="shared" si="1"/>
        <v>-0.36920270963540769</v>
      </c>
      <c r="Q11" s="30">
        <f t="shared" si="8"/>
        <v>-0.5101800359812686</v>
      </c>
      <c r="R11">
        <f t="shared" si="2"/>
        <v>0.14429440931140983</v>
      </c>
      <c r="S11">
        <f t="shared" si="2"/>
        <v>0.39018588974694901</v>
      </c>
      <c r="T11" s="26">
        <f t="shared" si="2"/>
        <v>-0.26152022564854294</v>
      </c>
      <c r="V11" s="30">
        <f t="shared" si="9"/>
        <v>-0.687892728351156</v>
      </c>
      <c r="W11">
        <f t="shared" si="3"/>
        <v>-3.5303982803742376E-2</v>
      </c>
      <c r="X11">
        <f t="shared" si="3"/>
        <v>0.11603236905930761</v>
      </c>
      <c r="Y11" s="26">
        <f t="shared" si="3"/>
        <v>-0.11762701672464819</v>
      </c>
      <c r="Z11" s="30">
        <f t="shared" si="10"/>
        <v>-0.5101800359812686</v>
      </c>
      <c r="AA11">
        <f t="shared" si="4"/>
        <v>0.14429440931140983</v>
      </c>
      <c r="AB11">
        <f t="shared" si="4"/>
        <v>0.39018588974694901</v>
      </c>
      <c r="AC11" s="26">
        <f t="shared" si="4"/>
        <v>-0.26152022564854294</v>
      </c>
      <c r="AI11" s="113">
        <v>0.64178906622912479</v>
      </c>
      <c r="AJ11" s="114">
        <v>0.32154746844579774</v>
      </c>
      <c r="AK11" s="115">
        <v>4.3814865308338655E-2</v>
      </c>
      <c r="AL11" s="30">
        <v>0.30134924156350584</v>
      </c>
      <c r="AM11">
        <v>0.64539442208262487</v>
      </c>
      <c r="AN11" s="26">
        <v>9.9299531574300506E-2</v>
      </c>
      <c r="AP11" s="30" t="e">
        <f ca="1"/>
        <v>#NAME?</v>
      </c>
      <c r="AQ11" t="e">
        <f ca="1"/>
        <v>#NAME?</v>
      </c>
      <c r="AR11" t="e">
        <f ca="1"/>
        <v>#NAME?</v>
      </c>
      <c r="AS11" t="e">
        <f ca="1"/>
        <v>#NAME?</v>
      </c>
      <c r="AT11" t="e">
        <f ca="1"/>
        <v>#NAME?</v>
      </c>
      <c r="AU11" s="26" t="e">
        <f ca="1"/>
        <v>#NAME?</v>
      </c>
    </row>
    <row r="12" spans="1:47" x14ac:dyDescent="0.35">
      <c r="A12" s="27">
        <v>-0.30145846294129242</v>
      </c>
      <c r="B12" s="28">
        <v>0.74107631451599554</v>
      </c>
      <c r="C12" s="28">
        <v>-0.34419877868563109</v>
      </c>
      <c r="D12" s="29">
        <v>-0.23397915226319332</v>
      </c>
      <c r="E12" s="53">
        <f t="shared" si="5"/>
        <v>0.81329035175802</v>
      </c>
      <c r="G12" s="27">
        <f t="shared" si="6"/>
        <v>-0.33427559488723679</v>
      </c>
      <c r="H12" s="28">
        <f t="shared" si="0"/>
        <v>0.82175077612572589</v>
      </c>
      <c r="I12" s="28">
        <f t="shared" si="0"/>
        <v>-0.38166867296409768</v>
      </c>
      <c r="J12" s="29">
        <f t="shared" si="0"/>
        <v>-0.25945040504376887</v>
      </c>
      <c r="L12" s="27">
        <f t="shared" si="7"/>
        <v>-0.10311381707958901</v>
      </c>
      <c r="M12" s="28">
        <f t="shared" si="1"/>
        <v>0.92632735375484221</v>
      </c>
      <c r="N12" s="28">
        <f t="shared" si="1"/>
        <v>-0.20014271826306154</v>
      </c>
      <c r="O12" s="29">
        <f t="shared" si="1"/>
        <v>-0.30203984296629061</v>
      </c>
      <c r="Q12" s="27">
        <f t="shared" si="8"/>
        <v>-9.2990733634947004E-2</v>
      </c>
      <c r="R12" s="28">
        <f t="shared" si="2"/>
        <v>0.83538620382265838</v>
      </c>
      <c r="S12" s="28">
        <f t="shared" si="2"/>
        <v>-0.18049393117325163</v>
      </c>
      <c r="T12" s="29">
        <f t="shared" si="2"/>
        <v>-0.27238741984248827</v>
      </c>
      <c r="V12" s="27">
        <f t="shared" si="9"/>
        <v>-0.30145846294129242</v>
      </c>
      <c r="W12" s="28">
        <f t="shared" si="3"/>
        <v>0.74107631451599554</v>
      </c>
      <c r="X12" s="28">
        <f t="shared" si="3"/>
        <v>-0.34419877868563109</v>
      </c>
      <c r="Y12" s="29">
        <f t="shared" si="3"/>
        <v>-0.23397915226319332</v>
      </c>
      <c r="Z12" s="27">
        <f t="shared" si="10"/>
        <v>-9.2990733634947004E-2</v>
      </c>
      <c r="AA12" s="28">
        <f t="shared" si="4"/>
        <v>0.83538620382265838</v>
      </c>
      <c r="AB12" s="28">
        <f t="shared" si="4"/>
        <v>-0.18049393117325163</v>
      </c>
      <c r="AC12" s="29">
        <f t="shared" si="4"/>
        <v>-0.27238741984248827</v>
      </c>
      <c r="AI12" s="116">
        <v>0.29787837167899389</v>
      </c>
      <c r="AJ12" s="117">
        <v>0.59564132520222801</v>
      </c>
      <c r="AK12" s="118">
        <v>-0.5334811818405415</v>
      </c>
      <c r="AL12" s="27">
        <v>-2.2248379303483948E-2</v>
      </c>
      <c r="AM12" s="28">
        <v>0.65180584852740908</v>
      </c>
      <c r="AN12" s="29">
        <v>-0.55025124209274456</v>
      </c>
      <c r="AP12" s="27" t="e">
        <f ca="1"/>
        <v>#NAME?</v>
      </c>
      <c r="AQ12" s="28" t="e">
        <f ca="1"/>
        <v>#NAME?</v>
      </c>
      <c r="AR12" s="28" t="e">
        <f ca="1"/>
        <v>#NAME?</v>
      </c>
      <c r="AS12" s="28" t="e">
        <f ca="1"/>
        <v>#NAME?</v>
      </c>
      <c r="AT12" s="28" t="e">
        <f ca="1"/>
        <v>#NAME?</v>
      </c>
      <c r="AU12" s="29" t="e">
        <f ca="1"/>
        <v>#NAME?</v>
      </c>
    </row>
    <row r="14" spans="1:47" x14ac:dyDescent="0.35">
      <c r="AE14" t="s">
        <v>16</v>
      </c>
      <c r="AI14" t="s">
        <v>250</v>
      </c>
    </row>
    <row r="15" spans="1:47" x14ac:dyDescent="0.3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12" t="s">
        <v>251</v>
      </c>
      <c r="J15" s="12" t="s">
        <v>252</v>
      </c>
      <c r="K15" s="12" t="s">
        <v>253</v>
      </c>
      <c r="L15" s="12" t="s">
        <v>254</v>
      </c>
      <c r="Q15">
        <f>F15</f>
        <v>1</v>
      </c>
      <c r="R15">
        <f>G15</f>
        <v>2</v>
      </c>
      <c r="V15" s="94" t="e">
        <f t="array" aca="1" ref="V15:AC23" ca="1">ELIM(V4:AC12)</f>
        <v>#NAME?</v>
      </c>
      <c r="W15" s="95" t="e">
        <f ca="1"/>
        <v>#NAME?</v>
      </c>
      <c r="X15" s="95" t="e">
        <f ca="1"/>
        <v>#NAME?</v>
      </c>
      <c r="Y15" s="95" t="e">
        <f ca="1"/>
        <v>#NAME?</v>
      </c>
      <c r="Z15" s="94" t="e">
        <f ca="1"/>
        <v>#NAME?</v>
      </c>
      <c r="AA15" s="95" t="e">
        <f ca="1"/>
        <v>#NAME?</v>
      </c>
      <c r="AB15" s="95" t="e">
        <f ca="1"/>
        <v>#NAME?</v>
      </c>
      <c r="AC15" s="96" t="e">
        <f ca="1"/>
        <v>#NAME?</v>
      </c>
      <c r="AE15" s="94">
        <f t="array" ref="AE15:AH23">A4:D12</f>
        <v>0.1844378805524543</v>
      </c>
      <c r="AF15" s="95">
        <v>-0.76673944089161195</v>
      </c>
      <c r="AG15" s="95">
        <v>-0.27758481196282242</v>
      </c>
      <c r="AH15" s="96">
        <v>-0.11515839253508237</v>
      </c>
      <c r="AI15" s="94" t="e">
        <f t="array" aca="1" ref="AI15:AL23" ca="1">VARIMAX(AE15:AH23,100)</f>
        <v>#NAME?</v>
      </c>
      <c r="AJ15" s="95" t="e">
        <f ca="1"/>
        <v>#NAME?</v>
      </c>
      <c r="AK15" s="95" t="e">
        <f ca="1"/>
        <v>#NAME?</v>
      </c>
      <c r="AL15" s="96" t="e">
        <f ca="1"/>
        <v>#NAME?</v>
      </c>
      <c r="AS15" s="94" t="e">
        <f t="array" ref="AS15:AU17" ca="1">AS4:AU6</f>
        <v>#NAME?</v>
      </c>
      <c r="AT15" s="95" t="e">
        <f ca="1"/>
        <v>#NAME?</v>
      </c>
      <c r="AU15" s="96" t="e">
        <f ca="1"/>
        <v>#NAME?</v>
      </c>
    </row>
    <row r="16" spans="1:47" x14ac:dyDescent="0.35">
      <c r="A16" s="110">
        <f t="shared" ref="A16:D24" si="11">G4</f>
        <v>0.21854586186362829</v>
      </c>
      <c r="B16" s="111">
        <f t="shared" si="11"/>
        <v>-0.9085320837160531</v>
      </c>
      <c r="C16" s="111">
        <f t="shared" si="11"/>
        <v>-0.32891839674667611</v>
      </c>
      <c r="D16" s="112">
        <f t="shared" si="11"/>
        <v>-0.13645456167694339</v>
      </c>
      <c r="F16" s="94">
        <f>INDEX(A16:D24,,F15)</f>
        <v>0.21854586186362829</v>
      </c>
      <c r="G16" s="96">
        <f>INDEX(A16:D24,,G15)</f>
        <v>-0.9085320837160531</v>
      </c>
      <c r="I16" s="94">
        <f>F16^2-G16^2</f>
        <v>-0.77766825340371715</v>
      </c>
      <c r="J16" s="95">
        <f>2*F16*G16</f>
        <v>-0.39711185453296582</v>
      </c>
      <c r="K16" s="95">
        <f>I16^2-J16^2</f>
        <v>0.4470700873413766</v>
      </c>
      <c r="L16" s="96">
        <f>I16*J16</f>
        <v>0.30882128232056255</v>
      </c>
      <c r="N16" t="s">
        <v>12</v>
      </c>
      <c r="O16" s="51">
        <f>2*L25*B26-2*I25*J25</f>
        <v>21.188103405045482</v>
      </c>
      <c r="Q16" s="94">
        <f t="array" ref="Q16:R24">MMULT(F16:G24,N20:O21)</f>
        <v>-3.0083174932662826E-2</v>
      </c>
      <c r="R16" s="96">
        <v>-0.93396351291960023</v>
      </c>
      <c r="V16" s="30" t="e">
        <f ca="1"/>
        <v>#NAME?</v>
      </c>
      <c r="W16" t="e">
        <f ca="1"/>
        <v>#NAME?</v>
      </c>
      <c r="X16" t="e">
        <f ca="1"/>
        <v>#NAME?</v>
      </c>
      <c r="Y16" t="e">
        <f ca="1"/>
        <v>#NAME?</v>
      </c>
      <c r="Z16" s="30" t="e">
        <f ca="1"/>
        <v>#NAME?</v>
      </c>
      <c r="AA16" t="e">
        <f ca="1"/>
        <v>#NAME?</v>
      </c>
      <c r="AB16" t="e">
        <f ca="1"/>
        <v>#NAME?</v>
      </c>
      <c r="AC16" s="26" t="e">
        <f ca="1"/>
        <v>#NAME?</v>
      </c>
      <c r="AE16" s="30">
        <v>-0.69848518848974095</v>
      </c>
      <c r="AF16">
        <v>0.30363015858216291</v>
      </c>
      <c r="AG16">
        <v>-0.19538523477740502</v>
      </c>
      <c r="AH16" s="26">
        <v>0.26479923502475183</v>
      </c>
      <c r="AI16" s="30" t="e">
        <f ca="1"/>
        <v>#NAME?</v>
      </c>
      <c r="AJ16" t="e">
        <f ca="1"/>
        <v>#NAME?</v>
      </c>
      <c r="AK16" t="e">
        <f ca="1"/>
        <v>#NAME?</v>
      </c>
      <c r="AL16" s="26" t="e">
        <f ca="1"/>
        <v>#NAME?</v>
      </c>
      <c r="AS16" s="30" t="e">
        <f ca="1"/>
        <v>#NAME?</v>
      </c>
      <c r="AT16" t="e">
        <f ca="1"/>
        <v>#NAME?</v>
      </c>
      <c r="AU16" s="26" t="e">
        <f ca="1"/>
        <v>#NAME?</v>
      </c>
    </row>
    <row r="17" spans="1:47" x14ac:dyDescent="0.35">
      <c r="A17" s="113">
        <f t="shared" si="11"/>
        <v>-0.84187424842749725</v>
      </c>
      <c r="B17" s="114">
        <f t="shared" si="11"/>
        <v>0.36596110521538228</v>
      </c>
      <c r="C17" s="114">
        <f t="shared" si="11"/>
        <v>-0.23549504039980643</v>
      </c>
      <c r="D17" s="115">
        <f t="shared" si="11"/>
        <v>0.31915874616132023</v>
      </c>
      <c r="F17" s="30">
        <f>INDEX(A17:D25,,F15)</f>
        <v>-0.84187424842749725</v>
      </c>
      <c r="G17" s="26">
        <f>INDEX(A16:D24,,G15)</f>
        <v>0.36596110521538228</v>
      </c>
      <c r="I17" s="30">
        <f t="shared" ref="I17:I24" si="12">F17^2-G17^2</f>
        <v>0.57482471963489923</v>
      </c>
      <c r="J17">
        <f t="shared" ref="J17:J24" si="13">2*F17*G17</f>
        <v>-0.61618646081379236</v>
      </c>
      <c r="K17">
        <f t="shared" ref="K17:K24" si="14">I17^2-J17^2</f>
        <v>-4.9262296186886767E-2</v>
      </c>
      <c r="L17" s="26">
        <f t="shared" ref="L17:L24" si="15">I17*J17</f>
        <v>-0.35419920958010903</v>
      </c>
      <c r="N17" t="s">
        <v>255</v>
      </c>
      <c r="O17" s="52">
        <f>K25*B26-(I25^2-J25^2)</f>
        <v>11.513191876375057</v>
      </c>
      <c r="Q17" s="30">
        <v>-0.71476249629075472</v>
      </c>
      <c r="R17" s="26">
        <v>0.57601593258523343</v>
      </c>
      <c r="V17" s="30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s="30" t="e">
        <f ca="1"/>
        <v>#NAME?</v>
      </c>
      <c r="AA17" t="e">
        <f ca="1"/>
        <v>#NAME?</v>
      </c>
      <c r="AB17" t="e">
        <f ca="1"/>
        <v>#NAME?</v>
      </c>
      <c r="AC17" s="26" t="e">
        <f ca="1"/>
        <v>#NAME?</v>
      </c>
      <c r="AE17" s="30">
        <v>-0.75409390641255714</v>
      </c>
      <c r="AF17">
        <v>-0.34865162907379493</v>
      </c>
      <c r="AG17">
        <v>-0.20204851885995068</v>
      </c>
      <c r="AH17" s="26">
        <v>0.30587511636389098</v>
      </c>
      <c r="AI17" s="30" t="e">
        <f ca="1"/>
        <v>#NAME?</v>
      </c>
      <c r="AJ17" t="e">
        <f ca="1"/>
        <v>#NAME?</v>
      </c>
      <c r="AK17" t="e">
        <f ca="1"/>
        <v>#NAME?</v>
      </c>
      <c r="AL17" s="26" t="e">
        <f ca="1"/>
        <v>#NAME?</v>
      </c>
      <c r="AS17" s="27" t="e">
        <f ca="1"/>
        <v>#NAME?</v>
      </c>
      <c r="AT17" s="28" t="e">
        <f ca="1"/>
        <v>#NAME?</v>
      </c>
      <c r="AU17" s="29" t="e">
        <f ca="1"/>
        <v>#NAME?</v>
      </c>
    </row>
    <row r="18" spans="1:47" x14ac:dyDescent="0.35">
      <c r="A18" s="113">
        <f t="shared" si="11"/>
        <v>-0.83043202746502165</v>
      </c>
      <c r="B18" s="114">
        <f t="shared" si="11"/>
        <v>-0.38394618594402813</v>
      </c>
      <c r="C18" s="114">
        <f t="shared" si="11"/>
        <v>-0.22250221058195188</v>
      </c>
      <c r="D18" s="115">
        <f t="shared" si="11"/>
        <v>0.33683933907059044</v>
      </c>
      <c r="F18" s="30">
        <f>INDEX(A18:D26,,F15)</f>
        <v>-0.83043202746502165</v>
      </c>
      <c r="G18" s="26">
        <f>INDEX(A16:D24,,G15)</f>
        <v>-0.38394618594402813</v>
      </c>
      <c r="I18" s="30">
        <f t="shared" si="12"/>
        <v>0.54220267853870019</v>
      </c>
      <c r="J18">
        <f t="shared" si="13"/>
        <v>0.63768241926192293</v>
      </c>
      <c r="K18">
        <f t="shared" si="14"/>
        <v>-0.11265512322119775</v>
      </c>
      <c r="L18" s="26">
        <f t="shared" si="15"/>
        <v>0.34575311578085305</v>
      </c>
      <c r="N18" t="s">
        <v>256</v>
      </c>
      <c r="O18" s="53">
        <f>0.25*ATAN(O16/O17)</f>
        <v>0.26826246094764372</v>
      </c>
      <c r="Q18" s="30">
        <v>-0.90249729133518475</v>
      </c>
      <c r="R18" s="26">
        <v>-0.15010218210701462</v>
      </c>
      <c r="V18" s="30" t="e">
        <f ca="1"/>
        <v>#NAME?</v>
      </c>
      <c r="W18" t="e">
        <f ca="1"/>
        <v>#NAME?</v>
      </c>
      <c r="X18" t="e">
        <f ca="1"/>
        <v>#NAME?</v>
      </c>
      <c r="Y18" t="e">
        <f ca="1"/>
        <v>#NAME?</v>
      </c>
      <c r="Z18" s="30" t="e">
        <f ca="1"/>
        <v>#NAME?</v>
      </c>
      <c r="AA18" t="e">
        <f ca="1"/>
        <v>#NAME?</v>
      </c>
      <c r="AB18" t="e">
        <f ca="1"/>
        <v>#NAME?</v>
      </c>
      <c r="AC18" s="26" t="e">
        <f ca="1"/>
        <v>#NAME?</v>
      </c>
      <c r="AE18" s="30">
        <v>-0.36597842708944234</v>
      </c>
      <c r="AF18">
        <v>-0.16252503821235828</v>
      </c>
      <c r="AG18">
        <v>-0.19730233536299194</v>
      </c>
      <c r="AH18" s="26">
        <v>-0.84984515758013812</v>
      </c>
      <c r="AI18" s="30" t="e">
        <f ca="1"/>
        <v>#NAME?</v>
      </c>
      <c r="AJ18" t="e">
        <f ca="1"/>
        <v>#NAME?</v>
      </c>
      <c r="AK18" t="e">
        <f ca="1"/>
        <v>#NAME?</v>
      </c>
      <c r="AL18" s="26" t="e">
        <f ca="1"/>
        <v>#NAME?</v>
      </c>
    </row>
    <row r="19" spans="1:47" x14ac:dyDescent="0.35">
      <c r="A19" s="113">
        <f t="shared" si="11"/>
        <v>-0.38124415825934083</v>
      </c>
      <c r="B19" s="114">
        <f t="shared" si="11"/>
        <v>-0.16930429993403617</v>
      </c>
      <c r="C19" s="114">
        <f t="shared" si="11"/>
        <v>-0.20553223141123222</v>
      </c>
      <c r="D19" s="115">
        <f t="shared" si="11"/>
        <v>-0.88529398940018356</v>
      </c>
      <c r="F19" s="30">
        <f>INDEX(A19:D27,,F15)</f>
        <v>-0.38124415825934083</v>
      </c>
      <c r="G19" s="26">
        <f>INDEX(A16:D24,,G15)</f>
        <v>-0.16930429993403617</v>
      </c>
      <c r="I19" s="30">
        <f t="shared" si="12"/>
        <v>0.11668316223071924</v>
      </c>
      <c r="J19">
        <f t="shared" si="13"/>
        <v>0.12909255063607719</v>
      </c>
      <c r="K19">
        <f t="shared" si="14"/>
        <v>-3.0499262815678104E-3</v>
      </c>
      <c r="L19" s="26">
        <f t="shared" si="15"/>
        <v>1.5062927028646733E-2</v>
      </c>
      <c r="Q19" s="30">
        <v>-0.41248335532579117</v>
      </c>
      <c r="R19" s="26">
        <v>-6.2197554310475037E-2</v>
      </c>
      <c r="V19" s="30" t="e">
        <f ca="1"/>
        <v>#NAME?</v>
      </c>
      <c r="W19" t="e">
        <f ca="1"/>
        <v>#NAME?</v>
      </c>
      <c r="X19" t="e">
        <f ca="1"/>
        <v>#NAME?</v>
      </c>
      <c r="Y19" t="e">
        <f ca="1"/>
        <v>#NAME?</v>
      </c>
      <c r="Z19" s="30" t="e">
        <f ca="1"/>
        <v>#NAME?</v>
      </c>
      <c r="AA19" t="e">
        <f ca="1"/>
        <v>#NAME?</v>
      </c>
      <c r="AB19" t="e">
        <f ca="1"/>
        <v>#NAME?</v>
      </c>
      <c r="AC19" s="26" t="e">
        <f ca="1"/>
        <v>#NAME?</v>
      </c>
      <c r="AE19" s="30">
        <v>-0.57816295036903409</v>
      </c>
      <c r="AF19">
        <v>-4.4133810816554792E-2</v>
      </c>
      <c r="AG19">
        <v>0.45272186814134935</v>
      </c>
      <c r="AH19" s="26">
        <v>-0.15789519627101323</v>
      </c>
      <c r="AI19" s="30" t="e">
        <f ca="1"/>
        <v>#NAME?</v>
      </c>
      <c r="AJ19" t="e">
        <f ca="1"/>
        <v>#NAME?</v>
      </c>
      <c r="AK19" t="e">
        <f ca="1"/>
        <v>#NAME?</v>
      </c>
      <c r="AL19" s="26" t="e">
        <f ca="1"/>
        <v>#NAME?</v>
      </c>
      <c r="AS19" s="94" t="e">
        <f t="array" aca="1" ref="AS19:AU21" ca="1">MINVERSE(AS15:AU17)</f>
        <v>#NAME?</v>
      </c>
      <c r="AT19" s="95" t="e">
        <f ca="1"/>
        <v>#NAME?</v>
      </c>
      <c r="AU19" s="96" t="e">
        <f ca="1"/>
        <v>#NAME?</v>
      </c>
    </row>
    <row r="20" spans="1:47" x14ac:dyDescent="0.35">
      <c r="A20" s="113">
        <f t="shared" si="11"/>
        <v>-0.76842333599820989</v>
      </c>
      <c r="B20" s="114">
        <f t="shared" si="11"/>
        <v>-5.8657252451621796E-2</v>
      </c>
      <c r="C20" s="114">
        <f t="shared" si="11"/>
        <v>0.60170242312218147</v>
      </c>
      <c r="D20" s="115">
        <f t="shared" si="11"/>
        <v>-0.20985494379952999</v>
      </c>
      <c r="F20" s="30">
        <f>INDEX(A20:D28,,F15)</f>
        <v>-0.76842333599820989</v>
      </c>
      <c r="G20" s="26">
        <f>INDEX(A16:D24,,G15)</f>
        <v>-5.8657252451621796E-2</v>
      </c>
      <c r="I20" s="30">
        <f t="shared" si="12"/>
        <v>0.58703375004144454</v>
      </c>
      <c r="J20">
        <f t="shared" si="13"/>
        <v>9.0147203218728794E-2</v>
      </c>
      <c r="K20">
        <f t="shared" si="14"/>
        <v>0.33648210543956236</v>
      </c>
      <c r="L20" s="26">
        <f t="shared" si="15"/>
        <v>5.2919450761238544E-2</v>
      </c>
      <c r="N20" s="94">
        <f>COS(O18)</f>
        <v>0.96423289758840824</v>
      </c>
      <c r="O20" s="96">
        <f>-N21</f>
        <v>-0.26505644532488198</v>
      </c>
      <c r="Q20" s="30">
        <v>-0.75648654267145599</v>
      </c>
      <c r="R20" s="26">
        <v>0.1471163054483709</v>
      </c>
      <c r="V20" s="3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  <c r="Z20" s="30" t="e">
        <f ca="1"/>
        <v>#NAME?</v>
      </c>
      <c r="AA20" t="e">
        <f ca="1"/>
        <v>#NAME?</v>
      </c>
      <c r="AB20" t="e">
        <f ca="1"/>
        <v>#NAME?</v>
      </c>
      <c r="AC20" s="26" t="e">
        <f ca="1"/>
        <v>#NAME?</v>
      </c>
      <c r="AE20" s="30">
        <v>-0.29966683800483013</v>
      </c>
      <c r="AF20">
        <v>-3.0388016666013516E-2</v>
      </c>
      <c r="AG20">
        <v>0.77085649526291034</v>
      </c>
      <c r="AH20" s="26">
        <v>-6.3738785374645737E-2</v>
      </c>
      <c r="AI20" s="30" t="e">
        <f ca="1"/>
        <v>#NAME?</v>
      </c>
      <c r="AJ20" t="e">
        <f ca="1"/>
        <v>#NAME?</v>
      </c>
      <c r="AK20" t="e">
        <f ca="1"/>
        <v>#NAME?</v>
      </c>
      <c r="AL20" s="26" t="e">
        <f ca="1"/>
        <v>#NAME?</v>
      </c>
      <c r="AS20" s="30" t="e">
        <f ca="1"/>
        <v>#NAME?</v>
      </c>
      <c r="AT20" t="e">
        <f ca="1"/>
        <v>#NAME?</v>
      </c>
      <c r="AU20" s="26" t="e">
        <f ca="1"/>
        <v>#NAME?</v>
      </c>
    </row>
    <row r="21" spans="1:47" x14ac:dyDescent="0.35">
      <c r="A21" s="113">
        <f t="shared" si="11"/>
        <v>-0.36101660589276491</v>
      </c>
      <c r="B21" s="114">
        <f t="shared" si="11"/>
        <v>-3.6609251492819989E-2</v>
      </c>
      <c r="C21" s="114">
        <f t="shared" si="11"/>
        <v>0.92867131179100471</v>
      </c>
      <c r="D21" s="115">
        <f t="shared" si="11"/>
        <v>-7.6787809131256338E-2</v>
      </c>
      <c r="F21" s="30">
        <f>INDEX(A21:D29,,F15)</f>
        <v>-0.36101660589276491</v>
      </c>
      <c r="G21" s="26">
        <f>INDEX(A16:D24,,G15)</f>
        <v>-3.6609251492819989E-2</v>
      </c>
      <c r="I21" s="30">
        <f t="shared" si="12"/>
        <v>0.1289927524354674</v>
      </c>
      <c r="J21">
        <f t="shared" si="13"/>
        <v>2.6433095436425018E-2</v>
      </c>
      <c r="K21">
        <f t="shared" si="14"/>
        <v>1.5940421646526627E-2</v>
      </c>
      <c r="L21" s="26">
        <f t="shared" si="15"/>
        <v>3.4096777357338556E-3</v>
      </c>
      <c r="N21" s="27">
        <f>SIN(O18)</f>
        <v>0.26505644532488198</v>
      </c>
      <c r="O21" s="29">
        <f>N20</f>
        <v>0.96423289758840824</v>
      </c>
      <c r="Q21" s="30">
        <v>-0.35780760604420464</v>
      </c>
      <c r="R21" s="26">
        <v>6.038993361572554E-2</v>
      </c>
      <c r="V21" s="30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  <c r="Z21" s="30" t="e">
        <f ca="1"/>
        <v>#NAME?</v>
      </c>
      <c r="AA21" t="e">
        <f ca="1"/>
        <v>#NAME?</v>
      </c>
      <c r="AB21" t="e">
        <f ca="1"/>
        <v>#NAME?</v>
      </c>
      <c r="AC21" s="26" t="e">
        <f ca="1"/>
        <v>#NAME?</v>
      </c>
      <c r="AE21" s="30">
        <v>-0.81718661596991127</v>
      </c>
      <c r="AF21">
        <v>-0.23935266908492522</v>
      </c>
      <c r="AG21">
        <v>-0.19451473035327382</v>
      </c>
      <c r="AH21" s="26">
        <v>0.1664342445594475</v>
      </c>
      <c r="AI21" s="30" t="e">
        <f ca="1"/>
        <v>#NAME?</v>
      </c>
      <c r="AJ21" t="e">
        <f ca="1"/>
        <v>#NAME?</v>
      </c>
      <c r="AK21" t="e">
        <f ca="1"/>
        <v>#NAME?</v>
      </c>
      <c r="AL21" s="26" t="e">
        <f ca="1"/>
        <v>#NAME?</v>
      </c>
      <c r="AS21" s="27" t="e">
        <f ca="1"/>
        <v>#NAME?</v>
      </c>
      <c r="AT21" s="28" t="e">
        <f ca="1"/>
        <v>#NAME?</v>
      </c>
      <c r="AU21" s="29" t="e">
        <f ca="1"/>
        <v>#NAME?</v>
      </c>
    </row>
    <row r="22" spans="1:47" x14ac:dyDescent="0.35">
      <c r="A22" s="113">
        <f t="shared" si="11"/>
        <v>-0.9190462046766612</v>
      </c>
      <c r="B22" s="114">
        <f t="shared" si="11"/>
        <v>-0.26918718173160688</v>
      </c>
      <c r="C22" s="114">
        <f t="shared" si="11"/>
        <v>-0.21876034334299801</v>
      </c>
      <c r="D22" s="115">
        <f t="shared" si="11"/>
        <v>0.18717971856286431</v>
      </c>
      <c r="F22" s="30">
        <f>INDEX(A22:D30,,F15)</f>
        <v>-0.9190462046766612</v>
      </c>
      <c r="G22" s="26">
        <f>INDEX(A16:D24,,G15)</f>
        <v>-0.26918718173160688</v>
      </c>
      <c r="I22" s="30">
        <f t="shared" si="12"/>
        <v>0.77218418752197027</v>
      </c>
      <c r="J22">
        <f t="shared" si="13"/>
        <v>0.49479091543607995</v>
      </c>
      <c r="K22">
        <f t="shared" si="14"/>
        <v>0.35145036946089137</v>
      </c>
      <c r="L22" s="26">
        <f t="shared" si="15"/>
        <v>0.38206972102926129</v>
      </c>
      <c r="Q22" s="30">
        <v>-0.95752438246980909</v>
      </c>
      <c r="R22" s="26">
        <v>-1.5960016133805016E-2</v>
      </c>
      <c r="V22" s="30" t="e">
        <f ca="1"/>
        <v>#NAME?</v>
      </c>
      <c r="W22" t="e">
        <f ca="1"/>
        <v>#NAME?</v>
      </c>
      <c r="X22" t="e">
        <f ca="1"/>
        <v>#NAME?</v>
      </c>
      <c r="Y22" t="e">
        <f ca="1"/>
        <v>#NAME?</v>
      </c>
      <c r="Z22" s="30" t="e">
        <f ca="1"/>
        <v>#NAME?</v>
      </c>
      <c r="AA22" t="e">
        <f ca="1"/>
        <v>#NAME?</v>
      </c>
      <c r="AB22" t="e">
        <f ca="1"/>
        <v>#NAME?</v>
      </c>
      <c r="AC22" s="26" t="e">
        <f ca="1"/>
        <v>#NAME?</v>
      </c>
      <c r="AE22" s="30">
        <v>-0.687892728351156</v>
      </c>
      <c r="AF22">
        <v>-3.5303982803742376E-2</v>
      </c>
      <c r="AG22">
        <v>0.11603236905930761</v>
      </c>
      <c r="AH22" s="26">
        <v>-0.11762701672464819</v>
      </c>
      <c r="AI22" s="30" t="e">
        <f ca="1"/>
        <v>#NAME?</v>
      </c>
      <c r="AJ22" t="e">
        <f ca="1"/>
        <v>#NAME?</v>
      </c>
      <c r="AK22" t="e">
        <f ca="1"/>
        <v>#NAME?</v>
      </c>
      <c r="AL22" s="26" t="e">
        <f ca="1"/>
        <v>#NAME?</v>
      </c>
    </row>
    <row r="23" spans="1:47" x14ac:dyDescent="0.35">
      <c r="A23" s="113">
        <f t="shared" si="11"/>
        <v>-0.97113658653328405</v>
      </c>
      <c r="B23" s="114">
        <f t="shared" si="11"/>
        <v>-4.9840604411149271E-2</v>
      </c>
      <c r="C23" s="114">
        <f t="shared" si="11"/>
        <v>0.16380937633360707</v>
      </c>
      <c r="D23" s="115">
        <f t="shared" si="11"/>
        <v>-0.16606062951105244</v>
      </c>
      <c r="F23" s="30">
        <f>INDEX(A23:D31,,F15)</f>
        <v>-0.97113658653328405</v>
      </c>
      <c r="G23" s="26">
        <f>INDEX(A16:D24,,G15)</f>
        <v>-4.9840604411149271E-2</v>
      </c>
      <c r="I23" s="30">
        <f t="shared" si="12"/>
        <v>0.94062218385545004</v>
      </c>
      <c r="J23">
        <f t="shared" si="13"/>
        <v>9.6804068877198488E-2</v>
      </c>
      <c r="K23">
        <f t="shared" si="14"/>
        <v>0.87539906500981468</v>
      </c>
      <c r="L23" s="26">
        <f t="shared" si="15"/>
        <v>9.1056054673363848E-2</v>
      </c>
      <c r="Q23" s="30">
        <v>-0.94961241822516729</v>
      </c>
      <c r="R23" s="26">
        <v>0.20934806114253185</v>
      </c>
      <c r="V23" s="27" t="e">
        <f ca="1"/>
        <v>#NAME?</v>
      </c>
      <c r="W23" s="28" t="e">
        <f ca="1"/>
        <v>#NAME?</v>
      </c>
      <c r="X23" s="28" t="e">
        <f ca="1"/>
        <v>#NAME?</v>
      </c>
      <c r="Y23" s="28" t="e">
        <f ca="1"/>
        <v>#NAME?</v>
      </c>
      <c r="Z23" s="27" t="e">
        <f ca="1"/>
        <v>#NAME?</v>
      </c>
      <c r="AA23" s="28" t="e">
        <f ca="1"/>
        <v>#NAME?</v>
      </c>
      <c r="AB23" s="28" t="e">
        <f ca="1"/>
        <v>#NAME?</v>
      </c>
      <c r="AC23" s="29" t="e">
        <f ca="1"/>
        <v>#NAME?</v>
      </c>
      <c r="AE23" s="27">
        <v>-0.30145846294129242</v>
      </c>
      <c r="AF23" s="28">
        <v>0.74107631451599554</v>
      </c>
      <c r="AG23" s="28">
        <v>-0.34419877868563109</v>
      </c>
      <c r="AH23" s="29">
        <v>-0.23397915226319332</v>
      </c>
      <c r="AI23" s="27" t="e">
        <f ca="1"/>
        <v>#NAME?</v>
      </c>
      <c r="AJ23" s="28" t="e">
        <f ca="1"/>
        <v>#NAME?</v>
      </c>
      <c r="AK23" s="28" t="e">
        <f ca="1"/>
        <v>#NAME?</v>
      </c>
      <c r="AL23" s="29" t="e">
        <f ca="1"/>
        <v>#NAME?</v>
      </c>
    </row>
    <row r="24" spans="1:47" x14ac:dyDescent="0.35">
      <c r="A24" s="116">
        <f t="shared" si="11"/>
        <v>-0.33427559488723679</v>
      </c>
      <c r="B24" s="117">
        <f t="shared" si="11"/>
        <v>0.82175077612572589</v>
      </c>
      <c r="C24" s="117">
        <f t="shared" si="11"/>
        <v>-0.38166867296409768</v>
      </c>
      <c r="D24" s="118">
        <f t="shared" si="11"/>
        <v>-0.25945040504376887</v>
      </c>
      <c r="F24" s="27">
        <f>INDEX(A24:D32,,F15)</f>
        <v>-0.33427559488723679</v>
      </c>
      <c r="G24" s="29">
        <f>INDEX(A16:D24,,G15)</f>
        <v>0.82175077612572589</v>
      </c>
      <c r="I24" s="27">
        <f t="shared" si="12"/>
        <v>-0.56353416472601681</v>
      </c>
      <c r="J24" s="28">
        <f t="shared" si="13"/>
        <v>-0.54938245907695116</v>
      </c>
      <c r="K24" s="28">
        <f t="shared" si="14"/>
        <v>1.5749668472011535E-2</v>
      </c>
      <c r="L24" s="29">
        <f t="shared" si="15"/>
        <v>0.3095957851910548</v>
      </c>
      <c r="Q24" s="27">
        <v>-0.10450918578836144</v>
      </c>
      <c r="R24" s="29">
        <v>0.88096103289890326</v>
      </c>
    </row>
    <row r="25" spans="1:47" x14ac:dyDescent="0.35">
      <c r="I25">
        <f>SUM(I16:I24)</f>
        <v>2.3213410161289172</v>
      </c>
      <c r="J25">
        <f>SUM(J16:J24)</f>
        <v>-8.7730521557277064E-2</v>
      </c>
      <c r="K25">
        <f>SUM(K16:K24)</f>
        <v>1.877124371680531</v>
      </c>
      <c r="L25">
        <f>SUM(L16:L24)</f>
        <v>1.1544888049406057</v>
      </c>
      <c r="Z25" t="s">
        <v>257</v>
      </c>
    </row>
    <row r="26" spans="1:47" x14ac:dyDescent="0.35">
      <c r="A26" s="12" t="s">
        <v>2</v>
      </c>
      <c r="B26">
        <f>COUNT(A16:A24)</f>
        <v>9</v>
      </c>
      <c r="I26" s="12" t="s">
        <v>16</v>
      </c>
      <c r="J26" s="12" t="s">
        <v>258</v>
      </c>
      <c r="K26" s="12" t="s">
        <v>18</v>
      </c>
      <c r="L26" s="12" t="s">
        <v>19</v>
      </c>
      <c r="N26" s="12"/>
      <c r="Z26" s="94" t="e">
        <f t="array" aca="1" ref="Z26:AC29" ca="1">MINVERSE(Z15:AC18)</f>
        <v>#NAME?</v>
      </c>
      <c r="AA26" s="95" t="e">
        <f ca="1"/>
        <v>#NAME?</v>
      </c>
      <c r="AB26" s="95" t="e">
        <f ca="1"/>
        <v>#NAME?</v>
      </c>
      <c r="AC26" s="96" t="e">
        <f ca="1"/>
        <v>#NAME?</v>
      </c>
    </row>
    <row r="27" spans="1:47" x14ac:dyDescent="0.35">
      <c r="Z27" s="30" t="e">
        <f ca="1"/>
        <v>#NAME?</v>
      </c>
      <c r="AA27" t="e">
        <f ca="1"/>
        <v>#NAME?</v>
      </c>
      <c r="AB27" t="e">
        <f ca="1"/>
        <v>#NAME?</v>
      </c>
      <c r="AC27" s="26" t="e">
        <f ca="1"/>
        <v>#NAME?</v>
      </c>
    </row>
    <row r="28" spans="1:47" x14ac:dyDescent="0.3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12" t="s">
        <v>251</v>
      </c>
      <c r="J28" s="12" t="s">
        <v>252</v>
      </c>
      <c r="K28" s="12" t="s">
        <v>253</v>
      </c>
      <c r="L28" s="12" t="s">
        <v>254</v>
      </c>
      <c r="Q28">
        <f>F28</f>
        <v>1</v>
      </c>
      <c r="R28">
        <f>G28</f>
        <v>3</v>
      </c>
      <c r="Z28" s="30" t="e">
        <f ca="1"/>
        <v>#NAME?</v>
      </c>
      <c r="AA28" t="e">
        <f ca="1"/>
        <v>#NAME?</v>
      </c>
      <c r="AB28" t="e">
        <f ca="1"/>
        <v>#NAME?</v>
      </c>
      <c r="AC28" s="26" t="e">
        <f ca="1"/>
        <v>#NAME?</v>
      </c>
    </row>
    <row r="29" spans="1:47" x14ac:dyDescent="0.35">
      <c r="A29" s="110">
        <f t="array" ref="A29:A37">IF(A28=$Q15,$Q16:$Q24,IF(A28=$R15,$R16:$R24,A16:A24))</f>
        <v>-3.0083174932662826E-2</v>
      </c>
      <c r="B29" s="111">
        <f t="array" ref="B29:B37">IF(B28=$Q15,$Q16:$Q24,IF(B28=$R15,$R16:$R24,B16:B24))</f>
        <v>-0.93396351291960023</v>
      </c>
      <c r="C29" s="111">
        <f t="array" ref="C29:C37">IF(C28=$Q15,$Q16:$Q24,IF(C28=$R15,$R16:$R24,C16:C24))</f>
        <v>-0.32891839674667611</v>
      </c>
      <c r="D29" s="112">
        <f t="array" ref="D29:D37">IF(D28=$Q15,$Q16:$Q24,IF(D28=$R15,$R16:$R24,D16:D24))</f>
        <v>-0.13645456167694339</v>
      </c>
      <c r="F29" s="94">
        <f>INDEX(A29:D37,,F28)</f>
        <v>-3.0083174932662826E-2</v>
      </c>
      <c r="G29" s="96">
        <f>INDEX(A29:D37,,G28)</f>
        <v>-0.32891839674667611</v>
      </c>
      <c r="I29" s="94">
        <f>F29^2-G29^2</f>
        <v>-0.10728231430437464</v>
      </c>
      <c r="J29" s="95">
        <f>2*F29*G29</f>
        <v>1.9789819335802504E-2</v>
      </c>
      <c r="K29" s="95">
        <f>I29^2-J29^2</f>
        <v>1.1117858013158925E-2</v>
      </c>
      <c r="L29" s="96">
        <f t="shared" ref="L29:L37" si="16">I29*J29</f>
        <v>-2.1230976180103547E-3</v>
      </c>
      <c r="N29" t="s">
        <v>12</v>
      </c>
      <c r="O29" s="51">
        <f>2*L38*B39-2*I38*J38</f>
        <v>17.580886216587768</v>
      </c>
      <c r="Q29" s="94">
        <f t="array" ref="Q29:R37">MMULT(F29:G37,N33:O34)</f>
        <v>-0.13461374415138255</v>
      </c>
      <c r="R29" s="96">
        <v>-0.30161473607564193</v>
      </c>
      <c r="Z29" s="27" t="e">
        <f ca="1"/>
        <v>#NAME?</v>
      </c>
      <c r="AA29" s="28" t="e">
        <f ca="1"/>
        <v>#NAME?</v>
      </c>
      <c r="AB29" s="28" t="e">
        <f ca="1"/>
        <v>#NAME?</v>
      </c>
      <c r="AC29" s="29" t="e">
        <f ca="1"/>
        <v>#NAME?</v>
      </c>
    </row>
    <row r="30" spans="1:47" x14ac:dyDescent="0.35">
      <c r="A30" s="113">
        <v>-0.71476249629075472</v>
      </c>
      <c r="B30" s="114">
        <v>0.57601593258523343</v>
      </c>
      <c r="C30" s="114">
        <v>-0.23549504039980643</v>
      </c>
      <c r="D30" s="115">
        <v>0.31915874616132023</v>
      </c>
      <c r="F30" s="30">
        <f>INDEX(A30:D38,,F28)</f>
        <v>-0.71476249629075472</v>
      </c>
      <c r="G30" s="26">
        <f>INDEX(A29:D37,,G28)</f>
        <v>-0.23549504039980643</v>
      </c>
      <c r="I30" s="30">
        <f t="shared" ref="I30:I37" si="17">F30^2-G30^2</f>
        <v>0.45542751205088472</v>
      </c>
      <c r="J30">
        <f t="shared" ref="J30:J37" si="18">2*F30*G30</f>
        <v>0.33664604588051555</v>
      </c>
      <c r="K30">
        <f t="shared" ref="K30:K37" si="19">I30^2-J30^2</f>
        <v>9.4083658525872568E-2</v>
      </c>
      <c r="L30" s="26">
        <f t="shared" si="16"/>
        <v>0.15331787111713119</v>
      </c>
      <c r="N30" t="s">
        <v>255</v>
      </c>
      <c r="O30" s="52">
        <f>K38*B39-(I38^2-J38^2)</f>
        <v>4.6110642342357453</v>
      </c>
      <c r="Q30" s="30">
        <v>-0.75251793220706364</v>
      </c>
      <c r="R30" s="26">
        <v>7.7525391648738951E-3</v>
      </c>
    </row>
    <row r="31" spans="1:47" ht="15" customHeight="1" x14ac:dyDescent="0.35">
      <c r="A31" s="113">
        <v>-0.90249729133518475</v>
      </c>
      <c r="B31" s="114">
        <v>-0.15010218210701462</v>
      </c>
      <c r="C31" s="114">
        <v>-0.22250221058195188</v>
      </c>
      <c r="D31" s="115">
        <v>0.33683933907059044</v>
      </c>
      <c r="F31" s="30">
        <f>INDEX(A31:D39,,F28)</f>
        <v>-0.90249729133518475</v>
      </c>
      <c r="G31" s="26">
        <f>INDEX(A29:D37,,G28)</f>
        <v>-0.22250221058195188</v>
      </c>
      <c r="I31" s="30">
        <f t="shared" si="17"/>
        <v>0.76499412715349013</v>
      </c>
      <c r="J31">
        <f t="shared" si="18"/>
        <v>0.40161528473260488</v>
      </c>
      <c r="K31">
        <f t="shared" si="19"/>
        <v>0.42392117764847898</v>
      </c>
      <c r="L31" s="26">
        <f t="shared" si="16"/>
        <v>0.30723333419551946</v>
      </c>
      <c r="N31" t="s">
        <v>256</v>
      </c>
      <c r="O31" s="53">
        <f>0.25*ATAN(O29/O30)</f>
        <v>0.32857412959128013</v>
      </c>
      <c r="Q31" s="30">
        <v>-0.92601685353432095</v>
      </c>
      <c r="R31" s="26">
        <v>8.0631145047039832E-2</v>
      </c>
      <c r="Z31" t="s">
        <v>259</v>
      </c>
    </row>
    <row r="32" spans="1:47" x14ac:dyDescent="0.35">
      <c r="A32" s="113">
        <v>-0.41248335532579117</v>
      </c>
      <c r="B32" s="114">
        <v>-6.2197554310475037E-2</v>
      </c>
      <c r="C32" s="114">
        <v>-0.20553223141123222</v>
      </c>
      <c r="D32" s="115">
        <v>-0.88529398940018356</v>
      </c>
      <c r="F32" s="30">
        <f>INDEX(A32:D40,,F28)</f>
        <v>-0.41248335532579117</v>
      </c>
      <c r="G32" s="26">
        <f>INDEX(A29:D37,,G28)</f>
        <v>-0.20553223141123222</v>
      </c>
      <c r="I32" s="30">
        <f t="shared" si="17"/>
        <v>0.12789902027194258</v>
      </c>
      <c r="J32">
        <f t="shared" si="18"/>
        <v>0.16955724888020407</v>
      </c>
      <c r="K32">
        <f t="shared" si="19"/>
        <v>-1.2391501261300685E-2</v>
      </c>
      <c r="L32" s="26">
        <f t="shared" si="16"/>
        <v>2.1686206011784035E-2</v>
      </c>
      <c r="Q32" s="30">
        <v>-0.45674087830477078</v>
      </c>
      <c r="R32" s="26">
        <v>-6.1431153782830678E-2</v>
      </c>
      <c r="Z32" s="94" t="e">
        <f t="array" aca="1" ref="Z32:AC40" ca="1">MMULT(G4:J12,TRANSPOSE(Z26:AC29))</f>
        <v>#NAME?</v>
      </c>
      <c r="AA32" s="95" t="e">
        <f ca="1"/>
        <v>#NAME?</v>
      </c>
      <c r="AB32" s="95" t="e">
        <f ca="1"/>
        <v>#NAME?</v>
      </c>
      <c r="AC32" s="96" t="e">
        <f ca="1"/>
        <v>#NAME?</v>
      </c>
    </row>
    <row r="33" spans="1:29" x14ac:dyDescent="0.35">
      <c r="A33" s="113">
        <v>-0.75648654267145599</v>
      </c>
      <c r="B33" s="114">
        <v>0.1471163054483709</v>
      </c>
      <c r="C33" s="114">
        <v>0.60170242312218147</v>
      </c>
      <c r="D33" s="115">
        <v>-0.20985494379952999</v>
      </c>
      <c r="F33" s="30">
        <f>INDEX(A33:D41,,F28)</f>
        <v>-0.75648654267145599</v>
      </c>
      <c r="G33" s="26">
        <f>INDEX(A29:D37,,G28)</f>
        <v>0.60170242312218147</v>
      </c>
      <c r="I33" s="30">
        <f t="shared" si="17"/>
        <v>0.21022608325190795</v>
      </c>
      <c r="J33">
        <f t="shared" si="18"/>
        <v>-0.91035957156947322</v>
      </c>
      <c r="K33">
        <f t="shared" si="19"/>
        <v>-0.7845595434687167</v>
      </c>
      <c r="L33" s="26">
        <f t="shared" si="16"/>
        <v>-0.19138132708193534</v>
      </c>
      <c r="N33" s="94">
        <f>COS(O31)</f>
        <v>0.946503425034944</v>
      </c>
      <c r="O33" s="96">
        <f>-N34</f>
        <v>-0.32269376566199753</v>
      </c>
      <c r="Q33" s="30">
        <v>-0.52185148290613104</v>
      </c>
      <c r="R33" s="26">
        <v>0.81362689546424738</v>
      </c>
      <c r="Z33" s="30" t="e">
        <f ca="1"/>
        <v>#NAME?</v>
      </c>
      <c r="AA33" t="e">
        <f ca="1"/>
        <v>#NAME?</v>
      </c>
      <c r="AB33" t="e">
        <f ca="1"/>
        <v>#NAME?</v>
      </c>
      <c r="AC33" s="26" t="e">
        <f ca="1"/>
        <v>#NAME?</v>
      </c>
    </row>
    <row r="34" spans="1:29" x14ac:dyDescent="0.35">
      <c r="A34" s="113">
        <v>-0.35780760604420464</v>
      </c>
      <c r="B34" s="114">
        <v>6.038993361572554E-2</v>
      </c>
      <c r="C34" s="114">
        <v>0.92867131179100471</v>
      </c>
      <c r="D34" s="115">
        <v>-7.6787809131256338E-2</v>
      </c>
      <c r="F34" s="30">
        <f>INDEX(A34:D42,,F28)</f>
        <v>-0.35780760604420464</v>
      </c>
      <c r="G34" s="26">
        <f>INDEX(A29:D37,,G28)</f>
        <v>0.92867131179100471</v>
      </c>
      <c r="I34" s="30">
        <f t="shared" si="17"/>
        <v>-0.73440412240054076</v>
      </c>
      <c r="J34">
        <f t="shared" si="18"/>
        <v>-0.66457131774774114</v>
      </c>
      <c r="K34">
        <f t="shared" si="19"/>
        <v>9.7694378625939327E-2</v>
      </c>
      <c r="L34" s="26">
        <f t="shared" si="16"/>
        <v>0.48806391538310073</v>
      </c>
      <c r="N34" s="27">
        <f>SIN(O31)</f>
        <v>0.32269376566199753</v>
      </c>
      <c r="O34" s="29">
        <f>N33</f>
        <v>0.946503425034944</v>
      </c>
      <c r="Q34" s="30">
        <v>-3.8989681960287292E-2</v>
      </c>
      <c r="R34" s="26">
        <v>0.99445286111878928</v>
      </c>
      <c r="Z34" s="30" t="e">
        <f ca="1"/>
        <v>#NAME?</v>
      </c>
      <c r="AA34" t="e">
        <f ca="1"/>
        <v>#NAME?</v>
      </c>
      <c r="AB34" t="e">
        <f ca="1"/>
        <v>#NAME?</v>
      </c>
      <c r="AC34" s="26" t="e">
        <f ca="1"/>
        <v>#NAME?</v>
      </c>
    </row>
    <row r="35" spans="1:29" x14ac:dyDescent="0.35">
      <c r="A35" s="113">
        <v>-0.95752438246980909</v>
      </c>
      <c r="B35" s="114">
        <v>-1.5960016133805016E-2</v>
      </c>
      <c r="C35" s="114">
        <v>-0.21876034334299801</v>
      </c>
      <c r="D35" s="115">
        <v>0.18717971856286431</v>
      </c>
      <c r="F35" s="30">
        <f>INDEX(A35:D43,,F28)</f>
        <v>-0.95752438246980909</v>
      </c>
      <c r="G35" s="26">
        <f>INDEX(A29:D37,,G28)</f>
        <v>-0.21876034334299801</v>
      </c>
      <c r="I35" s="30">
        <f t="shared" si="17"/>
        <v>0.86899685520464276</v>
      </c>
      <c r="J35">
        <f t="shared" si="18"/>
        <v>0.41893672533677517</v>
      </c>
      <c r="K35">
        <f t="shared" si="19"/>
        <v>0.57964755451965821</v>
      </c>
      <c r="L35" s="26">
        <f t="shared" si="16"/>
        <v>0.36405469684738878</v>
      </c>
      <c r="Q35" s="30">
        <v>-0.97689270653300753</v>
      </c>
      <c r="R35" s="26">
        <v>0.10192973445639356</v>
      </c>
      <c r="Z35" s="30" t="e">
        <f ca="1"/>
        <v>#NAME?</v>
      </c>
      <c r="AA35" t="e">
        <f ca="1"/>
        <v>#NAME?</v>
      </c>
      <c r="AB35" t="e">
        <f ca="1"/>
        <v>#NAME?</v>
      </c>
      <c r="AC35" s="26" t="e">
        <f ca="1"/>
        <v>#NAME?</v>
      </c>
    </row>
    <row r="36" spans="1:29" x14ac:dyDescent="0.35">
      <c r="A36" s="113">
        <v>-0.94961241822516729</v>
      </c>
      <c r="B36" s="114">
        <v>0.20934806114253185</v>
      </c>
      <c r="C36" s="114">
        <v>0.16380937633360707</v>
      </c>
      <c r="D36" s="115">
        <v>-0.16606062951105244</v>
      </c>
      <c r="F36" s="30">
        <f>INDEX(A36:D44,,F28)</f>
        <v>-0.94961241822516729</v>
      </c>
      <c r="G36" s="26">
        <f>INDEX(A29:D37,,G28)</f>
        <v>0.16380937633360707</v>
      </c>
      <c r="I36" s="30">
        <f t="shared" si="17"/>
        <v>0.87493023307264473</v>
      </c>
      <c r="J36">
        <f t="shared" si="18"/>
        <v>-0.31111083597622619</v>
      </c>
      <c r="K36">
        <f t="shared" si="19"/>
        <v>0.6687129604827261</v>
      </c>
      <c r="L36" s="26">
        <f t="shared" si="16"/>
        <v>-0.27220027623210491</v>
      </c>
      <c r="Q36" s="30">
        <v>-0.84595114180600162</v>
      </c>
      <c r="R36" s="26">
        <v>0.46148014290907213</v>
      </c>
      <c r="Z36" s="30" t="e">
        <f ca="1"/>
        <v>#NAME?</v>
      </c>
      <c r="AA36" t="e">
        <f ca="1"/>
        <v>#NAME?</v>
      </c>
      <c r="AB36" t="e">
        <f ca="1"/>
        <v>#NAME?</v>
      </c>
      <c r="AC36" s="26" t="e">
        <f ca="1"/>
        <v>#NAME?</v>
      </c>
    </row>
    <row r="37" spans="1:29" x14ac:dyDescent="0.35">
      <c r="A37" s="116">
        <v>-0.10450918578836144</v>
      </c>
      <c r="B37" s="117">
        <v>0.88096103289890326</v>
      </c>
      <c r="C37" s="117">
        <v>-0.38166867296409768</v>
      </c>
      <c r="D37" s="118">
        <v>-0.25945040504376887</v>
      </c>
      <c r="F37" s="27">
        <f>INDEX(A37:D45,,F28)</f>
        <v>-0.10450918578836144</v>
      </c>
      <c r="G37" s="29">
        <f>INDEX(A29:D37,,G28)</f>
        <v>-0.38166867296409768</v>
      </c>
      <c r="I37" s="27">
        <f t="shared" si="17"/>
        <v>-0.1347488060080291</v>
      </c>
      <c r="J37" s="28">
        <f t="shared" si="18"/>
        <v>7.9775764504804489E-2</v>
      </c>
      <c r="K37" s="28">
        <f t="shared" si="19"/>
        <v>1.1793068118263438E-2</v>
      </c>
      <c r="L37" s="29">
        <f t="shared" si="16"/>
        <v>-1.0749689015400113E-2</v>
      </c>
      <c r="Q37" s="27">
        <v>-0.22208040361029951</v>
      </c>
      <c r="R37" s="29">
        <v>-0.32752624348074477</v>
      </c>
      <c r="Z37" s="30" t="e">
        <f ca="1"/>
        <v>#NAME?</v>
      </c>
      <c r="AA37" t="e">
        <f ca="1"/>
        <v>#NAME?</v>
      </c>
      <c r="AB37" t="e">
        <f ca="1"/>
        <v>#NAME?</v>
      </c>
      <c r="AC37" s="26" t="e">
        <f ca="1"/>
        <v>#NAME?</v>
      </c>
    </row>
    <row r="38" spans="1:29" x14ac:dyDescent="0.35">
      <c r="I38">
        <f>SUM(I29:I37)</f>
        <v>2.326038588292568</v>
      </c>
      <c r="J38">
        <f>SUM(J29:J37)</f>
        <v>-0.45972083662273389</v>
      </c>
      <c r="K38">
        <f>SUM(K29:K37)</f>
        <v>1.0900196112040801</v>
      </c>
      <c r="L38">
        <f>SUM(L29:L37)</f>
        <v>0.85790163360747351</v>
      </c>
      <c r="Z38" s="30" t="e">
        <f ca="1"/>
        <v>#NAME?</v>
      </c>
      <c r="AA38" t="e">
        <f ca="1"/>
        <v>#NAME?</v>
      </c>
      <c r="AB38" t="e">
        <f ca="1"/>
        <v>#NAME?</v>
      </c>
      <c r="AC38" s="26" t="e">
        <f ca="1"/>
        <v>#NAME?</v>
      </c>
    </row>
    <row r="39" spans="1:29" x14ac:dyDescent="0.35">
      <c r="A39" s="12" t="s">
        <v>2</v>
      </c>
      <c r="B39">
        <f>COUNT(A29:A37)</f>
        <v>9</v>
      </c>
      <c r="I39" s="12" t="s">
        <v>16</v>
      </c>
      <c r="J39" s="12" t="s">
        <v>258</v>
      </c>
      <c r="K39" s="12" t="s">
        <v>18</v>
      </c>
      <c r="L39" s="12" t="s">
        <v>19</v>
      </c>
      <c r="N39" s="12"/>
      <c r="Z39" s="30" t="e">
        <f ca="1"/>
        <v>#NAME?</v>
      </c>
      <c r="AA39" t="e">
        <f ca="1"/>
        <v>#NAME?</v>
      </c>
      <c r="AB39" t="e">
        <f ca="1"/>
        <v>#NAME?</v>
      </c>
      <c r="AC39" s="26" t="e">
        <f ca="1"/>
        <v>#NAME?</v>
      </c>
    </row>
    <row r="40" spans="1:29" x14ac:dyDescent="0.35">
      <c r="Z40" s="27" t="e">
        <f ca="1"/>
        <v>#NAME?</v>
      </c>
      <c r="AA40" s="28" t="e">
        <f ca="1"/>
        <v>#NAME?</v>
      </c>
      <c r="AB40" s="28" t="e">
        <f ca="1"/>
        <v>#NAME?</v>
      </c>
      <c r="AC40" s="29" t="e">
        <f ca="1"/>
        <v>#NAME?</v>
      </c>
    </row>
    <row r="41" spans="1:29" x14ac:dyDescent="0.3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12" t="s">
        <v>251</v>
      </c>
      <c r="J41" s="12" t="s">
        <v>252</v>
      </c>
      <c r="K41" s="12" t="s">
        <v>253</v>
      </c>
      <c r="L41" s="12" t="s">
        <v>254</v>
      </c>
      <c r="Q41">
        <f>F41</f>
        <v>1</v>
      </c>
      <c r="R41">
        <f>G41</f>
        <v>4</v>
      </c>
    </row>
    <row r="42" spans="1:29" x14ac:dyDescent="0.35">
      <c r="A42" s="110">
        <f t="array" ref="A42:A50">IF(A41=$Q28,$Q29:$Q37,IF(A41=$R28,$R29:$R37,A29:A37))</f>
        <v>-0.13461374415138255</v>
      </c>
      <c r="B42" s="111">
        <f t="array" ref="B42:B50">IF(B41=$Q28,$Q29:$Q37,IF(B41=$R28,$R29:$R37,B29:B37))</f>
        <v>-0.93396351291960023</v>
      </c>
      <c r="C42" s="111">
        <f t="array" ref="C42:C50">IF(C41=$Q28,$Q29:$Q37,IF(C41=$R28,$R29:$R37,C29:C37))</f>
        <v>-0.30161473607564193</v>
      </c>
      <c r="D42" s="112">
        <f t="array" ref="D42:D50">IF(D41=$Q28,$Q29:$Q37,IF(D41=$R28,$R29:$R37,D29:D37))</f>
        <v>-0.13645456167694339</v>
      </c>
      <c r="F42" s="94">
        <f>INDEX(A42:D50,,F41)</f>
        <v>-0.13461374415138255</v>
      </c>
      <c r="G42" s="96">
        <f>INDEX(A42:D50,,G41)</f>
        <v>-0.13645456167694339</v>
      </c>
      <c r="I42" s="94">
        <f>F42^2-G42^2</f>
        <v>-4.9898728799286848E-4</v>
      </c>
      <c r="J42" s="95">
        <f>2*F42*G42</f>
        <v>3.6737318907738216E-2</v>
      </c>
      <c r="K42" s="95">
        <f>I42^2-J42^2</f>
        <v>-1.3493816122152813E-3</v>
      </c>
      <c r="L42" s="96">
        <f t="shared" ref="L42:L50" si="20">I42*J42</f>
        <v>-1.8331455129901423E-5</v>
      </c>
      <c r="N42" t="s">
        <v>12</v>
      </c>
      <c r="O42" s="51">
        <f>2*L51*B52-2*I51*J51</f>
        <v>-22.436396662090793</v>
      </c>
      <c r="Q42" s="94">
        <f t="array" ref="Q42:R50">MMULT(F42:G50,N46:O47)</f>
        <v>-7.6684304848265522E-2</v>
      </c>
      <c r="R42" s="96">
        <v>-0.17567078558154997</v>
      </c>
    </row>
    <row r="43" spans="1:29" x14ac:dyDescent="0.35">
      <c r="A43" s="113">
        <v>-0.75251793220706364</v>
      </c>
      <c r="B43" s="114">
        <v>0.57601593258523343</v>
      </c>
      <c r="C43" s="114">
        <v>7.7525391648738951E-3</v>
      </c>
      <c r="D43" s="115">
        <v>0.31915874616132023</v>
      </c>
      <c r="F43" s="30">
        <f>INDEX(A43:D51,,F41)</f>
        <v>-0.75251793220706364</v>
      </c>
      <c r="G43" s="26">
        <f>INDEX(A42:D50,,G41)</f>
        <v>0.31915874616132023</v>
      </c>
      <c r="I43" s="30">
        <f t="shared" ref="I43:I50" si="21">F43^2-G43^2</f>
        <v>0.46442093304192877</v>
      </c>
      <c r="J43">
        <f t="shared" ref="J43:J50" si="22">2*F43*G43</f>
        <v>-0.48034535941423162</v>
      </c>
      <c r="K43">
        <f t="shared" ref="K43:K50" si="23">I43^2-J43^2</f>
        <v>-1.5044861263251663E-2</v>
      </c>
      <c r="L43" s="26">
        <f t="shared" si="20"/>
        <v>-0.22308244000151808</v>
      </c>
      <c r="N43" t="s">
        <v>255</v>
      </c>
      <c r="O43" s="52">
        <f>K51*B52-(I51^2-J51^2)</f>
        <v>2.3129641916732746</v>
      </c>
      <c r="Q43" s="30">
        <v>-0.81692626638398269</v>
      </c>
      <c r="R43" s="26">
        <v>2.7875057603292785E-2</v>
      </c>
    </row>
    <row r="44" spans="1:29" x14ac:dyDescent="0.35">
      <c r="A44" s="113">
        <v>-0.92601685353432095</v>
      </c>
      <c r="B44" s="114">
        <v>-0.15010218210701462</v>
      </c>
      <c r="C44" s="114">
        <v>8.0631145047039832E-2</v>
      </c>
      <c r="D44" s="115">
        <v>0.33683933907059044</v>
      </c>
      <c r="F44" s="30">
        <f>INDEX(A44:D52,,F41)</f>
        <v>-0.92601685353432095</v>
      </c>
      <c r="G44" s="26">
        <f>INDEX(A42:D50,,G41)</f>
        <v>0.33683933907059044</v>
      </c>
      <c r="I44" s="30">
        <f t="shared" si="21"/>
        <v>0.74404647268409174</v>
      </c>
      <c r="J44">
        <f t="shared" si="22"/>
        <v>-0.62383780982545689</v>
      </c>
      <c r="K44">
        <f t="shared" si="23"/>
        <v>0.16443154054581599</v>
      </c>
      <c r="L44" s="26">
        <f t="shared" si="20"/>
        <v>-0.46416432192760043</v>
      </c>
      <c r="N44" t="s">
        <v>256</v>
      </c>
      <c r="O44" s="53">
        <f>0.25*ATAN(O42/O43)</f>
        <v>-0.36701734684512233</v>
      </c>
      <c r="Q44" s="30">
        <v>-0.98521484722246089</v>
      </c>
      <c r="R44" s="26">
        <v>-1.7878987318617423E-2</v>
      </c>
    </row>
    <row r="45" spans="1:29" x14ac:dyDescent="0.35">
      <c r="A45" s="113">
        <v>-0.45674087830477078</v>
      </c>
      <c r="B45" s="114">
        <v>-6.2197554310475037E-2</v>
      </c>
      <c r="C45" s="114">
        <v>-6.1431153782830678E-2</v>
      </c>
      <c r="D45" s="115">
        <v>-0.88529398940018356</v>
      </c>
      <c r="F45" s="30">
        <f>INDEX(A45:D53,,F41)</f>
        <v>-0.45674087830477078</v>
      </c>
      <c r="G45" s="26">
        <f>INDEX(A42:D50,,G41)</f>
        <v>-0.88529398940018356</v>
      </c>
      <c r="I45" s="30">
        <f t="shared" si="21"/>
        <v>-0.57513321775347892</v>
      </c>
      <c r="J45">
        <f t="shared" si="22"/>
        <v>0.80869990855314855</v>
      </c>
      <c r="K45">
        <f t="shared" si="23"/>
        <v>-0.3232173239304002</v>
      </c>
      <c r="L45" s="26">
        <f t="shared" si="20"/>
        <v>-0.46511018060311649</v>
      </c>
      <c r="Q45" s="30">
        <v>-0.10865002992580647</v>
      </c>
      <c r="R45" s="26">
        <v>-0.99022868499141503</v>
      </c>
    </row>
    <row r="46" spans="1:29" x14ac:dyDescent="0.35">
      <c r="A46" s="113">
        <v>-0.52185148290613104</v>
      </c>
      <c r="B46" s="114">
        <v>0.1471163054483709</v>
      </c>
      <c r="C46" s="114">
        <v>0.81362689546424738</v>
      </c>
      <c r="D46" s="115">
        <v>-0.20985494379952999</v>
      </c>
      <c r="F46" s="30">
        <f>INDEX(A46:D54,,F41)</f>
        <v>-0.52185148290613104</v>
      </c>
      <c r="G46" s="26">
        <f>INDEX(A42:D50,,G41)</f>
        <v>-0.20985494379952999</v>
      </c>
      <c r="I46" s="30">
        <f t="shared" si="21"/>
        <v>0.22828987277422408</v>
      </c>
      <c r="J46">
        <f t="shared" si="22"/>
        <v>0.21902622723393503</v>
      </c>
      <c r="K46">
        <f t="shared" si="23"/>
        <v>4.1437777949400734E-3</v>
      </c>
      <c r="L46" s="26">
        <f t="shared" si="20"/>
        <v>5.0001469549453323E-2</v>
      </c>
      <c r="N46" s="94">
        <f>COS(O44)</f>
        <v>0.9334017703243922</v>
      </c>
      <c r="O46" s="96">
        <f>-N47</f>
        <v>0.35883301848532634</v>
      </c>
      <c r="Q46" s="30">
        <v>-0.41179421506333813</v>
      </c>
      <c r="R46" s="26">
        <v>-0.38313651886605782</v>
      </c>
    </row>
    <row r="47" spans="1:29" x14ac:dyDescent="0.35">
      <c r="A47" s="113">
        <v>-3.8989681960287292E-2</v>
      </c>
      <c r="B47" s="114">
        <v>6.038993361572554E-2</v>
      </c>
      <c r="C47" s="114">
        <v>0.99445286111878928</v>
      </c>
      <c r="D47" s="115">
        <v>-7.6787809131256338E-2</v>
      </c>
      <c r="F47" s="30">
        <f>INDEX(A47:D55,,F41)</f>
        <v>-3.8989681960287292E-2</v>
      </c>
      <c r="G47" s="26">
        <f>INDEX(A42:D50,,G41)</f>
        <v>-7.6787809131256338E-2</v>
      </c>
      <c r="I47" s="30">
        <f t="shared" si="21"/>
        <v>-4.3761723318139021E-3</v>
      </c>
      <c r="J47">
        <f t="shared" si="22"/>
        <v>5.9878645129098577E-3</v>
      </c>
      <c r="K47">
        <f t="shared" si="23"/>
        <v>-1.6703637147231685E-5</v>
      </c>
      <c r="L47" s="26">
        <f t="shared" si="20"/>
        <v>-2.6203927008046446E-5</v>
      </c>
      <c r="N47" s="27">
        <f>SIN(O44)</f>
        <v>-0.35883301848532634</v>
      </c>
      <c r="O47" s="29">
        <f>N46</f>
        <v>0.9334017703243922</v>
      </c>
      <c r="Q47" s="30">
        <v>-8.8390368326733623E-3</v>
      </c>
      <c r="R47" s="26">
        <v>-8.566466225003895E-2</v>
      </c>
    </row>
    <row r="48" spans="1:29" x14ac:dyDescent="0.35">
      <c r="A48" s="113">
        <v>-0.97689270653300753</v>
      </c>
      <c r="B48" s="114">
        <v>-1.5960016133805016E-2</v>
      </c>
      <c r="C48" s="114">
        <v>0.10192973445639356</v>
      </c>
      <c r="D48" s="115">
        <v>0.18717971856286431</v>
      </c>
      <c r="F48" s="30">
        <f>INDEX(A48:D56,,F41)</f>
        <v>-0.97689270653300753</v>
      </c>
      <c r="G48" s="26">
        <f>INDEX(A42:D50,,G41)</f>
        <v>0.18717971856286431</v>
      </c>
      <c r="I48" s="30">
        <f t="shared" si="21"/>
        <v>0.91928311303611165</v>
      </c>
      <c r="J48">
        <f t="shared" si="22"/>
        <v>-0.36570900374992626</v>
      </c>
      <c r="K48">
        <f t="shared" si="23"/>
        <v>0.7113383664896008</v>
      </c>
      <c r="L48" s="26">
        <f t="shared" si="20"/>
        <v>-0.33619011143256727</v>
      </c>
      <c r="Q48" s="30">
        <v>-0.97899964510604265</v>
      </c>
      <c r="R48" s="26">
        <v>-0.17582747794614015</v>
      </c>
    </row>
    <row r="49" spans="1:18" x14ac:dyDescent="0.35">
      <c r="A49" s="113">
        <v>-0.84595114180600162</v>
      </c>
      <c r="B49" s="114">
        <v>0.20934806114253185</v>
      </c>
      <c r="C49" s="114">
        <v>0.46148014290907213</v>
      </c>
      <c r="D49" s="115">
        <v>-0.16606062951105244</v>
      </c>
      <c r="F49" s="30">
        <f>INDEX(A49:D57,,F41)</f>
        <v>-0.84595114180600162</v>
      </c>
      <c r="G49" s="26">
        <f>INDEX(A42:D50,,G41)</f>
        <v>-0.16606062951105244</v>
      </c>
      <c r="I49" s="30">
        <f t="shared" si="21"/>
        <v>0.68805720164927087</v>
      </c>
      <c r="J49">
        <f t="shared" si="22"/>
        <v>0.28095835828779642</v>
      </c>
      <c r="K49">
        <f t="shared" si="23"/>
        <v>0.39448511364965161</v>
      </c>
      <c r="L49" s="26">
        <f t="shared" si="20"/>
        <v>0.19331542178347444</v>
      </c>
      <c r="Q49" s="30">
        <v>-0.73002425643063851</v>
      </c>
      <c r="R49" s="26">
        <v>-0.45855648727215526</v>
      </c>
    </row>
    <row r="50" spans="1:18" x14ac:dyDescent="0.35">
      <c r="A50" s="116">
        <v>-0.22208040361029951</v>
      </c>
      <c r="B50" s="117">
        <v>0.88096103289890326</v>
      </c>
      <c r="C50" s="117">
        <v>-0.32752624348074477</v>
      </c>
      <c r="D50" s="118">
        <v>-0.25945040504376887</v>
      </c>
      <c r="F50" s="27">
        <f>INDEX(A50:D58,,F41)</f>
        <v>-0.22208040361029951</v>
      </c>
      <c r="G50" s="29">
        <f>INDEX(A42:D50,,G41)</f>
        <v>-0.25945040504376887</v>
      </c>
      <c r="I50" s="27">
        <f t="shared" si="21"/>
        <v>-1.7994807009662196E-2</v>
      </c>
      <c r="J50" s="28">
        <f t="shared" si="22"/>
        <v>0.11523770133795176</v>
      </c>
      <c r="K50" s="28">
        <f t="shared" si="23"/>
        <v>-1.2955914730339982E-2</v>
      </c>
      <c r="L50" s="29">
        <f t="shared" si="20"/>
        <v>-2.073680195813533E-3</v>
      </c>
      <c r="Q50" s="27">
        <v>-0.11419086989511298</v>
      </c>
      <c r="R50" s="29">
        <v>-0.32186124895315782</v>
      </c>
    </row>
    <row r="51" spans="1:18" x14ac:dyDescent="0.35">
      <c r="I51">
        <f>SUM(I42:I50)</f>
        <v>2.4460944088026793</v>
      </c>
      <c r="J51">
        <f>SUM(J42:J50)</f>
        <v>-3.2447941561350307E-3</v>
      </c>
      <c r="K51">
        <f>SUM(K42:K50)</f>
        <v>0.92181461330665404</v>
      </c>
      <c r="L51">
        <f>SUM(L42:L50)</f>
        <v>-1.247348378209826</v>
      </c>
    </row>
    <row r="52" spans="1:18" x14ac:dyDescent="0.35">
      <c r="A52" s="12" t="s">
        <v>2</v>
      </c>
      <c r="B52">
        <f>COUNT(A42:A50)</f>
        <v>9</v>
      </c>
      <c r="I52" s="12" t="s">
        <v>16</v>
      </c>
      <c r="J52" s="12" t="s">
        <v>258</v>
      </c>
      <c r="K52" s="12" t="s">
        <v>18</v>
      </c>
      <c r="L52" s="12" t="s">
        <v>19</v>
      </c>
      <c r="N52" s="12"/>
    </row>
    <row r="54" spans="1:18" x14ac:dyDescent="0.3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12" t="s">
        <v>251</v>
      </c>
      <c r="J54" s="12" t="s">
        <v>252</v>
      </c>
      <c r="K54" s="12" t="s">
        <v>253</v>
      </c>
      <c r="L54" s="12" t="s">
        <v>254</v>
      </c>
      <c r="Q54">
        <f>F54</f>
        <v>2</v>
      </c>
      <c r="R54">
        <f>G54</f>
        <v>3</v>
      </c>
    </row>
    <row r="55" spans="1:18" x14ac:dyDescent="0.35">
      <c r="A55" s="110">
        <f t="array" ref="A55:A63">IF(A54=$Q41,$Q42:$Q50,IF(A54=$R41,$R42:$R50,A42:A50))</f>
        <v>-7.6684304848265522E-2</v>
      </c>
      <c r="B55" s="111">
        <f t="array" ref="B55:B63">IF(B54=$Q41,$Q42:$Q50,IF(B54=$R41,$R42:$R50,B42:B50))</f>
        <v>-0.93396351291960023</v>
      </c>
      <c r="C55" s="111">
        <f t="array" ref="C55:C63">IF(C54=$Q41,$Q42:$Q50,IF(C54=$R41,$R42:$R50,C42:C50))</f>
        <v>-0.30161473607564193</v>
      </c>
      <c r="D55" s="112">
        <f t="array" ref="D55:D63">IF(D54=$Q41,$Q42:$Q50,IF(D54=$R41,$R42:$R50,D42:D50))</f>
        <v>-0.17567078558154997</v>
      </c>
      <c r="F55" s="94">
        <f>INDEX(A55:D63,,F54)</f>
        <v>-0.93396351291960023</v>
      </c>
      <c r="G55" s="96">
        <f>INDEX(A55:D63,,G54)</f>
        <v>-0.30161473607564193</v>
      </c>
      <c r="I55" s="94">
        <f>F55^2-G55^2</f>
        <v>0.78131639444714107</v>
      </c>
      <c r="J55" s="95">
        <f>2*F55*G55</f>
        <v>0.56339431690704922</v>
      </c>
      <c r="K55" s="95">
        <f>I55^2-J55^2</f>
        <v>0.29304215190871996</v>
      </c>
      <c r="L55" s="96">
        <f t="shared" ref="L55:L63" si="24">I55*J55</f>
        <v>0.44018921633782565</v>
      </c>
      <c r="N55" t="s">
        <v>12</v>
      </c>
      <c r="O55" s="51">
        <f>2*L64*B65-2*I64*J64</f>
        <v>-4.4473558165261826</v>
      </c>
      <c r="Q55" s="94">
        <f t="array" ref="Q55:R63">MMULT(F55:G63,N59:O60)</f>
        <v>-0.91228851864370386</v>
      </c>
      <c r="R55" s="96">
        <v>-0.36192395780602271</v>
      </c>
    </row>
    <row r="56" spans="1:18" x14ac:dyDescent="0.35">
      <c r="A56" s="113">
        <v>-0.81692626638398269</v>
      </c>
      <c r="B56" s="114">
        <v>0.57601593258523343</v>
      </c>
      <c r="C56" s="114">
        <v>7.7525391648738951E-3</v>
      </c>
      <c r="D56" s="115">
        <v>2.7875057603292785E-2</v>
      </c>
      <c r="F56" s="30">
        <f>INDEX(A56:D64,,F54)</f>
        <v>0.57601593258523343</v>
      </c>
      <c r="G56" s="26">
        <f>INDEX(A55:D63,,G54)</f>
        <v>7.7525391648738951E-3</v>
      </c>
      <c r="I56" s="30">
        <f t="shared" ref="I56:I63" si="25">F56^2-G56^2</f>
        <v>0.33173425272853324</v>
      </c>
      <c r="J56">
        <f t="shared" ref="J56:J63" si="26">2*F56*G56</f>
        <v>8.9311721539167676E-3</v>
      </c>
      <c r="K56">
        <f t="shared" ref="K56:K63" si="27">I56^2-J56^2</f>
        <v>0.10996784859731547</v>
      </c>
      <c r="L56" s="26">
        <f t="shared" si="24"/>
        <v>2.9627757204694636E-3</v>
      </c>
      <c r="N56" t="s">
        <v>255</v>
      </c>
      <c r="O56" s="52">
        <f>K64*B65-(I64^2-J64^2)</f>
        <v>16.635429092053933</v>
      </c>
      <c r="Q56" s="30">
        <v>0.57428202002699502</v>
      </c>
      <c r="R56" s="26">
        <v>4.5327893501167948E-2</v>
      </c>
    </row>
    <row r="57" spans="1:18" x14ac:dyDescent="0.35">
      <c r="A57" s="113">
        <v>-0.98521484722246089</v>
      </c>
      <c r="B57" s="114">
        <v>-0.15010218210701462</v>
      </c>
      <c r="C57" s="114">
        <v>8.0631145047039832E-2</v>
      </c>
      <c r="D57" s="115">
        <v>-1.7878987318617423E-2</v>
      </c>
      <c r="F57" s="30">
        <f>INDEX(A57:D65,,F54)</f>
        <v>-0.15010218210701462</v>
      </c>
      <c r="G57" s="26">
        <f>INDEX(A55:D63,,G54)</f>
        <v>8.0631145047039832E-2</v>
      </c>
      <c r="I57" s="30">
        <f t="shared" si="25"/>
        <v>1.6029283521690606E-2</v>
      </c>
      <c r="J57">
        <f t="shared" si="26"/>
        <v>-2.4205821634695767E-2</v>
      </c>
      <c r="K57">
        <f t="shared" si="27"/>
        <v>-3.2898387079196369E-4</v>
      </c>
      <c r="L57" s="26">
        <f t="shared" si="24"/>
        <v>-3.8800197785801083E-4</v>
      </c>
      <c r="N57" t="s">
        <v>256</v>
      </c>
      <c r="O57" s="53">
        <f>0.25*ATAN(O55/O56)</f>
        <v>-6.5308293128987352E-2</v>
      </c>
      <c r="Q57" s="30">
        <v>-0.1550443299054107</v>
      </c>
      <c r="R57" s="26">
        <v>7.0663302987238885E-2</v>
      </c>
    </row>
    <row r="58" spans="1:18" x14ac:dyDescent="0.35">
      <c r="A58" s="113">
        <v>-0.10865002992580647</v>
      </c>
      <c r="B58" s="114">
        <v>-6.2197554310475037E-2</v>
      </c>
      <c r="C58" s="114">
        <v>-6.1431153782830678E-2</v>
      </c>
      <c r="D58" s="115">
        <v>-0.99022868499141503</v>
      </c>
      <c r="F58" s="30">
        <f>INDEX(A58:D66,,F54)</f>
        <v>-6.2197554310475037E-2</v>
      </c>
      <c r="G58" s="26">
        <f>INDEX(A55:D63,,G54)</f>
        <v>-6.1431153782830678E-2</v>
      </c>
      <c r="I58" s="30">
        <f t="shared" si="25"/>
        <v>9.4749107114700231E-5</v>
      </c>
      <c r="J58">
        <f t="shared" si="26"/>
        <v>7.6417350475255098E-3</v>
      </c>
      <c r="K58">
        <f t="shared" si="27"/>
        <v>-5.8387137143280675E-5</v>
      </c>
      <c r="L58" s="26">
        <f t="shared" si="24"/>
        <v>7.2404757256015343E-7</v>
      </c>
      <c r="Q58" s="30">
        <v>-5.805584732611882E-2</v>
      </c>
      <c r="R58" s="26">
        <v>-6.535932227724417E-2</v>
      </c>
    </row>
    <row r="59" spans="1:18" x14ac:dyDescent="0.35">
      <c r="A59" s="113">
        <v>-0.41179421506333813</v>
      </c>
      <c r="B59" s="114">
        <v>0.1471163054483709</v>
      </c>
      <c r="C59" s="114">
        <v>0.81362689546424738</v>
      </c>
      <c r="D59" s="115">
        <v>-0.38313651886605782</v>
      </c>
      <c r="F59" s="30">
        <f>INDEX(A59:D67,,F54)</f>
        <v>0.1471163054483709</v>
      </c>
      <c r="G59" s="26">
        <f>INDEX(A55:D63,,G54)</f>
        <v>0.81362689546424738</v>
      </c>
      <c r="I59" s="30">
        <f t="shared" si="25"/>
        <v>-0.64034551769401105</v>
      </c>
      <c r="J59">
        <f t="shared" si="26"/>
        <v>0.23939556574825591</v>
      </c>
      <c r="K59">
        <f t="shared" si="27"/>
        <v>0.35273214513088347</v>
      </c>
      <c r="L59" s="26">
        <f t="shared" si="24"/>
        <v>-0.15329587748271759</v>
      </c>
      <c r="N59" s="94">
        <f>COS(O57)</f>
        <v>0.9978681713041162</v>
      </c>
      <c r="O59" s="96">
        <f>-N60</f>
        <v>6.5261877832153897E-2</v>
      </c>
      <c r="Q59" s="30">
        <v>9.3703859634041292E-2</v>
      </c>
      <c r="R59" s="26">
        <v>0.82149346865404327</v>
      </c>
    </row>
    <row r="60" spans="1:18" x14ac:dyDescent="0.35">
      <c r="A60" s="113">
        <v>-8.8390368326733623E-3</v>
      </c>
      <c r="B60" s="114">
        <v>6.038993361572554E-2</v>
      </c>
      <c r="C60" s="114">
        <v>0.99445286111878928</v>
      </c>
      <c r="D60" s="115">
        <v>-8.566466225003895E-2</v>
      </c>
      <c r="F60" s="30">
        <f>INDEX(A60:D68,,F54)</f>
        <v>6.038993361572554E-2</v>
      </c>
      <c r="G60" s="26">
        <f>INDEX(A55:D63,,G54)</f>
        <v>0.99445286111878928</v>
      </c>
      <c r="I60" s="30">
        <f t="shared" si="25"/>
        <v>-0.98528954890523424</v>
      </c>
      <c r="J60">
        <f t="shared" si="26"/>
        <v>0.12010988453386402</v>
      </c>
      <c r="K60">
        <f t="shared" si="27"/>
        <v>0.95636911081914189</v>
      </c>
      <c r="L60" s="26">
        <f t="shared" si="24"/>
        <v>-0.11834301395143065</v>
      </c>
      <c r="N60" s="27">
        <f>SIN(O57)</f>
        <v>-6.5261877832153897E-2</v>
      </c>
      <c r="O60" s="29">
        <f>N59</f>
        <v>0.9978681713041162</v>
      </c>
      <c r="Q60" s="30">
        <v>-4.638668509869312E-3</v>
      </c>
      <c r="R60" s="26">
        <v>0.99627401844267383</v>
      </c>
    </row>
    <row r="61" spans="1:18" x14ac:dyDescent="0.35">
      <c r="A61" s="113">
        <v>-0.97899964510604265</v>
      </c>
      <c r="B61" s="114">
        <v>-1.5960016133805016E-2</v>
      </c>
      <c r="C61" s="114">
        <v>0.10192973445639356</v>
      </c>
      <c r="D61" s="115">
        <v>-0.17582747794614015</v>
      </c>
      <c r="F61" s="30">
        <f>INDEX(A61:D69,,F54)</f>
        <v>-1.5960016133805016E-2</v>
      </c>
      <c r="G61" s="26">
        <f>INDEX(A55:D63,,G54)</f>
        <v>0.10192973445639356</v>
      </c>
      <c r="I61" s="30">
        <f t="shared" si="25"/>
        <v>-1.0134948651359587E-2</v>
      </c>
      <c r="J61">
        <f t="shared" si="26"/>
        <v>-3.2536004128770044E-3</v>
      </c>
      <c r="K61">
        <f t="shared" si="27"/>
        <v>9.2131268519022111E-5</v>
      </c>
      <c r="L61" s="26">
        <f t="shared" si="24"/>
        <v>3.2975073116550793E-5</v>
      </c>
      <c r="Q61" s="30">
        <v>-2.2578117990981243E-2</v>
      </c>
      <c r="R61" s="26">
        <v>0.100670857100392</v>
      </c>
    </row>
    <row r="62" spans="1:18" x14ac:dyDescent="0.35">
      <c r="A62" s="113">
        <v>-0.73002425643063851</v>
      </c>
      <c r="B62" s="114">
        <v>0.20934806114253185</v>
      </c>
      <c r="C62" s="114">
        <v>0.46148014290907213</v>
      </c>
      <c r="D62" s="115">
        <v>-0.45855648727215526</v>
      </c>
      <c r="F62" s="30">
        <f>INDEX(A62:D70,,F54)</f>
        <v>0.20934806114253185</v>
      </c>
      <c r="G62" s="26">
        <f>INDEX(A55:D63,,G54)</f>
        <v>0.46148014290907213</v>
      </c>
      <c r="I62" s="30">
        <f t="shared" si="25"/>
        <v>-0.16913731159524037</v>
      </c>
      <c r="J62">
        <f t="shared" si="26"/>
        <v>0.19321994634758555</v>
      </c>
      <c r="K62">
        <f t="shared" si="27"/>
        <v>-8.7265174928984057E-3</v>
      </c>
      <c r="L62" s="26">
        <f t="shared" si="24"/>
        <v>-3.2680702271807201E-2</v>
      </c>
      <c r="Q62" s="30">
        <v>0.17878470622986378</v>
      </c>
      <c r="R62" s="26">
        <v>0.47415879388852022</v>
      </c>
    </row>
    <row r="63" spans="1:18" x14ac:dyDescent="0.35">
      <c r="A63" s="116">
        <v>-0.11419086989511298</v>
      </c>
      <c r="B63" s="117">
        <v>0.88096103289890326</v>
      </c>
      <c r="C63" s="117">
        <v>-0.32752624348074477</v>
      </c>
      <c r="D63" s="118">
        <v>-0.32186124895315782</v>
      </c>
      <c r="F63" s="27">
        <f>INDEX(A63:D71,,F54)</f>
        <v>0.88096103289890326</v>
      </c>
      <c r="G63" s="29">
        <f>INDEX(A55:D63,,G54)</f>
        <v>-0.32752624348074477</v>
      </c>
      <c r="I63" s="27">
        <f t="shared" si="25"/>
        <v>0.66881890131769439</v>
      </c>
      <c r="J63" s="28">
        <f t="shared" si="26"/>
        <v>-0.5770757155165892</v>
      </c>
      <c r="K63" s="28">
        <f t="shared" si="27"/>
        <v>0.11430234132082445</v>
      </c>
      <c r="L63" s="29">
        <f t="shared" si="24"/>
        <v>-0.38595914602892756</v>
      </c>
      <c r="Q63" s="27">
        <v>0.90045795257787864</v>
      </c>
      <c r="R63" s="29">
        <v>-0.26933484233230115</v>
      </c>
    </row>
    <row r="64" spans="1:18" x14ac:dyDescent="0.35">
      <c r="I64">
        <f>SUM(I55:I63)</f>
        <v>-6.9137457236713162E-3</v>
      </c>
      <c r="J64">
        <f>SUM(J55:J63)</f>
        <v>0.5281574831740351</v>
      </c>
      <c r="K64">
        <f>SUM(K55:K63)</f>
        <v>1.8173918405445706</v>
      </c>
      <c r="L64">
        <f>SUM(L55:L63)</f>
        <v>-0.24748105053375674</v>
      </c>
    </row>
    <row r="65" spans="1:18" x14ac:dyDescent="0.35">
      <c r="A65" s="12" t="s">
        <v>2</v>
      </c>
      <c r="B65">
        <f>COUNT(A55:A63)</f>
        <v>9</v>
      </c>
      <c r="I65" s="12" t="s">
        <v>16</v>
      </c>
      <c r="J65" s="12" t="s">
        <v>258</v>
      </c>
      <c r="K65" s="12" t="s">
        <v>18</v>
      </c>
      <c r="L65" s="12" t="s">
        <v>19</v>
      </c>
      <c r="N65" s="12"/>
    </row>
    <row r="67" spans="1:18" x14ac:dyDescent="0.3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12" t="s">
        <v>251</v>
      </c>
      <c r="J67" s="12" t="s">
        <v>252</v>
      </c>
      <c r="K67" s="12" t="s">
        <v>253</v>
      </c>
      <c r="L67" s="12" t="s">
        <v>254</v>
      </c>
      <c r="Q67">
        <f>F67</f>
        <v>2</v>
      </c>
      <c r="R67">
        <f>G67</f>
        <v>4</v>
      </c>
    </row>
    <row r="68" spans="1:18" x14ac:dyDescent="0.35">
      <c r="A68" s="110">
        <f t="array" ref="A68:A76">IF(A67=$Q54,$Q55:$Q63,IF(A67=$R54,$R55:$R63,A55:A63))</f>
        <v>-7.6684304848265522E-2</v>
      </c>
      <c r="B68" s="111">
        <f t="array" ref="B68:B76">IF(B67=$Q54,$Q55:$Q63,IF(B67=$R54,$R55:$R63,B55:B63))</f>
        <v>-0.91228851864370386</v>
      </c>
      <c r="C68" s="111">
        <f t="array" ref="C68:C76">IF(C67=$Q54,$Q55:$Q63,IF(C67=$R54,$R55:$R63,C55:C63))</f>
        <v>-0.36192395780602271</v>
      </c>
      <c r="D68" s="112">
        <f t="array" ref="D68:D76">IF(D67=$Q54,$Q55:$Q63,IF(D67=$R54,$R55:$R63,D55:D63))</f>
        <v>-0.17567078558154997</v>
      </c>
      <c r="F68" s="94">
        <f>INDEX(A68:D76,,F67)</f>
        <v>-0.91228851864370386</v>
      </c>
      <c r="G68" s="96">
        <f>INDEX(A68:D76,,G67)</f>
        <v>-0.17567078558154997</v>
      </c>
      <c r="I68" s="94">
        <f>F68^2-G68^2</f>
        <v>0.80141011634228465</v>
      </c>
      <c r="J68" s="95">
        <f>2*F68*G68</f>
        <v>0.32052488149433589</v>
      </c>
      <c r="K68" s="95">
        <f>I68^2-J68^2</f>
        <v>0.53952197491879605</v>
      </c>
      <c r="L68" s="96">
        <f t="shared" ref="L68:L76" si="28">I68*J68</f>
        <v>0.2568718825689727</v>
      </c>
      <c r="N68" t="s">
        <v>12</v>
      </c>
      <c r="O68" s="51">
        <f>2*L77*B78-2*I77*J77</f>
        <v>-3.5317289814351449</v>
      </c>
      <c r="Q68" s="94">
        <f t="array" ref="Q68:R76">MMULT(F68:G76,N72:O73)</f>
        <v>-0.90124624563495281</v>
      </c>
      <c r="R68" s="96">
        <v>-0.22557874652738236</v>
      </c>
    </row>
    <row r="69" spans="1:18" x14ac:dyDescent="0.35">
      <c r="A69" s="113">
        <v>-0.81692626638398269</v>
      </c>
      <c r="B69" s="114">
        <v>0.57428202002699502</v>
      </c>
      <c r="C69" s="114">
        <v>4.5327893501167948E-2</v>
      </c>
      <c r="D69" s="115">
        <v>2.7875057603292785E-2</v>
      </c>
      <c r="F69" s="30">
        <f>INDEX(A69:D77,,F67)</f>
        <v>0.57428202002699502</v>
      </c>
      <c r="G69" s="26">
        <f>INDEX(A68:D76,,G67)</f>
        <v>2.7875057603292785E-2</v>
      </c>
      <c r="I69" s="30">
        <f t="shared" ref="I69:I76" si="29">F69^2-G69^2</f>
        <v>0.32902281968989905</v>
      </c>
      <c r="J69">
        <f t="shared" ref="J69:J76" si="30">2*F69*G69</f>
        <v>3.2016288777575654E-2</v>
      </c>
      <c r="K69">
        <f t="shared" ref="K69:K76" si="31">I69^2-J69^2</f>
        <v>0.10723097312960271</v>
      </c>
      <c r="L69" s="26">
        <f t="shared" si="28"/>
        <v>1.0534089609604013E-2</v>
      </c>
      <c r="N69" t="s">
        <v>255</v>
      </c>
      <c r="O69" s="52">
        <f>K77*B78-(I77^2-J77^2)</f>
        <v>15.78590706583361</v>
      </c>
      <c r="Q69" s="30">
        <v>0.57187976456688216</v>
      </c>
      <c r="R69" s="26">
        <v>5.9417103948276651E-2</v>
      </c>
    </row>
    <row r="70" spans="1:18" x14ac:dyDescent="0.35">
      <c r="A70" s="113">
        <v>-0.98521484722246089</v>
      </c>
      <c r="B70" s="114">
        <v>-0.1550443299054107</v>
      </c>
      <c r="C70" s="114">
        <v>7.0663302987238885E-2</v>
      </c>
      <c r="D70" s="115">
        <v>-1.7878987318617423E-2</v>
      </c>
      <c r="F70" s="30">
        <f>INDEX(A70:D78,,F67)</f>
        <v>-0.1550443299054107</v>
      </c>
      <c r="G70" s="26">
        <f>INDEX(A68:D76,,G67)</f>
        <v>-1.7878987318617423E-2</v>
      </c>
      <c r="I70" s="30">
        <f t="shared" si="29"/>
        <v>2.3719086048278548E-2</v>
      </c>
      <c r="J70">
        <f t="shared" si="30"/>
        <v>5.5440712164047477E-3</v>
      </c>
      <c r="K70">
        <f t="shared" si="31"/>
        <v>5.3185831731307443E-4</v>
      </c>
      <c r="L70" s="26">
        <f t="shared" si="28"/>
        <v>1.3150030223968854E-4</v>
      </c>
      <c r="N70" t="s">
        <v>256</v>
      </c>
      <c r="O70" s="53">
        <f>0.25*ATAN(O68/O69)</f>
        <v>-5.502554308805481E-2</v>
      </c>
      <c r="Q70" s="30">
        <v>-0.15382636210560013</v>
      </c>
      <c r="R70" s="26">
        <v>-2.6379020920305335E-2</v>
      </c>
    </row>
    <row r="71" spans="1:18" x14ac:dyDescent="0.35">
      <c r="A71" s="113">
        <v>-0.10865002992580647</v>
      </c>
      <c r="B71" s="114">
        <v>-5.805584732611882E-2</v>
      </c>
      <c r="C71" s="114">
        <v>-6.535932227724417E-2</v>
      </c>
      <c r="D71" s="115">
        <v>-0.99022868499141503</v>
      </c>
      <c r="F71" s="30">
        <f>INDEX(A71:D79,,F67)</f>
        <v>-5.805584732611882E-2</v>
      </c>
      <c r="G71" s="26">
        <f>INDEX(A68:D76,,G67)</f>
        <v>-0.99022868499141503</v>
      </c>
      <c r="I71" s="30">
        <f t="shared" si="29"/>
        <v>-0.97718236717107343</v>
      </c>
      <c r="J71">
        <f t="shared" si="30"/>
        <v>0.11497713070761</v>
      </c>
      <c r="K71">
        <f t="shared" si="31"/>
        <v>0.9416656381243077</v>
      </c>
      <c r="L71" s="26">
        <f t="shared" si="28"/>
        <v>-0.11235362475540026</v>
      </c>
      <c r="Q71" s="30">
        <v>-3.5075996064038786E-3</v>
      </c>
      <c r="R71" s="26">
        <v>-0.99192289354242746</v>
      </c>
    </row>
    <row r="72" spans="1:18" x14ac:dyDescent="0.35">
      <c r="A72" s="113">
        <v>-0.41179421506333813</v>
      </c>
      <c r="B72" s="114">
        <v>9.3703859634041292E-2</v>
      </c>
      <c r="C72" s="114">
        <v>0.82149346865404327</v>
      </c>
      <c r="D72" s="115">
        <v>-0.38313651886605782</v>
      </c>
      <c r="F72" s="30">
        <f>INDEX(A72:D80,,F67)</f>
        <v>9.3703859634041292E-2</v>
      </c>
      <c r="G72" s="26">
        <f>INDEX(A68:D76,,G67)</f>
        <v>-0.38313651886605782</v>
      </c>
      <c r="I72" s="30">
        <f t="shared" si="29"/>
        <v>-0.13801317877848496</v>
      </c>
      <c r="J72">
        <f t="shared" si="30"/>
        <v>-7.1802741169000595E-2</v>
      </c>
      <c r="K72">
        <f t="shared" si="31"/>
        <v>1.3892003877159559E-2</v>
      </c>
      <c r="L72" s="26">
        <f t="shared" si="28"/>
        <v>9.9097245537425604E-3</v>
      </c>
      <c r="N72" s="94">
        <f>COS(O70)</f>
        <v>0.99848647675020563</v>
      </c>
      <c r="O72" s="96">
        <f>-N73</f>
        <v>5.4997779473003758E-2</v>
      </c>
      <c r="Q72" s="30">
        <v>0.11463369443653951</v>
      </c>
      <c r="R72" s="26">
        <v>-0.37740312862898645</v>
      </c>
    </row>
    <row r="73" spans="1:18" x14ac:dyDescent="0.35">
      <c r="A73" s="113">
        <v>-8.8390368326733623E-3</v>
      </c>
      <c r="B73" s="114">
        <v>-4.638668509869312E-3</v>
      </c>
      <c r="C73" s="114">
        <v>0.99627401844267383</v>
      </c>
      <c r="D73" s="115">
        <v>-8.566466225003895E-2</v>
      </c>
      <c r="F73" s="30">
        <f>INDEX(A73:D81,,F67)</f>
        <v>-4.638668509869312E-3</v>
      </c>
      <c r="G73" s="26">
        <f>INDEX(A68:D76,,G67)</f>
        <v>-8.566466225003895E-2</v>
      </c>
      <c r="I73" s="30">
        <f t="shared" si="29"/>
        <v>-7.3169171128687951E-3</v>
      </c>
      <c r="J73">
        <f t="shared" si="30"/>
        <v>7.9473994237569217E-4</v>
      </c>
      <c r="K73">
        <f t="shared" si="31"/>
        <v>5.2905664460584904E-5</v>
      </c>
      <c r="L73" s="26">
        <f t="shared" si="28"/>
        <v>-5.8150462846490619E-6</v>
      </c>
      <c r="N73" s="27">
        <f>SIN(O70)</f>
        <v>-5.4997779473003758E-2</v>
      </c>
      <c r="O73" s="29">
        <f>N72</f>
        <v>0.99848647675020563</v>
      </c>
      <c r="Q73" s="30">
        <v>7.9718425825455949E-5</v>
      </c>
      <c r="R73" s="26">
        <v>-8.5790123259791892E-2</v>
      </c>
    </row>
    <row r="74" spans="1:18" x14ac:dyDescent="0.35">
      <c r="A74" s="113">
        <v>-0.97899964510604265</v>
      </c>
      <c r="B74" s="114">
        <v>-2.2578117990981243E-2</v>
      </c>
      <c r="C74" s="114">
        <v>0.100670857100392</v>
      </c>
      <c r="D74" s="115">
        <v>-0.17582747794614015</v>
      </c>
      <c r="F74" s="30">
        <f>INDEX(A74:D82,,F67)</f>
        <v>-2.2578117990981243E-2</v>
      </c>
      <c r="G74" s="26">
        <f>INDEX(A68:D76,,G67)</f>
        <v>-0.17582747794614015</v>
      </c>
      <c r="I74" s="30">
        <f t="shared" si="29"/>
        <v>-3.0405530588885728E-2</v>
      </c>
      <c r="J74">
        <f t="shared" si="30"/>
        <v>7.9397070862492099E-3</v>
      </c>
      <c r="K74">
        <f t="shared" si="31"/>
        <v>8.6145734177622976E-4</v>
      </c>
      <c r="L74" s="26">
        <f t="shared" si="28"/>
        <v>-2.4141100667774313E-4</v>
      </c>
      <c r="Q74" s="30">
        <v>-1.2873824627089046E-2</v>
      </c>
      <c r="R74" s="26">
        <v>-0.17680310532449942</v>
      </c>
    </row>
    <row r="75" spans="1:18" x14ac:dyDescent="0.35">
      <c r="A75" s="113">
        <v>-0.73002425643063851</v>
      </c>
      <c r="B75" s="114">
        <v>0.17878470622986378</v>
      </c>
      <c r="C75" s="114">
        <v>0.47415879388852022</v>
      </c>
      <c r="D75" s="115">
        <v>-0.45855648727215526</v>
      </c>
      <c r="F75" s="30">
        <f>INDEX(A75:D83,,F67)</f>
        <v>0.17878470622986378</v>
      </c>
      <c r="G75" s="26">
        <f>INDEX(A68:D76,,G67)</f>
        <v>-0.45855648727215526</v>
      </c>
      <c r="I75" s="30">
        <f t="shared" si="29"/>
        <v>-0.1783100808376796</v>
      </c>
      <c r="J75">
        <f t="shared" si="30"/>
        <v>-0.1639657737335011</v>
      </c>
      <c r="K75">
        <f t="shared" si="31"/>
        <v>4.9097099723141545E-3</v>
      </c>
      <c r="L75" s="26">
        <f t="shared" si="28"/>
        <v>2.9236750369033265E-2</v>
      </c>
      <c r="Q75" s="30">
        <v>0.20373369998318647</v>
      </c>
      <c r="R75" s="26">
        <v>-0.44802968952094896</v>
      </c>
    </row>
    <row r="76" spans="1:18" x14ac:dyDescent="0.35">
      <c r="A76" s="116">
        <v>-0.11419086989511298</v>
      </c>
      <c r="B76" s="117">
        <v>0.90045795257787864</v>
      </c>
      <c r="C76" s="117">
        <v>-0.26933484233230115</v>
      </c>
      <c r="D76" s="118">
        <v>-0.32186124895315782</v>
      </c>
      <c r="F76" s="27">
        <f>INDEX(A76:D84,,F67)</f>
        <v>0.90045795257787864</v>
      </c>
      <c r="G76" s="29">
        <f>INDEX(A68:D76,,G67)</f>
        <v>-0.32186124895315782</v>
      </c>
      <c r="I76" s="27">
        <f t="shared" si="29"/>
        <v>0.70722986078305849</v>
      </c>
      <c r="J76" s="28">
        <f t="shared" si="30"/>
        <v>-0.57964504249303872</v>
      </c>
      <c r="K76" s="28">
        <f t="shared" si="31"/>
        <v>0.1641857006964676</v>
      </c>
      <c r="L76" s="29">
        <f t="shared" si="28"/>
        <v>-0.4099422827059418</v>
      </c>
      <c r="Q76" s="27">
        <v>0.91679674252202115</v>
      </c>
      <c r="R76" s="29">
        <v>-0.27185091656906873</v>
      </c>
    </row>
    <row r="77" spans="1:18" x14ac:dyDescent="0.35">
      <c r="I77">
        <f>SUM(I68:I76)</f>
        <v>0.53015380837452819</v>
      </c>
      <c r="J77">
        <f>SUM(J68:J76)</f>
        <v>-0.33361673817098925</v>
      </c>
      <c r="K77">
        <f>SUM(K68:K76)</f>
        <v>1.7728522220421974</v>
      </c>
      <c r="L77">
        <f>SUM(L68:L76)</f>
        <v>-0.21585918611071225</v>
      </c>
    </row>
    <row r="78" spans="1:18" x14ac:dyDescent="0.35">
      <c r="A78" s="12" t="s">
        <v>2</v>
      </c>
      <c r="B78">
        <f>COUNT(A68:A76)</f>
        <v>9</v>
      </c>
      <c r="I78" s="12" t="s">
        <v>16</v>
      </c>
      <c r="J78" s="12" t="s">
        <v>258</v>
      </c>
      <c r="K78" s="12" t="s">
        <v>18</v>
      </c>
      <c r="L78" s="12" t="s">
        <v>19</v>
      </c>
      <c r="N78" s="12"/>
    </row>
    <row r="80" spans="1:18" x14ac:dyDescent="0.3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12" t="s">
        <v>251</v>
      </c>
      <c r="J80" s="12" t="s">
        <v>252</v>
      </c>
      <c r="K80" s="12" t="s">
        <v>253</v>
      </c>
      <c r="L80" s="12" t="s">
        <v>254</v>
      </c>
      <c r="Q80">
        <f>F80</f>
        <v>3</v>
      </c>
      <c r="R80">
        <f>G80</f>
        <v>4</v>
      </c>
    </row>
    <row r="81" spans="1:18" x14ac:dyDescent="0.35">
      <c r="A81" s="110">
        <f t="array" ref="A81:A89">IF(A80=$Q67,$Q68:$Q76,IF(A80=$R67,$R68:$R76,A68:A76))</f>
        <v>-7.6684304848265522E-2</v>
      </c>
      <c r="B81" s="111">
        <f t="array" ref="B81:B89">IF(B80=$Q67,$Q68:$Q76,IF(B80=$R67,$R68:$R76,B68:B76))</f>
        <v>-0.90124624563495281</v>
      </c>
      <c r="C81" s="111">
        <f t="array" ref="C81:C89">IF(C80=$Q67,$Q68:$Q76,IF(C80=$R67,$R68:$R76,C68:C76))</f>
        <v>-0.36192395780602271</v>
      </c>
      <c r="D81" s="112">
        <f t="array" ref="D81:D89">IF(D80=$Q67,$Q68:$Q76,IF(D80=$R67,$R68:$R76,D68:D76))</f>
        <v>-0.22557874652738236</v>
      </c>
      <c r="F81" s="94">
        <f>INDEX(A81:D89,,F80)</f>
        <v>-0.36192395780602271</v>
      </c>
      <c r="G81" s="96">
        <f>INDEX(A81:D89,,G80)</f>
        <v>-0.22557874652738236</v>
      </c>
      <c r="I81" s="94">
        <f>F81^2-G81^2</f>
        <v>8.0103180349110709E-2</v>
      </c>
      <c r="J81" s="95">
        <f>2*F81*G81</f>
        <v>0.16328470548022364</v>
      </c>
      <c r="K81" s="95">
        <f>I81^2-J81^2</f>
        <v>-2.0245375541721219E-2</v>
      </c>
      <c r="L81" s="96">
        <f t="shared" ref="L81:L89" si="32">I81*J81</f>
        <v>1.307962421133378E-2</v>
      </c>
      <c r="N81" t="s">
        <v>12</v>
      </c>
      <c r="O81" s="51">
        <f>2*L90*B91-2*I90*J90</f>
        <v>-10.190570000013988</v>
      </c>
      <c r="Q81" s="94">
        <f t="array" ref="Q81:R89">MMULT(F81:G89,N85:O86)</f>
        <v>-0.32285726444529989</v>
      </c>
      <c r="R81" s="96">
        <v>-0.27863579977048614</v>
      </c>
    </row>
    <row r="82" spans="1:18" x14ac:dyDescent="0.35">
      <c r="A82" s="113">
        <v>-0.81692626638398269</v>
      </c>
      <c r="B82" s="114">
        <v>0.57187976456688216</v>
      </c>
      <c r="C82" s="114">
        <v>4.5327893501167948E-2</v>
      </c>
      <c r="D82" s="115">
        <v>5.9417103948276651E-2</v>
      </c>
      <c r="F82" s="30">
        <f>INDEX(A82:D90,,F80)</f>
        <v>4.5327893501167948E-2</v>
      </c>
      <c r="G82" s="26">
        <f>INDEX(A81:D89,,G80)</f>
        <v>5.9417103948276651E-2</v>
      </c>
      <c r="I82" s="30">
        <f t="shared" ref="I82:I89" si="33">F82^2-G82^2</f>
        <v>-1.4757743123470892E-3</v>
      </c>
      <c r="J82">
        <f t="shared" ref="J82:J89" si="34">2*F82*G82</f>
        <v>5.3865043198306189E-3</v>
      </c>
      <c r="K82">
        <f t="shared" ref="K82:K89" si="35">I82^2-J82^2</f>
        <v>-2.6836518966570396E-5</v>
      </c>
      <c r="L82" s="26">
        <f t="shared" si="32"/>
        <v>-7.9492647085526574E-6</v>
      </c>
      <c r="N82" t="s">
        <v>255</v>
      </c>
      <c r="O82" s="52">
        <f>K90*B91-(I90^2-J90^2)</f>
        <v>14.316471831603558</v>
      </c>
      <c r="Q82" s="30">
        <v>3.5634550180860813E-2</v>
      </c>
      <c r="R82" s="26">
        <v>6.5690098220822057E-2</v>
      </c>
    </row>
    <row r="83" spans="1:18" x14ac:dyDescent="0.35">
      <c r="A83" s="113">
        <v>-0.98521484722246089</v>
      </c>
      <c r="B83" s="114">
        <v>-0.15382636210560013</v>
      </c>
      <c r="C83" s="114">
        <v>7.0663302987238885E-2</v>
      </c>
      <c r="D83" s="115">
        <v>-2.6379020920305335E-2</v>
      </c>
      <c r="F83" s="30">
        <f>INDEX(A83:D91,,F80)</f>
        <v>7.0663302987238885E-2</v>
      </c>
      <c r="G83" s="26">
        <f>INDEX(A81:D89,,G80)</f>
        <v>-2.6379020920305335E-2</v>
      </c>
      <c r="I83" s="30">
        <f t="shared" si="33"/>
        <v>4.2974496443524178E-3</v>
      </c>
      <c r="J83">
        <f t="shared" si="34"/>
        <v>-3.7280574955964982E-3</v>
      </c>
      <c r="K83">
        <f t="shared" si="35"/>
        <v>4.5696607552714881E-6</v>
      </c>
      <c r="L83" s="26">
        <f t="shared" si="32"/>
        <v>-1.6021139358576536E-5</v>
      </c>
      <c r="N83" t="s">
        <v>256</v>
      </c>
      <c r="O83" s="53">
        <f>0.25*ATAN(O81/O82)</f>
        <v>-0.15465162205907068</v>
      </c>
      <c r="Q83" s="30">
        <v>7.3883270300270157E-2</v>
      </c>
      <c r="R83" s="26">
        <v>-1.5179509330589348E-2</v>
      </c>
    </row>
    <row r="84" spans="1:18" x14ac:dyDescent="0.35">
      <c r="A84" s="113">
        <v>-0.10865002992580647</v>
      </c>
      <c r="B84" s="114">
        <v>-3.5075996064038786E-3</v>
      </c>
      <c r="C84" s="114">
        <v>-6.535932227724417E-2</v>
      </c>
      <c r="D84" s="115">
        <v>-0.99192289354242746</v>
      </c>
      <c r="F84" s="30">
        <f>INDEX(A84:D92,,F80)</f>
        <v>-6.535932227724417E-2</v>
      </c>
      <c r="G84" s="26">
        <f>INDEX(A81:D89,,G80)</f>
        <v>-0.99192289354242746</v>
      </c>
      <c r="I84" s="30">
        <f t="shared" si="33"/>
        <v>-0.97963918572504127</v>
      </c>
      <c r="J84">
        <f t="shared" si="34"/>
        <v>0.12966281614643216</v>
      </c>
      <c r="K84">
        <f t="shared" si="35"/>
        <v>0.94288048831699844</v>
      </c>
      <c r="L84" s="26">
        <f t="shared" si="32"/>
        <v>-0.12702277562850653</v>
      </c>
      <c r="Q84" s="30">
        <v>8.8212448906890228E-2</v>
      </c>
      <c r="R84" s="26">
        <v>-0.9901522264783188</v>
      </c>
    </row>
    <row r="85" spans="1:18" x14ac:dyDescent="0.35">
      <c r="A85" s="113">
        <v>-0.41179421506333813</v>
      </c>
      <c r="B85" s="114">
        <v>0.11463369443653951</v>
      </c>
      <c r="C85" s="114">
        <v>0.82149346865404327</v>
      </c>
      <c r="D85" s="115">
        <v>-0.37740312862898645</v>
      </c>
      <c r="F85" s="30">
        <f>INDEX(A85:D93,,F80)</f>
        <v>0.82149346865404327</v>
      </c>
      <c r="G85" s="26">
        <f>INDEX(A81:D89,,G80)</f>
        <v>-0.37740312862898645</v>
      </c>
      <c r="I85" s="30">
        <f t="shared" si="33"/>
        <v>0.53241839754230436</v>
      </c>
      <c r="J85">
        <f t="shared" si="34"/>
        <v>-0.6200684104366283</v>
      </c>
      <c r="K85">
        <f t="shared" si="35"/>
        <v>-0.10101548357989171</v>
      </c>
      <c r="L85" s="26">
        <f t="shared" si="32"/>
        <v>-0.33013582945127351</v>
      </c>
      <c r="N85" s="94">
        <f>COS(O83)</f>
        <v>0.98806525343817264</v>
      </c>
      <c r="O85" s="96">
        <f>-N86</f>
        <v>0.15403588850706101</v>
      </c>
      <c r="Q85" s="30">
        <v>0.86982277854717138</v>
      </c>
      <c r="R85" s="26">
        <v>-0.24635944159028575</v>
      </c>
    </row>
    <row r="86" spans="1:18" x14ac:dyDescent="0.35">
      <c r="A86" s="113">
        <v>-8.8390368326733623E-3</v>
      </c>
      <c r="B86" s="114">
        <v>7.9718425825455949E-5</v>
      </c>
      <c r="C86" s="114">
        <v>0.99627401844267383</v>
      </c>
      <c r="D86" s="115">
        <v>-8.5790123259791892E-2</v>
      </c>
      <c r="F86" s="30">
        <f>INDEX(A86:D94,,F80)</f>
        <v>0.99627401844267383</v>
      </c>
      <c r="G86" s="26">
        <f>INDEX(A81:D89,,G80)</f>
        <v>-8.5790123259791892E-2</v>
      </c>
      <c r="I86" s="30">
        <f t="shared" si="33"/>
        <v>0.98520197457498293</v>
      </c>
      <c r="J86">
        <f t="shared" si="34"/>
        <v>-0.17094094168545035</v>
      </c>
      <c r="K86">
        <f t="shared" si="35"/>
        <v>0.94140212516213684</v>
      </c>
      <c r="L86" s="26">
        <f t="shared" si="32"/>
        <v>-0.16841135328421269</v>
      </c>
      <c r="N86" s="27">
        <f>SIN(O83)</f>
        <v>-0.15403588850706101</v>
      </c>
      <c r="O86" s="29">
        <f>N85</f>
        <v>0.98806525343817264</v>
      </c>
      <c r="Q86" s="30">
        <v>0.99759849838787951</v>
      </c>
      <c r="R86" s="26">
        <v>6.8695713746139003E-2</v>
      </c>
    </row>
    <row r="87" spans="1:18" x14ac:dyDescent="0.35">
      <c r="A87" s="113">
        <v>-0.97899964510604265</v>
      </c>
      <c r="B87" s="114">
        <v>-1.2873824627089046E-2</v>
      </c>
      <c r="C87" s="114">
        <v>0.100670857100392</v>
      </c>
      <c r="D87" s="115">
        <v>-0.17680310532449942</v>
      </c>
      <c r="F87" s="30">
        <f>INDEX(A87:D95,,F80)</f>
        <v>0.100670857100392</v>
      </c>
      <c r="G87" s="26">
        <f>INDEX(A81:D89,,G80)</f>
        <v>-0.17680310532449942</v>
      </c>
      <c r="I87" s="30">
        <f t="shared" si="33"/>
        <v>-2.1124716583058485E-2</v>
      </c>
      <c r="J87">
        <f t="shared" si="34"/>
        <v>-3.5597840302056476E-2</v>
      </c>
      <c r="K87">
        <f t="shared" si="35"/>
        <v>-8.2095258345617011E-4</v>
      </c>
      <c r="L87" s="26">
        <f t="shared" si="32"/>
        <v>7.5199428734992009E-4</v>
      </c>
      <c r="Q87" s="30">
        <v>0.12670339935420363</v>
      </c>
      <c r="R87" s="26">
        <v>-0.15918608015088118</v>
      </c>
    </row>
    <row r="88" spans="1:18" x14ac:dyDescent="0.35">
      <c r="A88" s="113">
        <v>-0.73002425643063851</v>
      </c>
      <c r="B88" s="114">
        <v>0.20373369998318647</v>
      </c>
      <c r="C88" s="114">
        <v>0.47415879388852022</v>
      </c>
      <c r="D88" s="115">
        <v>-0.44802968952094896</v>
      </c>
      <c r="F88" s="30">
        <f>INDEX(A88:D96,,F80)</f>
        <v>0.47415879388852022</v>
      </c>
      <c r="G88" s="26">
        <f>INDEX(A81:D89,,G80)</f>
        <v>-0.44802968952094896</v>
      </c>
      <c r="I88" s="30">
        <f t="shared" si="33"/>
        <v>2.4095959129578293E-2</v>
      </c>
      <c r="J88">
        <f t="shared" si="34"/>
        <v>-0.42487443441900269</v>
      </c>
      <c r="K88">
        <f t="shared" si="35"/>
        <v>-0.17993766977649309</v>
      </c>
      <c r="L88" s="26">
        <f t="shared" si="32"/>
        <v>-1.0237757006962981E-2</v>
      </c>
      <c r="Q88" s="30">
        <v>0.53751248015630104</v>
      </c>
      <c r="R88" s="26">
        <v>-0.36964509761428765</v>
      </c>
    </row>
    <row r="89" spans="1:18" x14ac:dyDescent="0.35">
      <c r="A89" s="116">
        <v>-0.11419086989511298</v>
      </c>
      <c r="B89" s="117">
        <v>0.91679674252202115</v>
      </c>
      <c r="C89" s="117">
        <v>-0.26933484233230115</v>
      </c>
      <c r="D89" s="118">
        <v>-0.27185091656906873</v>
      </c>
      <c r="F89" s="27">
        <f>INDEX(A89:D97,,F80)</f>
        <v>-0.26933484233230115</v>
      </c>
      <c r="G89" s="29">
        <f>INDEX(A81:D89,,G80)</f>
        <v>-0.27185091656906873</v>
      </c>
      <c r="I89" s="27">
        <f t="shared" si="33"/>
        <v>-1.361663545277253E-3</v>
      </c>
      <c r="J89" s="28">
        <f t="shared" si="34"/>
        <v>0.14643784750404337</v>
      </c>
      <c r="K89" s="28">
        <f t="shared" si="35"/>
        <v>-2.1442189054006924E-2</v>
      </c>
      <c r="L89" s="29">
        <f t="shared" si="32"/>
        <v>-1.9939907859512542E-4</v>
      </c>
      <c r="Q89" s="27">
        <v>-0.22424560177361996</v>
      </c>
      <c r="R89" s="29">
        <v>-0.3100936765217816</v>
      </c>
    </row>
    <row r="90" spans="1:18" x14ac:dyDescent="0.35">
      <c r="I90">
        <f>SUM(I81:I89)</f>
        <v>0.62251562107460467</v>
      </c>
      <c r="J90">
        <f>SUM(J81:J89)</f>
        <v>-0.81043781088820466</v>
      </c>
      <c r="K90">
        <f>SUM(K81:K89)</f>
        <v>1.5607986760853547</v>
      </c>
      <c r="L90">
        <f>SUM(L81:L89)</f>
        <v>-0.62219946635493417</v>
      </c>
    </row>
    <row r="91" spans="1:18" x14ac:dyDescent="0.35">
      <c r="A91" s="12" t="s">
        <v>2</v>
      </c>
      <c r="B91">
        <f>COUNT(A81:A89)</f>
        <v>9</v>
      </c>
      <c r="I91" s="12" t="s">
        <v>16</v>
      </c>
      <c r="J91" s="12" t="s">
        <v>258</v>
      </c>
      <c r="K91" s="12" t="s">
        <v>18</v>
      </c>
      <c r="L91" s="12" t="s">
        <v>19</v>
      </c>
      <c r="N91" s="12"/>
    </row>
    <row r="93" spans="1:18" x14ac:dyDescent="0.3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12" t="s">
        <v>251</v>
      </c>
      <c r="J93" s="12" t="s">
        <v>252</v>
      </c>
      <c r="K93" s="12" t="s">
        <v>253</v>
      </c>
      <c r="L93" s="12" t="s">
        <v>254</v>
      </c>
      <c r="Q93">
        <f>F93</f>
        <v>1</v>
      </c>
      <c r="R93">
        <f>G93</f>
        <v>2</v>
      </c>
    </row>
    <row r="94" spans="1:18" x14ac:dyDescent="0.35">
      <c r="A94" s="110">
        <f t="array" ref="A94:A102">IF(A93=$Q80,$Q81:$Q89,IF(A93=$R80,$R81:$R89,A81:A89))</f>
        <v>-7.6684304848265522E-2</v>
      </c>
      <c r="B94" s="111">
        <f t="array" ref="B94:B102">IF(B93=$Q80,$Q81:$Q89,IF(B93=$R80,$R81:$R89,B81:B89))</f>
        <v>-0.90124624563495281</v>
      </c>
      <c r="C94" s="111">
        <f t="array" ref="C94:C102">IF(C93=$Q80,$Q81:$Q89,IF(C93=$R80,$R81:$R89,C81:C89))</f>
        <v>-0.32285726444529989</v>
      </c>
      <c r="D94" s="112">
        <f t="array" ref="D94:D102">IF(D93=$Q80,$Q81:$Q89,IF(D93=$R80,$R81:$R89,D81:D89))</f>
        <v>-0.27863579977048614</v>
      </c>
      <c r="F94" s="94">
        <f>INDEX(A94:D102,,F93)</f>
        <v>-7.6684304848265522E-2</v>
      </c>
      <c r="G94" s="96">
        <f>INDEX(A94:D102,,G93)</f>
        <v>-0.90124624563495281</v>
      </c>
      <c r="I94" s="94">
        <f>F94^2-G94^2</f>
        <v>-0.80636431266103603</v>
      </c>
      <c r="J94" s="95">
        <f>2*F94*G94</f>
        <v>0.13822288368725102</v>
      </c>
      <c r="K94" s="95">
        <f>I94^2-J94^2</f>
        <v>0.63111783915848574</v>
      </c>
      <c r="L94" s="96">
        <f t="shared" ref="L94:L102" si="36">I94*J94</f>
        <v>-0.1114580005984965</v>
      </c>
      <c r="N94" t="s">
        <v>12</v>
      </c>
      <c r="O94" s="51">
        <f>2*L103*B104-2*I103*J103</f>
        <v>0.80981897729477303</v>
      </c>
      <c r="Q94" s="94">
        <f t="array" ref="Q94:R102">MMULT(F94:G102,N98:O99)</f>
        <v>-8.5291632798953618E-2</v>
      </c>
      <c r="R94" s="96">
        <v>-0.90047244003114724</v>
      </c>
    </row>
    <row r="95" spans="1:18" x14ac:dyDescent="0.35">
      <c r="A95" s="113">
        <v>-0.81692626638398269</v>
      </c>
      <c r="B95" s="114">
        <v>0.57187976456688216</v>
      </c>
      <c r="C95" s="114">
        <v>3.5634550180860813E-2</v>
      </c>
      <c r="D95" s="115">
        <v>6.5690098220822057E-2</v>
      </c>
      <c r="F95" s="30">
        <f>INDEX(A95:D103,,F93)</f>
        <v>-0.81692626638398269</v>
      </c>
      <c r="G95" s="26">
        <f>INDEX(A94:D102,,G93)</f>
        <v>0.57187976456688216</v>
      </c>
      <c r="I95" s="30">
        <f t="shared" ref="I95:I102" si="37">F95^2-G95^2</f>
        <v>0.34032205958700129</v>
      </c>
      <c r="J95">
        <f t="shared" ref="J95:J102" si="38">2*F95*G95</f>
        <v>-0.93436720177634813</v>
      </c>
      <c r="K95">
        <f t="shared" ref="K95:K102" si="39">I95^2-J95^2</f>
        <v>-0.75722296351382434</v>
      </c>
      <c r="L95" s="26">
        <f t="shared" si="36"/>
        <v>-0.31798577051907001</v>
      </c>
      <c r="N95" t="s">
        <v>255</v>
      </c>
      <c r="O95" s="52">
        <f>K103*B104-(I103^2-J103^2)</f>
        <v>21.179142912867178</v>
      </c>
      <c r="Q95" s="30">
        <v>-0.81142503540599131</v>
      </c>
      <c r="R95" s="26">
        <v>0.57965886670138356</v>
      </c>
    </row>
    <row r="96" spans="1:18" x14ac:dyDescent="0.35">
      <c r="A96" s="113">
        <v>-0.98521484722246089</v>
      </c>
      <c r="B96" s="114">
        <v>-0.15382636210560013</v>
      </c>
      <c r="C96" s="114">
        <v>7.3883270300270157E-2</v>
      </c>
      <c r="D96" s="115">
        <v>-1.5179509330589348E-2</v>
      </c>
      <c r="F96" s="30">
        <f>INDEX(A96:D104,,F93)</f>
        <v>-0.98521484722246089</v>
      </c>
      <c r="G96" s="26">
        <f>INDEX(A94:D102,,G93)</f>
        <v>-0.15382636210560013</v>
      </c>
      <c r="I96" s="30">
        <f t="shared" si="37"/>
        <v>0.94698574550893366</v>
      </c>
      <c r="J96">
        <f t="shared" si="38"/>
        <v>0.30310403168131156</v>
      </c>
      <c r="K96">
        <f t="shared" si="39"/>
        <v>0.80490994817564543</v>
      </c>
      <c r="L96" s="26">
        <f t="shared" si="36"/>
        <v>0.28703519740849026</v>
      </c>
      <c r="N96" t="s">
        <v>256</v>
      </c>
      <c r="O96" s="53">
        <f>0.25*ATAN(O94/O95)</f>
        <v>9.5545020872418798E-3</v>
      </c>
      <c r="Q96" s="30">
        <v>-0.98663959010304647</v>
      </c>
      <c r="R96" s="26">
        <v>-0.14440624677455144</v>
      </c>
    </row>
    <row r="97" spans="1:18" x14ac:dyDescent="0.35">
      <c r="A97" s="113">
        <v>-0.10865002992580647</v>
      </c>
      <c r="B97" s="114">
        <v>-3.5075996064038786E-3</v>
      </c>
      <c r="C97" s="114">
        <v>8.8212448906890228E-2</v>
      </c>
      <c r="D97" s="115">
        <v>-0.9901522264783188</v>
      </c>
      <c r="F97" s="30">
        <f>INDEX(A97:D105,,F93)</f>
        <v>-0.10865002992580647</v>
      </c>
      <c r="G97" s="26">
        <f>INDEX(A94:D102,,G93)</f>
        <v>-3.5075996064038786E-3</v>
      </c>
      <c r="I97" s="30">
        <f t="shared" si="37"/>
        <v>1.1792525747879796E-2</v>
      </c>
      <c r="J97">
        <f t="shared" si="38"/>
        <v>7.6220160440705685E-4</v>
      </c>
      <c r="K97">
        <f t="shared" si="39"/>
        <v>1.3848271222864725E-4</v>
      </c>
      <c r="L97" s="26">
        <f t="shared" si="36"/>
        <v>8.9882820450455094E-6</v>
      </c>
      <c r="Q97" s="30">
        <v>-0.10867858357171956</v>
      </c>
      <c r="R97" s="26">
        <v>-2.4693583624607537E-3</v>
      </c>
    </row>
    <row r="98" spans="1:18" x14ac:dyDescent="0.35">
      <c r="A98" s="113">
        <v>-0.41179421506333813</v>
      </c>
      <c r="B98" s="114">
        <v>0.11463369443653951</v>
      </c>
      <c r="C98" s="114">
        <v>0.86982277854717138</v>
      </c>
      <c r="D98" s="115">
        <v>-0.24635944159028575</v>
      </c>
      <c r="F98" s="30">
        <f>INDEX(A98:D106,,F93)</f>
        <v>-0.41179421506333813</v>
      </c>
      <c r="G98" s="26">
        <f>INDEX(A94:D102,,G93)</f>
        <v>0.11463369443653951</v>
      </c>
      <c r="I98" s="30">
        <f t="shared" si="37"/>
        <v>0.15643359165946089</v>
      </c>
      <c r="J98">
        <f t="shared" si="38"/>
        <v>-9.4410984440610676E-2</v>
      </c>
      <c r="K98">
        <f t="shared" si="39"/>
        <v>1.5558034616433718E-2</v>
      </c>
      <c r="L98" s="26">
        <f t="shared" si="36"/>
        <v>-1.4769049388150206E-2</v>
      </c>
      <c r="N98" s="94">
        <f>COS(O96)</f>
        <v>0.99995435609216443</v>
      </c>
      <c r="O98" s="96">
        <f>-N99</f>
        <v>-9.5543567185286341E-3</v>
      </c>
      <c r="Q98" s="30">
        <v>-0.4106801679575291</v>
      </c>
      <c r="R98" s="26">
        <v>0.11856289093209743</v>
      </c>
    </row>
    <row r="99" spans="1:18" x14ac:dyDescent="0.35">
      <c r="A99" s="113">
        <v>-8.8390368326733623E-3</v>
      </c>
      <c r="B99" s="114">
        <v>7.9718425825455949E-5</v>
      </c>
      <c r="C99" s="114">
        <v>0.99759849838787951</v>
      </c>
      <c r="D99" s="115">
        <v>6.8695713746139003E-2</v>
      </c>
      <c r="F99" s="30">
        <f>INDEX(A99:D107,,F93)</f>
        <v>-8.8390368326733623E-3</v>
      </c>
      <c r="G99" s="26">
        <f>INDEX(A94:D102,,G93)</f>
        <v>7.9718425825455949E-5</v>
      </c>
      <c r="I99" s="30">
        <f t="shared" si="37"/>
        <v>7.8122217101940261E-5</v>
      </c>
      <c r="J99">
        <f t="shared" si="38"/>
        <v>-1.409268204227889E-6</v>
      </c>
      <c r="K99">
        <f t="shared" si="39"/>
        <v>6.1010947680512398E-9</v>
      </c>
      <c r="L99" s="26">
        <f t="shared" si="36"/>
        <v>-1.1009515660555263E-10</v>
      </c>
      <c r="N99" s="27">
        <f>SIN(O96)</f>
        <v>9.5543567185286341E-3</v>
      </c>
      <c r="O99" s="29">
        <f>N98</f>
        <v>0.99995435609216443</v>
      </c>
      <c r="Q99" s="30">
        <v>-8.8378717262134407E-3</v>
      </c>
      <c r="R99" s="26">
        <v>1.6416609811254959E-4</v>
      </c>
    </row>
    <row r="100" spans="1:18" x14ac:dyDescent="0.35">
      <c r="A100" s="113">
        <v>-0.97899964510604265</v>
      </c>
      <c r="B100" s="114">
        <v>-1.2873824627089046E-2</v>
      </c>
      <c r="C100" s="114">
        <v>0.12670339935420363</v>
      </c>
      <c r="D100" s="115">
        <v>-0.15918608015088118</v>
      </c>
      <c r="F100" s="30">
        <f>INDEX(A100:D108,,F93)</f>
        <v>-0.97899964510604265</v>
      </c>
      <c r="G100" s="26">
        <f>INDEX(A94:D102,,G93)</f>
        <v>-1.2873824627089046E-2</v>
      </c>
      <c r="I100" s="30">
        <f t="shared" si="37"/>
        <v>0.95827456975722847</v>
      </c>
      <c r="J100">
        <f t="shared" si="38"/>
        <v>2.5206939482155216E-2</v>
      </c>
      <c r="K100">
        <f t="shared" si="39"/>
        <v>0.91765476124534429</v>
      </c>
      <c r="L100" s="26">
        <f t="shared" si="36"/>
        <v>2.4155169087158784E-2</v>
      </c>
      <c r="Q100" s="30">
        <v>-0.97907796084928933</v>
      </c>
      <c r="R100" s="26">
        <v>-3.5195251787682093E-3</v>
      </c>
    </row>
    <row r="101" spans="1:18" x14ac:dyDescent="0.35">
      <c r="A101" s="113">
        <v>-0.73002425643063851</v>
      </c>
      <c r="B101" s="114">
        <v>0.20373369998318647</v>
      </c>
      <c r="C101" s="114">
        <v>0.53751248015630104</v>
      </c>
      <c r="D101" s="115">
        <v>-0.36964509761428765</v>
      </c>
      <c r="F101" s="30">
        <f>INDEX(A101:D109,,F93)</f>
        <v>-0.73002425643063851</v>
      </c>
      <c r="G101" s="26">
        <f>INDEX(A94:D102,,G93)</f>
        <v>0.20373369998318647</v>
      </c>
      <c r="I101" s="30">
        <f t="shared" si="37"/>
        <v>0.49142799446826757</v>
      </c>
      <c r="J101">
        <f t="shared" si="38"/>
        <v>-0.29746108568017698</v>
      </c>
      <c r="K101">
        <f t="shared" si="39"/>
        <v>0.15301837625307402</v>
      </c>
      <c r="L101" s="26">
        <f t="shared" si="36"/>
        <v>-0.14618070476816289</v>
      </c>
      <c r="Q101" s="30">
        <v>-0.72804439082553529</v>
      </c>
      <c r="R101" s="26">
        <v>0.21069931294007838</v>
      </c>
    </row>
    <row r="102" spans="1:18" x14ac:dyDescent="0.35">
      <c r="A102" s="116">
        <v>-0.11419086989511298</v>
      </c>
      <c r="B102" s="117">
        <v>0.91679674252202115</v>
      </c>
      <c r="C102" s="117">
        <v>-0.22424560177361996</v>
      </c>
      <c r="D102" s="118">
        <v>-0.3100936765217816</v>
      </c>
      <c r="F102" s="27">
        <f>INDEX(A102:D110,,F93)</f>
        <v>-0.11419086989511298</v>
      </c>
      <c r="G102" s="29">
        <f>INDEX(A94:D102,,G93)</f>
        <v>0.91679674252202115</v>
      </c>
      <c r="I102" s="27">
        <f t="shared" si="37"/>
        <v>-0.82747671233158659</v>
      </c>
      <c r="J102" s="28">
        <f t="shared" si="38"/>
        <v>-0.20937963509119104</v>
      </c>
      <c r="K102" s="28">
        <f t="shared" si="39"/>
        <v>0.64087787786017103</v>
      </c>
      <c r="L102" s="29">
        <f t="shared" si="36"/>
        <v>0.17325677207444606</v>
      </c>
      <c r="Q102" s="27">
        <v>-0.10542625466113138</v>
      </c>
      <c r="R102" s="29">
        <v>0.91784591664097848</v>
      </c>
    </row>
    <row r="103" spans="1:18" x14ac:dyDescent="0.35">
      <c r="I103">
        <f>SUM(I94:I102)</f>
        <v>1.2714735839532509</v>
      </c>
      <c r="J103">
        <f>SUM(J94:J102)</f>
        <v>-1.0683242598014062</v>
      </c>
      <c r="K103">
        <f>SUM(K94:K102)</f>
        <v>2.4060523626086532</v>
      </c>
      <c r="L103">
        <f>SUM(L94:L102)</f>
        <v>-0.10593739853183459</v>
      </c>
    </row>
    <row r="104" spans="1:18" x14ac:dyDescent="0.35">
      <c r="A104" s="12" t="s">
        <v>2</v>
      </c>
      <c r="B104">
        <f>COUNT(A94:A102)</f>
        <v>9</v>
      </c>
      <c r="I104" s="12" t="s">
        <v>16</v>
      </c>
      <c r="J104" s="12" t="s">
        <v>258</v>
      </c>
      <c r="K104" s="12" t="s">
        <v>18</v>
      </c>
      <c r="L104" s="12" t="s">
        <v>19</v>
      </c>
      <c r="N104" s="12"/>
    </row>
    <row r="106" spans="1:18" x14ac:dyDescent="0.3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12" t="s">
        <v>251</v>
      </c>
      <c r="J106" s="12" t="s">
        <v>252</v>
      </c>
      <c r="K106" s="12" t="s">
        <v>253</v>
      </c>
      <c r="L106" s="12" t="s">
        <v>254</v>
      </c>
      <c r="Q106">
        <f>F106</f>
        <v>1</v>
      </c>
      <c r="R106">
        <f>G106</f>
        <v>3</v>
      </c>
    </row>
    <row r="107" spans="1:18" x14ac:dyDescent="0.35">
      <c r="A107" s="110">
        <f t="array" ref="A107:A115">IF(A106=$Q93,$Q94:$Q102,IF(A106=$R93,$R94:$R102,A94:A102))</f>
        <v>-8.5291632798953618E-2</v>
      </c>
      <c r="B107" s="111">
        <f t="array" ref="B107:B115">IF(B106=$Q93,$Q94:$Q102,IF(B106=$R93,$R94:$R102,B94:B102))</f>
        <v>-0.90047244003114724</v>
      </c>
      <c r="C107" s="111">
        <f t="array" ref="C107:C115">IF(C106=$Q93,$Q94:$Q102,IF(C106=$R93,$R94:$R102,C94:C102))</f>
        <v>-0.32285726444529989</v>
      </c>
      <c r="D107" s="112">
        <f t="array" ref="D107:D115">IF(D106=$Q93,$Q94:$Q102,IF(D106=$R93,$R94:$R102,D94:D102))</f>
        <v>-0.27863579977048614</v>
      </c>
      <c r="F107" s="94">
        <f>INDEX(A107:D115,,F106)</f>
        <v>-8.5291632798953618E-2</v>
      </c>
      <c r="G107" s="96">
        <f>INDEX(A107:D115,,G106)</f>
        <v>-0.32285726444529989</v>
      </c>
      <c r="I107" s="94">
        <f>F107^2-G107^2</f>
        <v>-9.6962150579590761E-2</v>
      </c>
      <c r="J107" s="95">
        <f>2*F107*G107</f>
        <v>5.5074046491086361E-2</v>
      </c>
      <c r="K107" s="95">
        <f>I107^2-J107^2</f>
        <v>6.3685080481168908E-3</v>
      </c>
      <c r="L107" s="96">
        <f t="shared" ref="L107:L115" si="40">I107*J107</f>
        <v>-5.3400979888960981E-3</v>
      </c>
      <c r="N107" t="s">
        <v>12</v>
      </c>
      <c r="O107" s="51">
        <f>2*L116*B117-2*I116*J116</f>
        <v>1.034420964424779</v>
      </c>
      <c r="Q107" s="94">
        <f t="array" ref="Q107:R115">MMULT(F107:G115,N111:O112)</f>
        <v>-8.8710012841784092E-2</v>
      </c>
      <c r="R107" s="96">
        <v>-0.3219347906831822</v>
      </c>
    </row>
    <row r="108" spans="1:18" x14ac:dyDescent="0.35">
      <c r="A108" s="113">
        <v>-0.81142503540599131</v>
      </c>
      <c r="B108" s="114">
        <v>0.57965886670138356</v>
      </c>
      <c r="C108" s="114">
        <v>3.5634550180860813E-2</v>
      </c>
      <c r="D108" s="115">
        <v>6.5690098220822057E-2</v>
      </c>
      <c r="F108" s="30">
        <f>INDEX(A108:D116,,F106)</f>
        <v>-0.81142503540599131</v>
      </c>
      <c r="G108" s="26">
        <f>INDEX(A107:D115,,G106)</f>
        <v>3.5634550180860813E-2</v>
      </c>
      <c r="I108" s="30">
        <f t="shared" ref="I108:I115" si="41">F108^2-G108^2</f>
        <v>0.65714076691702206</v>
      </c>
      <c r="J108">
        <f t="shared" ref="J108:J115" si="42">2*F108*G108</f>
        <v>-5.7829532284363119E-2</v>
      </c>
      <c r="K108">
        <f t="shared" ref="K108:K115" si="43">I108^2-J108^2</f>
        <v>0.42848973274006374</v>
      </c>
      <c r="L108" s="26">
        <f t="shared" si="40"/>
        <v>-3.8002143195799067E-2</v>
      </c>
      <c r="N108" t="s">
        <v>255</v>
      </c>
      <c r="O108" s="52">
        <f>K116*B117-(I116^2-J116^2)</f>
        <v>24.375314187500521</v>
      </c>
      <c r="Q108" s="30">
        <v>-0.81100160045297909</v>
      </c>
      <c r="R108" s="26">
        <v>4.4235882639697882E-2</v>
      </c>
    </row>
    <row r="109" spans="1:18" x14ac:dyDescent="0.35">
      <c r="A109" s="113">
        <v>-0.98663959010304647</v>
      </c>
      <c r="B109" s="114">
        <v>-0.14440624677455144</v>
      </c>
      <c r="C109" s="114">
        <v>7.3883270300270157E-2</v>
      </c>
      <c r="D109" s="115">
        <v>-1.5179509330589348E-2</v>
      </c>
      <c r="F109" s="30">
        <f>INDEX(A109:D117,,F106)</f>
        <v>-0.98663959010304647</v>
      </c>
      <c r="G109" s="26">
        <f>INDEX(A107:D115,,G106)</f>
        <v>7.3883270300270157E-2</v>
      </c>
      <c r="I109" s="30">
        <f t="shared" si="41"/>
        <v>0.9679989431284447</v>
      </c>
      <c r="J109">
        <f t="shared" si="42"/>
        <v>-0.14579231904906226</v>
      </c>
      <c r="K109">
        <f t="shared" si="43"/>
        <v>0.91576655360408232</v>
      </c>
      <c r="L109" s="26">
        <f t="shared" si="40"/>
        <v>-0.14112681075573727</v>
      </c>
      <c r="N109" t="s">
        <v>256</v>
      </c>
      <c r="O109" s="53">
        <f>0.25*ATAN(O107/O108)</f>
        <v>1.0602947075262104E-2</v>
      </c>
      <c r="Q109" s="30">
        <v>-0.98580076465797617</v>
      </c>
      <c r="R109" s="26">
        <v>8.4340208612025555E-2</v>
      </c>
    </row>
    <row r="110" spans="1:18" x14ac:dyDescent="0.35">
      <c r="A110" s="113">
        <v>-0.10867858357171956</v>
      </c>
      <c r="B110" s="114">
        <v>-2.4693583624607537E-3</v>
      </c>
      <c r="C110" s="114">
        <v>8.8212448906890228E-2</v>
      </c>
      <c r="D110" s="115">
        <v>-0.9901522264783188</v>
      </c>
      <c r="F110" s="30">
        <f>INDEX(A110:D118,,F106)</f>
        <v>-0.10867858357171956</v>
      </c>
      <c r="G110" s="26">
        <f>INDEX(A107:D115,,G106)</f>
        <v>8.8212448906890228E-2</v>
      </c>
      <c r="I110" s="30">
        <f t="shared" si="41"/>
        <v>4.0295983850045132E-3</v>
      </c>
      <c r="J110">
        <f t="shared" si="42"/>
        <v>-1.9173608001187021E-2</v>
      </c>
      <c r="K110">
        <f t="shared" si="43"/>
        <v>-3.51389580638752E-4</v>
      </c>
      <c r="L110" s="26">
        <f t="shared" si="40"/>
        <v>-7.7261939836292833E-5</v>
      </c>
      <c r="Q110" s="30">
        <v>-0.10773718026842226</v>
      </c>
      <c r="R110" s="26">
        <v>8.9359782100872656E-2</v>
      </c>
    </row>
    <row r="111" spans="1:18" x14ac:dyDescent="0.35">
      <c r="A111" s="113">
        <v>-0.4106801679575291</v>
      </c>
      <c r="B111" s="114">
        <v>0.11856289093209743</v>
      </c>
      <c r="C111" s="114">
        <v>0.86982277854717138</v>
      </c>
      <c r="D111" s="115">
        <v>-0.24635944159028575</v>
      </c>
      <c r="F111" s="30">
        <f>INDEX(A111:D119,,F106)</f>
        <v>-0.4106801679575291</v>
      </c>
      <c r="G111" s="26">
        <f>INDEX(A107:D115,,G106)</f>
        <v>0.86982277854717138</v>
      </c>
      <c r="I111" s="30">
        <f t="shared" si="41"/>
        <v>-0.58793346572589722</v>
      </c>
      <c r="J111">
        <f t="shared" si="42"/>
        <v>-0.71443792957407393</v>
      </c>
      <c r="K111">
        <f t="shared" si="43"/>
        <v>-0.16475579509362465</v>
      </c>
      <c r="L111" s="26">
        <f t="shared" si="40"/>
        <v>0.42004196798051974</v>
      </c>
      <c r="N111" s="94">
        <f>COS(O109)</f>
        <v>0.99994378928327499</v>
      </c>
      <c r="O111" s="96">
        <f>-N112</f>
        <v>-1.0602748408099449E-2</v>
      </c>
      <c r="Q111" s="30">
        <v>-0.4014345712503738</v>
      </c>
      <c r="R111" s="26">
        <v>0.87412822368241516</v>
      </c>
    </row>
    <row r="112" spans="1:18" x14ac:dyDescent="0.35">
      <c r="A112" s="113">
        <v>-8.8378717262134407E-3</v>
      </c>
      <c r="B112" s="114">
        <v>1.6416609811254959E-4</v>
      </c>
      <c r="C112" s="114">
        <v>0.99759849838787951</v>
      </c>
      <c r="D112" s="115">
        <v>6.8695713746139003E-2</v>
      </c>
      <c r="F112" s="30">
        <f>INDEX(A112:D120,,F106)</f>
        <v>-8.8378717262134407E-3</v>
      </c>
      <c r="G112" s="26">
        <f>INDEX(A107:D115,,G106)</f>
        <v>0.99759849838787951</v>
      </c>
      <c r="I112" s="30">
        <f t="shared" si="41"/>
        <v>-0.99512465600910305</v>
      </c>
      <c r="J112">
        <f t="shared" si="42"/>
        <v>-1.763329512603045E-2</v>
      </c>
      <c r="K112">
        <f t="shared" si="43"/>
        <v>0.98996214790023396</v>
      </c>
      <c r="L112" s="26">
        <f t="shared" si="40"/>
        <v>1.7547326746598046E-2</v>
      </c>
      <c r="N112" s="27">
        <f>SIN(O109)</f>
        <v>1.0602748408099449E-2</v>
      </c>
      <c r="O112" s="29">
        <f>N111</f>
        <v>0.99994378928327499</v>
      </c>
      <c r="Q112" s="30">
        <v>1.7399109475951038E-3</v>
      </c>
      <c r="R112" s="26">
        <v>0.9976361283916575</v>
      </c>
    </row>
    <row r="113" spans="1:18" x14ac:dyDescent="0.35">
      <c r="A113" s="113">
        <v>-0.97907796084928933</v>
      </c>
      <c r="B113" s="114">
        <v>-3.5195251787682093E-3</v>
      </c>
      <c r="C113" s="114">
        <v>0.12670339935420363</v>
      </c>
      <c r="D113" s="115">
        <v>-0.15918608015088118</v>
      </c>
      <c r="F113" s="30">
        <f>INDEX(A113:D121,,F106)</f>
        <v>-0.97907796084928933</v>
      </c>
      <c r="G113" s="26">
        <f>INDEX(A107:D115,,G106)</f>
        <v>0.12670339935420363</v>
      </c>
      <c r="I113" s="30">
        <f t="shared" si="41"/>
        <v>0.94253990201289173</v>
      </c>
      <c r="J113">
        <f t="shared" si="42"/>
        <v>-0.2481050117447737</v>
      </c>
      <c r="K113">
        <f t="shared" si="43"/>
        <v>0.82682537003359724</v>
      </c>
      <c r="L113" s="26">
        <f t="shared" si="40"/>
        <v>-0.23384887345882635</v>
      </c>
      <c r="Q113" s="30">
        <v>-0.97767952190957674</v>
      </c>
      <c r="R113" s="26">
        <v>0.1370771945561145</v>
      </c>
    </row>
    <row r="114" spans="1:18" x14ac:dyDescent="0.35">
      <c r="A114" s="113">
        <v>-0.72804439082553529</v>
      </c>
      <c r="B114" s="114">
        <v>0.21069931294007838</v>
      </c>
      <c r="C114" s="114">
        <v>0.53751248015630104</v>
      </c>
      <c r="D114" s="115">
        <v>-0.36964509761428765</v>
      </c>
      <c r="F114" s="30">
        <f>INDEX(A114:D122,,F106)</f>
        <v>-0.72804439082553529</v>
      </c>
      <c r="G114" s="26">
        <f>INDEX(A107:D115,,G106)</f>
        <v>0.53751248015630104</v>
      </c>
      <c r="I114" s="30">
        <f t="shared" si="41"/>
        <v>0.24112896868874684</v>
      </c>
      <c r="J114">
        <f t="shared" si="42"/>
        <v>-0.78266589235303363</v>
      </c>
      <c r="K114">
        <f t="shared" si="43"/>
        <v>-0.55442271951187183</v>
      </c>
      <c r="L114" s="26">
        <f t="shared" si="40"/>
        <v>-0.18872341945094476</v>
      </c>
      <c r="Q114" s="30">
        <v>-0.72230435733520859</v>
      </c>
      <c r="R114" s="26">
        <v>0.54520153770039403</v>
      </c>
    </row>
    <row r="115" spans="1:18" x14ac:dyDescent="0.35">
      <c r="A115" s="116">
        <v>-0.10542625466113138</v>
      </c>
      <c r="B115" s="117">
        <v>0.91784591664097848</v>
      </c>
      <c r="C115" s="117">
        <v>-0.22424560177361996</v>
      </c>
      <c r="D115" s="118">
        <v>-0.3100936765217816</v>
      </c>
      <c r="F115" s="27">
        <f>INDEX(A115:D123,,F106)</f>
        <v>-0.10542625466113138</v>
      </c>
      <c r="G115" s="29">
        <f>INDEX(A107:D115,,G106)</f>
        <v>-0.22424560177361996</v>
      </c>
      <c r="I115" s="27">
        <f t="shared" si="41"/>
        <v>-3.9171394742939222E-2</v>
      </c>
      <c r="J115" s="28">
        <f t="shared" si="42"/>
        <v>4.728274783844863E-2</v>
      </c>
      <c r="K115" s="28">
        <f t="shared" si="43"/>
        <v>-7.0126007704715185E-4</v>
      </c>
      <c r="L115" s="29">
        <f t="shared" si="40"/>
        <v>-1.8521311801107275E-3</v>
      </c>
      <c r="Q115" s="27">
        <v>-0.1077979482730238</v>
      </c>
      <c r="R115" s="29">
        <v>-0.22311518871384164</v>
      </c>
    </row>
    <row r="116" spans="1:18" x14ac:dyDescent="0.35">
      <c r="I116">
        <f>SUM(I107:I115)</f>
        <v>1.0936465120745795</v>
      </c>
      <c r="J116">
        <f>SUM(J107:J115)</f>
        <v>-1.8832807938029892</v>
      </c>
      <c r="K116">
        <f>SUM(K107:K115)</f>
        <v>2.4471811480629109</v>
      </c>
      <c r="L116">
        <f>SUM(L107:L115)</f>
        <v>-0.17138144324303278</v>
      </c>
    </row>
    <row r="117" spans="1:18" x14ac:dyDescent="0.35">
      <c r="A117" s="12" t="s">
        <v>2</v>
      </c>
      <c r="B117">
        <f>COUNT(A107:A115)</f>
        <v>9</v>
      </c>
      <c r="I117" s="12" t="s">
        <v>16</v>
      </c>
      <c r="J117" s="12" t="s">
        <v>258</v>
      </c>
      <c r="K117" s="12" t="s">
        <v>18</v>
      </c>
      <c r="L117" s="12" t="s">
        <v>19</v>
      </c>
      <c r="N117" s="12"/>
    </row>
    <row r="119" spans="1:18" x14ac:dyDescent="0.3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12" t="s">
        <v>251</v>
      </c>
      <c r="J119" s="12" t="s">
        <v>252</v>
      </c>
      <c r="K119" s="12" t="s">
        <v>253</v>
      </c>
      <c r="L119" s="12" t="s">
        <v>254</v>
      </c>
      <c r="Q119">
        <f>F119</f>
        <v>1</v>
      </c>
      <c r="R119">
        <f>G119</f>
        <v>4</v>
      </c>
    </row>
    <row r="120" spans="1:18" x14ac:dyDescent="0.35">
      <c r="A120" s="110">
        <f t="array" ref="A120:A128">IF(A119=$Q106,$Q107:$Q115,IF(A119=$R106,$R107:$R115,A107:A115))</f>
        <v>-8.8710012841784092E-2</v>
      </c>
      <c r="B120" s="111">
        <f t="array" ref="B120:B128">IF(B119=$Q106,$Q107:$Q115,IF(B119=$R106,$R107:$R115,B107:B115))</f>
        <v>-0.90047244003114724</v>
      </c>
      <c r="C120" s="111">
        <f t="array" ref="C120:C128">IF(C119=$Q106,$Q107:$Q115,IF(C119=$R106,$R107:$R115,C107:C115))</f>
        <v>-0.3219347906831822</v>
      </c>
      <c r="D120" s="112">
        <f t="array" ref="D120:D128">IF(D119=$Q106,$Q107:$Q115,IF(D119=$R106,$R107:$R115,D107:D115))</f>
        <v>-0.27863579977048614</v>
      </c>
      <c r="F120" s="94">
        <f>INDEX(A120:D128,,F119)</f>
        <v>-8.8710012841784092E-2</v>
      </c>
      <c r="G120" s="96">
        <f>INDEX(A120:D128,,G119)</f>
        <v>-0.27863579977048614</v>
      </c>
      <c r="I120" s="94">
        <f>F120^2-G120^2</f>
        <v>-6.9768442535348946E-2</v>
      </c>
      <c r="J120" s="95">
        <f>2*F120*G120</f>
        <v>4.9435570751641213E-2</v>
      </c>
      <c r="K120" s="95">
        <f>I120^2-J120^2</f>
        <v>2.4237599182677636E-3</v>
      </c>
      <c r="L120" s="96">
        <f t="shared" ref="L120:L128" si="44">I120*J120</f>
        <v>-3.4490427771880572E-3</v>
      </c>
      <c r="N120" t="s">
        <v>12</v>
      </c>
      <c r="O120" s="51">
        <f>2*L129*B130-2*I129*J129</f>
        <v>-0.30185098807564437</v>
      </c>
      <c r="Q120" s="94">
        <f t="array" ref="Q120:R128">MMULT(F120:G128,N124:O125)</f>
        <v>-8.7824622485212056E-2</v>
      </c>
      <c r="R120" s="96">
        <v>-0.27891613610090382</v>
      </c>
    </row>
    <row r="121" spans="1:18" x14ac:dyDescent="0.35">
      <c r="A121" s="113">
        <v>-0.81100160045297909</v>
      </c>
      <c r="B121" s="114">
        <v>0.57965886670138356</v>
      </c>
      <c r="C121" s="114">
        <v>4.4235882639697882E-2</v>
      </c>
      <c r="D121" s="115">
        <v>6.5690098220822057E-2</v>
      </c>
      <c r="F121" s="30">
        <f>INDEX(A121:D129,,F119)</f>
        <v>-0.81100160045297909</v>
      </c>
      <c r="G121" s="26">
        <f>INDEX(A120:D128,,G119)</f>
        <v>6.5690098220822057E-2</v>
      </c>
      <c r="I121" s="30">
        <f t="shared" ref="I121:I128" si="45">F121^2-G121^2</f>
        <v>0.65340840693303237</v>
      </c>
      <c r="J121">
        <f t="shared" ref="J121:J128" si="46">2*F121*G121</f>
        <v>-0.10654954958200016</v>
      </c>
      <c r="K121">
        <f t="shared" ref="K121:K128" si="47">I121^2-J121^2</f>
        <v>0.41558973973463609</v>
      </c>
      <c r="L121" s="26">
        <f t="shared" si="44"/>
        <v>-6.962037145180687E-2</v>
      </c>
      <c r="N121" t="s">
        <v>255</v>
      </c>
      <c r="O121" s="52">
        <f>K129*B130-(I129^2-J129^2)</f>
        <v>23.75910932632182</v>
      </c>
      <c r="Q121" s="30">
        <v>-0.81120614093287347</v>
      </c>
      <c r="R121" s="26">
        <v>6.311403848867389E-2</v>
      </c>
    </row>
    <row r="122" spans="1:18" x14ac:dyDescent="0.35">
      <c r="A122" s="113">
        <v>-0.98580076465797617</v>
      </c>
      <c r="B122" s="114">
        <v>-0.14440624677455144</v>
      </c>
      <c r="C122" s="114">
        <v>8.4340208612025555E-2</v>
      </c>
      <c r="D122" s="115">
        <v>-1.5179509330589348E-2</v>
      </c>
      <c r="F122" s="30">
        <f>INDEX(A122:D130,,F119)</f>
        <v>-0.98580076465797617</v>
      </c>
      <c r="G122" s="26">
        <f>INDEX(A120:D128,,G119)</f>
        <v>-1.5179509330589348E-2</v>
      </c>
      <c r="I122" s="30">
        <f t="shared" si="45"/>
        <v>0.97157273009673306</v>
      </c>
      <c r="J122">
        <f t="shared" si="46"/>
        <v>2.9927943810455729E-2</v>
      </c>
      <c r="K122">
        <f t="shared" si="47"/>
        <v>0.94305788804689761</v>
      </c>
      <c r="L122" s="26">
        <f t="shared" si="44"/>
        <v>2.9077174074106097E-2</v>
      </c>
      <c r="N122" t="s">
        <v>256</v>
      </c>
      <c r="O122" s="53">
        <f>0.25*ATAN(O120/O121)</f>
        <v>-3.1759897343029099E-3</v>
      </c>
      <c r="Q122" s="30">
        <v>-0.98574758293521181</v>
      </c>
      <c r="R122" s="26">
        <v>-1.831032061859322E-2</v>
      </c>
    </row>
    <row r="123" spans="1:18" x14ac:dyDescent="0.35">
      <c r="A123" s="113">
        <v>-0.10773718026842226</v>
      </c>
      <c r="B123" s="114">
        <v>-2.4693583624607537E-3</v>
      </c>
      <c r="C123" s="114">
        <v>8.9359782100872656E-2</v>
      </c>
      <c r="D123" s="115">
        <v>-0.9901522264783188</v>
      </c>
      <c r="F123" s="30">
        <f>INDEX(A123:D131,,F119)</f>
        <v>-0.10773718026842226</v>
      </c>
      <c r="G123" s="26">
        <f>INDEX(A120:D128,,G119)</f>
        <v>-0.9901522264783188</v>
      </c>
      <c r="I123" s="30">
        <f t="shared" si="45"/>
        <v>-0.96879413158778138</v>
      </c>
      <c r="J123">
        <f t="shared" si="46"/>
        <v>0.21335241783454859</v>
      </c>
      <c r="K123">
        <f t="shared" si="47"/>
        <v>0.89304281520307571</v>
      </c>
      <c r="L123" s="26">
        <f t="shared" si="44"/>
        <v>-0.20669457035817498</v>
      </c>
      <c r="Q123" s="30">
        <v>-0.10459192888126126</v>
      </c>
      <c r="R123" s="26">
        <v>-0.99048940429721899</v>
      </c>
    </row>
    <row r="124" spans="1:18" x14ac:dyDescent="0.35">
      <c r="A124" s="113">
        <v>-0.4014345712503738</v>
      </c>
      <c r="B124" s="114">
        <v>0.11856289093209743</v>
      </c>
      <c r="C124" s="114">
        <v>0.87412822368241516</v>
      </c>
      <c r="D124" s="115">
        <v>-0.24635944159028575</v>
      </c>
      <c r="F124" s="30">
        <f>INDEX(A124:D132,,F119)</f>
        <v>-0.4014345712503738</v>
      </c>
      <c r="G124" s="26">
        <f>INDEX(A120:D128,,G119)</f>
        <v>-0.24635944159028575</v>
      </c>
      <c r="I124" s="30">
        <f t="shared" si="45"/>
        <v>0.10045674053429401</v>
      </c>
      <c r="J124">
        <f t="shared" si="46"/>
        <v>0.19779439361655574</v>
      </c>
      <c r="K124">
        <f t="shared" si="47"/>
        <v>-2.9031065427366512E-2</v>
      </c>
      <c r="L124" s="26">
        <f t="shared" si="44"/>
        <v>1.9869780078676361E-2</v>
      </c>
      <c r="N124" s="94">
        <f>COS(O122)</f>
        <v>0.99999495654884318</v>
      </c>
      <c r="O124" s="96">
        <f>-N125</f>
        <v>3.1759843949847482E-3</v>
      </c>
      <c r="Q124" s="30">
        <v>-0.40065011289267316</v>
      </c>
      <c r="R124" s="26">
        <v>-0.24763314902237363</v>
      </c>
    </row>
    <row r="125" spans="1:18" x14ac:dyDescent="0.35">
      <c r="A125" s="113">
        <v>1.7399109475951038E-3</v>
      </c>
      <c r="B125" s="114">
        <v>1.6416609811254959E-4</v>
      </c>
      <c r="C125" s="114">
        <v>0.9976361283916575</v>
      </c>
      <c r="D125" s="115">
        <v>6.8695713746139003E-2</v>
      </c>
      <c r="F125" s="30">
        <f>INDEX(A125:D133,,F119)</f>
        <v>1.7399109475951038E-3</v>
      </c>
      <c r="G125" s="26">
        <f>INDEX(A120:D128,,G119)</f>
        <v>6.8695713746139003E-2</v>
      </c>
      <c r="I125" s="30">
        <f t="shared" si="45"/>
        <v>-4.7160737969859099E-3</v>
      </c>
      <c r="J125">
        <f t="shared" si="46"/>
        <v>2.3904884879953343E-4</v>
      </c>
      <c r="K125">
        <f t="shared" si="47"/>
        <v>2.2184207706504716E-5</v>
      </c>
      <c r="L125" s="26">
        <f t="shared" si="44"/>
        <v>-1.1273720120231262E-6</v>
      </c>
      <c r="N125" s="27">
        <f>SIN(O122)</f>
        <v>-3.1759843949847482E-3</v>
      </c>
      <c r="O125" s="29">
        <f>N124</f>
        <v>0.99999495654884318</v>
      </c>
      <c r="Q125" s="30">
        <v>1.5217256575791457E-3</v>
      </c>
      <c r="R125" s="26">
        <v>6.8700893212680261E-2</v>
      </c>
    </row>
    <row r="126" spans="1:18" x14ac:dyDescent="0.35">
      <c r="A126" s="113">
        <v>-0.97767952190957674</v>
      </c>
      <c r="B126" s="114">
        <v>-3.5195251787682093E-3</v>
      </c>
      <c r="C126" s="114">
        <v>0.1370771945561145</v>
      </c>
      <c r="D126" s="115">
        <v>-0.15918608015088118</v>
      </c>
      <c r="F126" s="30">
        <f>INDEX(A126:D134,,F119)</f>
        <v>-0.97767952190957674</v>
      </c>
      <c r="G126" s="26">
        <f>INDEX(A120:D128,,G119)</f>
        <v>-0.15918608015088118</v>
      </c>
      <c r="I126" s="30">
        <f t="shared" si="45"/>
        <v>0.93051703944753572</v>
      </c>
      <c r="J126">
        <f t="shared" si="46"/>
        <v>0.31126594147314612</v>
      </c>
      <c r="K126">
        <f t="shared" si="47"/>
        <v>0.76897547438104275</v>
      </c>
      <c r="L126" s="26">
        <f t="shared" si="44"/>
        <v>0.28963826234044188</v>
      </c>
      <c r="Q126" s="30">
        <v>-0.97716901852420301</v>
      </c>
      <c r="R126" s="26">
        <v>-0.16229037220854206</v>
      </c>
    </row>
    <row r="127" spans="1:18" x14ac:dyDescent="0.35">
      <c r="A127" s="113">
        <v>-0.72230435733520859</v>
      </c>
      <c r="B127" s="114">
        <v>0.21069931294007838</v>
      </c>
      <c r="C127" s="114">
        <v>0.54520153770039403</v>
      </c>
      <c r="D127" s="115">
        <v>-0.36964509761428765</v>
      </c>
      <c r="F127" s="30">
        <f>INDEX(A127:D135,,F119)</f>
        <v>-0.72230435733520859</v>
      </c>
      <c r="G127" s="26">
        <f>INDEX(A120:D128,,G119)</f>
        <v>-0.36964509761428765</v>
      </c>
      <c r="I127" s="30">
        <f t="shared" si="45"/>
        <v>0.38508608643515241</v>
      </c>
      <c r="J127">
        <f t="shared" si="46"/>
        <v>0.53399252934879693</v>
      </c>
      <c r="K127">
        <f t="shared" si="47"/>
        <v>-0.13685672743438407</v>
      </c>
      <c r="L127" s="26">
        <f t="shared" si="44"/>
        <v>0.20563309331253649</v>
      </c>
      <c r="Q127" s="30">
        <v>-0.72112672736675643</v>
      </c>
      <c r="R127" s="26">
        <v>-0.37193726069461858</v>
      </c>
    </row>
    <row r="128" spans="1:18" x14ac:dyDescent="0.35">
      <c r="A128" s="116">
        <v>-0.1077979482730238</v>
      </c>
      <c r="B128" s="117">
        <v>0.91784591664097848</v>
      </c>
      <c r="C128" s="117">
        <v>-0.22311518871384164</v>
      </c>
      <c r="D128" s="118">
        <v>-0.3100936765217816</v>
      </c>
      <c r="F128" s="27">
        <f>INDEX(A128:D136,,F119)</f>
        <v>-0.1077979482730238</v>
      </c>
      <c r="G128" s="29">
        <f>INDEX(A120:D128,,G119)</f>
        <v>-0.3100936765217816</v>
      </c>
      <c r="I128" s="27">
        <f t="shared" si="45"/>
        <v>-8.4537690566921814E-2</v>
      </c>
      <c r="J128" s="28">
        <f t="shared" si="46"/>
        <v>6.6854924202973579E-2</v>
      </c>
      <c r="K128" s="28">
        <f t="shared" si="47"/>
        <v>2.6770402362032795E-3</v>
      </c>
      <c r="L128" s="29">
        <f t="shared" si="44"/>
        <v>-5.6517608951459925E-3</v>
      </c>
      <c r="Q128" s="27">
        <v>-0.10681255192172026</v>
      </c>
      <c r="R128" s="29">
        <v>-0.31043447718099648</v>
      </c>
    </row>
    <row r="129" spans="1:18" x14ac:dyDescent="0.35">
      <c r="I129">
        <f>SUM(I120:I128)</f>
        <v>1.9132246649597096</v>
      </c>
      <c r="J129">
        <f>SUM(J120:J128)</f>
        <v>1.2963132203049172</v>
      </c>
      <c r="K129">
        <f>SUM(K120:K128)</f>
        <v>2.8599011088660786</v>
      </c>
      <c r="L129">
        <f>SUM(L120:L128)</f>
        <v>0.25880143695143282</v>
      </c>
    </row>
    <row r="130" spans="1:18" x14ac:dyDescent="0.35">
      <c r="A130" s="12" t="s">
        <v>2</v>
      </c>
      <c r="B130">
        <f>COUNT(A120:A128)</f>
        <v>9</v>
      </c>
      <c r="I130" s="12" t="s">
        <v>16</v>
      </c>
      <c r="J130" s="12" t="s">
        <v>258</v>
      </c>
      <c r="K130" s="12" t="s">
        <v>18</v>
      </c>
      <c r="L130" s="12" t="s">
        <v>19</v>
      </c>
      <c r="N130" s="12"/>
    </row>
    <row r="132" spans="1:18" x14ac:dyDescent="0.3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12" t="s">
        <v>251</v>
      </c>
      <c r="J132" s="12" t="s">
        <v>252</v>
      </c>
      <c r="K132" s="12" t="s">
        <v>253</v>
      </c>
      <c r="L132" s="12" t="s">
        <v>254</v>
      </c>
      <c r="Q132">
        <f>F132</f>
        <v>2</v>
      </c>
      <c r="R132">
        <f>G132</f>
        <v>3</v>
      </c>
    </row>
    <row r="133" spans="1:18" x14ac:dyDescent="0.35">
      <c r="A133" s="110">
        <f t="array" ref="A133:A141">IF(A132=$Q119,$Q120:$Q128,IF(A132=$R119,$R120:$R128,A120:A128))</f>
        <v>-8.7824622485212056E-2</v>
      </c>
      <c r="B133" s="111">
        <f t="array" ref="B133:B141">IF(B132=$Q119,$Q120:$Q128,IF(B132=$R119,$R120:$R128,B120:B128))</f>
        <v>-0.90047244003114724</v>
      </c>
      <c r="C133" s="111">
        <f t="array" ref="C133:C141">IF(C132=$Q119,$Q120:$Q128,IF(C132=$R119,$R120:$R128,C120:C128))</f>
        <v>-0.3219347906831822</v>
      </c>
      <c r="D133" s="112">
        <f t="array" ref="D133:D141">IF(D132=$Q119,$Q120:$Q128,IF(D132=$R119,$R120:$R128,D120:D128))</f>
        <v>-0.27891613610090382</v>
      </c>
      <c r="F133" s="94">
        <f>INDEX(A133:D141,,F132)</f>
        <v>-0.90047244003114724</v>
      </c>
      <c r="G133" s="96">
        <f>INDEX(A133:D141,,G132)</f>
        <v>-0.3219347906831822</v>
      </c>
      <c r="I133" s="94">
        <f>F133^2-G133^2</f>
        <v>0.70720860580342371</v>
      </c>
      <c r="J133" s="95">
        <f>2*F133*G133</f>
        <v>0.5797868129948035</v>
      </c>
      <c r="K133" s="95">
        <f>I133^2-J133^2</f>
        <v>0.16399126359975108</v>
      </c>
      <c r="L133" s="96">
        <f t="shared" ref="L133:L141" si="48">I133*J133</f>
        <v>0.41003022368126535</v>
      </c>
      <c r="N133" t="s">
        <v>12</v>
      </c>
      <c r="O133" s="51">
        <f>2*L142*B143-2*I142*J142</f>
        <v>-1.7859221746515606</v>
      </c>
      <c r="Q133" s="94">
        <f t="array" ref="Q133:R141">MMULT(F133:G141,N137:O138)</f>
        <v>-0.89332478740349797</v>
      </c>
      <c r="R133" s="96">
        <v>-0.34126741555321038</v>
      </c>
    </row>
    <row r="134" spans="1:18" x14ac:dyDescent="0.35">
      <c r="A134" s="113">
        <v>-0.81120614093287347</v>
      </c>
      <c r="B134" s="114">
        <v>0.57965886670138356</v>
      </c>
      <c r="C134" s="114">
        <v>4.4235882639697882E-2</v>
      </c>
      <c r="D134" s="115">
        <v>6.311403848867389E-2</v>
      </c>
      <c r="F134" s="30">
        <f>INDEX(A134:D142,,F132)</f>
        <v>0.57965886670138356</v>
      </c>
      <c r="G134" s="26">
        <f>INDEX(A133:D141,,G132)</f>
        <v>4.4235882639697882E-2</v>
      </c>
      <c r="I134" s="30">
        <f t="shared" ref="I134:I141" si="49">F134^2-G134^2</f>
        <v>0.33404758843261922</v>
      </c>
      <c r="J134">
        <f t="shared" ref="J134:J141" si="50">2*F134*G134</f>
        <v>5.1283443196925363E-2</v>
      </c>
      <c r="K134">
        <f t="shared" ref="K134:K141" si="51">I134^2-J134^2</f>
        <v>0.10895779979151629</v>
      </c>
      <c r="L134" s="26">
        <f t="shared" si="48"/>
        <v>1.7131110526454128E-2</v>
      </c>
      <c r="N134" t="s">
        <v>255</v>
      </c>
      <c r="O134" s="52">
        <f>K142*B143-(I142^2-J142^2)</f>
        <v>20.663026444911139</v>
      </c>
      <c r="Q134" s="30">
        <v>0.57857083021758737</v>
      </c>
      <c r="R134" s="26">
        <v>5.6718687218386923E-2</v>
      </c>
    </row>
    <row r="135" spans="1:18" x14ac:dyDescent="0.35">
      <c r="A135" s="113">
        <v>-0.98574758293521181</v>
      </c>
      <c r="B135" s="114">
        <v>-0.14440624677455144</v>
      </c>
      <c r="C135" s="114">
        <v>8.4340208612025555E-2</v>
      </c>
      <c r="D135" s="115">
        <v>-1.831032061859322E-2</v>
      </c>
      <c r="F135" s="30">
        <f>INDEX(A135:D143,,F132)</f>
        <v>-0.14440624677455144</v>
      </c>
      <c r="G135" s="26">
        <f>INDEX(A133:D141,,G132)</f>
        <v>8.4340208612025555E-2</v>
      </c>
      <c r="I135" s="30">
        <f t="shared" si="49"/>
        <v>1.3739893318792658E-2</v>
      </c>
      <c r="J135">
        <f t="shared" si="50"/>
        <v>-2.4358505955690623E-2</v>
      </c>
      <c r="K135">
        <f t="shared" si="51"/>
        <v>-4.0455214398161241E-4</v>
      </c>
      <c r="L135" s="26">
        <f t="shared" si="48"/>
        <v>-3.3468327323636475E-4</v>
      </c>
      <c r="N135" t="s">
        <v>256</v>
      </c>
      <c r="O135" s="53">
        <f>0.25*ATAN(O133/O134)</f>
        <v>-2.1554137897650313E-2</v>
      </c>
      <c r="Q135" s="30">
        <v>-0.1461904436152652</v>
      </c>
      <c r="R135" s="26">
        <v>8.1208306790651635E-2</v>
      </c>
    </row>
    <row r="136" spans="1:18" x14ac:dyDescent="0.35">
      <c r="A136" s="113">
        <v>-0.10459192888126126</v>
      </c>
      <c r="B136" s="114">
        <v>-2.4693583624607537E-3</v>
      </c>
      <c r="C136" s="114">
        <v>8.9359782100872656E-2</v>
      </c>
      <c r="D136" s="115">
        <v>-0.99048940429721899</v>
      </c>
      <c r="F136" s="30">
        <f>INDEX(A136:D144,,F132)</f>
        <v>-2.4693583624607537E-3</v>
      </c>
      <c r="G136" s="26">
        <f>INDEX(A133:D141,,G132)</f>
        <v>8.9359782100872656E-2</v>
      </c>
      <c r="I136" s="30">
        <f t="shared" si="49"/>
        <v>-7.9790729263931864E-3</v>
      </c>
      <c r="J136">
        <f t="shared" si="50"/>
        <v>-4.4132265039692134E-4</v>
      </c>
      <c r="K136">
        <f t="shared" si="51"/>
        <v>6.3470839082947371E-5</v>
      </c>
      <c r="L136" s="26">
        <f t="shared" si="48"/>
        <v>3.5213456115861604E-6</v>
      </c>
      <c r="Q136" s="30">
        <v>-4.3947087096079425E-3</v>
      </c>
      <c r="R136" s="26">
        <v>8.9285804712705558E-2</v>
      </c>
    </row>
    <row r="137" spans="1:18" x14ac:dyDescent="0.35">
      <c r="A137" s="113">
        <v>-0.40065011289267316</v>
      </c>
      <c r="B137" s="114">
        <v>0.11856289093209743</v>
      </c>
      <c r="C137" s="114">
        <v>0.87412822368241516</v>
      </c>
      <c r="D137" s="115">
        <v>-0.24763314902237363</v>
      </c>
      <c r="F137" s="30">
        <f>INDEX(A137:D145,,F132)</f>
        <v>0.11856289093209743</v>
      </c>
      <c r="G137" s="26">
        <f>INDEX(A133:D141,,G132)</f>
        <v>0.87412822368241516</v>
      </c>
      <c r="I137" s="30">
        <f t="shared" si="49"/>
        <v>-0.750042992331998</v>
      </c>
      <c r="J137">
        <f t="shared" si="50"/>
        <v>0.20727833849025251</v>
      </c>
      <c r="K137">
        <f t="shared" si="51"/>
        <v>0.51960018073905789</v>
      </c>
      <c r="L137" s="26">
        <f t="shared" si="48"/>
        <v>-0.15546766524683375</v>
      </c>
      <c r="N137" s="94">
        <f>COS(O135)</f>
        <v>0.99976771856274593</v>
      </c>
      <c r="O137" s="96">
        <f>-N138</f>
        <v>2.1552468996429087E-2</v>
      </c>
      <c r="Q137" s="30">
        <v>9.969572953356784E-2</v>
      </c>
      <c r="R137" s="26">
        <v>0.876480502953215</v>
      </c>
    </row>
    <row r="138" spans="1:18" x14ac:dyDescent="0.35">
      <c r="A138" s="113">
        <v>1.5217256575791457E-3</v>
      </c>
      <c r="B138" s="114">
        <v>1.6416609811254959E-4</v>
      </c>
      <c r="C138" s="114">
        <v>0.9976361283916575</v>
      </c>
      <c r="D138" s="115">
        <v>6.8700893212680261E-2</v>
      </c>
      <c r="F138" s="30">
        <f>INDEX(A138:D146,,F132)</f>
        <v>1.6416609811254959E-4</v>
      </c>
      <c r="G138" s="26">
        <f>INDEX(A133:D141,,G132)</f>
        <v>0.9976361283916575</v>
      </c>
      <c r="I138" s="30">
        <f t="shared" si="49"/>
        <v>-0.99527781772178803</v>
      </c>
      <c r="J138">
        <f t="shared" si="50"/>
        <v>3.2755606106833795E-4</v>
      </c>
      <c r="K138">
        <f t="shared" si="51"/>
        <v>0.99057782715607157</v>
      </c>
      <c r="L138" s="26">
        <f t="shared" si="48"/>
        <v>-3.2600928164164012E-4</v>
      </c>
      <c r="N138" s="27">
        <f>SIN(O135)</f>
        <v>-2.1552468996429087E-2</v>
      </c>
      <c r="O138" s="29">
        <f>N137</f>
        <v>0.99976771856274593</v>
      </c>
      <c r="Q138" s="30">
        <v>-2.1337393761503416E-2</v>
      </c>
      <c r="R138" s="26">
        <v>0.99740793422263796</v>
      </c>
    </row>
    <row r="139" spans="1:18" x14ac:dyDescent="0.35">
      <c r="A139" s="113">
        <v>-0.97716901852420301</v>
      </c>
      <c r="B139" s="114">
        <v>-3.5195251787682093E-3</v>
      </c>
      <c r="C139" s="114">
        <v>0.1370771945561145</v>
      </c>
      <c r="D139" s="115">
        <v>-0.16229037220854206</v>
      </c>
      <c r="F139" s="30">
        <f>INDEX(A139:D147,,F132)</f>
        <v>-3.5195251787682093E-3</v>
      </c>
      <c r="G139" s="26">
        <f>INDEX(A133:D141,,G132)</f>
        <v>0.1370771945561145</v>
      </c>
      <c r="I139" s="30">
        <f t="shared" si="49"/>
        <v>-1.8777770209890885E-2</v>
      </c>
      <c r="J139">
        <f t="shared" si="50"/>
        <v>-9.6489327535030699E-4</v>
      </c>
      <c r="K139">
        <f t="shared" si="51"/>
        <v>3.5167363502264931E-4</v>
      </c>
      <c r="L139" s="26">
        <f t="shared" si="48"/>
        <v>1.8118544201597036E-5</v>
      </c>
      <c r="Q139" s="30">
        <v>-6.4730596441893683E-3</v>
      </c>
      <c r="R139" s="26">
        <v>0.1369694996110507</v>
      </c>
    </row>
    <row r="140" spans="1:18" x14ac:dyDescent="0.35">
      <c r="A140" s="113">
        <v>-0.72112672736675643</v>
      </c>
      <c r="B140" s="114">
        <v>0.21069931294007838</v>
      </c>
      <c r="C140" s="114">
        <v>0.54520153770039403</v>
      </c>
      <c r="D140" s="115">
        <v>-0.37193726069461858</v>
      </c>
      <c r="F140" s="30">
        <f>INDEX(A140:D148,,F132)</f>
        <v>0.21069931294007838</v>
      </c>
      <c r="G140" s="26">
        <f>INDEX(A133:D141,,G132)</f>
        <v>0.54520153770039403</v>
      </c>
      <c r="I140" s="30">
        <f t="shared" si="49"/>
        <v>-0.25285051623745308</v>
      </c>
      <c r="J140">
        <f t="shared" si="50"/>
        <v>0.22974717881469453</v>
      </c>
      <c r="K140">
        <f t="shared" si="51"/>
        <v>1.1149617388235306E-2</v>
      </c>
      <c r="L140" s="26">
        <f t="shared" si="48"/>
        <v>-5.8091692767393954E-2</v>
      </c>
      <c r="Q140" s="30">
        <v>0.19889993216274698</v>
      </c>
      <c r="R140" s="26">
        <v>0.54961598791333377</v>
      </c>
    </row>
    <row r="141" spans="1:18" x14ac:dyDescent="0.35">
      <c r="A141" s="116">
        <v>-0.10681255192172026</v>
      </c>
      <c r="B141" s="117">
        <v>0.91784591664097848</v>
      </c>
      <c r="C141" s="117">
        <v>-0.22311518871384164</v>
      </c>
      <c r="D141" s="118">
        <v>-0.31043447718099648</v>
      </c>
      <c r="F141" s="27">
        <f>INDEX(A141:D149,,F132)</f>
        <v>0.91784591664097848</v>
      </c>
      <c r="G141" s="29">
        <f>INDEX(A133:D141,,G132)</f>
        <v>-0.22311518871384164</v>
      </c>
      <c r="I141" s="27">
        <f t="shared" si="49"/>
        <v>0.79266073925970482</v>
      </c>
      <c r="J141" s="28">
        <f t="shared" si="50"/>
        <v>-0.40957072980316178</v>
      </c>
      <c r="K141" s="28">
        <f t="shared" si="51"/>
        <v>0.46056286485224723</v>
      </c>
      <c r="L141" s="29">
        <f t="shared" si="48"/>
        <v>-0.32465063746491102</v>
      </c>
      <c r="Q141" s="27">
        <v>0.92244140125967078</v>
      </c>
      <c r="R141" s="29">
        <v>-0.20328151753523027</v>
      </c>
    </row>
    <row r="142" spans="1:18" x14ac:dyDescent="0.35">
      <c r="I142">
        <f>SUM(I133:I141)</f>
        <v>-0.17727134261298272</v>
      </c>
      <c r="J142">
        <f>SUM(J133:J141)</f>
        <v>0.63308787787314469</v>
      </c>
      <c r="K142">
        <f>SUM(K133:K141)</f>
        <v>2.2548501458570032</v>
      </c>
      <c r="L142">
        <f>SUM(L133:L141)</f>
        <v>-0.11168771393648408</v>
      </c>
    </row>
    <row r="143" spans="1:18" x14ac:dyDescent="0.35">
      <c r="A143" s="12" t="s">
        <v>2</v>
      </c>
      <c r="B143">
        <f>COUNT(A133:A141)</f>
        <v>9</v>
      </c>
      <c r="I143" s="12" t="s">
        <v>16</v>
      </c>
      <c r="J143" s="12" t="s">
        <v>258</v>
      </c>
      <c r="K143" s="12" t="s">
        <v>18</v>
      </c>
      <c r="L143" s="12" t="s">
        <v>19</v>
      </c>
      <c r="N143" s="12"/>
    </row>
    <row r="145" spans="1:18" x14ac:dyDescent="0.3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12" t="s">
        <v>251</v>
      </c>
      <c r="J145" s="12" t="s">
        <v>252</v>
      </c>
      <c r="K145" s="12" t="s">
        <v>253</v>
      </c>
      <c r="L145" s="12" t="s">
        <v>254</v>
      </c>
      <c r="Q145">
        <f>F145</f>
        <v>2</v>
      </c>
      <c r="R145">
        <f>G145</f>
        <v>4</v>
      </c>
    </row>
    <row r="146" spans="1:18" x14ac:dyDescent="0.35">
      <c r="A146" s="110">
        <f t="array" ref="A146:A154">IF(A145=$Q132,$Q133:$Q141,IF(A145=$R132,$R133:$R141,A133:A141))</f>
        <v>-8.7824622485212056E-2</v>
      </c>
      <c r="B146" s="111">
        <f t="array" ref="B146:B154">IF(B145=$Q132,$Q133:$Q141,IF(B145=$R132,$R133:$R141,B133:B141))</f>
        <v>-0.89332478740349797</v>
      </c>
      <c r="C146" s="111">
        <f t="array" ref="C146:C154">IF(C145=$Q132,$Q133:$Q141,IF(C145=$R132,$R133:$R141,C133:C141))</f>
        <v>-0.34126741555321038</v>
      </c>
      <c r="D146" s="112">
        <f t="array" ref="D146:D154">IF(D145=$Q132,$Q133:$Q141,IF(D145=$R132,$R133:$R141,D133:D141))</f>
        <v>-0.27891613610090382</v>
      </c>
      <c r="F146" s="94">
        <f>INDEX(A146:D154,,F145)</f>
        <v>-0.89332478740349797</v>
      </c>
      <c r="G146" s="96">
        <f>INDEX(A146:D154,,G145)</f>
        <v>-0.27891613610090382</v>
      </c>
      <c r="I146" s="94">
        <f>F146^2-G146^2</f>
        <v>0.72023496481204696</v>
      </c>
      <c r="J146" s="95">
        <f>2*F146*G146</f>
        <v>0.49832539597149</v>
      </c>
      <c r="K146" s="95">
        <f>I146^2-J146^2</f>
        <v>0.27041020426766821</v>
      </c>
      <c r="L146" s="96">
        <f t="shared" ref="L146:L154" si="52">I146*J146</f>
        <v>0.35891137403247547</v>
      </c>
      <c r="N146" t="s">
        <v>12</v>
      </c>
      <c r="O146" s="51">
        <f>2*L155*B156-2*I155*J155</f>
        <v>-0.48028676461922015</v>
      </c>
      <c r="Q146" s="94">
        <f t="array" ref="Q146:R154">MMULT(F146:G154,N150:O151)</f>
        <v>-0.89084676289723774</v>
      </c>
      <c r="R146" s="96">
        <v>-0.28673233476968657</v>
      </c>
    </row>
    <row r="147" spans="1:18" x14ac:dyDescent="0.35">
      <c r="A147" s="113">
        <v>-0.81120614093287347</v>
      </c>
      <c r="B147" s="114">
        <v>0.57857083021758737</v>
      </c>
      <c r="C147" s="114">
        <v>5.6718687218386923E-2</v>
      </c>
      <c r="D147" s="115">
        <v>6.311403848867389E-2</v>
      </c>
      <c r="F147" s="30">
        <f>INDEX(A147:D155,,F145)</f>
        <v>0.57857083021758737</v>
      </c>
      <c r="G147" s="26">
        <f>INDEX(A146:D154,,G145)</f>
        <v>6.311403848867389E-2</v>
      </c>
      <c r="I147" s="30">
        <f t="shared" ref="I147:I154" si="53">F147^2-G147^2</f>
        <v>0.33076082372431848</v>
      </c>
      <c r="J147">
        <f t="shared" ref="J147:J154" si="54">2*F147*G147</f>
        <v>7.3031883293553632E-2</v>
      </c>
      <c r="K147">
        <f t="shared" ref="K147:K154" si="55">I147^2-J147^2</f>
        <v>0.10406906653338645</v>
      </c>
      <c r="L147" s="26">
        <f t="shared" si="52"/>
        <v>2.4156085876314091E-2</v>
      </c>
      <c r="N147" t="s">
        <v>255</v>
      </c>
      <c r="O147" s="52">
        <f>K155*B156-(I155^2-J155^2)</f>
        <v>13.698612158798991</v>
      </c>
      <c r="Q147" s="30">
        <v>0.57799564647973578</v>
      </c>
      <c r="R147" s="26">
        <v>6.8180789695415522E-2</v>
      </c>
    </row>
    <row r="148" spans="1:18" x14ac:dyDescent="0.35">
      <c r="A148" s="113">
        <v>-0.98574758293521181</v>
      </c>
      <c r="B148" s="114">
        <v>-0.1461904436152652</v>
      </c>
      <c r="C148" s="114">
        <v>8.1208306790651635E-2</v>
      </c>
      <c r="D148" s="115">
        <v>-1.831032061859322E-2</v>
      </c>
      <c r="F148" s="30">
        <f>INDEX(A148:D156,,F145)</f>
        <v>-0.1461904436152652</v>
      </c>
      <c r="G148" s="26">
        <f>INDEX(A146:D154,,G145)</f>
        <v>-1.831032061859322E-2</v>
      </c>
      <c r="I148" s="30">
        <f t="shared" si="53"/>
        <v>2.1036377963272356E-2</v>
      </c>
      <c r="J148">
        <f t="shared" si="54"/>
        <v>5.3535877879397602E-3</v>
      </c>
      <c r="K148">
        <f t="shared" si="55"/>
        <v>4.1386829561047307E-4</v>
      </c>
      <c r="L148" s="26">
        <f t="shared" si="52"/>
        <v>1.1262009616665998E-4</v>
      </c>
      <c r="N148" t="s">
        <v>256</v>
      </c>
      <c r="O148" s="53">
        <f>0.25*ATAN(O146/O147)</f>
        <v>-8.7616559803061159E-3</v>
      </c>
      <c r="Q148" s="30">
        <v>-0.14602440570081099</v>
      </c>
      <c r="R148" s="26">
        <v>-1.9590471799032047E-2</v>
      </c>
    </row>
    <row r="149" spans="1:18" x14ac:dyDescent="0.35">
      <c r="A149" s="113">
        <v>-0.10459192888126126</v>
      </c>
      <c r="B149" s="114">
        <v>-4.3947087096079425E-3</v>
      </c>
      <c r="C149" s="114">
        <v>8.9285804712705558E-2</v>
      </c>
      <c r="D149" s="115">
        <v>-0.99048940429721899</v>
      </c>
      <c r="F149" s="30">
        <f>INDEX(A149:D157,,F145)</f>
        <v>-4.3947087096079425E-3</v>
      </c>
      <c r="G149" s="26">
        <f>INDEX(A146:D154,,G145)</f>
        <v>-0.99048940429721899</v>
      </c>
      <c r="I149" s="30">
        <f t="shared" si="53"/>
        <v>-0.98104994656041744</v>
      </c>
      <c r="J149">
        <f t="shared" si="54"/>
        <v>8.7058248236787424E-3</v>
      </c>
      <c r="K149">
        <f t="shared" si="55"/>
        <v>0.96238320626033735</v>
      </c>
      <c r="L149" s="26">
        <f t="shared" si="52"/>
        <v>-8.5408489780343863E-3</v>
      </c>
      <c r="Q149" s="30">
        <v>4.283676351482653E-3</v>
      </c>
      <c r="R149" s="26">
        <v>-0.99048989071399296</v>
      </c>
    </row>
    <row r="150" spans="1:18" x14ac:dyDescent="0.35">
      <c r="A150" s="113">
        <v>-0.40065011289267316</v>
      </c>
      <c r="B150" s="114">
        <v>9.969572953356784E-2</v>
      </c>
      <c r="C150" s="114">
        <v>0.876480502953215</v>
      </c>
      <c r="D150" s="115">
        <v>-0.24763314902237363</v>
      </c>
      <c r="F150" s="30">
        <f>INDEX(A150:D158,,F145)</f>
        <v>9.969572953356784E-2</v>
      </c>
      <c r="G150" s="26">
        <f>INDEX(A146:D154,,G145)</f>
        <v>-0.24763314902237363</v>
      </c>
      <c r="I150" s="30">
        <f t="shared" si="53"/>
        <v>-5.138293800750679E-2</v>
      </c>
      <c r="J150">
        <f t="shared" si="54"/>
        <v>-4.9375934896960523E-2</v>
      </c>
      <c r="K150">
        <f t="shared" si="55"/>
        <v>2.022233713344021E-4</v>
      </c>
      <c r="L150" s="26">
        <f t="shared" si="52"/>
        <v>2.5370806018732137E-3</v>
      </c>
      <c r="N150" s="94">
        <f>COS(O148)</f>
        <v>0.99996161693778718</v>
      </c>
      <c r="O150" s="96">
        <f>-N151</f>
        <v>8.7615438802904049E-3</v>
      </c>
      <c r="Q150" s="30">
        <v>0.10186155160755282</v>
      </c>
      <c r="R150" s="26">
        <v>-0.24675015559482283</v>
      </c>
    </row>
    <row r="151" spans="1:18" x14ac:dyDescent="0.35">
      <c r="A151" s="113">
        <v>1.5217256575791457E-3</v>
      </c>
      <c r="B151" s="114">
        <v>-2.1337393761503416E-2</v>
      </c>
      <c r="C151" s="114">
        <v>0.99740793422263796</v>
      </c>
      <c r="D151" s="115">
        <v>6.8700893212680261E-2</v>
      </c>
      <c r="F151" s="30">
        <f>INDEX(A151:D159,,F145)</f>
        <v>-2.1337393761503416E-2</v>
      </c>
      <c r="G151" s="26">
        <f>INDEX(A146:D154,,G145)</f>
        <v>6.8700893212680261E-2</v>
      </c>
      <c r="I151" s="30">
        <f t="shared" si="53"/>
        <v>-4.2645283556866521E-3</v>
      </c>
      <c r="J151">
        <f t="shared" si="54"/>
        <v>-2.9317960204919124E-3</v>
      </c>
      <c r="K151">
        <f t="shared" si="55"/>
        <v>9.5907741906832883E-6</v>
      </c>
      <c r="L151" s="26">
        <f t="shared" si="52"/>
        <v>1.2502727262477045E-5</v>
      </c>
      <c r="N151" s="27">
        <f>SIN(O148)</f>
        <v>-8.7615438802904049E-3</v>
      </c>
      <c r="O151" s="29">
        <f>N150</f>
        <v>0.99996161693778718</v>
      </c>
      <c r="Q151" s="30">
        <v>-2.193850065748925E-2</v>
      </c>
      <c r="R151" s="26">
        <v>6.851130775028956E-2</v>
      </c>
    </row>
    <row r="152" spans="1:18" x14ac:dyDescent="0.35">
      <c r="A152" s="113">
        <v>-0.97716901852420301</v>
      </c>
      <c r="B152" s="114">
        <v>-6.4730596441893683E-3</v>
      </c>
      <c r="C152" s="114">
        <v>0.1369694996110507</v>
      </c>
      <c r="D152" s="115">
        <v>-0.16229037220854206</v>
      </c>
      <c r="F152" s="30">
        <f>INDEX(A152:D160,,F145)</f>
        <v>-6.4730596441893683E-3</v>
      </c>
      <c r="G152" s="26">
        <f>INDEX(A146:D154,,G145)</f>
        <v>-0.16229037220854206</v>
      </c>
      <c r="I152" s="30">
        <f t="shared" si="53"/>
        <v>-2.6296264410429891E-2</v>
      </c>
      <c r="J152">
        <f t="shared" si="54"/>
        <v>2.1010305179671707E-3</v>
      </c>
      <c r="K152">
        <f t="shared" si="55"/>
        <v>6.870791927058123E-4</v>
      </c>
      <c r="L152" s="26">
        <f t="shared" si="52"/>
        <v>-5.5249254034847194E-5</v>
      </c>
      <c r="Q152" s="30">
        <v>-5.0508969708845343E-3</v>
      </c>
      <c r="R152" s="26">
        <v>-0.16234085700320133</v>
      </c>
    </row>
    <row r="153" spans="1:18" x14ac:dyDescent="0.35">
      <c r="A153" s="113">
        <v>-0.72112672736675643</v>
      </c>
      <c r="B153" s="114">
        <v>0.19889993216274698</v>
      </c>
      <c r="C153" s="114">
        <v>0.54961598791333377</v>
      </c>
      <c r="D153" s="115">
        <v>-0.37193726069461858</v>
      </c>
      <c r="F153" s="30">
        <f>INDEX(A153:D161,,F145)</f>
        <v>0.19889993216274698</v>
      </c>
      <c r="G153" s="26">
        <f>INDEX(A146:D154,,G145)</f>
        <v>-0.37193726069461858</v>
      </c>
      <c r="I153" s="30">
        <f t="shared" si="53"/>
        <v>-9.8776142878671314E-2</v>
      </c>
      <c r="J153">
        <f t="shared" si="54"/>
        <v>-0.14795659184191515</v>
      </c>
      <c r="K153">
        <f t="shared" si="55"/>
        <v>-1.2134426667487382E-2</v>
      </c>
      <c r="L153" s="26">
        <f t="shared" si="52"/>
        <v>1.4614581455618265E-2</v>
      </c>
      <c r="Q153" s="30">
        <v>0.20215104240456758</v>
      </c>
      <c r="R153" s="26">
        <v>-0.37018031412017138</v>
      </c>
    </row>
    <row r="154" spans="1:18" x14ac:dyDescent="0.35">
      <c r="A154" s="116">
        <v>-0.10681255192172026</v>
      </c>
      <c r="B154" s="117">
        <v>0.92244140125967078</v>
      </c>
      <c r="C154" s="117">
        <v>-0.20328151753523027</v>
      </c>
      <c r="D154" s="118">
        <v>-0.31043447718099648</v>
      </c>
      <c r="F154" s="27">
        <f>INDEX(A154:D162,,F145)</f>
        <v>0.92244140125967078</v>
      </c>
      <c r="G154" s="29">
        <f>INDEX(A146:D154,,G145)</f>
        <v>-0.31043447718099648</v>
      </c>
      <c r="I154" s="27">
        <f t="shared" si="53"/>
        <v>0.75452857413526631</v>
      </c>
      <c r="J154" s="28">
        <f t="shared" si="54"/>
        <v>-0.57271522826030341</v>
      </c>
      <c r="K154" s="28">
        <f t="shared" si="55"/>
        <v>0.24131063650534657</v>
      </c>
      <c r="L154" s="29">
        <f t="shared" si="52"/>
        <v>-0.43213000456480033</v>
      </c>
      <c r="Q154" s="27">
        <v>0.9251258804277549</v>
      </c>
      <c r="R154" s="29">
        <v>-0.30234055094101264</v>
      </c>
    </row>
    <row r="155" spans="1:18" x14ac:dyDescent="0.35">
      <c r="I155">
        <f>SUM(I146:I154)</f>
        <v>0.66479092042219201</v>
      </c>
      <c r="J155">
        <f>SUM(J146:J154)</f>
        <v>-0.18546182862504168</v>
      </c>
      <c r="K155">
        <f>SUM(K146:K154)</f>
        <v>1.5673514485330924</v>
      </c>
      <c r="L155">
        <f>SUM(L146:L154)</f>
        <v>-4.0381858007159377E-2</v>
      </c>
    </row>
    <row r="156" spans="1:18" x14ac:dyDescent="0.35">
      <c r="A156" s="12" t="s">
        <v>2</v>
      </c>
      <c r="B156">
        <f>COUNT(A146:A154)</f>
        <v>9</v>
      </c>
      <c r="I156" s="12" t="s">
        <v>16</v>
      </c>
      <c r="J156" s="12" t="s">
        <v>258</v>
      </c>
      <c r="K156" s="12" t="s">
        <v>18</v>
      </c>
      <c r="L156" s="12" t="s">
        <v>19</v>
      </c>
      <c r="N156" s="12"/>
    </row>
    <row r="158" spans="1:18" x14ac:dyDescent="0.3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12" t="s">
        <v>251</v>
      </c>
      <c r="J158" s="12" t="s">
        <v>252</v>
      </c>
      <c r="K158" s="12" t="s">
        <v>253</v>
      </c>
      <c r="L158" s="12" t="s">
        <v>254</v>
      </c>
      <c r="Q158">
        <f>F158</f>
        <v>3</v>
      </c>
      <c r="R158">
        <f>G158</f>
        <v>4</v>
      </c>
    </row>
    <row r="159" spans="1:18" x14ac:dyDescent="0.35">
      <c r="A159" s="110">
        <f t="array" ref="A159:A167">IF(A158=$Q145,$Q146:$Q154,IF(A158=$R145,$R146:$R154,A146:A154))</f>
        <v>-8.7824622485212056E-2</v>
      </c>
      <c r="B159" s="111">
        <f t="array" ref="B159:B167">IF(B158=$Q145,$Q146:$Q154,IF(B158=$R145,$R146:$R154,B146:B154))</f>
        <v>-0.89084676289723774</v>
      </c>
      <c r="C159" s="111">
        <f t="array" ref="C159:C167">IF(C158=$Q145,$Q146:$Q154,IF(C158=$R145,$R146:$R154,C146:C154))</f>
        <v>-0.34126741555321038</v>
      </c>
      <c r="D159" s="112">
        <f t="array" ref="D159:D167">IF(D158=$Q145,$Q146:$Q154,IF(D158=$R145,$R146:$R154,D146:D154))</f>
        <v>-0.28673233476968657</v>
      </c>
      <c r="F159" s="94">
        <f>INDEX(A159:D167,,F158)</f>
        <v>-0.34126741555321038</v>
      </c>
      <c r="G159" s="96">
        <f>INDEX(A159:D167,,G158)</f>
        <v>-0.28673233476968657</v>
      </c>
      <c r="I159" s="94">
        <f>F159^2-G159^2</f>
        <v>3.4248017115891982E-2</v>
      </c>
      <c r="J159" s="95">
        <f>2*F159*G159</f>
        <v>0.19570480568477772</v>
      </c>
      <c r="K159" s="95">
        <f>I159^2-J159^2</f>
        <v>-3.7127444291746171E-2</v>
      </c>
      <c r="L159" s="96">
        <f t="shared" ref="L159:L167" si="56">I159*J159</f>
        <v>6.7025015347545814E-3</v>
      </c>
      <c r="N159" t="s">
        <v>12</v>
      </c>
      <c r="O159" s="51">
        <f>2*L168*B169-2*I168*J168</f>
        <v>-0.1202695673048888</v>
      </c>
      <c r="Q159" s="94">
        <f t="array" ref="Q159:R167">MMULT(F159:G167,N163:O164)</f>
        <v>-0.3407772918791821</v>
      </c>
      <c r="R159" s="96">
        <v>-0.28731466732544986</v>
      </c>
    </row>
    <row r="160" spans="1:18" x14ac:dyDescent="0.35">
      <c r="A160" s="113">
        <v>-0.81120614093287347</v>
      </c>
      <c r="B160" s="114">
        <v>0.57799564647973578</v>
      </c>
      <c r="C160" s="114">
        <v>5.6718687218386923E-2</v>
      </c>
      <c r="D160" s="115">
        <v>6.8180789695415522E-2</v>
      </c>
      <c r="F160" s="30">
        <f>INDEX(A160:D168,,F158)</f>
        <v>5.6718687218386923E-2</v>
      </c>
      <c r="G160" s="26">
        <f>INDEX(A159:D167,,G158)</f>
        <v>6.8180789695415522E-2</v>
      </c>
      <c r="I160" s="30">
        <f t="shared" ref="I160:I167" si="57">F160^2-G160^2</f>
        <v>-1.431610603713271E-3</v>
      </c>
      <c r="J160">
        <f t="shared" ref="J160:J167" si="58">2*F160*G160</f>
        <v>7.7342497700737829E-3</v>
      </c>
      <c r="K160">
        <f t="shared" ref="K160:K167" si="59">I160^2-J160^2</f>
        <v>-5.7769110585222086E-5</v>
      </c>
      <c r="L160" s="26">
        <f t="shared" si="56"/>
        <v>-1.1072433982604556E-5</v>
      </c>
      <c r="N160" t="s">
        <v>255</v>
      </c>
      <c r="O160" s="52">
        <f>K168*B169-(I168^2-J168^2)</f>
        <v>17.607629282585858</v>
      </c>
      <c r="Q160" s="30">
        <v>5.6602178536380214E-2</v>
      </c>
      <c r="R160" s="26">
        <v>6.8277543513247649E-2</v>
      </c>
    </row>
    <row r="161" spans="1:18" x14ac:dyDescent="0.35">
      <c r="A161" s="113">
        <v>-0.98574758293521181</v>
      </c>
      <c r="B161" s="114">
        <v>-0.14602440570081099</v>
      </c>
      <c r="C161" s="114">
        <v>8.1208306790651635E-2</v>
      </c>
      <c r="D161" s="115">
        <v>-1.9590471799032047E-2</v>
      </c>
      <c r="F161" s="30">
        <f>INDEX(A161:D169,,F158)</f>
        <v>8.1208306790651635E-2</v>
      </c>
      <c r="G161" s="26">
        <f>INDEX(A159:D167,,G158)</f>
        <v>-1.9590471799032047E-2</v>
      </c>
      <c r="I161" s="30">
        <f t="shared" si="57"/>
        <v>6.2110025064959261E-3</v>
      </c>
      <c r="J161">
        <f t="shared" si="58"/>
        <v>-3.1818180880588071E-3</v>
      </c>
      <c r="K161">
        <f t="shared" si="59"/>
        <v>2.8452585790200477E-5</v>
      </c>
      <c r="L161" s="26">
        <f t="shared" si="56"/>
        <v>-1.9762280120147325E-5</v>
      </c>
      <c r="N161" t="s">
        <v>256</v>
      </c>
      <c r="O161" s="53">
        <f>0.25*ATAN(O159/O160)</f>
        <v>-1.7076077503845014E-3</v>
      </c>
      <c r="Q161" s="30">
        <v>8.1241641217265778E-2</v>
      </c>
      <c r="R161" s="26">
        <v>-1.9451771370194777E-2</v>
      </c>
    </row>
    <row r="162" spans="1:18" x14ac:dyDescent="0.35">
      <c r="A162" s="113">
        <v>-0.10459192888126126</v>
      </c>
      <c r="B162" s="114">
        <v>4.283676351482653E-3</v>
      </c>
      <c r="C162" s="114">
        <v>8.9285804712705558E-2</v>
      </c>
      <c r="D162" s="115">
        <v>-0.99048989071399296</v>
      </c>
      <c r="F162" s="30">
        <f>INDEX(A162:D170,,F158)</f>
        <v>8.9285804712705558E-2</v>
      </c>
      <c r="G162" s="26">
        <f>INDEX(A159:D167,,G158)</f>
        <v>-0.99048989071399296</v>
      </c>
      <c r="I162" s="30">
        <f t="shared" si="57"/>
        <v>-0.97309826868342231</v>
      </c>
      <c r="J162">
        <f t="shared" si="58"/>
        <v>-0.17687337390439728</v>
      </c>
      <c r="K162">
        <f t="shared" si="59"/>
        <v>0.91563605011834925</v>
      </c>
      <c r="L162" s="26">
        <f t="shared" si="56"/>
        <v>0.17211517392256459</v>
      </c>
      <c r="Q162" s="30">
        <v>9.0977041929493796E-2</v>
      </c>
      <c r="R162" s="26">
        <v>-0.99033598155957769</v>
      </c>
    </row>
    <row r="163" spans="1:18" x14ac:dyDescent="0.35">
      <c r="A163" s="113">
        <v>-0.40065011289267316</v>
      </c>
      <c r="B163" s="114">
        <v>0.10186155160755282</v>
      </c>
      <c r="C163" s="114">
        <v>0.876480502953215</v>
      </c>
      <c r="D163" s="115">
        <v>-0.24675015559482283</v>
      </c>
      <c r="F163" s="30">
        <f>INDEX(A163:D171,,F158)</f>
        <v>0.876480502953215</v>
      </c>
      <c r="G163" s="26">
        <f>INDEX(A159:D167,,G158)</f>
        <v>-0.24675015559482283</v>
      </c>
      <c r="I163" s="30">
        <f t="shared" si="57"/>
        <v>0.70733243277105151</v>
      </c>
      <c r="J163">
        <f t="shared" si="58"/>
        <v>-0.43254340095906874</v>
      </c>
      <c r="K163">
        <f t="shared" si="59"/>
        <v>0.31322537673657641</v>
      </c>
      <c r="L163" s="26">
        <f t="shared" si="56"/>
        <v>-0.30595197607944247</v>
      </c>
      <c r="N163" s="94">
        <f>COS(O161)</f>
        <v>0.99999854203823968</v>
      </c>
      <c r="O163" s="96">
        <f>-N164</f>
        <v>1.7076069205088202E-3</v>
      </c>
      <c r="Q163" s="30">
        <v>0.87690057735148841</v>
      </c>
      <c r="R163" s="26">
        <v>-0.24525311166999766</v>
      </c>
    </row>
    <row r="164" spans="1:18" x14ac:dyDescent="0.35">
      <c r="A164" s="113">
        <v>1.5217256575791457E-3</v>
      </c>
      <c r="B164" s="114">
        <v>-2.193850065748925E-2</v>
      </c>
      <c r="C164" s="114">
        <v>0.99740793422263796</v>
      </c>
      <c r="D164" s="115">
        <v>6.851130775028956E-2</v>
      </c>
      <c r="F164" s="30">
        <f>INDEX(A164:D172,,F158)</f>
        <v>0.99740793422263796</v>
      </c>
      <c r="G164" s="26">
        <f>INDEX(A159:D167,,G158)</f>
        <v>6.851130775028956E-2</v>
      </c>
      <c r="I164" s="30">
        <f t="shared" si="57"/>
        <v>0.99012878796061521</v>
      </c>
      <c r="J164">
        <f t="shared" si="58"/>
        <v>0.13666744386821544</v>
      </c>
      <c r="K164">
        <f t="shared" si="59"/>
        <v>0.96167702653488507</v>
      </c>
      <c r="L164" s="26">
        <f t="shared" si="56"/>
        <v>0.13531837055091156</v>
      </c>
      <c r="N164" s="27">
        <f>SIN(O161)</f>
        <v>-1.7076069205088202E-3</v>
      </c>
      <c r="O164" s="29">
        <f>N163</f>
        <v>0.99999854203823968</v>
      </c>
      <c r="Q164" s="30">
        <v>0.9972894896567629</v>
      </c>
      <c r="R164" s="26">
        <v>7.0214388554471693E-2</v>
      </c>
    </row>
    <row r="165" spans="1:18" x14ac:dyDescent="0.35">
      <c r="A165" s="113">
        <v>-0.97716901852420301</v>
      </c>
      <c r="B165" s="114">
        <v>-5.0508969708845343E-3</v>
      </c>
      <c r="C165" s="114">
        <v>0.1369694996110507</v>
      </c>
      <c r="D165" s="115">
        <v>-0.16234085700320133</v>
      </c>
      <c r="F165" s="30">
        <f>INDEX(A165:D173,,F158)</f>
        <v>0.1369694996110507</v>
      </c>
      <c r="G165" s="26">
        <f>INDEX(A159:D167,,G158)</f>
        <v>-0.16234085700320133</v>
      </c>
      <c r="I165" s="30">
        <f t="shared" si="57"/>
        <v>-7.5939100288322445E-3</v>
      </c>
      <c r="J165">
        <f t="shared" si="58"/>
        <v>-4.4471491900315248E-2</v>
      </c>
      <c r="K165">
        <f t="shared" si="59"/>
        <v>-1.9200461223138059E-3</v>
      </c>
      <c r="L165" s="26">
        <f t="shared" si="56"/>
        <v>3.3771250833893588E-4</v>
      </c>
      <c r="Q165" s="30">
        <v>0.13724651428565796</v>
      </c>
      <c r="R165" s="26">
        <v>-0.16210673025100522</v>
      </c>
    </row>
    <row r="166" spans="1:18" x14ac:dyDescent="0.35">
      <c r="A166" s="113">
        <v>-0.72112672736675643</v>
      </c>
      <c r="B166" s="114">
        <v>0.20215104240456758</v>
      </c>
      <c r="C166" s="114">
        <v>0.54961598791333377</v>
      </c>
      <c r="D166" s="115">
        <v>-0.37018031412017138</v>
      </c>
      <c r="F166" s="30">
        <f>INDEX(A166:D174,,F158)</f>
        <v>0.54961598791333377</v>
      </c>
      <c r="G166" s="26">
        <f>INDEX(A159:D167,,G158)</f>
        <v>-0.37018031412017138</v>
      </c>
      <c r="I166" s="30">
        <f t="shared" si="57"/>
        <v>0.16504426920784113</v>
      </c>
      <c r="J166">
        <f t="shared" si="58"/>
        <v>-0.40691403810245241</v>
      </c>
      <c r="K166">
        <f t="shared" si="59"/>
        <v>-0.13833942360649376</v>
      </c>
      <c r="L166" s="26">
        <f t="shared" si="56"/>
        <v>-6.7158830049030879E-2</v>
      </c>
      <c r="Q166" s="30">
        <v>0.55024730906046826</v>
      </c>
      <c r="R166" s="26">
        <v>-0.36924124634684585</v>
      </c>
    </row>
    <row r="167" spans="1:18" x14ac:dyDescent="0.35">
      <c r="A167" s="116">
        <v>-0.10681255192172026</v>
      </c>
      <c r="B167" s="117">
        <v>0.9251258804277549</v>
      </c>
      <c r="C167" s="117">
        <v>-0.20328151753523027</v>
      </c>
      <c r="D167" s="118">
        <v>-0.30234055094101264</v>
      </c>
      <c r="F167" s="27">
        <f>INDEX(A167:D175,,F158)</f>
        <v>-0.20328151753523027</v>
      </c>
      <c r="G167" s="29">
        <f>INDEX(A159:D167,,G158)</f>
        <v>-0.30234055094101264</v>
      </c>
      <c r="I167" s="27">
        <f t="shared" si="57"/>
        <v>-5.0086433371888922E-2</v>
      </c>
      <c r="J167" s="28">
        <f t="shared" si="58"/>
        <v>0.12292049201545328</v>
      </c>
      <c r="K167" s="28">
        <f t="shared" si="59"/>
        <v>-1.2600796549404446E-2</v>
      </c>
      <c r="L167" s="29">
        <f t="shared" si="56"/>
        <v>-6.1566490333718055E-3</v>
      </c>
      <c r="Q167" s="27">
        <v>-0.20276494234141382</v>
      </c>
      <c r="R167" s="29">
        <v>-0.30268723506620548</v>
      </c>
    </row>
    <row r="168" spans="1:18" x14ac:dyDescent="0.35">
      <c r="I168">
        <f>SUM(I159:I167)</f>
        <v>0.870754286874039</v>
      </c>
      <c r="J168">
        <f>SUM(J159:J167)</f>
        <v>-0.60095713161577224</v>
      </c>
      <c r="K168">
        <f>SUM(K159:K167)</f>
        <v>2.0005214262950575</v>
      </c>
      <c r="L168">
        <f>SUM(L159:L167)</f>
        <v>-6.482453135937824E-2</v>
      </c>
    </row>
    <row r="169" spans="1:18" x14ac:dyDescent="0.35">
      <c r="A169" s="12" t="s">
        <v>2</v>
      </c>
      <c r="B169">
        <f>COUNT(A159:A167)</f>
        <v>9</v>
      </c>
      <c r="I169" s="12" t="s">
        <v>16</v>
      </c>
      <c r="J169" s="12" t="s">
        <v>258</v>
      </c>
      <c r="K169" s="12" t="s">
        <v>18</v>
      </c>
      <c r="L169" s="12" t="s">
        <v>19</v>
      </c>
      <c r="N169" s="12"/>
    </row>
    <row r="171" spans="1:18" x14ac:dyDescent="0.3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12" t="s">
        <v>251</v>
      </c>
      <c r="J171" s="12" t="s">
        <v>252</v>
      </c>
      <c r="K171" s="12" t="s">
        <v>253</v>
      </c>
      <c r="L171" s="12" t="s">
        <v>254</v>
      </c>
      <c r="Q171">
        <f>F171</f>
        <v>1</v>
      </c>
      <c r="R171">
        <f>G171</f>
        <v>2</v>
      </c>
    </row>
    <row r="172" spans="1:18" x14ac:dyDescent="0.35">
      <c r="A172" s="110">
        <f t="array" ref="A172:A180">IF(A171=$Q158,$Q159:$Q167,IF(A171=$R158,$R159:$R167,A159:A167))</f>
        <v>-8.7824622485212056E-2</v>
      </c>
      <c r="B172" s="111">
        <f t="array" ref="B172:B180">IF(B171=$Q158,$Q159:$Q167,IF(B171=$R158,$R159:$R167,B159:B167))</f>
        <v>-0.89084676289723774</v>
      </c>
      <c r="C172" s="111">
        <f t="array" ref="C172:C180">IF(C171=$Q158,$Q159:$Q167,IF(C171=$R158,$R159:$R167,C159:C167))</f>
        <v>-0.3407772918791821</v>
      </c>
      <c r="D172" s="112">
        <f t="array" ref="D172:D180">IF(D171=$Q158,$Q159:$Q167,IF(D171=$R158,$R159:$R167,D159:D167))</f>
        <v>-0.28731466732544986</v>
      </c>
      <c r="F172" s="94">
        <f>INDEX(A172:D180,,F171)</f>
        <v>-8.7824622485212056E-2</v>
      </c>
      <c r="G172" s="96">
        <f>INDEX(A172:D180,,G171)</f>
        <v>-0.89084676289723774</v>
      </c>
      <c r="I172" s="94">
        <f>F172^2-G172^2</f>
        <v>-0.78589479064981727</v>
      </c>
      <c r="J172" s="95">
        <f>2*F172*G172</f>
        <v>0.15647656128724624</v>
      </c>
      <c r="K172" s="95">
        <f>I172^2-J172^2</f>
        <v>0.59314570773823871</v>
      </c>
      <c r="L172" s="96">
        <f t="shared" ref="L172:L180" si="60">I172*J172</f>
        <v>-0.12297411437444368</v>
      </c>
      <c r="N172" t="s">
        <v>12</v>
      </c>
      <c r="O172" s="51">
        <f>2*L181*B182-2*I181*J181</f>
        <v>0.29511764029981968</v>
      </c>
      <c r="Q172" s="94">
        <f t="array" ref="Q172:R180">MMULT(F172:G180,N176:O177)</f>
        <v>-9.094665696395543E-2</v>
      </c>
      <c r="R172" s="96">
        <v>-0.89053344960548109</v>
      </c>
    </row>
    <row r="173" spans="1:18" x14ac:dyDescent="0.35">
      <c r="A173" s="113">
        <v>-0.81120614093287347</v>
      </c>
      <c r="B173" s="114">
        <v>0.57799564647973578</v>
      </c>
      <c r="C173" s="114">
        <v>5.6602178536380214E-2</v>
      </c>
      <c r="D173" s="115">
        <v>6.8277543513247649E-2</v>
      </c>
      <c r="F173" s="30">
        <f>INDEX(A173:D181,,F171)</f>
        <v>-0.81120614093287347</v>
      </c>
      <c r="G173" s="26">
        <f>INDEX(A172:D180,,G171)</f>
        <v>0.57799564647973578</v>
      </c>
      <c r="I173" s="30">
        <f t="shared" ref="I173:I180" si="61">F173^2-G173^2</f>
        <v>0.32397643573767732</v>
      </c>
      <c r="J173">
        <f t="shared" ref="J173:J180" si="62">2*F173*G173</f>
        <v>-0.9377472357136557</v>
      </c>
      <c r="K173">
        <f t="shared" ref="K173:K180" si="63">I173^2-J173^2</f>
        <v>-0.77440914717531317</v>
      </c>
      <c r="L173" s="26">
        <f t="shared" si="60"/>
        <v>-0.30380800704936972</v>
      </c>
      <c r="N173" t="s">
        <v>255</v>
      </c>
      <c r="O173" s="52">
        <f>K181*B182-(I181^2-J181^2)</f>
        <v>21.047285733401193</v>
      </c>
      <c r="Q173" s="30">
        <v>-0.80917518155814938</v>
      </c>
      <c r="R173" s="26">
        <v>0.58083551543192391</v>
      </c>
    </row>
    <row r="174" spans="1:18" x14ac:dyDescent="0.35">
      <c r="A174" s="113">
        <v>-0.98574758293521181</v>
      </c>
      <c r="B174" s="114">
        <v>-0.14602440570081099</v>
      </c>
      <c r="C174" s="114">
        <v>8.1241641217265778E-2</v>
      </c>
      <c r="D174" s="115">
        <v>-1.9451771370194777E-2</v>
      </c>
      <c r="F174" s="30">
        <f>INDEX(A174:D182,,F171)</f>
        <v>-0.98574758293521181</v>
      </c>
      <c r="G174" s="26">
        <f>INDEX(A172:D180,,G171)</f>
        <v>-0.14602440570081099</v>
      </c>
      <c r="I174" s="30">
        <f t="shared" si="61"/>
        <v>0.95037517020233719</v>
      </c>
      <c r="J174">
        <f t="shared" si="62"/>
        <v>0.28788640993825038</v>
      </c>
      <c r="K174">
        <f t="shared" si="63"/>
        <v>0.82033437910998708</v>
      </c>
      <c r="L174" s="26">
        <f t="shared" si="60"/>
        <v>0.27360009584400452</v>
      </c>
      <c r="N174" t="s">
        <v>256</v>
      </c>
      <c r="O174" s="53">
        <f>0.25*ATAN(O172/O173)</f>
        <v>3.50518239768085E-3</v>
      </c>
      <c r="Q174" s="30">
        <v>-0.98625336847274003</v>
      </c>
      <c r="R174" s="26">
        <v>-0.14256829065069448</v>
      </c>
    </row>
    <row r="175" spans="1:18" x14ac:dyDescent="0.35">
      <c r="A175" s="113">
        <v>-0.10459192888126126</v>
      </c>
      <c r="B175" s="114">
        <v>4.283676351482653E-3</v>
      </c>
      <c r="C175" s="114">
        <v>9.0977041929493796E-2</v>
      </c>
      <c r="D175" s="115">
        <v>-0.99033598155957769</v>
      </c>
      <c r="F175" s="30">
        <f>INDEX(A175:D183,,F171)</f>
        <v>-0.10459192888126126</v>
      </c>
      <c r="G175" s="26">
        <f>INDEX(A172:D180,,G171)</f>
        <v>4.283676351482653E-3</v>
      </c>
      <c r="I175" s="30">
        <f t="shared" si="61"/>
        <v>1.0921121704018561E-2</v>
      </c>
      <c r="J175">
        <f t="shared" si="62"/>
        <v>-8.960759446092287E-4</v>
      </c>
      <c r="K175">
        <f t="shared" si="63"/>
        <v>1.1846794717547796E-4</v>
      </c>
      <c r="L175" s="26">
        <f t="shared" si="60"/>
        <v>-9.7861544471207819E-6</v>
      </c>
      <c r="Q175" s="30">
        <v>-0.10457627132162281</v>
      </c>
      <c r="R175" s="26">
        <v>4.6502630735685783E-3</v>
      </c>
    </row>
    <row r="176" spans="1:18" x14ac:dyDescent="0.35">
      <c r="A176" s="113">
        <v>-0.40065011289267316</v>
      </c>
      <c r="B176" s="114">
        <v>0.10186155160755282</v>
      </c>
      <c r="C176" s="114">
        <v>0.87690057735148841</v>
      </c>
      <c r="D176" s="115">
        <v>-0.24525311166999766</v>
      </c>
      <c r="F176" s="30">
        <f>INDEX(A176:D184,,F171)</f>
        <v>-0.40065011289267316</v>
      </c>
      <c r="G176" s="26">
        <f>INDEX(A172:D180,,G171)</f>
        <v>0.10186155160755282</v>
      </c>
      <c r="I176" s="30">
        <f t="shared" si="61"/>
        <v>0.15014473726501359</v>
      </c>
      <c r="J176">
        <f t="shared" si="62"/>
        <v>-8.1621684301977776E-2</v>
      </c>
      <c r="K176">
        <f t="shared" si="63"/>
        <v>1.5881342780088237E-2</v>
      </c>
      <c r="L176" s="26">
        <f t="shared" si="60"/>
        <v>-1.2255066344648338E-2</v>
      </c>
      <c r="N176" s="94">
        <f>COS(O174)</f>
        <v>0.99999385685446918</v>
      </c>
      <c r="O176" s="96">
        <f>-N177</f>
        <v>-3.5051752200627169E-3</v>
      </c>
      <c r="Q176" s="30">
        <v>-0.40029060905415081</v>
      </c>
      <c r="R176" s="26">
        <v>0.10326527470484403</v>
      </c>
    </row>
    <row r="177" spans="1:18" x14ac:dyDescent="0.35">
      <c r="A177" s="113">
        <v>1.5217256575791457E-3</v>
      </c>
      <c r="B177" s="114">
        <v>-2.193850065748925E-2</v>
      </c>
      <c r="C177" s="114">
        <v>0.9972894896567629</v>
      </c>
      <c r="D177" s="115">
        <v>7.0214388554471693E-2</v>
      </c>
      <c r="F177" s="30">
        <f>INDEX(A177:D185,,F171)</f>
        <v>1.5217256575791457E-3</v>
      </c>
      <c r="G177" s="26">
        <f>INDEX(A172:D180,,G171)</f>
        <v>-2.193850065748925E-2</v>
      </c>
      <c r="I177" s="30">
        <f t="shared" si="61"/>
        <v>-4.7898216212172162E-4</v>
      </c>
      <c r="J177">
        <f t="shared" si="62"/>
        <v>-6.6768758678636701E-5</v>
      </c>
      <c r="K177">
        <f t="shared" si="63"/>
        <v>2.249658444953132E-7</v>
      </c>
      <c r="L177" s="26">
        <f t="shared" si="60"/>
        <v>3.1981044394076872E-8</v>
      </c>
      <c r="N177" s="27">
        <f>SIN(O174)</f>
        <v>3.5051752200627169E-3</v>
      </c>
      <c r="O177" s="29">
        <f>N176</f>
        <v>0.99999385685446918</v>
      </c>
      <c r="Q177" s="30">
        <v>1.4448180205270122E-3</v>
      </c>
      <c r="R177" s="26">
        <v>-2.1943699801153661E-2</v>
      </c>
    </row>
    <row r="178" spans="1:18" x14ac:dyDescent="0.35">
      <c r="A178" s="113">
        <v>-0.97716901852420301</v>
      </c>
      <c r="B178" s="114">
        <v>-5.0508969708845343E-3</v>
      </c>
      <c r="C178" s="114">
        <v>0.13724651428565796</v>
      </c>
      <c r="D178" s="115">
        <v>-0.16210673025100522</v>
      </c>
      <c r="F178" s="30">
        <f>INDEX(A178:D186,,F171)</f>
        <v>-0.97716901852420301</v>
      </c>
      <c r="G178" s="26">
        <f>INDEX(A172:D180,,G171)</f>
        <v>-5.0508969708845343E-3</v>
      </c>
      <c r="I178" s="30">
        <f t="shared" si="61"/>
        <v>0.95483377920334378</v>
      </c>
      <c r="J178">
        <f t="shared" si="62"/>
        <v>9.8711600714122202E-3</v>
      </c>
      <c r="K178">
        <f t="shared" si="63"/>
        <v>0.91161010610658444</v>
      </c>
      <c r="L178" s="26">
        <f t="shared" si="60"/>
        <v>9.42531707610768E-3</v>
      </c>
      <c r="Q178" s="30">
        <v>-0.97718071991161548</v>
      </c>
      <c r="R178" s="26">
        <v>-1.6257173129453385E-3</v>
      </c>
    </row>
    <row r="179" spans="1:18" x14ac:dyDescent="0.35">
      <c r="A179" s="113">
        <v>-0.72112672736675643</v>
      </c>
      <c r="B179" s="114">
        <v>0.20215104240456758</v>
      </c>
      <c r="C179" s="114">
        <v>0.55024730906046826</v>
      </c>
      <c r="D179" s="115">
        <v>-0.36924124634684585</v>
      </c>
      <c r="F179" s="30">
        <f>INDEX(A179:D187,,F171)</f>
        <v>-0.72112672736675643</v>
      </c>
      <c r="G179" s="26">
        <f>INDEX(A172:D180,,G171)</f>
        <v>0.20215104240456758</v>
      </c>
      <c r="I179" s="30">
        <f t="shared" si="61"/>
        <v>0.47915871297743495</v>
      </c>
      <c r="J179">
        <f t="shared" si="62"/>
        <v>-0.29155303928596843</v>
      </c>
      <c r="K179">
        <f t="shared" si="63"/>
        <v>0.14458989750530643</v>
      </c>
      <c r="L179" s="26">
        <f t="shared" si="60"/>
        <v>-0.13970017906892415</v>
      </c>
      <c r="Q179" s="30">
        <v>-0.72041372255577774</v>
      </c>
      <c r="R179" s="26">
        <v>0.20467747609658576</v>
      </c>
    </row>
    <row r="180" spans="1:18" x14ac:dyDescent="0.35">
      <c r="A180" s="116">
        <v>-0.10681255192172026</v>
      </c>
      <c r="B180" s="117">
        <v>0.9251258804277549</v>
      </c>
      <c r="C180" s="117">
        <v>-0.20276494234141382</v>
      </c>
      <c r="D180" s="118">
        <v>-0.30268723506620548</v>
      </c>
      <c r="F180" s="27">
        <f>INDEX(A180:D188,,F171)</f>
        <v>-0.10681255192172026</v>
      </c>
      <c r="G180" s="29">
        <f>INDEX(A172:D180,,G171)</f>
        <v>0.9251258804277549</v>
      </c>
      <c r="I180" s="27">
        <f t="shared" si="61"/>
        <v>-0.84444897338919844</v>
      </c>
      <c r="J180" s="28">
        <f t="shared" si="62"/>
        <v>-0.19763011227463348</v>
      </c>
      <c r="K180" s="28">
        <f t="shared" si="63"/>
        <v>0.67403640738038695</v>
      </c>
      <c r="L180" s="29">
        <f t="shared" si="60"/>
        <v>0.16688854542110626</v>
      </c>
      <c r="Q180" s="27">
        <v>-0.10356916744515522</v>
      </c>
      <c r="R180" s="29">
        <v>0.92549459395502476</v>
      </c>
    </row>
    <row r="181" spans="1:18" x14ac:dyDescent="0.35">
      <c r="I181">
        <f>SUM(I172:I180)</f>
        <v>1.2385872108886877</v>
      </c>
      <c r="J181">
        <f>SUM(J172:J180)</f>
        <v>-1.0552807849826145</v>
      </c>
      <c r="K181">
        <f>SUM(K172:K180)</f>
        <v>2.3853073863582988</v>
      </c>
      <c r="L181">
        <f>SUM(L172:L180)</f>
        <v>-0.12883316266957018</v>
      </c>
    </row>
    <row r="182" spans="1:18" x14ac:dyDescent="0.35">
      <c r="A182" s="12" t="s">
        <v>2</v>
      </c>
      <c r="B182">
        <f>COUNT(A172:A180)</f>
        <v>9</v>
      </c>
      <c r="I182" s="12" t="s">
        <v>16</v>
      </c>
      <c r="J182" s="12" t="s">
        <v>258</v>
      </c>
      <c r="K182" s="12" t="s">
        <v>18</v>
      </c>
      <c r="L182" s="12" t="s">
        <v>19</v>
      </c>
      <c r="N182" s="12"/>
    </row>
    <row r="184" spans="1:18" x14ac:dyDescent="0.3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12" t="s">
        <v>251</v>
      </c>
      <c r="J184" s="12" t="s">
        <v>252</v>
      </c>
      <c r="K184" s="12" t="s">
        <v>253</v>
      </c>
      <c r="L184" s="12" t="s">
        <v>254</v>
      </c>
      <c r="Q184">
        <f>F184</f>
        <v>1</v>
      </c>
      <c r="R184">
        <f>G184</f>
        <v>3</v>
      </c>
    </row>
    <row r="185" spans="1:18" x14ac:dyDescent="0.35">
      <c r="A185" s="110">
        <f t="array" ref="A185:A193">IF(A184=$Q171,$Q172:$Q180,IF(A184=$R171,$R172:$R180,A172:A180))</f>
        <v>-9.094665696395543E-2</v>
      </c>
      <c r="B185" s="111">
        <f t="array" ref="B185:B193">IF(B184=$Q171,$Q172:$Q180,IF(B184=$R171,$R172:$R180,B172:B180))</f>
        <v>-0.89053344960548109</v>
      </c>
      <c r="C185" s="111">
        <f t="array" ref="C185:C193">IF(C184=$Q171,$Q172:$Q180,IF(C184=$R171,$R172:$R180,C172:C180))</f>
        <v>-0.3407772918791821</v>
      </c>
      <c r="D185" s="112">
        <f t="array" ref="D185:D193">IF(D184=$Q171,$Q172:$Q180,IF(D184=$R171,$R172:$R180,D172:D180))</f>
        <v>-0.28731466732544986</v>
      </c>
      <c r="F185" s="94">
        <f>INDEX(A185:D193,,F184)</f>
        <v>-9.094665696395543E-2</v>
      </c>
      <c r="G185" s="96">
        <f>INDEX(A185:D193,,G184)</f>
        <v>-0.3407772918791821</v>
      </c>
      <c r="I185" s="94">
        <f>F185^2-G185^2</f>
        <v>-0.10785786824758989</v>
      </c>
      <c r="J185" s="95">
        <f>2*F185*G185</f>
        <v>6.198511093128338E-2</v>
      </c>
      <c r="K185" s="95">
        <f>I185^2-J185^2</f>
        <v>7.7911657657509523E-3</v>
      </c>
      <c r="L185" s="96">
        <f t="shared" ref="L185:L193" si="64">I185*J185</f>
        <v>-6.6855819281386062E-3</v>
      </c>
      <c r="N185" t="s">
        <v>12</v>
      </c>
      <c r="O185" s="51">
        <f>2*L194*B195-2*I194*J194</f>
        <v>4.0947533577000428E-3</v>
      </c>
      <c r="Q185" s="94">
        <f t="array" ref="Q185:R193">MMULT(F185:G193,N189:O190)</f>
        <v>-9.0960937562059918E-2</v>
      </c>
      <c r="R185" s="96">
        <v>-0.34077348035206567</v>
      </c>
    </row>
    <row r="186" spans="1:18" x14ac:dyDescent="0.35">
      <c r="A186" s="113">
        <v>-0.80917518155814938</v>
      </c>
      <c r="B186" s="114">
        <v>0.58083551543192391</v>
      </c>
      <c r="C186" s="114">
        <v>5.6602178536380214E-2</v>
      </c>
      <c r="D186" s="115">
        <v>6.8277543513247649E-2</v>
      </c>
      <c r="F186" s="30">
        <f>INDEX(A186:D194,,F184)</f>
        <v>-0.80917518155814938</v>
      </c>
      <c r="G186" s="26">
        <f>INDEX(A185:D193,,G184)</f>
        <v>5.6602178536380214E-2</v>
      </c>
      <c r="I186" s="30">
        <f t="shared" ref="I186:I193" si="65">F186^2-G186^2</f>
        <v>0.65156066783459976</v>
      </c>
      <c r="J186">
        <f t="shared" ref="J186:J193" si="66">2*F186*G186</f>
        <v>-9.1602156187524486E-2</v>
      </c>
      <c r="K186">
        <f t="shared" ref="K186:K193" si="67">I186^2-J186^2</f>
        <v>0.41614034885086598</v>
      </c>
      <c r="L186" s="26">
        <f t="shared" si="64"/>
        <v>-5.9684362060632767E-2</v>
      </c>
      <c r="N186" t="s">
        <v>255</v>
      </c>
      <c r="O186" s="52">
        <f>K194*B195-(I194^2-J194^2)</f>
        <v>24.428093512672479</v>
      </c>
      <c r="Q186" s="30">
        <v>-0.80917280886598997</v>
      </c>
      <c r="R186" s="26">
        <v>5.6636087935629804E-2</v>
      </c>
    </row>
    <row r="187" spans="1:18" x14ac:dyDescent="0.35">
      <c r="A187" s="113">
        <v>-0.98625336847274003</v>
      </c>
      <c r="B187" s="114">
        <v>-0.14256829065069448</v>
      </c>
      <c r="C187" s="114">
        <v>8.1241641217265778E-2</v>
      </c>
      <c r="D187" s="115">
        <v>-1.9451771370194777E-2</v>
      </c>
      <c r="F187" s="30">
        <f>INDEX(A187:D195,,F184)</f>
        <v>-0.98625336847274003</v>
      </c>
      <c r="G187" s="26">
        <f>INDEX(A185:D193,,G184)</f>
        <v>8.1241641217265778E-2</v>
      </c>
      <c r="I187" s="30">
        <f t="shared" si="65"/>
        <v>0.9660955025561514</v>
      </c>
      <c r="J187">
        <f t="shared" si="66"/>
        <v>-0.16024968462156433</v>
      </c>
      <c r="K187">
        <f t="shared" si="67"/>
        <v>0.90766055863791195</v>
      </c>
      <c r="L187" s="26">
        <f t="shared" si="64"/>
        <v>-0.15481649959893495</v>
      </c>
      <c r="N187" t="s">
        <v>256</v>
      </c>
      <c r="O187" s="53">
        <f>0.25*ATAN(O185/O186)</f>
        <v>4.1906190071937859E-5</v>
      </c>
      <c r="Q187" s="30">
        <v>-0.98624996307908852</v>
      </c>
      <c r="R187" s="26">
        <v>8.1282971267036597E-2</v>
      </c>
    </row>
    <row r="188" spans="1:18" x14ac:dyDescent="0.35">
      <c r="A188" s="113">
        <v>-0.10457627132162281</v>
      </c>
      <c r="B188" s="114">
        <v>4.6502630735685783E-3</v>
      </c>
      <c r="C188" s="114">
        <v>9.0977041929493796E-2</v>
      </c>
      <c r="D188" s="115">
        <v>-0.99033598155957769</v>
      </c>
      <c r="F188" s="30">
        <f>INDEX(A188:D196,,F184)</f>
        <v>-0.10457627132162281</v>
      </c>
      <c r="G188" s="26">
        <f>INDEX(A185:D193,,G184)</f>
        <v>9.0977041929493796E-2</v>
      </c>
      <c r="I188" s="30">
        <f t="shared" si="65"/>
        <v>2.6593743652927986E-3</v>
      </c>
      <c r="J188">
        <f t="shared" si="66"/>
        <v>-1.9028079641714796E-2</v>
      </c>
      <c r="K188">
        <f t="shared" si="67"/>
        <v>-3.549955428366646E-4</v>
      </c>
      <c r="L188" s="26">
        <f t="shared" si="64"/>
        <v>-5.0602787219926108E-5</v>
      </c>
      <c r="Q188" s="30">
        <v>-0.10457245872858795</v>
      </c>
      <c r="R188" s="26">
        <v>9.0981424242711828E-2</v>
      </c>
    </row>
    <row r="189" spans="1:18" x14ac:dyDescent="0.35">
      <c r="A189" s="113">
        <v>-0.40029060905415081</v>
      </c>
      <c r="B189" s="114">
        <v>0.10326527470484403</v>
      </c>
      <c r="C189" s="114">
        <v>0.87690057735148841</v>
      </c>
      <c r="D189" s="115">
        <v>-0.24525311166999766</v>
      </c>
      <c r="F189" s="30">
        <f>INDEX(A189:D197,,F184)</f>
        <v>-0.40029060905415081</v>
      </c>
      <c r="G189" s="26">
        <f>INDEX(A185:D193,,G184)</f>
        <v>0.87690057735148841</v>
      </c>
      <c r="I189" s="30">
        <f t="shared" si="65"/>
        <v>-0.6087220508624307</v>
      </c>
      <c r="J189">
        <f t="shared" si="66"/>
        <v>-0.7020301323759276</v>
      </c>
      <c r="K189">
        <f t="shared" si="67"/>
        <v>-0.12230377155759875</v>
      </c>
      <c r="L189" s="26">
        <f t="shared" si="64"/>
        <v>0.42734122194709834</v>
      </c>
      <c r="N189" s="94">
        <f>COS(O187)</f>
        <v>0.9999999991219356</v>
      </c>
      <c r="O189" s="96">
        <f>-N190</f>
        <v>-4.1906190059672415E-5</v>
      </c>
      <c r="Q189" s="30">
        <v>-0.40025386114041195</v>
      </c>
      <c r="R189" s="26">
        <v>0.87691735123585535</v>
      </c>
    </row>
    <row r="190" spans="1:18" x14ac:dyDescent="0.35">
      <c r="A190" s="113">
        <v>1.4448180205270122E-3</v>
      </c>
      <c r="B190" s="114">
        <v>-2.1943699801153661E-2</v>
      </c>
      <c r="C190" s="114">
        <v>0.9972894896567629</v>
      </c>
      <c r="D190" s="115">
        <v>7.0214388554471693E-2</v>
      </c>
      <c r="F190" s="30">
        <f>INDEX(A190:D198,,F184)</f>
        <v>1.4448180205270122E-3</v>
      </c>
      <c r="G190" s="26">
        <f>INDEX(A185:D193,,G184)</f>
        <v>0.9972894896567629</v>
      </c>
      <c r="I190" s="30">
        <f t="shared" si="65"/>
        <v>-0.99458423868073409</v>
      </c>
      <c r="J190">
        <f t="shared" si="66"/>
        <v>2.881803652676557E-3</v>
      </c>
      <c r="K190">
        <f t="shared" si="67"/>
        <v>0.98918950303984277</v>
      </c>
      <c r="L190" s="26">
        <f t="shared" si="64"/>
        <v>-2.8661964919246721E-3</v>
      </c>
      <c r="N190" s="27">
        <f>SIN(O187)</f>
        <v>4.1906190059672415E-5</v>
      </c>
      <c r="O190" s="29">
        <f>N189</f>
        <v>0.9999999991219356</v>
      </c>
      <c r="Q190" s="30">
        <v>1.486610622156439E-3</v>
      </c>
      <c r="R190" s="26">
        <v>0.99728942823425992</v>
      </c>
    </row>
    <row r="191" spans="1:18" x14ac:dyDescent="0.35">
      <c r="A191" s="113">
        <v>-0.97718071991161548</v>
      </c>
      <c r="B191" s="114">
        <v>-1.6257173129453385E-3</v>
      </c>
      <c r="C191" s="114">
        <v>0.13724651428565796</v>
      </c>
      <c r="D191" s="115">
        <v>-0.16210673025100522</v>
      </c>
      <c r="F191" s="30">
        <f>INDEX(A191:D199,,F184)</f>
        <v>-0.97718071991161548</v>
      </c>
      <c r="G191" s="26">
        <f>INDEX(A185:D193,,G184)</f>
        <v>0.13724651428565796</v>
      </c>
      <c r="I191" s="30">
        <f t="shared" si="65"/>
        <v>0.9360455536834198</v>
      </c>
      <c r="J191">
        <f t="shared" si="66"/>
        <v>-0.26822929527003814</v>
      </c>
      <c r="K191">
        <f t="shared" si="67"/>
        <v>0.80423432372943859</v>
      </c>
      <c r="L191" s="26">
        <f t="shared" si="64"/>
        <v>-0.25107483920515633</v>
      </c>
      <c r="Q191" s="30">
        <v>-0.97717496757507516</v>
      </c>
      <c r="R191" s="26">
        <v>0.13728746408611794</v>
      </c>
    </row>
    <row r="192" spans="1:18" x14ac:dyDescent="0.35">
      <c r="A192" s="113">
        <v>-0.72041372255577774</v>
      </c>
      <c r="B192" s="114">
        <v>0.20467747609658576</v>
      </c>
      <c r="C192" s="114">
        <v>0.55024730906046826</v>
      </c>
      <c r="D192" s="115">
        <v>-0.36924124634684585</v>
      </c>
      <c r="F192" s="30">
        <f>INDEX(A192:D200,,F184)</f>
        <v>-0.72041372255577774</v>
      </c>
      <c r="G192" s="26">
        <f>INDEX(A185:D193,,G184)</f>
        <v>0.55024730906046826</v>
      </c>
      <c r="I192" s="30">
        <f t="shared" si="65"/>
        <v>0.21622383051838667</v>
      </c>
      <c r="J192">
        <f t="shared" si="66"/>
        <v>-0.79281142449310293</v>
      </c>
      <c r="K192">
        <f t="shared" si="67"/>
        <v>-0.58179720992273909</v>
      </c>
      <c r="L192" s="26">
        <f t="shared" si="64"/>
        <v>-0.1714247230826374</v>
      </c>
      <c r="Q192" s="30">
        <v>-0.72039066315489475</v>
      </c>
      <c r="R192" s="26">
        <v>0.55027749837169471</v>
      </c>
    </row>
    <row r="193" spans="1:18" x14ac:dyDescent="0.35">
      <c r="A193" s="116">
        <v>-0.10356916744515522</v>
      </c>
      <c r="B193" s="117">
        <v>0.92549459395502476</v>
      </c>
      <c r="C193" s="117">
        <v>-0.20276494234141382</v>
      </c>
      <c r="D193" s="118">
        <v>-0.30268723506620548</v>
      </c>
      <c r="F193" s="27">
        <f>INDEX(A193:D201,,F184)</f>
        <v>-0.10356916744515522</v>
      </c>
      <c r="G193" s="29">
        <f>INDEX(A185:D193,,G184)</f>
        <v>-0.20276494234141382</v>
      </c>
      <c r="I193" s="27">
        <f t="shared" si="65"/>
        <v>-3.0387049397434272E-2</v>
      </c>
      <c r="J193" s="28">
        <f t="shared" si="66"/>
        <v>4.2000392530730263E-2</v>
      </c>
      <c r="K193" s="28">
        <f t="shared" si="67"/>
        <v>-8.406602016533118E-4</v>
      </c>
      <c r="L193" s="29">
        <f t="shared" si="64"/>
        <v>-1.2762680025429299E-3</v>
      </c>
      <c r="Q193" s="27">
        <v>-0.10357766446042603</v>
      </c>
      <c r="R193" s="29">
        <v>-0.20276060197415788</v>
      </c>
    </row>
    <row r="194" spans="1:18" x14ac:dyDescent="0.35">
      <c r="I194">
        <f>SUM(I185:I193)</f>
        <v>1.0310337217696612</v>
      </c>
      <c r="J194">
        <f>SUM(J185:J193)</f>
        <v>-1.9270834654751823</v>
      </c>
      <c r="K194">
        <f>SUM(K185:K193)</f>
        <v>2.4197192627989823</v>
      </c>
      <c r="L194">
        <f>SUM(L185:L193)</f>
        <v>-0.22053785121008929</v>
      </c>
    </row>
    <row r="195" spans="1:18" x14ac:dyDescent="0.35">
      <c r="A195" s="12" t="s">
        <v>2</v>
      </c>
      <c r="B195">
        <f>COUNT(A185:A193)</f>
        <v>9</v>
      </c>
      <c r="I195" s="12" t="s">
        <v>16</v>
      </c>
      <c r="J195" s="12" t="s">
        <v>258</v>
      </c>
      <c r="K195" s="12" t="s">
        <v>18</v>
      </c>
      <c r="L195" s="12" t="s">
        <v>19</v>
      </c>
      <c r="N195" s="12"/>
    </row>
    <row r="197" spans="1:18" x14ac:dyDescent="0.3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12" t="s">
        <v>251</v>
      </c>
      <c r="J197" s="12" t="s">
        <v>252</v>
      </c>
      <c r="K197" s="12" t="s">
        <v>253</v>
      </c>
      <c r="L197" s="12" t="s">
        <v>254</v>
      </c>
      <c r="Q197">
        <f>F197</f>
        <v>1</v>
      </c>
      <c r="R197">
        <f>G197</f>
        <v>4</v>
      </c>
    </row>
    <row r="198" spans="1:18" x14ac:dyDescent="0.35">
      <c r="A198" s="110">
        <f t="array" ref="A198:A206">IF(A197=$Q184,$Q185:$Q193,IF(A197=$R184,$R185:$R193,A185:A193))</f>
        <v>-9.0960937562059918E-2</v>
      </c>
      <c r="B198" s="111">
        <f t="array" ref="B198:B206">IF(B197=$Q184,$Q185:$Q193,IF(B197=$R184,$R185:$R193,B185:B193))</f>
        <v>-0.89053344960548109</v>
      </c>
      <c r="C198" s="111">
        <f t="array" ref="C198:C206">IF(C197=$Q184,$Q185:$Q193,IF(C197=$R184,$R185:$R193,C185:C193))</f>
        <v>-0.34077348035206567</v>
      </c>
      <c r="D198" s="112">
        <f t="array" ref="D198:D206">IF(D197=$Q184,$Q185:$Q193,IF(D197=$R184,$R185:$R193,D185:D193))</f>
        <v>-0.28731466732544986</v>
      </c>
      <c r="F198" s="94">
        <f>INDEX(A198:D206,,F197)</f>
        <v>-9.0960937562059918E-2</v>
      </c>
      <c r="G198" s="96">
        <f>INDEX(A198:D206,,G197)</f>
        <v>-0.28731466732544986</v>
      </c>
      <c r="I198" s="94">
        <f>F198^2-G198^2</f>
        <v>-7.4275825898164963E-2</v>
      </c>
      <c r="J198" s="95">
        <f>2*F198*G198</f>
        <v>5.2268823030508525E-2</v>
      </c>
      <c r="K198" s="95">
        <f>I198^2-J198^2</f>
        <v>2.7848684518598948E-3</v>
      </c>
      <c r="L198" s="96">
        <f t="shared" ref="L198:L206" si="68">I198*J198</f>
        <v>-3.8823099993160462E-3</v>
      </c>
      <c r="N198" t="s">
        <v>12</v>
      </c>
      <c r="O198" s="51">
        <f>2*L207*B208-2*I207*J207</f>
        <v>-1.737400447291737E-2</v>
      </c>
      <c r="Q198" s="94">
        <f t="array" ref="Q198:R206">MMULT(F198:G206,N202:O203)</f>
        <v>-9.0908371308588851E-2</v>
      </c>
      <c r="R198" s="96">
        <v>-0.28733130398291556</v>
      </c>
    </row>
    <row r="199" spans="1:18" x14ac:dyDescent="0.35">
      <c r="A199" s="113">
        <v>-0.80917280886598997</v>
      </c>
      <c r="B199" s="114">
        <v>0.58083551543192391</v>
      </c>
      <c r="C199" s="114">
        <v>5.6636087935629804E-2</v>
      </c>
      <c r="D199" s="115">
        <v>6.8277543513247649E-2</v>
      </c>
      <c r="F199" s="30">
        <f>INDEX(A199:D207,,F197)</f>
        <v>-0.80917280886598997</v>
      </c>
      <c r="G199" s="26">
        <f>INDEX(A198:D206,,G197)</f>
        <v>6.8277543513247649E-2</v>
      </c>
      <c r="I199" s="30">
        <f t="shared" ref="I199:I206" si="69">F199^2-G199^2</f>
        <v>0.6500988116598726</v>
      </c>
      <c r="J199">
        <f t="shared" ref="J199:J206" si="70">2*F199*G199</f>
        <v>-0.11049666333416891</v>
      </c>
      <c r="K199">
        <f t="shared" ref="K199:K206" si="71">I199^2-J199^2</f>
        <v>0.41041895231359382</v>
      </c>
      <c r="L199" s="26">
        <f t="shared" si="68"/>
        <v>-7.1833749525924223E-2</v>
      </c>
      <c r="N199" t="s">
        <v>255</v>
      </c>
      <c r="O199" s="52">
        <f>K207*B208-(I207^2-J207^2)</f>
        <v>23.741229548853603</v>
      </c>
      <c r="Q199" s="30">
        <v>-0.80918528682237989</v>
      </c>
      <c r="R199" s="26">
        <v>6.8129502761006377E-2</v>
      </c>
    </row>
    <row r="200" spans="1:18" x14ac:dyDescent="0.35">
      <c r="A200" s="113">
        <v>-0.98624996307908852</v>
      </c>
      <c r="B200" s="114">
        <v>-0.14256829065069448</v>
      </c>
      <c r="C200" s="114">
        <v>8.1282971267036597E-2</v>
      </c>
      <c r="D200" s="115">
        <v>-1.9451771370194777E-2</v>
      </c>
      <c r="F200" s="30">
        <f>INDEX(A200:D208,,F197)</f>
        <v>-0.98624996307908852</v>
      </c>
      <c r="G200" s="26">
        <f>INDEX(A198:D206,,G197)</f>
        <v>-1.9451771370194777E-2</v>
      </c>
      <c r="I200" s="30">
        <f t="shared" si="69"/>
        <v>0.97231061826406517</v>
      </c>
      <c r="J200">
        <f t="shared" si="70"/>
        <v>3.8368617591354938E-2</v>
      </c>
      <c r="K200">
        <f t="shared" si="71"/>
        <v>0.94391578757317707</v>
      </c>
      <c r="L200" s="26">
        <f t="shared" si="68"/>
        <v>3.7306214292187806E-2</v>
      </c>
      <c r="N200" t="s">
        <v>256</v>
      </c>
      <c r="O200" s="53">
        <f>0.25*ATAN(O198/O199)</f>
        <v>-1.8295178579172337E-4</v>
      </c>
      <c r="Q200" s="30">
        <v>-0.98624638783723761</v>
      </c>
      <c r="R200" s="26">
        <v>-1.9632207235631961E-2</v>
      </c>
    </row>
    <row r="201" spans="1:18" x14ac:dyDescent="0.35">
      <c r="A201" s="113">
        <v>-0.10457245872858795</v>
      </c>
      <c r="B201" s="114">
        <v>4.6502630735685783E-3</v>
      </c>
      <c r="C201" s="114">
        <v>9.0981424242711828E-2</v>
      </c>
      <c r="D201" s="115">
        <v>-0.99033598155957769</v>
      </c>
      <c r="F201" s="30">
        <f>INDEX(A201:D209,,F197)</f>
        <v>-0.10457245872858795</v>
      </c>
      <c r="G201" s="26">
        <f>INDEX(A198:D206,,G197)</f>
        <v>-0.99033598155957769</v>
      </c>
      <c r="I201" s="30">
        <f t="shared" si="69"/>
        <v>-0.96982995724703003</v>
      </c>
      <c r="J201">
        <f t="shared" si="70"/>
        <v>0.20712373711814913</v>
      </c>
      <c r="K201">
        <f t="shared" si="71"/>
        <v>0.89766990349598796</v>
      </c>
      <c r="L201" s="26">
        <f t="shared" si="68"/>
        <v>-0.20087480511413966</v>
      </c>
      <c r="Q201" s="30">
        <v>-0.10439127324314758</v>
      </c>
      <c r="R201" s="26">
        <v>-0.99035509670359589</v>
      </c>
    </row>
    <row r="202" spans="1:18" x14ac:dyDescent="0.35">
      <c r="A202" s="113">
        <v>-0.40025386114041195</v>
      </c>
      <c r="B202" s="114">
        <v>0.10326527470484403</v>
      </c>
      <c r="C202" s="114">
        <v>0.87691735123585535</v>
      </c>
      <c r="D202" s="115">
        <v>-0.24525311166999766</v>
      </c>
      <c r="F202" s="30">
        <f>INDEX(A202:D210,,F197)</f>
        <v>-0.40025386114041195</v>
      </c>
      <c r="G202" s="26">
        <f>INDEX(A198:D206,,G197)</f>
        <v>-0.24525311166999766</v>
      </c>
      <c r="I202" s="30">
        <f t="shared" si="69"/>
        <v>0.10005406457399182</v>
      </c>
      <c r="J202">
        <f t="shared" si="70"/>
        <v>0.19632700980523438</v>
      </c>
      <c r="K202">
        <f t="shared" si="71"/>
        <v>-2.8533478941288069E-2</v>
      </c>
      <c r="L202" s="26">
        <f t="shared" si="68"/>
        <v>1.9643315316671645E-2</v>
      </c>
      <c r="N202" s="94">
        <f>COS(O200)</f>
        <v>0.99999998326432205</v>
      </c>
      <c r="O202" s="96">
        <f>-N203</f>
        <v>1.8295178477111597E-4</v>
      </c>
      <c r="Q202" s="30">
        <v>-0.40020898494739149</v>
      </c>
      <c r="R202" s="26">
        <v>-0.24532633472377774</v>
      </c>
    </row>
    <row r="203" spans="1:18" x14ac:dyDescent="0.35">
      <c r="A203" s="113">
        <v>1.486610622156439E-3</v>
      </c>
      <c r="B203" s="114">
        <v>-2.1943699801153661E-2</v>
      </c>
      <c r="C203" s="114">
        <v>0.99728942823425992</v>
      </c>
      <c r="D203" s="115">
        <v>7.0214388554471693E-2</v>
      </c>
      <c r="F203" s="30">
        <f>INDEX(A203:D211,,F197)</f>
        <v>1.486610622156439E-3</v>
      </c>
      <c r="G203" s="26">
        <f>INDEX(A198:D206,,G197)</f>
        <v>7.0214388554471693E-2</v>
      </c>
      <c r="I203" s="30">
        <f t="shared" si="69"/>
        <v>-4.9278503489364172E-3</v>
      </c>
      <c r="J203">
        <f t="shared" si="70"/>
        <v>2.0876291170659423E-4</v>
      </c>
      <c r="K203">
        <f t="shared" si="71"/>
        <v>2.4240127108208553E-5</v>
      </c>
      <c r="L203" s="26">
        <f t="shared" si="68"/>
        <v>-1.0287523872983229E-6</v>
      </c>
      <c r="N203" s="27">
        <f>SIN(O200)</f>
        <v>-1.8295178477111597E-4</v>
      </c>
      <c r="O203" s="29">
        <f>N202</f>
        <v>0.99999998326432205</v>
      </c>
      <c r="Q203" s="30">
        <v>1.4737647495743492E-3</v>
      </c>
      <c r="R203" s="26">
        <v>7.0214659357452885E-2</v>
      </c>
    </row>
    <row r="204" spans="1:18" x14ac:dyDescent="0.35">
      <c r="A204" s="113">
        <v>-0.97717496757507516</v>
      </c>
      <c r="B204" s="114">
        <v>-1.6257173129453385E-3</v>
      </c>
      <c r="C204" s="114">
        <v>0.13728746408611794</v>
      </c>
      <c r="D204" s="115">
        <v>-0.16210673025100522</v>
      </c>
      <c r="F204" s="30">
        <f>INDEX(A204:D212,,F197)</f>
        <v>-0.97717496757507516</v>
      </c>
      <c r="G204" s="26">
        <f>INDEX(A198:D206,,G197)</f>
        <v>-0.16210673025100522</v>
      </c>
      <c r="I204" s="30">
        <f t="shared" si="69"/>
        <v>0.9285923252626771</v>
      </c>
      <c r="J204">
        <f t="shared" si="70"/>
        <v>0.31681327775345497</v>
      </c>
      <c r="K204">
        <f t="shared" si="71"/>
        <v>0.7619130535758577</v>
      </c>
      <c r="L204" s="26">
        <f t="shared" si="68"/>
        <v>0.29419037826317113</v>
      </c>
      <c r="Q204" s="30">
        <v>-0.97714529350576684</v>
      </c>
      <c r="R204" s="26">
        <v>-0.16228550344239073</v>
      </c>
    </row>
    <row r="205" spans="1:18" x14ac:dyDescent="0.35">
      <c r="A205" s="113">
        <v>-0.72039066315489475</v>
      </c>
      <c r="B205" s="114">
        <v>0.20467747609658576</v>
      </c>
      <c r="C205" s="114">
        <v>0.55027749837169471</v>
      </c>
      <c r="D205" s="115">
        <v>-0.36924124634684585</v>
      </c>
      <c r="F205" s="30">
        <f>INDEX(A205:D213,,F197)</f>
        <v>-0.72039066315489475</v>
      </c>
      <c r="G205" s="26">
        <f>INDEX(A198:D206,,G197)</f>
        <v>-0.36924124634684585</v>
      </c>
      <c r="I205" s="30">
        <f t="shared" si="69"/>
        <v>0.38262360955697694</v>
      </c>
      <c r="J205">
        <f t="shared" si="70"/>
        <v>0.53199589263988833</v>
      </c>
      <c r="K205">
        <f t="shared" si="71"/>
        <v>-0.13661880319530167</v>
      </c>
      <c r="L205" s="26">
        <f t="shared" si="68"/>
        <v>0.20355418871136005</v>
      </c>
      <c r="Q205" s="30">
        <v>-0.72032309775363834</v>
      </c>
      <c r="R205" s="26">
        <v>-0.36937303692489992</v>
      </c>
    </row>
    <row r="206" spans="1:18" x14ac:dyDescent="0.35">
      <c r="A206" s="116">
        <v>-0.10357766446042603</v>
      </c>
      <c r="B206" s="117">
        <v>0.92549459395502476</v>
      </c>
      <c r="C206" s="117">
        <v>-0.20276060197415788</v>
      </c>
      <c r="D206" s="118">
        <v>-0.30268723506620548</v>
      </c>
      <c r="F206" s="27">
        <f>INDEX(A206:D214,,F197)</f>
        <v>-0.10357766446042603</v>
      </c>
      <c r="G206" s="29">
        <f>INDEX(A198:D206,,G197)</f>
        <v>-0.30268723506620548</v>
      </c>
      <c r="I206" s="27">
        <f t="shared" si="69"/>
        <v>-8.0891229696947731E-2</v>
      </c>
      <c r="J206" s="28">
        <f t="shared" si="70"/>
        <v>6.2703273740283061E-2</v>
      </c>
      <c r="K206" s="28">
        <f t="shared" si="71"/>
        <v>2.6116905041354875E-3</v>
      </c>
      <c r="L206" s="29">
        <f t="shared" si="68"/>
        <v>-5.0721449188758276E-3</v>
      </c>
      <c r="Q206" s="27">
        <v>-0.1035222855571008</v>
      </c>
      <c r="R206" s="29">
        <v>-0.30270617971910485</v>
      </c>
    </row>
    <row r="207" spans="1:18" x14ac:dyDescent="0.35">
      <c r="I207">
        <f>SUM(I198:I206)</f>
        <v>1.9037545661265047</v>
      </c>
      <c r="J207">
        <f>SUM(J198:J206)</f>
        <v>1.295312731256411</v>
      </c>
      <c r="K207">
        <f>SUM(K198:K206)</f>
        <v>2.8541862139051308</v>
      </c>
      <c r="L207">
        <f>SUM(L198:L206)</f>
        <v>0.27303005827274757</v>
      </c>
    </row>
    <row r="208" spans="1:18" x14ac:dyDescent="0.35">
      <c r="A208" s="12" t="s">
        <v>2</v>
      </c>
      <c r="B208">
        <f>COUNT(A198:A206)</f>
        <v>9</v>
      </c>
      <c r="I208" s="12" t="s">
        <v>16</v>
      </c>
      <c r="J208" s="12" t="s">
        <v>258</v>
      </c>
      <c r="K208" s="12" t="s">
        <v>18</v>
      </c>
      <c r="L208" s="12" t="s">
        <v>19</v>
      </c>
      <c r="N208" s="12"/>
    </row>
    <row r="210" spans="1:18" x14ac:dyDescent="0.3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12" t="s">
        <v>251</v>
      </c>
      <c r="J210" s="12" t="s">
        <v>252</v>
      </c>
      <c r="K210" s="12" t="s">
        <v>253</v>
      </c>
      <c r="L210" s="12" t="s">
        <v>254</v>
      </c>
      <c r="Q210">
        <f>F210</f>
        <v>2</v>
      </c>
      <c r="R210">
        <f>G210</f>
        <v>3</v>
      </c>
    </row>
    <row r="211" spans="1:18" x14ac:dyDescent="0.35">
      <c r="A211" s="110">
        <f t="array" ref="A211:A219">IF(A210=$Q197,$Q198:$Q206,IF(A210=$R197,$R198:$R206,A198:A206))</f>
        <v>-9.0908371308588851E-2</v>
      </c>
      <c r="B211" s="111">
        <f t="array" ref="B211:B219">IF(B210=$Q197,$Q198:$Q206,IF(B210=$R197,$R198:$R206,B198:B206))</f>
        <v>-0.89053344960548109</v>
      </c>
      <c r="C211" s="111">
        <f t="array" ref="C211:C219">IF(C210=$Q197,$Q198:$Q206,IF(C210=$R197,$R198:$R206,C198:C206))</f>
        <v>-0.34077348035206567</v>
      </c>
      <c r="D211" s="112">
        <f t="array" ref="D211:D219">IF(D210=$Q197,$Q198:$Q206,IF(D210=$R197,$R198:$R206,D198:D206))</f>
        <v>-0.28733130398291556</v>
      </c>
      <c r="F211" s="94">
        <f>INDEX(A211:D219,,F210)</f>
        <v>-0.89053344960548109</v>
      </c>
      <c r="G211" s="96">
        <f>INDEX(A211:D219,,G210)</f>
        <v>-0.34077348035206567</v>
      </c>
      <c r="I211" s="94">
        <f>F211^2-G211^2</f>
        <v>0.67692325995497815</v>
      </c>
      <c r="J211" s="95">
        <f>2*F211*G211</f>
        <v>0.60694036598398138</v>
      </c>
      <c r="K211" s="95">
        <f>I211^2-J211^2</f>
        <v>8.9848492007305658E-2</v>
      </c>
      <c r="L211" s="96">
        <f t="shared" ref="L211:L219" si="72">I211*J211</f>
        <v>0.41085205114014423</v>
      </c>
      <c r="N211" t="s">
        <v>12</v>
      </c>
      <c r="O211" s="51">
        <f>2*L220*B221-2*I220*J220</f>
        <v>-0.21495527122554947</v>
      </c>
      <c r="Q211" s="94">
        <f t="array" ref="Q211:R219">MMULT(F211:G219,N215:O216)</f>
        <v>-0.88964885681874684</v>
      </c>
      <c r="R211" s="96">
        <v>-0.34307623254692915</v>
      </c>
    </row>
    <row r="212" spans="1:18" x14ac:dyDescent="0.35">
      <c r="A212" s="113">
        <v>-0.80918528682237989</v>
      </c>
      <c r="B212" s="114">
        <v>0.58083551543192391</v>
      </c>
      <c r="C212" s="114">
        <v>5.6636087935629804E-2</v>
      </c>
      <c r="D212" s="115">
        <v>6.8129502761006377E-2</v>
      </c>
      <c r="F212" s="30">
        <f>INDEX(A212:D220,,F210)</f>
        <v>0.58083551543192391</v>
      </c>
      <c r="G212" s="26">
        <f>INDEX(A211:D219,,G210)</f>
        <v>5.6636087935629804E-2</v>
      </c>
      <c r="I212" s="30">
        <f t="shared" ref="I212:I219" si="73">F212^2-G212^2</f>
        <v>0.33416224953041634</v>
      </c>
      <c r="J212">
        <f t="shared" ref="J212:J219" si="74">2*F212*G212</f>
        <v>6.5792502656278604E-2</v>
      </c>
      <c r="K212">
        <f t="shared" ref="K212:K219" si="75">I212^2-J212^2</f>
        <v>0.1073357556054518</v>
      </c>
      <c r="L212" s="26">
        <f t="shared" si="72"/>
        <v>2.1985370689857953E-2</v>
      </c>
      <c r="N212" t="s">
        <v>255</v>
      </c>
      <c r="O212" s="52">
        <f>K220*B221-(I220^2-J220^2)</f>
        <v>20.771130147075297</v>
      </c>
      <c r="Q212" s="30">
        <v>0.58068704883773237</v>
      </c>
      <c r="R212" s="26">
        <v>5.8138573734192754E-2</v>
      </c>
    </row>
    <row r="213" spans="1:18" x14ac:dyDescent="0.35">
      <c r="A213" s="113">
        <v>-0.98624638783723761</v>
      </c>
      <c r="B213" s="114">
        <v>-0.14256829065069448</v>
      </c>
      <c r="C213" s="114">
        <v>8.1282971267036597E-2</v>
      </c>
      <c r="D213" s="115">
        <v>-1.9632207235631961E-2</v>
      </c>
      <c r="F213" s="30">
        <f>INDEX(A213:D221,,F210)</f>
        <v>-0.14256829065069448</v>
      </c>
      <c r="G213" s="26">
        <f>INDEX(A211:D219,,G210)</f>
        <v>8.1282971267036597E-2</v>
      </c>
      <c r="I213" s="30">
        <f t="shared" si="73"/>
        <v>1.3718796081063004E-2</v>
      </c>
      <c r="J213">
        <f t="shared" si="74"/>
        <v>-2.3176748545101843E-2</v>
      </c>
      <c r="K213">
        <f t="shared" si="75"/>
        <v>-3.4895630720909072E-4</v>
      </c>
      <c r="L213" s="26">
        <f t="shared" si="72"/>
        <v>-3.1795708711232582E-4</v>
      </c>
      <c r="N213" t="s">
        <v>256</v>
      </c>
      <c r="O213" s="53">
        <f>0.25*ATAN(O211/O212)</f>
        <v>-2.5870956049625516E-3</v>
      </c>
      <c r="Q213" s="30">
        <v>-0.14277810012478348</v>
      </c>
      <c r="R213" s="26">
        <v>8.0913861864430267E-2</v>
      </c>
    </row>
    <row r="214" spans="1:18" x14ac:dyDescent="0.35">
      <c r="A214" s="113">
        <v>-0.10439127324314758</v>
      </c>
      <c r="B214" s="114">
        <v>4.6502630735685783E-3</v>
      </c>
      <c r="C214" s="114">
        <v>9.0981424242711828E-2</v>
      </c>
      <c r="D214" s="115">
        <v>-0.99035509670359589</v>
      </c>
      <c r="F214" s="30">
        <f>INDEX(A214:D222,,F210)</f>
        <v>4.6502630735685783E-3</v>
      </c>
      <c r="G214" s="26">
        <f>INDEX(A211:D219,,G210)</f>
        <v>9.0981424242711828E-2</v>
      </c>
      <c r="I214" s="30">
        <f t="shared" si="73"/>
        <v>-8.2559946105789164E-3</v>
      </c>
      <c r="J214">
        <f t="shared" si="74"/>
        <v>8.4617511507311977E-4</v>
      </c>
      <c r="K214">
        <f t="shared" si="75"/>
        <v>6.7445434684539112E-5</v>
      </c>
      <c r="L214" s="26">
        <f t="shared" si="72"/>
        <v>-6.986017189649671E-6</v>
      </c>
      <c r="Q214" s="30">
        <v>4.4148701310984606E-3</v>
      </c>
      <c r="R214" s="26">
        <v>9.0993150432388273E-2</v>
      </c>
    </row>
    <row r="215" spans="1:18" x14ac:dyDescent="0.35">
      <c r="A215" s="113">
        <v>-0.40020898494739149</v>
      </c>
      <c r="B215" s="114">
        <v>0.10326527470484403</v>
      </c>
      <c r="C215" s="114">
        <v>0.87691735123585535</v>
      </c>
      <c r="D215" s="115">
        <v>-0.24532633472377774</v>
      </c>
      <c r="F215" s="30">
        <f>INDEX(A215:D223,,F210)</f>
        <v>0.10326527470484403</v>
      </c>
      <c r="G215" s="26">
        <f>INDEX(A211:D219,,G210)</f>
        <v>0.87691735123585535</v>
      </c>
      <c r="I215" s="30">
        <f t="shared" si="73"/>
        <v>-0.75832032393864157</v>
      </c>
      <c r="J215">
        <f t="shared" si="74"/>
        <v>0.18111022233762961</v>
      </c>
      <c r="K215">
        <f t="shared" si="75"/>
        <v>0.54224880106322071</v>
      </c>
      <c r="L215" s="26">
        <f t="shared" si="72"/>
        <v>-0.13733956247167067</v>
      </c>
      <c r="N215" s="94">
        <f>COS(O213)</f>
        <v>0.99999665347003197</v>
      </c>
      <c r="O215" s="96">
        <f>-N216</f>
        <v>2.5870927190309169E-3</v>
      </c>
      <c r="Q215" s="30">
        <v>0.10099626262993341</v>
      </c>
      <c r="R215" s="26">
        <v>0.87718157344597758</v>
      </c>
    </row>
    <row r="216" spans="1:18" x14ac:dyDescent="0.35">
      <c r="A216" s="113">
        <v>1.4737647495743492E-3</v>
      </c>
      <c r="B216" s="114">
        <v>-2.1943699801153661E-2</v>
      </c>
      <c r="C216" s="114">
        <v>0.99728942823425992</v>
      </c>
      <c r="D216" s="115">
        <v>7.0214659357452885E-2</v>
      </c>
      <c r="F216" s="30">
        <f>INDEX(A216:D224,,F210)</f>
        <v>-2.1943699801153661E-2</v>
      </c>
      <c r="G216" s="26">
        <f>INDEX(A211:D219,,G210)</f>
        <v>0.99728942823425992</v>
      </c>
      <c r="I216" s="30">
        <f t="shared" si="73"/>
        <v>-0.99410467770685385</v>
      </c>
      <c r="J216">
        <f t="shared" si="74"/>
        <v>-4.3768439656073556E-2</v>
      </c>
      <c r="K216">
        <f t="shared" si="75"/>
        <v>0.98632843392872038</v>
      </c>
      <c r="L216" s="26">
        <f t="shared" si="72"/>
        <v>4.3510410598032886E-2</v>
      </c>
      <c r="N216" s="27">
        <f>SIN(O213)</f>
        <v>-2.5870927190309169E-3</v>
      </c>
      <c r="O216" s="29">
        <f>N215</f>
        <v>0.99999665347003197</v>
      </c>
      <c r="Q216" s="30">
        <v>-2.4523706584456028E-2</v>
      </c>
      <c r="R216" s="26">
        <v>0.99722932038931733</v>
      </c>
    </row>
    <row r="217" spans="1:18" x14ac:dyDescent="0.35">
      <c r="A217" s="113">
        <v>-0.97714529350576684</v>
      </c>
      <c r="B217" s="114">
        <v>-1.6257173129453385E-3</v>
      </c>
      <c r="C217" s="114">
        <v>0.13728746408611794</v>
      </c>
      <c r="D217" s="115">
        <v>-0.16228550344239073</v>
      </c>
      <c r="F217" s="30">
        <f>INDEX(A217:D225,,F210)</f>
        <v>-1.6257173129453385E-3</v>
      </c>
      <c r="G217" s="26">
        <f>INDEX(A211:D219,,G210)</f>
        <v>0.13728746408611794</v>
      </c>
      <c r="I217" s="30">
        <f t="shared" si="73"/>
        <v>-1.8845204838415515E-2</v>
      </c>
      <c r="J217">
        <f t="shared" si="74"/>
        <v>-4.4638121443032667E-4</v>
      </c>
      <c r="K217">
        <f t="shared" si="75"/>
        <v>3.5494248921324323E-4</v>
      </c>
      <c r="L217" s="26">
        <f t="shared" si="72"/>
        <v>8.4121454219601862E-6</v>
      </c>
      <c r="Q217" s="30">
        <v>-1.9808872711850455E-3</v>
      </c>
      <c r="R217" s="26">
        <v>0.13728279876808161</v>
      </c>
    </row>
    <row r="218" spans="1:18" x14ac:dyDescent="0.35">
      <c r="A218" s="113">
        <v>-0.72032309775363834</v>
      </c>
      <c r="B218" s="114">
        <v>0.20467747609658576</v>
      </c>
      <c r="C218" s="114">
        <v>0.55027749837169471</v>
      </c>
      <c r="D218" s="115">
        <v>-0.36937303692489992</v>
      </c>
      <c r="F218" s="30">
        <f>INDEX(A218:D226,,F210)</f>
        <v>0.20467747609658576</v>
      </c>
      <c r="G218" s="26">
        <f>INDEX(A211:D219,,G210)</f>
        <v>0.55027749837169471</v>
      </c>
      <c r="I218" s="30">
        <f t="shared" si="73"/>
        <v>-0.26091245599294205</v>
      </c>
      <c r="J218">
        <f t="shared" si="74"/>
        <v>0.22525881903892311</v>
      </c>
      <c r="K218">
        <f t="shared" si="75"/>
        <v>1.733377413745861E-2</v>
      </c>
      <c r="L218" s="26">
        <f t="shared" si="72"/>
        <v>-5.8772831709515125E-2</v>
      </c>
      <c r="Q218" s="30">
        <v>0.20325317222779427</v>
      </c>
      <c r="R218" s="26">
        <v>0.55080517645971472</v>
      </c>
    </row>
    <row r="219" spans="1:18" x14ac:dyDescent="0.35">
      <c r="A219" s="116">
        <v>-0.1035222855571008</v>
      </c>
      <c r="B219" s="117">
        <v>0.92549459395502476</v>
      </c>
      <c r="C219" s="117">
        <v>-0.20276060197415788</v>
      </c>
      <c r="D219" s="118">
        <v>-0.30270617971910485</v>
      </c>
      <c r="F219" s="27">
        <f>INDEX(A219:D227,,F210)</f>
        <v>0.92549459395502476</v>
      </c>
      <c r="G219" s="29">
        <f>INDEX(A211:D219,,G210)</f>
        <v>-0.20276060197415788</v>
      </c>
      <c r="I219" s="27">
        <f t="shared" si="73"/>
        <v>0.81542838172705323</v>
      </c>
      <c r="J219" s="28">
        <f t="shared" si="74"/>
        <v>-0.37530768198829928</v>
      </c>
      <c r="K219" s="28">
        <f t="shared" si="75"/>
        <v>0.5240675895665704</v>
      </c>
      <c r="L219" s="29">
        <f t="shared" si="72"/>
        <v>-0.30603653577345041</v>
      </c>
      <c r="Q219" s="27">
        <v>0.92601605723670455</v>
      </c>
      <c r="R219" s="29">
        <v>-0.20036558310420352</v>
      </c>
    </row>
    <row r="220" spans="1:18" x14ac:dyDescent="0.35">
      <c r="I220">
        <f>SUM(I211:I219)</f>
        <v>-0.20020596979392125</v>
      </c>
      <c r="J220">
        <f>SUM(J211:J219)</f>
        <v>0.63724883372798091</v>
      </c>
      <c r="K220">
        <f>SUM(K211:K219)</f>
        <v>2.2672362779254165</v>
      </c>
      <c r="L220">
        <f>SUM(L211:L219)</f>
        <v>-2.6117628485481159E-2</v>
      </c>
    </row>
    <row r="221" spans="1:18" x14ac:dyDescent="0.35">
      <c r="A221" s="12" t="s">
        <v>2</v>
      </c>
      <c r="B221">
        <f>COUNT(A211:A219)</f>
        <v>9</v>
      </c>
      <c r="I221" s="12" t="s">
        <v>16</v>
      </c>
      <c r="J221" s="12" t="s">
        <v>258</v>
      </c>
      <c r="K221" s="12" t="s">
        <v>18</v>
      </c>
      <c r="L221" s="12" t="s">
        <v>19</v>
      </c>
      <c r="N221" s="12"/>
    </row>
    <row r="223" spans="1:18" x14ac:dyDescent="0.3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12" t="s">
        <v>251</v>
      </c>
      <c r="J223" s="12" t="s">
        <v>252</v>
      </c>
      <c r="K223" s="12" t="s">
        <v>253</v>
      </c>
      <c r="L223" s="12" t="s">
        <v>254</v>
      </c>
      <c r="Q223">
        <f>F223</f>
        <v>2</v>
      </c>
      <c r="R223">
        <f>G223</f>
        <v>4</v>
      </c>
    </row>
    <row r="224" spans="1:18" x14ac:dyDescent="0.35">
      <c r="A224" s="110">
        <f t="array" ref="A224:A232">IF(A223=$Q210,$Q211:$Q219,IF(A223=$R210,$R211:$R219,A211:A219))</f>
        <v>-9.0908371308588851E-2</v>
      </c>
      <c r="B224" s="111">
        <f t="array" ref="B224:B232">IF(B223=$Q210,$Q211:$Q219,IF(B223=$R210,$R211:$R219,B211:B219))</f>
        <v>-0.88964885681874684</v>
      </c>
      <c r="C224" s="111">
        <f t="array" ref="C224:C232">IF(C223=$Q210,$Q211:$Q219,IF(C223=$R210,$R211:$R219,C211:C219))</f>
        <v>-0.34307623254692915</v>
      </c>
      <c r="D224" s="112">
        <f t="array" ref="D224:D232">IF(D223=$Q210,$Q211:$Q219,IF(D223=$R210,$R211:$R219,D211:D219))</f>
        <v>-0.28733130398291556</v>
      </c>
      <c r="F224" s="94">
        <f>INDEX(A224:D232,,F223)</f>
        <v>-0.88964885681874684</v>
      </c>
      <c r="G224" s="96">
        <f>INDEX(A224:D232,,G223)</f>
        <v>-0.28733130398291556</v>
      </c>
      <c r="I224" s="94">
        <f>F224^2-G224^2</f>
        <v>0.70891581019038052</v>
      </c>
      <c r="J224" s="95">
        <f>2*F224*G224</f>
        <v>0.51124793223328135</v>
      </c>
      <c r="K224" s="95">
        <f>I224^2-J224^2</f>
        <v>0.24118717772507781</v>
      </c>
      <c r="L224" s="96">
        <f t="shared" ref="L224:L232" si="76">I224*J224</f>
        <v>0.36243174208731344</v>
      </c>
      <c r="N224" t="s">
        <v>12</v>
      </c>
      <c r="O224" s="51">
        <f>2*L233*B234-2*I233*J233</f>
        <v>-3.7157723623875788E-2</v>
      </c>
      <c r="Q224" s="94">
        <f t="array" ref="Q224:R232">MMULT(F224:G232,N228:O229)</f>
        <v>-0.88945362981753651</v>
      </c>
      <c r="R224" s="96">
        <v>-0.28793507443837829</v>
      </c>
    </row>
    <row r="225" spans="1:18" x14ac:dyDescent="0.35">
      <c r="A225" s="113">
        <v>-0.80918528682237989</v>
      </c>
      <c r="B225" s="114">
        <v>0.58068704883773237</v>
      </c>
      <c r="C225" s="114">
        <v>5.8138573734192754E-2</v>
      </c>
      <c r="D225" s="115">
        <v>6.8129502761006377E-2</v>
      </c>
      <c r="F225" s="30">
        <f>INDEX(A225:D233,,F223)</f>
        <v>0.58068704883773237</v>
      </c>
      <c r="G225" s="26">
        <f>INDEX(A224:D232,,G223)</f>
        <v>6.8129502761006377E-2</v>
      </c>
      <c r="I225" s="30">
        <f t="shared" ref="I225:I232" si="77">F225^2-G225^2</f>
        <v>0.332555819541413</v>
      </c>
      <c r="J225">
        <f t="shared" ref="J225:J232" si="78">2*F225*G225</f>
        <v>7.9123839794141865E-2</v>
      </c>
      <c r="K225">
        <f t="shared" ref="K225:K232" si="79">I225^2-J225^2</f>
        <v>0.10433279108709181</v>
      </c>
      <c r="L225" s="26">
        <f t="shared" si="76"/>
        <v>2.6313093388004315E-2</v>
      </c>
      <c r="N225" t="s">
        <v>255</v>
      </c>
      <c r="O225" s="52">
        <f>K233*B234-(I233^2-J233^2)</f>
        <v>13.686335181800825</v>
      </c>
      <c r="Q225" s="30">
        <v>0.58064067314047607</v>
      </c>
      <c r="R225" s="26">
        <v>6.8523620229171994E-2</v>
      </c>
    </row>
    <row r="226" spans="1:18" x14ac:dyDescent="0.35">
      <c r="A226" s="113">
        <v>-0.98624638783723761</v>
      </c>
      <c r="B226" s="114">
        <v>-0.14277810012478348</v>
      </c>
      <c r="C226" s="114">
        <v>8.0913861864430267E-2</v>
      </c>
      <c r="D226" s="115">
        <v>-1.9632207235631961E-2</v>
      </c>
      <c r="F226" s="30">
        <f>INDEX(A226:D234,,F223)</f>
        <v>-0.14277810012478348</v>
      </c>
      <c r="G226" s="26">
        <f>INDEX(A224:D232,,G223)</f>
        <v>-1.9632207235631961E-2</v>
      </c>
      <c r="I226" s="30">
        <f t="shared" si="77"/>
        <v>2.0000162314299897E-2</v>
      </c>
      <c r="J226">
        <f t="shared" si="78"/>
        <v>5.6060985007191175E-3</v>
      </c>
      <c r="K226">
        <f t="shared" si="79"/>
        <v>3.6857815219857665E-4</v>
      </c>
      <c r="L226" s="26">
        <f t="shared" si="76"/>
        <v>1.1212287996433565E-4</v>
      </c>
      <c r="N226" t="s">
        <v>256</v>
      </c>
      <c r="O226" s="53">
        <f>0.25*ATAN(O224/O225)</f>
        <v>-6.7873597706600316E-4</v>
      </c>
      <c r="Q226" s="30">
        <v>-0.14276474215275986</v>
      </c>
      <c r="R226" s="26">
        <v>-1.9729111339375858E-2</v>
      </c>
    </row>
    <row r="227" spans="1:18" x14ac:dyDescent="0.35">
      <c r="A227" s="113">
        <v>-0.10439127324314758</v>
      </c>
      <c r="B227" s="114">
        <v>4.4148701310984606E-3</v>
      </c>
      <c r="C227" s="114">
        <v>9.0993150432388273E-2</v>
      </c>
      <c r="D227" s="115">
        <v>-0.99035509670359589</v>
      </c>
      <c r="F227" s="30">
        <f>INDEX(A227:D235,,F223)</f>
        <v>4.4148701310984606E-3</v>
      </c>
      <c r="G227" s="26">
        <f>INDEX(A224:D232,,G223)</f>
        <v>-0.99035509670359589</v>
      </c>
      <c r="I227" s="30">
        <f t="shared" si="77"/>
        <v>-0.98078372648851431</v>
      </c>
      <c r="J227">
        <f t="shared" si="78"/>
        <v>-8.744578271235667E-3</v>
      </c>
      <c r="K227">
        <f t="shared" si="79"/>
        <v>0.96186025049555501</v>
      </c>
      <c r="L227" s="26">
        <f t="shared" si="76"/>
        <v>8.5765400634330077E-3</v>
      </c>
      <c r="Q227" s="30">
        <v>5.0870586967641457E-3</v>
      </c>
      <c r="R227" s="26">
        <v>-0.99035187205299857</v>
      </c>
    </row>
    <row r="228" spans="1:18" x14ac:dyDescent="0.35">
      <c r="A228" s="113">
        <v>-0.40020898494739149</v>
      </c>
      <c r="B228" s="114">
        <v>0.10099626262993341</v>
      </c>
      <c r="C228" s="114">
        <v>0.87718157344597758</v>
      </c>
      <c r="D228" s="115">
        <v>-0.24532633472377774</v>
      </c>
      <c r="F228" s="30">
        <f>INDEX(A228:D236,,F223)</f>
        <v>0.10099626262993341</v>
      </c>
      <c r="G228" s="26">
        <f>INDEX(A224:D232,,G223)</f>
        <v>-0.24532633472377774</v>
      </c>
      <c r="I228" s="30">
        <f t="shared" si="77"/>
        <v>-4.9984765443788555E-2</v>
      </c>
      <c r="J228">
        <f t="shared" si="78"/>
        <v>-4.9554085863603221E-2</v>
      </c>
      <c r="K228">
        <f t="shared" si="79"/>
        <v>4.2869350693197639E-5</v>
      </c>
      <c r="L228" s="26">
        <f t="shared" si="76"/>
        <v>2.4769493586735652E-3</v>
      </c>
      <c r="N228" s="94">
        <f>COS(O226)</f>
        <v>0.9999997696587456</v>
      </c>
      <c r="O228" s="96">
        <f>-N229</f>
        <v>6.787359249523702E-4</v>
      </c>
      <c r="Q228" s="30">
        <v>0.10116275116304151</v>
      </c>
      <c r="R228" s="26">
        <v>-0.24525772842326921</v>
      </c>
    </row>
    <row r="229" spans="1:18" x14ac:dyDescent="0.35">
      <c r="A229" s="113">
        <v>1.4737647495743492E-3</v>
      </c>
      <c r="B229" s="114">
        <v>-2.4523706584456028E-2</v>
      </c>
      <c r="C229" s="114">
        <v>0.99722932038931733</v>
      </c>
      <c r="D229" s="115">
        <v>7.0214659357452885E-2</v>
      </c>
      <c r="F229" s="30">
        <f>INDEX(A229:D237,,F223)</f>
        <v>-2.4523706584456028E-2</v>
      </c>
      <c r="G229" s="26">
        <f>INDEX(A224:D232,,G223)</f>
        <v>7.0214659357452885E-2</v>
      </c>
      <c r="I229" s="30">
        <f t="shared" si="77"/>
        <v>-4.3286862040426543E-3</v>
      </c>
      <c r="J229">
        <f t="shared" si="78"/>
        <v>-3.4438474080194089E-3</v>
      </c>
      <c r="K229">
        <f t="shared" si="79"/>
        <v>6.8774392833472012E-6</v>
      </c>
      <c r="L229" s="26">
        <f t="shared" si="76"/>
        <v>1.490733476392167E-5</v>
      </c>
      <c r="N229" s="27">
        <f>SIN(O226)</f>
        <v>-6.787359249523702E-4</v>
      </c>
      <c r="O229" s="29">
        <f>N228</f>
        <v>0.9999997696587456</v>
      </c>
      <c r="Q229" s="30">
        <v>-2.4571358147398886E-2</v>
      </c>
      <c r="R229" s="26">
        <v>7.0197998063448314E-2</v>
      </c>
    </row>
    <row r="230" spans="1:18" x14ac:dyDescent="0.35">
      <c r="A230" s="113">
        <v>-0.97714529350576684</v>
      </c>
      <c r="B230" s="114">
        <v>-1.9808872711850455E-3</v>
      </c>
      <c r="C230" s="114">
        <v>0.13728279876808161</v>
      </c>
      <c r="D230" s="115">
        <v>-0.16228550344239073</v>
      </c>
      <c r="F230" s="30">
        <f>INDEX(A230:D238,,F223)</f>
        <v>-1.9808872711850455E-3</v>
      </c>
      <c r="G230" s="26">
        <f>INDEX(A224:D232,,G223)</f>
        <v>-0.16228550344239073</v>
      </c>
      <c r="I230" s="30">
        <f t="shared" si="77"/>
        <v>-2.633266071316907E-2</v>
      </c>
      <c r="J230">
        <f t="shared" si="78"/>
        <v>6.4293857613377742E-4</v>
      </c>
      <c r="K230">
        <f t="shared" si="79"/>
        <v>6.9299565022219679E-4</v>
      </c>
      <c r="L230" s="26">
        <f t="shared" si="76"/>
        <v>-1.6930283384738783E-5</v>
      </c>
      <c r="Q230" s="30">
        <v>-1.8707378136196544E-3</v>
      </c>
      <c r="R230" s="26">
        <v>-0.16228681056069855</v>
      </c>
    </row>
    <row r="231" spans="1:18" x14ac:dyDescent="0.35">
      <c r="A231" s="113">
        <v>-0.72032309775363834</v>
      </c>
      <c r="B231" s="114">
        <v>0.20325317222779427</v>
      </c>
      <c r="C231" s="114">
        <v>0.55080517645971472</v>
      </c>
      <c r="D231" s="115">
        <v>-0.36937303692489992</v>
      </c>
      <c r="F231" s="30">
        <f>INDEX(A231:D239,,F223)</f>
        <v>0.20325317222779427</v>
      </c>
      <c r="G231" s="26">
        <f>INDEX(A224:D232,,G223)</f>
        <v>-0.36937303692489992</v>
      </c>
      <c r="I231" s="30">
        <f t="shared" si="77"/>
        <v>-9.5124588386462094E-2</v>
      </c>
      <c r="J231">
        <f t="shared" si="78"/>
        <v>-0.15015248298080019</v>
      </c>
      <c r="K231">
        <f t="shared" si="79"/>
        <v>-1.3497080829605653E-2</v>
      </c>
      <c r="L231" s="26">
        <f t="shared" si="76"/>
        <v>1.4283193138753874E-2</v>
      </c>
      <c r="Q231" s="30">
        <v>0.20350383216007328</v>
      </c>
      <c r="R231" s="26">
        <v>-0.3692349966131997</v>
      </c>
    </row>
    <row r="232" spans="1:18" x14ac:dyDescent="0.35">
      <c r="A232" s="116">
        <v>-0.1035222855571008</v>
      </c>
      <c r="B232" s="117">
        <v>0.92601605723670455</v>
      </c>
      <c r="C232" s="117">
        <v>-0.20036558310420352</v>
      </c>
      <c r="D232" s="118">
        <v>-0.30270617971910485</v>
      </c>
      <c r="F232" s="27">
        <f>INDEX(A232:D240,,F223)</f>
        <v>0.92601605723670455</v>
      </c>
      <c r="G232" s="29">
        <f>INDEX(A224:D232,,G223)</f>
        <v>-0.30270617971910485</v>
      </c>
      <c r="I232" s="27">
        <f t="shared" si="77"/>
        <v>0.76587470702007665</v>
      </c>
      <c r="J232" s="28">
        <f t="shared" si="78"/>
        <v>-0.56062156608934155</v>
      </c>
      <c r="K232" s="28">
        <f t="shared" si="79"/>
        <v>0.27226752648862229</v>
      </c>
      <c r="L232" s="29">
        <f t="shared" si="76"/>
        <v>-0.42936587767781098</v>
      </c>
      <c r="Q232" s="27">
        <v>0.92622130149588477</v>
      </c>
      <c r="R232" s="29">
        <v>-0.30207758962825443</v>
      </c>
    </row>
    <row r="233" spans="1:18" x14ac:dyDescent="0.35">
      <c r="I233">
        <f>SUM(I224:I232)</f>
        <v>0.67079207183019318</v>
      </c>
      <c r="J233">
        <f>SUM(J224:J232)</f>
        <v>-0.17589575150872394</v>
      </c>
      <c r="K233">
        <f>SUM(K224:K232)</f>
        <v>1.5672619855591388</v>
      </c>
      <c r="L233">
        <f>SUM(L224:L232)</f>
        <v>-1.5174259710289295E-2</v>
      </c>
    </row>
    <row r="234" spans="1:18" x14ac:dyDescent="0.35">
      <c r="A234" s="12" t="s">
        <v>2</v>
      </c>
      <c r="B234">
        <f>COUNT(A224:A232)</f>
        <v>9</v>
      </c>
      <c r="I234" s="12" t="s">
        <v>16</v>
      </c>
      <c r="J234" s="12" t="s">
        <v>258</v>
      </c>
      <c r="K234" s="12" t="s">
        <v>18</v>
      </c>
      <c r="L234" s="12" t="s">
        <v>19</v>
      </c>
      <c r="N234" s="12"/>
    </row>
    <row r="236" spans="1:18" x14ac:dyDescent="0.3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12" t="s">
        <v>251</v>
      </c>
      <c r="J236" s="12" t="s">
        <v>252</v>
      </c>
      <c r="K236" s="12" t="s">
        <v>253</v>
      </c>
      <c r="L236" s="12" t="s">
        <v>254</v>
      </c>
      <c r="Q236">
        <f>F236</f>
        <v>3</v>
      </c>
      <c r="R236">
        <f>G236</f>
        <v>4</v>
      </c>
    </row>
    <row r="237" spans="1:18" x14ac:dyDescent="0.35">
      <c r="A237" s="110">
        <f t="array" ref="A237:A245">IF(A236=$Q223,$Q224:$Q232,IF(A236=$R223,$R224:$R232,A224:A232))</f>
        <v>-9.0908371308588851E-2</v>
      </c>
      <c r="B237" s="111">
        <f t="array" ref="B237:B245">IF(B236=$Q223,$Q224:$Q232,IF(B236=$R223,$R224:$R232,B224:B232))</f>
        <v>-0.88945362981753651</v>
      </c>
      <c r="C237" s="111">
        <f t="array" ref="C237:C245">IF(C236=$Q223,$Q224:$Q232,IF(C236=$R223,$R224:$R232,C224:C232))</f>
        <v>-0.34307623254692915</v>
      </c>
      <c r="D237" s="112">
        <f t="array" ref="D237:D245">IF(D236=$Q223,$Q224:$Q232,IF(D236=$R223,$R224:$R232,D224:D232))</f>
        <v>-0.28793507443837829</v>
      </c>
      <c r="F237" s="94">
        <f>INDEX(A237:D245,,F236)</f>
        <v>-0.34307623254692915</v>
      </c>
      <c r="G237" s="96">
        <f>INDEX(A237:D245,,G236)</f>
        <v>-0.28793507443837829</v>
      </c>
      <c r="I237" s="94">
        <f>F237^2-G237^2</f>
        <v>3.4794694246760155E-2</v>
      </c>
      <c r="J237" s="95">
        <f>2*F237*G237</f>
        <v>0.19756736111287684</v>
      </c>
      <c r="K237" s="95">
        <f>I237^2-J237^2</f>
        <v>-3.7822191429380356E-2</v>
      </c>
      <c r="L237" s="96">
        <f t="shared" ref="L237:L245" si="80">I237*J237</f>
        <v>6.8742959230618022E-3</v>
      </c>
      <c r="N237" t="s">
        <v>12</v>
      </c>
      <c r="O237" s="51">
        <f>2*L246*B247-2*I246*J246</f>
        <v>-3.3758498918383673E-3</v>
      </c>
      <c r="Q237" s="94">
        <f t="array" ref="Q237:R245">MMULT(F237:G245,N241:O242)</f>
        <v>-0.34306243038815359</v>
      </c>
      <c r="R237" s="96">
        <v>-0.28795151898644733</v>
      </c>
    </row>
    <row r="238" spans="1:18" x14ac:dyDescent="0.35">
      <c r="A238" s="113">
        <v>-0.80918528682237989</v>
      </c>
      <c r="B238" s="114">
        <v>0.58064067314047607</v>
      </c>
      <c r="C238" s="114">
        <v>5.8138573734192754E-2</v>
      </c>
      <c r="D238" s="115">
        <v>6.8523620229171994E-2</v>
      </c>
      <c r="F238" s="30">
        <f>INDEX(A238:D246,,F236)</f>
        <v>5.8138573734192754E-2</v>
      </c>
      <c r="G238" s="26">
        <f>INDEX(A237:D245,,G236)</f>
        <v>6.8523620229171994E-2</v>
      </c>
      <c r="I238" s="30">
        <f t="shared" ref="I238:I245" si="81">F238^2-G238^2</f>
        <v>-1.3153927734656217E-3</v>
      </c>
      <c r="J238">
        <f t="shared" ref="J238:J245" si="82">2*F238*G238</f>
        <v>7.9677310944550762E-3</v>
      </c>
      <c r="K238">
        <f t="shared" ref="K238:K245" si="83">I238^2-J238^2</f>
        <v>-6.1754480645060704E-5</v>
      </c>
      <c r="L238" s="26">
        <f t="shared" si="80"/>
        <v>-1.0480695902563535E-5</v>
      </c>
      <c r="N238" t="s">
        <v>255</v>
      </c>
      <c r="O238" s="52">
        <f>K246*B247-(I246^2-J246^2)</f>
        <v>17.606907570463719</v>
      </c>
      <c r="Q238" s="30">
        <v>5.8135289083609105E-2</v>
      </c>
      <c r="R238" s="26">
        <v>6.8526406941580978E-2</v>
      </c>
    </row>
    <row r="239" spans="1:18" x14ac:dyDescent="0.35">
      <c r="A239" s="113">
        <v>-0.98624638783723761</v>
      </c>
      <c r="B239" s="114">
        <v>-0.14276474215275986</v>
      </c>
      <c r="C239" s="114">
        <v>8.0913861864430267E-2</v>
      </c>
      <c r="D239" s="115">
        <v>-1.9729111339375858E-2</v>
      </c>
      <c r="F239" s="30">
        <f>INDEX(A239:D247,,F236)</f>
        <v>8.0913861864430267E-2</v>
      </c>
      <c r="G239" s="26">
        <f>INDEX(A237:D245,,G236)</f>
        <v>-1.9729111339375858E-2</v>
      </c>
      <c r="I239" s="30">
        <f t="shared" si="81"/>
        <v>6.1578152075746134E-3</v>
      </c>
      <c r="J239">
        <f t="shared" si="82"/>
        <v>-3.192717179244446E-3</v>
      </c>
      <c r="K239">
        <f t="shared" si="83"/>
        <v>2.7725245143994571E-5</v>
      </c>
      <c r="L239" s="26">
        <f t="shared" si="80"/>
        <v>-1.9660162399836171E-5</v>
      </c>
      <c r="N239" t="s">
        <v>256</v>
      </c>
      <c r="O239" s="53">
        <f>0.25*ATAN(O237/O238)</f>
        <v>-4.7933599880619208E-5</v>
      </c>
      <c r="Q239" s="30">
        <v>8.0914807458803792E-2</v>
      </c>
      <c r="R239" s="26">
        <v>-1.9725232824032837E-2</v>
      </c>
    </row>
    <row r="240" spans="1:18" x14ac:dyDescent="0.35">
      <c r="A240" s="113">
        <v>-0.10439127324314758</v>
      </c>
      <c r="B240" s="114">
        <v>5.0870586967641457E-3</v>
      </c>
      <c r="C240" s="114">
        <v>9.0993150432388273E-2</v>
      </c>
      <c r="D240" s="115">
        <v>-0.99035187205299857</v>
      </c>
      <c r="F240" s="30">
        <f>INDEX(A240:D248,,F236)</f>
        <v>9.0993150432388273E-2</v>
      </c>
      <c r="G240" s="26">
        <f>INDEX(A237:D245,,G236)</f>
        <v>-0.99035187205299857</v>
      </c>
      <c r="I240" s="30">
        <f t="shared" si="81"/>
        <v>-0.97251707705326762</v>
      </c>
      <c r="J240">
        <f t="shared" si="82"/>
        <v>-0.18023047374943169</v>
      </c>
      <c r="K240">
        <f t="shared" si="83"/>
        <v>0.91330644149228679</v>
      </c>
      <c r="L240" s="26">
        <f t="shared" si="80"/>
        <v>0.17527721352672299</v>
      </c>
      <c r="Q240" s="30">
        <v>9.1040621458211804E-2</v>
      </c>
      <c r="R240" s="26">
        <v>-0.99034750928600446</v>
      </c>
    </row>
    <row r="241" spans="1:18" x14ac:dyDescent="0.35">
      <c r="A241" s="113">
        <v>-0.40020898494739149</v>
      </c>
      <c r="B241" s="114">
        <v>0.10116275116304151</v>
      </c>
      <c r="C241" s="114">
        <v>0.87718157344597758</v>
      </c>
      <c r="D241" s="115">
        <v>-0.24525772842326921</v>
      </c>
      <c r="F241" s="30">
        <f>INDEX(A241:D249,,F236)</f>
        <v>0.87718157344597758</v>
      </c>
      <c r="G241" s="26">
        <f>INDEX(A237:D245,,G236)</f>
        <v>-0.24525772842326921</v>
      </c>
      <c r="I241" s="30">
        <f t="shared" si="81"/>
        <v>0.7092961594418189</v>
      </c>
      <c r="J241">
        <f t="shared" si="82"/>
        <v>-0.43027112023621911</v>
      </c>
      <c r="K241">
        <f t="shared" si="83"/>
        <v>0.31796780488958321</v>
      </c>
      <c r="L241" s="26">
        <f t="shared" si="80"/>
        <v>-0.3051896531022793</v>
      </c>
      <c r="N241" s="94">
        <f>COS(O239)</f>
        <v>0.99999999885118496</v>
      </c>
      <c r="O241" s="96">
        <f>-N242</f>
        <v>4.7933599862263598E-5</v>
      </c>
      <c r="Q241" s="30">
        <v>0.87719332852407561</v>
      </c>
      <c r="R241" s="26">
        <v>-0.24521568167096533</v>
      </c>
    </row>
    <row r="242" spans="1:18" x14ac:dyDescent="0.35">
      <c r="A242" s="113">
        <v>1.4737647495743492E-3</v>
      </c>
      <c r="B242" s="114">
        <v>-2.4571358147398886E-2</v>
      </c>
      <c r="C242" s="114">
        <v>0.99722932038931733</v>
      </c>
      <c r="D242" s="115">
        <v>7.0197998063448314E-2</v>
      </c>
      <c r="F242" s="30">
        <f>INDEX(A242:D250,,F236)</f>
        <v>0.99722932038931733</v>
      </c>
      <c r="G242" s="26">
        <f>INDEX(A237:D245,,G236)</f>
        <v>7.0197998063448314E-2</v>
      </c>
      <c r="I242" s="30">
        <f t="shared" si="81"/>
        <v>0.98953855851202377</v>
      </c>
      <c r="J242">
        <f t="shared" si="82"/>
        <v>0.14000700380300635</v>
      </c>
      <c r="K242">
        <f t="shared" si="83"/>
        <v>0.95958459766815885</v>
      </c>
      <c r="L242" s="26">
        <f t="shared" si="80"/>
        <v>0.13854232872481434</v>
      </c>
      <c r="N242" s="27">
        <f>SIN(O239)</f>
        <v>-4.7933599862263598E-5</v>
      </c>
      <c r="O242" s="29">
        <f>N241</f>
        <v>0.99999999885118496</v>
      </c>
      <c r="Q242" s="30">
        <v>0.99722595440093498</v>
      </c>
      <c r="R242" s="26">
        <v>7.024579877401825E-2</v>
      </c>
    </row>
    <row r="243" spans="1:18" x14ac:dyDescent="0.35">
      <c r="A243" s="113">
        <v>-0.97714529350576684</v>
      </c>
      <c r="B243" s="114">
        <v>-1.8707378136196544E-3</v>
      </c>
      <c r="C243" s="114">
        <v>0.13728279876808161</v>
      </c>
      <c r="D243" s="115">
        <v>-0.16228681056069855</v>
      </c>
      <c r="F243" s="30">
        <f>INDEX(A243:D251,,F236)</f>
        <v>0.13728279876808161</v>
      </c>
      <c r="G243" s="26">
        <f>INDEX(A237:D245,,G236)</f>
        <v>-0.16228681056069855</v>
      </c>
      <c r="I243" s="30">
        <f t="shared" si="81"/>
        <v>-7.4904420443664653E-3</v>
      </c>
      <c r="J243">
        <f t="shared" si="82"/>
        <v>-4.455837511383632E-2</v>
      </c>
      <c r="K243">
        <f t="shared" si="83"/>
        <v>-1.9293420707653349E-3</v>
      </c>
      <c r="L243" s="26">
        <f t="shared" si="80"/>
        <v>3.3376192638133196E-4</v>
      </c>
      <c r="Q243" s="30">
        <v>0.13729057760140942</v>
      </c>
      <c r="R243" s="26">
        <v>-0.16228022991551688</v>
      </c>
    </row>
    <row r="244" spans="1:18" x14ac:dyDescent="0.35">
      <c r="A244" s="113">
        <v>-0.72032309775363834</v>
      </c>
      <c r="B244" s="114">
        <v>0.20350383216007328</v>
      </c>
      <c r="C244" s="114">
        <v>0.55080517645971472</v>
      </c>
      <c r="D244" s="115">
        <v>-0.3692349966131997</v>
      </c>
      <c r="F244" s="30">
        <f>INDEX(A244:D252,,F236)</f>
        <v>0.55080517645971472</v>
      </c>
      <c r="G244" s="26">
        <f>INDEX(A237:D245,,G236)</f>
        <v>-0.3692349966131997</v>
      </c>
      <c r="I244" s="30">
        <f t="shared" si="81"/>
        <v>0.16705185969086789</v>
      </c>
      <c r="J244">
        <f t="shared" si="82"/>
        <v>-0.40675309492927125</v>
      </c>
      <c r="K244">
        <f t="shared" si="83"/>
        <v>-0.13754175640836333</v>
      </c>
      <c r="L244" s="26">
        <f t="shared" si="80"/>
        <v>-6.7948860942950884E-2</v>
      </c>
      <c r="Q244" s="30">
        <v>0.55082287458952428</v>
      </c>
      <c r="R244" s="26">
        <v>-0.36920859411408646</v>
      </c>
    </row>
    <row r="245" spans="1:18" x14ac:dyDescent="0.35">
      <c r="A245" s="116">
        <v>-0.1035222855571008</v>
      </c>
      <c r="B245" s="117">
        <v>0.92622130149588477</v>
      </c>
      <c r="C245" s="117">
        <v>-0.20036558310420352</v>
      </c>
      <c r="D245" s="118">
        <v>-0.30207758962825443</v>
      </c>
      <c r="F245" s="27">
        <f>INDEX(A245:D253,,F236)</f>
        <v>-0.20036558310420352</v>
      </c>
      <c r="G245" s="29">
        <f>INDEX(A237:D245,,G236)</f>
        <v>-0.30207758962825443</v>
      </c>
      <c r="I245" s="27">
        <f t="shared" si="81"/>
        <v>-5.1104503262928598E-2</v>
      </c>
      <c r="J245" s="28">
        <f t="shared" si="82"/>
        <v>0.12105190477715499</v>
      </c>
      <c r="K245" s="28">
        <f t="shared" si="83"/>
        <v>-1.2041893396426721E-2</v>
      </c>
      <c r="L245" s="29">
        <f t="shared" si="80"/>
        <v>-6.1862974626678393E-3</v>
      </c>
      <c r="Q245" s="27">
        <v>-0.20035110320771193</v>
      </c>
      <c r="R245" s="29">
        <v>-0.30208719352490981</v>
      </c>
    </row>
    <row r="246" spans="1:18" x14ac:dyDescent="0.35">
      <c r="I246">
        <f>SUM(I237:I245)</f>
        <v>0.87441167196501701</v>
      </c>
      <c r="J246">
        <f>SUM(J237:J245)</f>
        <v>-0.59841178042050958</v>
      </c>
      <c r="K246">
        <f>SUM(K237:K245)</f>
        <v>2.0014896315095925</v>
      </c>
      <c r="L246">
        <f>SUM(L237:L245)</f>
        <v>-5.8327352265219956E-2</v>
      </c>
    </row>
    <row r="247" spans="1:18" x14ac:dyDescent="0.35">
      <c r="A247" s="12" t="s">
        <v>2</v>
      </c>
      <c r="B247">
        <f>COUNT(A237:A245)</f>
        <v>9</v>
      </c>
      <c r="I247" s="12" t="s">
        <v>16</v>
      </c>
      <c r="J247" s="12" t="s">
        <v>258</v>
      </c>
      <c r="K247" s="12" t="s">
        <v>18</v>
      </c>
      <c r="L247" s="12" t="s">
        <v>19</v>
      </c>
      <c r="N247" s="12"/>
    </row>
    <row r="249" spans="1:18" x14ac:dyDescent="0.3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12" t="s">
        <v>251</v>
      </c>
      <c r="J249" s="12" t="s">
        <v>252</v>
      </c>
      <c r="K249" s="12" t="s">
        <v>253</v>
      </c>
      <c r="L249" s="12" t="s">
        <v>254</v>
      </c>
      <c r="Q249">
        <f>F249</f>
        <v>1</v>
      </c>
      <c r="R249">
        <f>G249</f>
        <v>2</v>
      </c>
    </row>
    <row r="250" spans="1:18" x14ac:dyDescent="0.35">
      <c r="A250" s="110">
        <f t="array" ref="A250:A258">IF(A249=$Q236,$Q237:$Q245,IF(A249=$R236,$R237:$R245,A237:A245))</f>
        <v>-9.0908371308588851E-2</v>
      </c>
      <c r="B250" s="111">
        <f t="array" ref="B250:B258">IF(B249=$Q236,$Q237:$Q245,IF(B249=$R236,$R237:$R245,B237:B245))</f>
        <v>-0.88945362981753651</v>
      </c>
      <c r="C250" s="111">
        <f t="array" ref="C250:C258">IF(C249=$Q236,$Q237:$Q245,IF(C249=$R236,$R237:$R245,C237:C245))</f>
        <v>-0.34306243038815359</v>
      </c>
      <c r="D250" s="112">
        <f t="array" ref="D250:D258">IF(D249=$Q236,$Q237:$Q245,IF(D249=$R236,$R237:$R245,D237:D245))</f>
        <v>-0.28795151898644733</v>
      </c>
      <c r="F250" s="94">
        <f>INDEX(A250:D258,,F249)</f>
        <v>-9.0908371308588851E-2</v>
      </c>
      <c r="G250" s="96">
        <f>INDEX(A250:D258,,G249)</f>
        <v>-0.88945362981753651</v>
      </c>
      <c r="I250" s="94">
        <f>F250^2-G250^2</f>
        <v>-0.78286342762161099</v>
      </c>
      <c r="J250" s="95">
        <f>2*F250*G250</f>
        <v>0.1617175616824495</v>
      </c>
      <c r="K250" s="95">
        <f>I250^2-J250^2</f>
        <v>0.58672257655094051</v>
      </c>
      <c r="L250" s="96">
        <f t="shared" ref="L250:L258" si="84">I250*J250</f>
        <v>-0.12660276464533171</v>
      </c>
      <c r="N250" t="s">
        <v>12</v>
      </c>
      <c r="O250" s="51">
        <f>2*L259*B260-2*I259*J259</f>
        <v>3.6396639626612437E-2</v>
      </c>
      <c r="Q250" s="94">
        <f t="array" ref="Q250:R258">MMULT(F250:G258,N254:O255)</f>
        <v>-9.1292851231964581E-2</v>
      </c>
      <c r="R250" s="96">
        <v>-0.88941424931440682</v>
      </c>
    </row>
    <row r="251" spans="1:18" x14ac:dyDescent="0.35">
      <c r="A251" s="113">
        <v>-0.80918528682237989</v>
      </c>
      <c r="B251" s="114">
        <v>0.58064067314047607</v>
      </c>
      <c r="C251" s="114">
        <v>5.8135289083609105E-2</v>
      </c>
      <c r="D251" s="115">
        <v>6.8526406941580978E-2</v>
      </c>
      <c r="F251" s="30">
        <f>INDEX(A251:D259,,F249)</f>
        <v>-0.80918528682237989</v>
      </c>
      <c r="G251" s="26">
        <f>INDEX(A250:D258,,G249)</f>
        <v>0.58064067314047607</v>
      </c>
      <c r="I251" s="30">
        <f t="shared" ref="I251:I258" si="85">F251^2-G251^2</f>
        <v>0.31763723710479203</v>
      </c>
      <c r="J251">
        <f t="shared" ref="J251:J258" si="86">2*F251*G251</f>
        <v>-0.93969177927183167</v>
      </c>
      <c r="K251">
        <f t="shared" ref="K251:K258" si="87">I251^2-J251^2</f>
        <v>-0.78212722563549497</v>
      </c>
      <c r="L251" s="26">
        <f t="shared" si="84"/>
        <v>-0.2984811004979907</v>
      </c>
      <c r="N251" t="s">
        <v>255</v>
      </c>
      <c r="O251" s="52">
        <f>K259*B260-(I259^2-J259^2)</f>
        <v>21.049457230267286</v>
      </c>
      <c r="Q251" s="30">
        <v>-0.80893421487104722</v>
      </c>
      <c r="R251" s="26">
        <v>0.58099040932342827</v>
      </c>
    </row>
    <row r="252" spans="1:18" x14ac:dyDescent="0.35">
      <c r="A252" s="113">
        <v>-0.98624638783723761</v>
      </c>
      <c r="B252" s="114">
        <v>-0.14276474215275986</v>
      </c>
      <c r="C252" s="114">
        <v>8.0914807458803792E-2</v>
      </c>
      <c r="D252" s="115">
        <v>-1.9725232824032837E-2</v>
      </c>
      <c r="F252" s="30">
        <f>INDEX(A252:D260,,F249)</f>
        <v>-0.98624638783723761</v>
      </c>
      <c r="G252" s="26">
        <f>INDEX(A250:D258,,G249)</f>
        <v>-0.14276474215275986</v>
      </c>
      <c r="I252" s="30">
        <f t="shared" si="85"/>
        <v>0.95230016592005495</v>
      </c>
      <c r="J252">
        <f t="shared" si="86"/>
        <v>0.28160242251734807</v>
      </c>
      <c r="K252">
        <f t="shared" si="87"/>
        <v>0.82757568164372519</v>
      </c>
      <c r="L252" s="26">
        <f t="shared" si="84"/>
        <v>0.26817003368676001</v>
      </c>
      <c r="N252" t="s">
        <v>256</v>
      </c>
      <c r="O252" s="53">
        <f>0.25*ATAN(O250/O251)</f>
        <v>4.3227484390387545E-4</v>
      </c>
      <c r="Q252" s="30">
        <v>-0.98630800929618634</v>
      </c>
      <c r="R252" s="26">
        <v>-0.14233839932406456</v>
      </c>
    </row>
    <row r="253" spans="1:18" x14ac:dyDescent="0.35">
      <c r="A253" s="113">
        <v>-0.10439127324314758</v>
      </c>
      <c r="B253" s="114">
        <v>5.0870586967641457E-3</v>
      </c>
      <c r="C253" s="114">
        <v>9.1040621458211804E-2</v>
      </c>
      <c r="D253" s="115">
        <v>-0.99034750928600446</v>
      </c>
      <c r="F253" s="30">
        <f>INDEX(A253:D261,,F249)</f>
        <v>-0.10439127324314758</v>
      </c>
      <c r="G253" s="26">
        <f>INDEX(A250:D258,,G249)</f>
        <v>5.0870586967641457E-3</v>
      </c>
      <c r="I253" s="30">
        <f t="shared" si="85"/>
        <v>1.0871659763141176E-2</v>
      </c>
      <c r="J253">
        <f t="shared" si="86"/>
        <v>-1.0620890688356724E-3</v>
      </c>
      <c r="K253">
        <f t="shared" si="87"/>
        <v>1.1706495281536261E-4</v>
      </c>
      <c r="L253" s="26">
        <f t="shared" si="84"/>
        <v>-1.1546670994532858E-5</v>
      </c>
      <c r="Q253" s="30">
        <v>-0.10438906448235506</v>
      </c>
      <c r="R253" s="26">
        <v>5.1321839414170713E-3</v>
      </c>
    </row>
    <row r="254" spans="1:18" x14ac:dyDescent="0.35">
      <c r="A254" s="113">
        <v>-0.40020898494739149</v>
      </c>
      <c r="B254" s="114">
        <v>0.10116275116304151</v>
      </c>
      <c r="C254" s="114">
        <v>0.87719332852407561</v>
      </c>
      <c r="D254" s="115">
        <v>-0.24521568167096533</v>
      </c>
      <c r="F254" s="30">
        <f>INDEX(A254:D262,,F249)</f>
        <v>-0.40020898494739149</v>
      </c>
      <c r="G254" s="26">
        <f>INDEX(A250:D258,,G249)</f>
        <v>0.10116275116304151</v>
      </c>
      <c r="I254" s="30">
        <f t="shared" si="85"/>
        <v>0.14993332940974596</v>
      </c>
      <c r="J254">
        <f t="shared" si="86"/>
        <v>-8.0972483914892784E-2</v>
      </c>
      <c r="K254">
        <f t="shared" si="87"/>
        <v>1.5923460116543824E-2</v>
      </c>
      <c r="L254" s="26">
        <f t="shared" si="84"/>
        <v>-1.2140474103936977E-2</v>
      </c>
      <c r="N254" s="94">
        <f>COS(O252)</f>
        <v>0.9999999065692311</v>
      </c>
      <c r="O254" s="96">
        <f>-N255</f>
        <v>-4.3227483044128504E-4</v>
      </c>
      <c r="Q254" s="30">
        <v>-0.40016521744445233</v>
      </c>
      <c r="R254" s="26">
        <v>0.1013357419824371</v>
      </c>
    </row>
    <row r="255" spans="1:18" x14ac:dyDescent="0.35">
      <c r="A255" s="113">
        <v>1.4737647495743492E-3</v>
      </c>
      <c r="B255" s="114">
        <v>-2.4571358147398886E-2</v>
      </c>
      <c r="C255" s="114">
        <v>0.99722595440093498</v>
      </c>
      <c r="D255" s="115">
        <v>7.024579877401825E-2</v>
      </c>
      <c r="F255" s="30">
        <f>INDEX(A255:D263,,F249)</f>
        <v>1.4737647495743492E-3</v>
      </c>
      <c r="G255" s="26">
        <f>INDEX(A250:D258,,G249)</f>
        <v>-2.4571358147398886E-2</v>
      </c>
      <c r="I255" s="30">
        <f t="shared" si="85"/>
        <v>-6.0157965867065771E-4</v>
      </c>
      <c r="J255">
        <f t="shared" si="86"/>
        <v>-7.2424802973605925E-5</v>
      </c>
      <c r="K255">
        <f t="shared" si="87"/>
        <v>3.5665273364053941E-7</v>
      </c>
      <c r="L255" s="26">
        <f t="shared" si="84"/>
        <v>4.3569288252151488E-8</v>
      </c>
      <c r="N255" s="27">
        <f>SIN(O252)</f>
        <v>4.3227483044128504E-4</v>
      </c>
      <c r="O255" s="29">
        <f>N254</f>
        <v>0.9999999065692311</v>
      </c>
      <c r="Q255" s="30">
        <v>1.4631430322024966E-3</v>
      </c>
      <c r="R255" s="26">
        <v>-2.4571992923085234E-2</v>
      </c>
    </row>
    <row r="256" spans="1:18" x14ac:dyDescent="0.35">
      <c r="A256" s="113">
        <v>-0.97714529350576684</v>
      </c>
      <c r="B256" s="114">
        <v>-1.8707378136196544E-3</v>
      </c>
      <c r="C256" s="114">
        <v>0.13729057760140942</v>
      </c>
      <c r="D256" s="115">
        <v>-0.16228022991551688</v>
      </c>
      <c r="F256" s="30">
        <f>INDEX(A256:D264,,F249)</f>
        <v>-0.97714529350576684</v>
      </c>
      <c r="G256" s="26">
        <f>INDEX(A250:D258,,G249)</f>
        <v>-1.8707378136196544E-3</v>
      </c>
      <c r="I256" s="30">
        <f t="shared" si="85"/>
        <v>0.95480942496050392</v>
      </c>
      <c r="J256">
        <f t="shared" si="86"/>
        <v>3.6559652999234274E-3</v>
      </c>
      <c r="K256">
        <f t="shared" si="87"/>
        <v>0.91164767191113394</v>
      </c>
      <c r="L256" s="26">
        <f t="shared" si="84"/>
        <v>3.490750125695444E-3</v>
      </c>
      <c r="Q256" s="30">
        <v>-0.97714601088320197</v>
      </c>
      <c r="R256" s="26">
        <v>-1.4483423227684771E-3</v>
      </c>
    </row>
    <row r="257" spans="1:18" x14ac:dyDescent="0.35">
      <c r="A257" s="113">
        <v>-0.72032309775363834</v>
      </c>
      <c r="B257" s="114">
        <v>0.20350383216007328</v>
      </c>
      <c r="C257" s="114">
        <v>0.55082287458952428</v>
      </c>
      <c r="D257" s="115">
        <v>-0.36920859411408646</v>
      </c>
      <c r="F257" s="30">
        <f>INDEX(A257:D265,,F249)</f>
        <v>-0.72032309775363834</v>
      </c>
      <c r="G257" s="26">
        <f>INDEX(A250:D258,,G249)</f>
        <v>0.20350383216007328</v>
      </c>
      <c r="I257" s="30">
        <f t="shared" si="85"/>
        <v>0.47745155545356238</v>
      </c>
      <c r="J257">
        <f t="shared" si="86"/>
        <v>-0.29317702157256098</v>
      </c>
      <c r="K257">
        <f t="shared" si="87"/>
        <v>0.14200722182686826</v>
      </c>
      <c r="L257" s="26">
        <f t="shared" si="84"/>
        <v>-0.13997782497306185</v>
      </c>
      <c r="Q257" s="30">
        <v>-0.72023506086875633</v>
      </c>
      <c r="R257" s="26">
        <v>0.20381519069149817</v>
      </c>
    </row>
    <row r="258" spans="1:18" x14ac:dyDescent="0.35">
      <c r="A258" s="116">
        <v>-0.1035222855571008</v>
      </c>
      <c r="B258" s="117">
        <v>0.92622130149588477</v>
      </c>
      <c r="C258" s="117">
        <v>-0.20035110320771193</v>
      </c>
      <c r="D258" s="118">
        <v>-0.30208719352490981</v>
      </c>
      <c r="F258" s="27">
        <f>INDEX(A258:D266,,F249)</f>
        <v>-0.1035222855571008</v>
      </c>
      <c r="G258" s="29">
        <f>INDEX(A250:D258,,G249)</f>
        <v>0.92622130149588477</v>
      </c>
      <c r="I258" s="27">
        <f t="shared" si="85"/>
        <v>-0.84716903573776481</v>
      </c>
      <c r="J258" s="28">
        <f t="shared" si="86"/>
        <v>-0.19176909212505308</v>
      </c>
      <c r="K258" s="28">
        <f t="shared" si="87"/>
        <v>0.68091999041838713</v>
      </c>
      <c r="L258" s="29">
        <f t="shared" si="84"/>
        <v>0.1624608368598878</v>
      </c>
      <c r="Q258" s="27">
        <v>-0.10312189372887882</v>
      </c>
      <c r="R258" s="29">
        <v>0.92626596503675251</v>
      </c>
    </row>
    <row r="259" spans="1:18" x14ac:dyDescent="0.35">
      <c r="I259">
        <f>SUM(I250:I258)</f>
        <v>1.2323693295937539</v>
      </c>
      <c r="J259">
        <f>SUM(J250:J258)</f>
        <v>-1.0597689412564268</v>
      </c>
      <c r="K259">
        <f>SUM(K250:K258)</f>
        <v>2.3827867984376532</v>
      </c>
      <c r="L259">
        <f>SUM(L250:L258)</f>
        <v>-0.14309204664968431</v>
      </c>
    </row>
    <row r="260" spans="1:18" x14ac:dyDescent="0.35">
      <c r="A260" s="12" t="s">
        <v>2</v>
      </c>
      <c r="B260">
        <f>COUNT(A250:A258)</f>
        <v>9</v>
      </c>
      <c r="I260" s="12" t="s">
        <v>16</v>
      </c>
      <c r="J260" s="12" t="s">
        <v>258</v>
      </c>
      <c r="K260" s="12" t="s">
        <v>18</v>
      </c>
      <c r="L260" s="12" t="s">
        <v>19</v>
      </c>
      <c r="N260" s="12"/>
    </row>
    <row r="262" spans="1:18" x14ac:dyDescent="0.3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12" t="s">
        <v>251</v>
      </c>
      <c r="J262" s="12" t="s">
        <v>252</v>
      </c>
      <c r="K262" s="12" t="s">
        <v>253</v>
      </c>
      <c r="L262" s="12" t="s">
        <v>254</v>
      </c>
      <c r="Q262">
        <f>F262</f>
        <v>1</v>
      </c>
      <c r="R262">
        <f>G262</f>
        <v>3</v>
      </c>
    </row>
    <row r="263" spans="1:18" x14ac:dyDescent="0.35">
      <c r="A263" s="110">
        <f t="array" ref="A263:A271">IF(A262=$Q249,$Q250:$Q258,IF(A262=$R249,$R250:$R258,A250:A258))</f>
        <v>-9.1292851231964581E-2</v>
      </c>
      <c r="B263" s="111">
        <f t="array" ref="B263:B271">IF(B262=$Q249,$Q250:$Q258,IF(B262=$R249,$R250:$R258,B250:B258))</f>
        <v>-0.88941424931440682</v>
      </c>
      <c r="C263" s="111">
        <f t="array" ref="C263:C271">IF(C262=$Q249,$Q250:$Q258,IF(C262=$R249,$R250:$R258,C250:C258))</f>
        <v>-0.34306243038815359</v>
      </c>
      <c r="D263" s="112">
        <f t="array" ref="D263:D271">IF(D262=$Q249,$Q250:$Q258,IF(D262=$R249,$R250:$R258,D250:D258))</f>
        <v>-0.28795151898644733</v>
      </c>
      <c r="F263" s="94">
        <f>INDEX(A263:D271,,F262)</f>
        <v>-9.1292851231964581E-2</v>
      </c>
      <c r="G263" s="96">
        <f>INDEX(A263:D271,,G262)</f>
        <v>-0.34306243038815359</v>
      </c>
      <c r="I263" s="94">
        <f>F263^2-G263^2</f>
        <v>-0.1093574464577651</v>
      </c>
      <c r="J263" s="95">
        <f>2*F263*G263</f>
        <v>6.2638294841403819E-2</v>
      </c>
      <c r="K263" s="95">
        <f>I263^2-J263^2</f>
        <v>8.0354951151243234E-3</v>
      </c>
      <c r="L263" s="96">
        <f t="shared" ref="L263:L271" si="88">I263*J263</f>
        <v>-6.8499639743245218E-3</v>
      </c>
      <c r="N263" t="s">
        <v>12</v>
      </c>
      <c r="O263" s="51">
        <f>2*L272*B273-2*I272*J272</f>
        <v>-3.0042769686917659E-3</v>
      </c>
      <c r="Q263" s="94">
        <f t="array" ref="Q263:R271">MMULT(F263:G271,N267:O268)</f>
        <v>-9.1282303822120922E-2</v>
      </c>
      <c r="R263" s="96">
        <v>-0.34306523700138197</v>
      </c>
    </row>
    <row r="264" spans="1:18" x14ac:dyDescent="0.35">
      <c r="A264" s="113">
        <v>-0.80893421487104722</v>
      </c>
      <c r="B264" s="114">
        <v>0.58099040932342827</v>
      </c>
      <c r="C264" s="114">
        <v>5.8135289083609105E-2</v>
      </c>
      <c r="D264" s="115">
        <v>6.8526406941580978E-2</v>
      </c>
      <c r="F264" s="30">
        <f>INDEX(A264:D272,,F262)</f>
        <v>-0.80893421487104722</v>
      </c>
      <c r="G264" s="26">
        <f>INDEX(A263:D271,,G262)</f>
        <v>5.8135289083609105E-2</v>
      </c>
      <c r="I264" s="30">
        <f t="shared" ref="I264:I271" si="89">F264^2-G264^2</f>
        <v>0.65099485215220276</v>
      </c>
      <c r="J264">
        <f t="shared" ref="J264:J271" si="90">2*F264*G264</f>
        <v>-9.4055248862301391E-2</v>
      </c>
      <c r="K264">
        <f t="shared" ref="K264:K271" si="91">I264^2-J264^2</f>
        <v>0.41494790769011886</v>
      </c>
      <c r="L264" s="26">
        <f t="shared" si="88"/>
        <v>-6.1229482827252532E-2</v>
      </c>
      <c r="N264" t="s">
        <v>255</v>
      </c>
      <c r="O264" s="52">
        <f>K272*B273-(I272^2-J272^2)</f>
        <v>24.429191254599427</v>
      </c>
      <c r="Q264" s="30">
        <v>-0.80893600184332604</v>
      </c>
      <c r="R264" s="26">
        <v>5.811041858055177E-2</v>
      </c>
    </row>
    <row r="265" spans="1:18" x14ac:dyDescent="0.35">
      <c r="A265" s="113">
        <v>-0.98630800929618634</v>
      </c>
      <c r="B265" s="114">
        <v>-0.14233839932406456</v>
      </c>
      <c r="C265" s="114">
        <v>8.0914807458803792E-2</v>
      </c>
      <c r="D265" s="115">
        <v>-1.9725232824032837E-2</v>
      </c>
      <c r="F265" s="30">
        <f>INDEX(A265:D273,,F262)</f>
        <v>-0.98630800929618634</v>
      </c>
      <c r="G265" s="26">
        <f>INDEX(A263:D271,,G262)</f>
        <v>8.0914807458803792E-2</v>
      </c>
      <c r="I265" s="30">
        <f t="shared" si="89"/>
        <v>0.96625628313571077</v>
      </c>
      <c r="J265">
        <f t="shared" si="90"/>
        <v>-0.15961384533455394</v>
      </c>
      <c r="K265">
        <f t="shared" si="91"/>
        <v>0.90817462507675595</v>
      </c>
      <c r="L265" s="26">
        <f t="shared" si="88"/>
        <v>-0.15422788092996431</v>
      </c>
      <c r="N265" t="s">
        <v>256</v>
      </c>
      <c r="O265" s="53">
        <f>0.25*ATAN(O263/O264)</f>
        <v>-3.0744744292146215E-5</v>
      </c>
      <c r="Q265" s="30">
        <v>-0.98631049653510228</v>
      </c>
      <c r="R265" s="26">
        <v>8.088448363302754E-2</v>
      </c>
    </row>
    <row r="266" spans="1:18" x14ac:dyDescent="0.35">
      <c r="A266" s="113">
        <v>-0.10438906448235506</v>
      </c>
      <c r="B266" s="114">
        <v>5.1321839414170713E-3</v>
      </c>
      <c r="C266" s="114">
        <v>9.1040621458211804E-2</v>
      </c>
      <c r="D266" s="115">
        <v>-0.99034750928600446</v>
      </c>
      <c r="F266" s="30">
        <f>INDEX(A266:D274,,F262)</f>
        <v>-0.10438906448235506</v>
      </c>
      <c r="G266" s="26">
        <f>INDEX(A263:D271,,G262)</f>
        <v>9.1040621458211804E-2</v>
      </c>
      <c r="I266" s="30">
        <f t="shared" si="89"/>
        <v>2.6086820280038676E-3</v>
      </c>
      <c r="J266">
        <f t="shared" si="90"/>
        <v>-1.9007290607829901E-2</v>
      </c>
      <c r="K266">
        <f t="shared" si="91"/>
        <v>-3.5447187432726838E-4</v>
      </c>
      <c r="L266" s="26">
        <f t="shared" si="88"/>
        <v>-4.9583977409692573E-5</v>
      </c>
      <c r="Q266" s="30">
        <v>-0.10439186345364523</v>
      </c>
      <c r="R266" s="26">
        <v>9.1037412000090329E-2</v>
      </c>
    </row>
    <row r="267" spans="1:18" x14ac:dyDescent="0.35">
      <c r="A267" s="113">
        <v>-0.40016521744445233</v>
      </c>
      <c r="B267" s="114">
        <v>0.1013357419824371</v>
      </c>
      <c r="C267" s="114">
        <v>0.87719332852407561</v>
      </c>
      <c r="D267" s="115">
        <v>-0.24521568167096533</v>
      </c>
      <c r="F267" s="30">
        <f>INDEX(A267:D275,,F262)</f>
        <v>-0.40016521744445233</v>
      </c>
      <c r="G267" s="26">
        <f>INDEX(A263:D271,,G262)</f>
        <v>0.87719332852407561</v>
      </c>
      <c r="I267" s="30">
        <f t="shared" si="89"/>
        <v>-0.60933593435478106</v>
      </c>
      <c r="J267">
        <f t="shared" si="90"/>
        <v>-0.70204451809931923</v>
      </c>
      <c r="K267">
        <f t="shared" si="91"/>
        <v>-0.12157622449729127</v>
      </c>
      <c r="L267" s="26">
        <f t="shared" si="88"/>
        <v>0.42778095239470071</v>
      </c>
      <c r="N267" s="94">
        <f>COS(O265)</f>
        <v>0.99999999952738039</v>
      </c>
      <c r="O267" s="96">
        <f>-N268</f>
        <v>3.0744744287302691E-5</v>
      </c>
      <c r="Q267" s="30">
        <v>-0.40019218633990239</v>
      </c>
      <c r="R267" s="26">
        <v>0.87718102513221374</v>
      </c>
    </row>
    <row r="268" spans="1:18" x14ac:dyDescent="0.35">
      <c r="A268" s="113">
        <v>1.4631430322024966E-3</v>
      </c>
      <c r="B268" s="114">
        <v>-2.4571992923085234E-2</v>
      </c>
      <c r="C268" s="114">
        <v>0.99722595440093498</v>
      </c>
      <c r="D268" s="115">
        <v>7.024579877401825E-2</v>
      </c>
      <c r="F268" s="30">
        <f>INDEX(A268:D276,,F262)</f>
        <v>1.4631430322024966E-3</v>
      </c>
      <c r="G268" s="26">
        <f>INDEX(A263:D271,,G262)</f>
        <v>0.99722595440093498</v>
      </c>
      <c r="I268" s="30">
        <f t="shared" si="89"/>
        <v>-0.99445746334332297</v>
      </c>
      <c r="J268">
        <f t="shared" si="90"/>
        <v>2.9181684134264251E-3</v>
      </c>
      <c r="K268">
        <f t="shared" si="91"/>
        <v>0.98893713069234745</v>
      </c>
      <c r="L268" s="26">
        <f t="shared" si="88"/>
        <v>-2.9019943580246522E-3</v>
      </c>
      <c r="N268" s="27">
        <f>SIN(O265)</f>
        <v>-3.0744744287302691E-5</v>
      </c>
      <c r="O268" s="29">
        <f>N267</f>
        <v>0.99999999952738039</v>
      </c>
      <c r="Q268" s="30">
        <v>1.4324835745462684E-3</v>
      </c>
      <c r="R268" s="26">
        <v>0.99722599891358477</v>
      </c>
    </row>
    <row r="269" spans="1:18" x14ac:dyDescent="0.35">
      <c r="A269" s="113">
        <v>-0.97714601088320197</v>
      </c>
      <c r="B269" s="114">
        <v>-1.4483423227684771E-3</v>
      </c>
      <c r="C269" s="114">
        <v>0.13729057760140942</v>
      </c>
      <c r="D269" s="115">
        <v>-0.16228022991551688</v>
      </c>
      <c r="F269" s="30">
        <f>INDEX(A269:D277,,F262)</f>
        <v>-0.97714601088320197</v>
      </c>
      <c r="G269" s="26">
        <f>INDEX(A263:D271,,G262)</f>
        <v>0.13729057760140942</v>
      </c>
      <c r="I269" s="30">
        <f t="shared" si="89"/>
        <v>0.93596562388682603</v>
      </c>
      <c r="J269">
        <f t="shared" si="90"/>
        <v>-0.26830588047013576</v>
      </c>
      <c r="K269">
        <f t="shared" si="91"/>
        <v>0.80404360360300065</v>
      </c>
      <c r="L269" s="26">
        <f t="shared" si="88"/>
        <v>-0.25112508080673479</v>
      </c>
      <c r="Q269" s="30">
        <v>-0.97715023138508506</v>
      </c>
      <c r="R269" s="26">
        <v>0.13726053543228725</v>
      </c>
    </row>
    <row r="270" spans="1:18" x14ac:dyDescent="0.35">
      <c r="A270" s="113">
        <v>-0.72023506086875633</v>
      </c>
      <c r="B270" s="114">
        <v>0.20381519069149817</v>
      </c>
      <c r="C270" s="114">
        <v>0.55082287458952428</v>
      </c>
      <c r="D270" s="115">
        <v>-0.36920859411408646</v>
      </c>
      <c r="F270" s="30">
        <f>INDEX(A270:D278,,F262)</f>
        <v>-0.72023506086875633</v>
      </c>
      <c r="G270" s="26">
        <f>INDEX(A263:D271,,G262)</f>
        <v>0.55082287458952428</v>
      </c>
      <c r="I270" s="30">
        <f t="shared" si="89"/>
        <v>0.2153327037335544</v>
      </c>
      <c r="J270">
        <f t="shared" si="90"/>
        <v>-0.79344389321577868</v>
      </c>
      <c r="K270">
        <f t="shared" si="91"/>
        <v>-0.58318503838420932</v>
      </c>
      <c r="L270" s="26">
        <f t="shared" si="88"/>
        <v>-0.17085441878703125</v>
      </c>
      <c r="Q270" s="30">
        <v>-0.72025199543678586</v>
      </c>
      <c r="R270" s="26">
        <v>0.55080073088642145</v>
      </c>
    </row>
    <row r="271" spans="1:18" x14ac:dyDescent="0.35">
      <c r="A271" s="116">
        <v>-0.10312189372887882</v>
      </c>
      <c r="B271" s="117">
        <v>0.92626596503675251</v>
      </c>
      <c r="C271" s="117">
        <v>-0.20035110320771193</v>
      </c>
      <c r="D271" s="118">
        <v>-0.30208719352490981</v>
      </c>
      <c r="F271" s="27">
        <f>INDEX(A271:D279,,F262)</f>
        <v>-0.10312189372887882</v>
      </c>
      <c r="G271" s="29">
        <f>INDEX(A263:D271,,G262)</f>
        <v>-0.20035110320771193</v>
      </c>
      <c r="I271" s="27">
        <f t="shared" si="89"/>
        <v>-2.9506439590317065E-2</v>
      </c>
      <c r="J271" s="28">
        <f t="shared" si="90"/>
        <v>4.1321170346898604E-2</v>
      </c>
      <c r="K271" s="28">
        <f t="shared" si="91"/>
        <v>-8.3680914154038238E-4</v>
      </c>
      <c r="L271" s="29">
        <f t="shared" si="88"/>
        <v>-1.2192406166419646E-3</v>
      </c>
      <c r="Q271" s="27">
        <v>-0.10311573393670559</v>
      </c>
      <c r="R271" s="29">
        <v>-0.20035427356927518</v>
      </c>
    </row>
    <row r="272" spans="1:18" x14ac:dyDescent="0.35">
      <c r="I272">
        <f>SUM(I263:I271)</f>
        <v>1.0285008611901114</v>
      </c>
      <c r="J272">
        <f>SUM(J263:J271)</f>
        <v>-1.9295930429881902</v>
      </c>
      <c r="K272">
        <f>SUM(K263:K271)</f>
        <v>2.4181862182799785</v>
      </c>
      <c r="L272">
        <f>SUM(L263:L271)</f>
        <v>-0.22067669388268304</v>
      </c>
    </row>
    <row r="273" spans="1:18" x14ac:dyDescent="0.35">
      <c r="A273" s="12" t="s">
        <v>2</v>
      </c>
      <c r="B273">
        <f>COUNT(A263:A271)</f>
        <v>9</v>
      </c>
      <c r="I273" s="12" t="s">
        <v>16</v>
      </c>
      <c r="J273" s="12" t="s">
        <v>258</v>
      </c>
      <c r="K273" s="12" t="s">
        <v>18</v>
      </c>
      <c r="L273" s="12" t="s">
        <v>19</v>
      </c>
      <c r="N273" s="12"/>
    </row>
    <row r="275" spans="1:18" x14ac:dyDescent="0.3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12" t="s">
        <v>251</v>
      </c>
      <c r="J275" s="12" t="s">
        <v>252</v>
      </c>
      <c r="K275" s="12" t="s">
        <v>253</v>
      </c>
      <c r="L275" s="12" t="s">
        <v>254</v>
      </c>
      <c r="Q275">
        <f>F275</f>
        <v>1</v>
      </c>
      <c r="R275">
        <f>G275</f>
        <v>4</v>
      </c>
    </row>
    <row r="276" spans="1:18" x14ac:dyDescent="0.35">
      <c r="A276" s="110">
        <f t="array" ref="A276:A284">IF(A275=$Q262,$Q263:$Q271,IF(A275=$R262,$R263:$R271,A263:A271))</f>
        <v>-9.1282303822120922E-2</v>
      </c>
      <c r="B276" s="111">
        <f t="array" ref="B276:B284">IF(B275=$Q262,$Q263:$Q271,IF(B275=$R262,$R263:$R271,B263:B271))</f>
        <v>-0.88941424931440682</v>
      </c>
      <c r="C276" s="111">
        <f t="array" ref="C276:C284">IF(C275=$Q262,$Q263:$Q271,IF(C275=$R262,$R263:$R271,C263:C271))</f>
        <v>-0.34306523700138197</v>
      </c>
      <c r="D276" s="112">
        <f t="array" ref="D276:D284">IF(D275=$Q262,$Q263:$Q271,IF(D275=$R262,$R263:$R271,D263:D271))</f>
        <v>-0.28795151898644733</v>
      </c>
      <c r="F276" s="94">
        <f>INDEX(A276:D284,,F275)</f>
        <v>-9.1282303822120922E-2</v>
      </c>
      <c r="G276" s="96">
        <f>INDEX(A276:D284,,G275)</f>
        <v>-0.28795151898644733</v>
      </c>
      <c r="I276" s="94">
        <f>F276^2-G276^2</f>
        <v>-7.4583618295528356E-2</v>
      </c>
      <c r="J276" s="95">
        <f>2*F276*G276</f>
        <v>5.256975608432421E-2</v>
      </c>
      <c r="K276" s="95">
        <f>I276^2-J276^2</f>
        <v>2.7991368632877297E-3</v>
      </c>
      <c r="L276" s="96">
        <f t="shared" ref="L276:L284" si="92">I276*J276</f>
        <v>-3.9208426216822663E-3</v>
      </c>
      <c r="N276" t="s">
        <v>12</v>
      </c>
      <c r="O276" s="51">
        <f>2*L285*B286-2*I285*J285</f>
        <v>-6.0252504758739889E-4</v>
      </c>
      <c r="Q276" s="94">
        <f t="array" ref="Q276:R284">MMULT(F276:G284,N280:O281)</f>
        <v>-9.1280476661328908E-2</v>
      </c>
      <c r="R276" s="96">
        <v>-0.28795209820065021</v>
      </c>
    </row>
    <row r="277" spans="1:18" x14ac:dyDescent="0.35">
      <c r="A277" s="113">
        <v>-0.80893600184332604</v>
      </c>
      <c r="B277" s="114">
        <v>0.58099040932342827</v>
      </c>
      <c r="C277" s="114">
        <v>5.811041858055177E-2</v>
      </c>
      <c r="D277" s="115">
        <v>6.8526406941580978E-2</v>
      </c>
      <c r="F277" s="30">
        <f>INDEX(A277:D285,,F275)</f>
        <v>-0.80893600184332604</v>
      </c>
      <c r="G277" s="26">
        <f>INDEX(A276:D284,,G275)</f>
        <v>6.8526406941580978E-2</v>
      </c>
      <c r="I277" s="30">
        <f t="shared" ref="I277:I284" si="93">F277^2-G277^2</f>
        <v>0.64968158662994246</v>
      </c>
      <c r="J277">
        <f t="shared" ref="J277:J284" si="94">2*F277*G277</f>
        <v>-0.11086695530402252</v>
      </c>
      <c r="K277">
        <f t="shared" ref="K277:K284" si="95">I277^2-J277^2</f>
        <v>0.40979468222761528</v>
      </c>
      <c r="L277" s="26">
        <f t="shared" si="92"/>
        <v>-7.2028219426748266E-2</v>
      </c>
      <c r="N277" t="s">
        <v>255</v>
      </c>
      <c r="O277" s="52">
        <f>K285*B286-(I285^2-J285^2)</f>
        <v>23.738766984476182</v>
      </c>
      <c r="Q277" s="30">
        <v>-0.80893643665245318</v>
      </c>
      <c r="R277" s="26">
        <v>6.8521273941895139E-2</v>
      </c>
    </row>
    <row r="278" spans="1:18" x14ac:dyDescent="0.35">
      <c r="A278" s="113">
        <v>-0.98631049653510228</v>
      </c>
      <c r="B278" s="114">
        <v>-0.14233839932406456</v>
      </c>
      <c r="C278" s="114">
        <v>8.088448363302754E-2</v>
      </c>
      <c r="D278" s="115">
        <v>-1.9725232824032837E-2</v>
      </c>
      <c r="F278" s="30">
        <f>INDEX(A278:D286,,F275)</f>
        <v>-0.98631049653510228</v>
      </c>
      <c r="G278" s="26">
        <f>INDEX(A276:D284,,G275)</f>
        <v>-1.9725232824032837E-2</v>
      </c>
      <c r="I278" s="30">
        <f t="shared" si="93"/>
        <v>0.9724193107653577</v>
      </c>
      <c r="J278">
        <f t="shared" si="94"/>
        <v>3.8910408361884648E-2</v>
      </c>
      <c r="K278">
        <f t="shared" si="95"/>
        <v>0.94408529607048464</v>
      </c>
      <c r="L278" s="26">
        <f t="shared" si="92"/>
        <v>3.783723248086248E-2</v>
      </c>
      <c r="N278" t="s">
        <v>256</v>
      </c>
      <c r="O278" s="53">
        <f>0.25*ATAN(O276/O277)</f>
        <v>-6.3453700844280394E-6</v>
      </c>
      <c r="Q278" s="30">
        <v>-0.9863103713513437</v>
      </c>
      <c r="R278" s="26">
        <v>-1.9731491328754361E-2</v>
      </c>
    </row>
    <row r="279" spans="1:18" x14ac:dyDescent="0.35">
      <c r="A279" s="113">
        <v>-0.10439186345364523</v>
      </c>
      <c r="B279" s="114">
        <v>5.1321839414170713E-3</v>
      </c>
      <c r="C279" s="114">
        <v>9.1037412000090329E-2</v>
      </c>
      <c r="D279" s="115">
        <v>-0.99034750928600446</v>
      </c>
      <c r="F279" s="30">
        <f>INDEX(A279:D287,,F275)</f>
        <v>-0.10439186345364523</v>
      </c>
      <c r="G279" s="26">
        <f>INDEX(A276:D284,,G275)</f>
        <v>-0.99034750928600446</v>
      </c>
      <c r="I279" s="30">
        <f t="shared" si="93"/>
        <v>-0.96989052799366815</v>
      </c>
      <c r="J279">
        <f t="shared" si="94"/>
        <v>0.20676844392208446</v>
      </c>
      <c r="K279">
        <f t="shared" si="95"/>
        <v>0.89793444688987623</v>
      </c>
      <c r="L279" s="26">
        <f t="shared" si="92"/>
        <v>-0.20054275524801965</v>
      </c>
      <c r="Q279" s="30">
        <v>-0.10438557933008505</v>
      </c>
      <c r="R279" s="26">
        <v>-0.99034817167107425</v>
      </c>
    </row>
    <row r="280" spans="1:18" x14ac:dyDescent="0.35">
      <c r="A280" s="113">
        <v>-0.40019218633990239</v>
      </c>
      <c r="B280" s="114">
        <v>0.1013357419824371</v>
      </c>
      <c r="C280" s="114">
        <v>0.87718102513221374</v>
      </c>
      <c r="D280" s="115">
        <v>-0.24521568167096533</v>
      </c>
      <c r="F280" s="30">
        <f>INDEX(A280:D288,,F275)</f>
        <v>-0.40019218633990239</v>
      </c>
      <c r="G280" s="26">
        <f>INDEX(A276:D284,,G275)</f>
        <v>-0.24521568167096533</v>
      </c>
      <c r="I280" s="30">
        <f t="shared" si="93"/>
        <v>0.10002305547015494</v>
      </c>
      <c r="J280">
        <f t="shared" si="94"/>
        <v>0.19626679954546628</v>
      </c>
      <c r="K280">
        <f t="shared" si="95"/>
        <v>-2.8516044978234553E-2</v>
      </c>
      <c r="L280" s="26">
        <f t="shared" si="92"/>
        <v>1.9631204977885956E-2</v>
      </c>
      <c r="N280" s="94">
        <f>COS(O278)</f>
        <v>0.9999999999798681</v>
      </c>
      <c r="O280" s="96">
        <f>-N281</f>
        <v>6.3453700843854582E-6</v>
      </c>
      <c r="Q280" s="30">
        <v>-0.40019063034759506</v>
      </c>
      <c r="R280" s="26">
        <v>-0.24521822103355587</v>
      </c>
    </row>
    <row r="281" spans="1:18" x14ac:dyDescent="0.35">
      <c r="A281" s="113">
        <v>1.4324835745462684E-3</v>
      </c>
      <c r="B281" s="114">
        <v>-2.4571992923085234E-2</v>
      </c>
      <c r="C281" s="114">
        <v>0.99722599891358477</v>
      </c>
      <c r="D281" s="115">
        <v>7.024579877401825E-2</v>
      </c>
      <c r="F281" s="30">
        <f>INDEX(A281:D289,,F275)</f>
        <v>1.4324835745462684E-3</v>
      </c>
      <c r="G281" s="26">
        <f>INDEX(A276:D284,,G275)</f>
        <v>7.024579877401825E-2</v>
      </c>
      <c r="I281" s="30">
        <f t="shared" si="93"/>
        <v>-4.9324202362085196E-3</v>
      </c>
      <c r="J281">
        <f t="shared" si="94"/>
        <v>2.0125190584932708E-4</v>
      </c>
      <c r="K281">
        <f t="shared" si="95"/>
        <v>2.4288267056951323E-5</v>
      </c>
      <c r="L281" s="26">
        <f t="shared" si="92"/>
        <v>-9.9265897298675259E-7</v>
      </c>
      <c r="N281" s="27">
        <f>SIN(O278)</f>
        <v>-6.3453700843854582E-6</v>
      </c>
      <c r="O281" s="29">
        <f>N280</f>
        <v>0.9999999999798681</v>
      </c>
      <c r="Q281" s="30">
        <v>1.4320378389273353E-3</v>
      </c>
      <c r="R281" s="26">
        <v>7.0245807862242493E-2</v>
      </c>
    </row>
    <row r="282" spans="1:18" x14ac:dyDescent="0.35">
      <c r="A282" s="113">
        <v>-0.97715023138508506</v>
      </c>
      <c r="B282" s="114">
        <v>-1.4483423227684771E-3</v>
      </c>
      <c r="C282" s="114">
        <v>0.13726053543228725</v>
      </c>
      <c r="D282" s="115">
        <v>-0.16228022991551688</v>
      </c>
      <c r="F282" s="30">
        <f>INDEX(A282:D290,,F275)</f>
        <v>-0.97715023138508506</v>
      </c>
      <c r="G282" s="26">
        <f>INDEX(A276:D284,,G275)</f>
        <v>-0.16228022991551688</v>
      </c>
      <c r="I282" s="30">
        <f t="shared" si="93"/>
        <v>0.92848770167449224</v>
      </c>
      <c r="J282">
        <f t="shared" si="94"/>
        <v>0.31714432842234425</v>
      </c>
      <c r="K282">
        <f t="shared" si="95"/>
        <v>0.76150888711032116</v>
      </c>
      <c r="L282" s="26">
        <f t="shared" si="92"/>
        <v>0.29446460859596274</v>
      </c>
      <c r="Q282" s="30">
        <v>-0.9771492016372969</v>
      </c>
      <c r="R282" s="26">
        <v>-0.16228643029209608</v>
      </c>
    </row>
    <row r="283" spans="1:18" x14ac:dyDescent="0.35">
      <c r="A283" s="113">
        <v>-0.72025199543678586</v>
      </c>
      <c r="B283" s="114">
        <v>0.20381519069149817</v>
      </c>
      <c r="C283" s="114">
        <v>0.55080073088642145</v>
      </c>
      <c r="D283" s="115">
        <v>-0.36920859411408646</v>
      </c>
      <c r="F283" s="30">
        <f>INDEX(A283:D291,,F275)</f>
        <v>-0.72025199543678586</v>
      </c>
      <c r="G283" s="26">
        <f>INDEX(A276:D284,,G275)</f>
        <v>-0.36920859411408646</v>
      </c>
      <c r="I283" s="30">
        <f t="shared" si="93"/>
        <v>0.38244795096297152</v>
      </c>
      <c r="J283">
        <f t="shared" si="94"/>
        <v>0.5318464532861622</v>
      </c>
      <c r="K283">
        <f t="shared" si="95"/>
        <v>-0.13659421467729443</v>
      </c>
      <c r="L283" s="26">
        <f t="shared" si="92"/>
        <v>0.20340358628621649</v>
      </c>
      <c r="Q283" s="30">
        <v>-0.72024965265711782</v>
      </c>
      <c r="R283" s="26">
        <v>-0.36921316437211865</v>
      </c>
    </row>
    <row r="284" spans="1:18" x14ac:dyDescent="0.35">
      <c r="A284" s="116">
        <v>-0.10311573393670559</v>
      </c>
      <c r="B284" s="117">
        <v>0.92626596503675251</v>
      </c>
      <c r="C284" s="117">
        <v>-0.20035427356927518</v>
      </c>
      <c r="D284" s="118">
        <v>-0.30208719352490981</v>
      </c>
      <c r="F284" s="27">
        <f>INDEX(A284:D292,,F275)</f>
        <v>-0.10311573393670559</v>
      </c>
      <c r="G284" s="29">
        <f>INDEX(A276:D284,,G275)</f>
        <v>-0.30208719352490981</v>
      </c>
      <c r="I284" s="27">
        <f t="shared" si="93"/>
        <v>-8.0623817906450859E-2</v>
      </c>
      <c r="J284" s="28">
        <f t="shared" si="94"/>
        <v>6.2299885346401386E-2</v>
      </c>
      <c r="K284" s="28">
        <f t="shared" si="95"/>
        <v>2.618924299637788E-3</v>
      </c>
      <c r="L284" s="29">
        <f t="shared" si="92"/>
        <v>-5.0228546117610318E-3</v>
      </c>
      <c r="Q284" s="27">
        <v>-0.10311381707958901</v>
      </c>
      <c r="R284" s="29">
        <v>-0.30208784782632159</v>
      </c>
    </row>
    <row r="285" spans="1:18" x14ac:dyDescent="0.35">
      <c r="I285">
        <f>SUM(I276:I284)</f>
        <v>1.9030292210710629</v>
      </c>
      <c r="J285">
        <f>SUM(J276:J284)</f>
        <v>1.2951403715704943</v>
      </c>
      <c r="K285">
        <f>SUM(K276:K284)</f>
        <v>2.8536554020727514</v>
      </c>
      <c r="L285">
        <f>SUM(L276:L284)</f>
        <v>0.27382096777374343</v>
      </c>
    </row>
    <row r="286" spans="1:18" x14ac:dyDescent="0.35">
      <c r="A286" s="12" t="s">
        <v>2</v>
      </c>
      <c r="B286">
        <f>COUNT(A276:A284)</f>
        <v>9</v>
      </c>
      <c r="I286" s="12" t="s">
        <v>16</v>
      </c>
      <c r="J286" s="12" t="s">
        <v>258</v>
      </c>
      <c r="K286" s="12" t="s">
        <v>18</v>
      </c>
      <c r="L286" s="12" t="s">
        <v>19</v>
      </c>
      <c r="N286" s="12"/>
    </row>
    <row r="288" spans="1:18" x14ac:dyDescent="0.3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12" t="s">
        <v>251</v>
      </c>
      <c r="J288" s="12" t="s">
        <v>252</v>
      </c>
      <c r="K288" s="12" t="s">
        <v>253</v>
      </c>
      <c r="L288" s="12" t="s">
        <v>254</v>
      </c>
      <c r="Q288">
        <f>F288</f>
        <v>2</v>
      </c>
      <c r="R288">
        <f>G288</f>
        <v>3</v>
      </c>
    </row>
    <row r="289" spans="1:18" x14ac:dyDescent="0.35">
      <c r="A289" s="110">
        <f t="array" ref="A289:A297">IF(A288=$Q275,$Q276:$Q284,IF(A288=$R275,$R276:$R284,A276:A284))</f>
        <v>-9.1280476661328908E-2</v>
      </c>
      <c r="B289" s="111">
        <f t="array" ref="B289:B297">IF(B288=$Q275,$Q276:$Q284,IF(B288=$R275,$R276:$R284,B276:B284))</f>
        <v>-0.88941424931440682</v>
      </c>
      <c r="C289" s="111">
        <f t="array" ref="C289:C297">IF(C288=$Q275,$Q276:$Q284,IF(C288=$R275,$R276:$R284,C276:C284))</f>
        <v>-0.34306523700138197</v>
      </c>
      <c r="D289" s="112">
        <f t="array" ref="D289:D297">IF(D288=$Q275,$Q276:$Q284,IF(D288=$R275,$R276:$R284,D276:D284))</f>
        <v>-0.28795209820065021</v>
      </c>
      <c r="F289" s="94">
        <f>INDEX(A289:D297,,F288)</f>
        <v>-0.88941424931440682</v>
      </c>
      <c r="G289" s="96">
        <f>INDEX(A289:D297,,G288)</f>
        <v>-0.34306523700138197</v>
      </c>
      <c r="I289" s="94">
        <f>F289^2-G289^2</f>
        <v>0.67336395004469551</v>
      </c>
      <c r="J289" s="95">
        <f>2*F289*G289</f>
        <v>0.61025422046690647</v>
      </c>
      <c r="K289" s="95">
        <f>I289^2-J289^2</f>
        <v>8.1008795622123542E-2</v>
      </c>
      <c r="L289" s="96">
        <f t="shared" ref="L289:L297" si="96">I289*J289</f>
        <v>0.4109231924250426</v>
      </c>
      <c r="N289" t="s">
        <v>12</v>
      </c>
      <c r="O289" s="51">
        <f>2*L298*B299-2*I298*J298</f>
        <v>-1.8981891832584641E-2</v>
      </c>
      <c r="Q289" s="94">
        <f t="array" ref="Q289:R297">MMULT(F289:G297,N293:O294)</f>
        <v>-0.88933585425865158</v>
      </c>
      <c r="R289" s="96">
        <v>-0.34326841109015349</v>
      </c>
    </row>
    <row r="290" spans="1:18" x14ac:dyDescent="0.35">
      <c r="A290" s="113">
        <v>-0.80893643665245318</v>
      </c>
      <c r="B290" s="114">
        <v>0.58099040932342827</v>
      </c>
      <c r="C290" s="114">
        <v>5.811041858055177E-2</v>
      </c>
      <c r="D290" s="115">
        <v>6.8521273941895139E-2</v>
      </c>
      <c r="F290" s="30">
        <f>INDEX(A290:D298,,F288)</f>
        <v>0.58099040932342827</v>
      </c>
      <c r="G290" s="26">
        <f>INDEX(A289:D297,,G288)</f>
        <v>5.811041858055177E-2</v>
      </c>
      <c r="I290" s="30">
        <f t="shared" ref="I290:I297" si="97">F290^2-G290^2</f>
        <v>0.33417303497819778</v>
      </c>
      <c r="J290">
        <f t="shared" ref="J290:J297" si="98">2*F290*G290</f>
        <v>6.7523191754141051E-2</v>
      </c>
      <c r="K290">
        <f t="shared" ref="K290:K297" si="99">I290^2-J290^2</f>
        <v>0.1071122358818733</v>
      </c>
      <c r="L290" s="26">
        <f t="shared" si="96"/>
        <v>2.2564429919896132E-2</v>
      </c>
      <c r="N290" t="s">
        <v>255</v>
      </c>
      <c r="O290" s="52">
        <f>K298*B299-(I298^2-J298^2)</f>
        <v>20.772846218080026</v>
      </c>
      <c r="Q290" s="30">
        <v>0.58097711907619953</v>
      </c>
      <c r="R290" s="26">
        <v>5.8243141942473424E-2</v>
      </c>
    </row>
    <row r="291" spans="1:18" x14ac:dyDescent="0.35">
      <c r="A291" s="113">
        <v>-0.9863103713513437</v>
      </c>
      <c r="B291" s="114">
        <v>-0.14233839932406456</v>
      </c>
      <c r="C291" s="114">
        <v>8.088448363302754E-2</v>
      </c>
      <c r="D291" s="115">
        <v>-1.9731491328754361E-2</v>
      </c>
      <c r="F291" s="30">
        <f>INDEX(A291:D299,,F288)</f>
        <v>-0.14233839932406456</v>
      </c>
      <c r="G291" s="26">
        <f>INDEX(A289:D297,,G288)</f>
        <v>8.088448363302754E-2</v>
      </c>
      <c r="I291" s="30">
        <f t="shared" si="97"/>
        <v>1.3717920229555362E-2</v>
      </c>
      <c r="J291">
        <f t="shared" si="98"/>
        <v>-2.3025935860957275E-2</v>
      </c>
      <c r="K291">
        <f t="shared" si="99"/>
        <v>-3.4201238684847398E-4</v>
      </c>
      <c r="L291" s="26">
        <f t="shared" si="96"/>
        <v>-3.158679513514701E-4</v>
      </c>
      <c r="N291" t="s">
        <v>256</v>
      </c>
      <c r="O291" s="53">
        <f>0.25*ATAN(O289/O290)</f>
        <v>-2.2844590421083864E-4</v>
      </c>
      <c r="Q291" s="30">
        <v>-0.14235687333875921</v>
      </c>
      <c r="R291" s="26">
        <v>8.0851964898392109E-2</v>
      </c>
    </row>
    <row r="292" spans="1:18" x14ac:dyDescent="0.35">
      <c r="A292" s="113">
        <v>-0.10438557933008505</v>
      </c>
      <c r="B292" s="114">
        <v>5.1321839414170713E-3</v>
      </c>
      <c r="C292" s="114">
        <v>9.1037412000090329E-2</v>
      </c>
      <c r="D292" s="115">
        <v>-0.99034817167107425</v>
      </c>
      <c r="F292" s="30">
        <f>INDEX(A292:D300,,F288)</f>
        <v>5.1321839414170713E-3</v>
      </c>
      <c r="G292" s="26">
        <f>INDEX(A289:D297,,G288)</f>
        <v>9.1037412000090329E-2</v>
      </c>
      <c r="I292" s="30">
        <f t="shared" si="97"/>
        <v>-8.261471071665652E-3</v>
      </c>
      <c r="J292">
        <f t="shared" si="98"/>
        <v>9.3444148787006677E-4</v>
      </c>
      <c r="K292">
        <f t="shared" si="99"/>
        <v>6.7378723373715587E-5</v>
      </c>
      <c r="L292" s="26">
        <f t="shared" si="96"/>
        <v>-7.719861320202766E-6</v>
      </c>
      <c r="Q292" s="30">
        <v>5.1113866837785831E-3</v>
      </c>
      <c r="R292" s="26">
        <v>9.103858205097233E-2</v>
      </c>
    </row>
    <row r="293" spans="1:18" x14ac:dyDescent="0.35">
      <c r="A293" s="113">
        <v>-0.40019063034759506</v>
      </c>
      <c r="B293" s="114">
        <v>0.1013357419824371</v>
      </c>
      <c r="C293" s="114">
        <v>0.87718102513221374</v>
      </c>
      <c r="D293" s="115">
        <v>-0.24521822103355587</v>
      </c>
      <c r="F293" s="30">
        <f>INDEX(A293:D301,,F288)</f>
        <v>0.1013357419824371</v>
      </c>
      <c r="G293" s="26">
        <f>INDEX(A289:D297,,G288)</f>
        <v>0.87718102513221374</v>
      </c>
      <c r="I293" s="30">
        <f t="shared" si="97"/>
        <v>-0.75917761824887031</v>
      </c>
      <c r="J293">
        <f t="shared" si="98"/>
        <v>0.17777958006937536</v>
      </c>
      <c r="K293">
        <f t="shared" si="99"/>
        <v>0.54474507696038399</v>
      </c>
      <c r="L293" s="26">
        <f t="shared" si="96"/>
        <v>-0.13496627817035273</v>
      </c>
      <c r="N293" s="94">
        <f>COS(O291)</f>
        <v>0.99999997390623452</v>
      </c>
      <c r="O293" s="96">
        <f>-N294</f>
        <v>2.2844590222383403E-4</v>
      </c>
      <c r="Q293" s="30">
        <v>0.10113535092750606</v>
      </c>
      <c r="R293" s="26">
        <v>0.87720415197826251</v>
      </c>
    </row>
    <row r="294" spans="1:18" x14ac:dyDescent="0.35">
      <c r="A294" s="113">
        <v>1.4320378389273353E-3</v>
      </c>
      <c r="B294" s="114">
        <v>-2.4571992923085234E-2</v>
      </c>
      <c r="C294" s="114">
        <v>0.99722599891358477</v>
      </c>
      <c r="D294" s="115">
        <v>7.0245807862242493E-2</v>
      </c>
      <c r="F294" s="30">
        <f>INDEX(A294:D302,,F288)</f>
        <v>-2.4571992923085234E-2</v>
      </c>
      <c r="G294" s="26">
        <f>INDEX(A289:D297,,G288)</f>
        <v>0.99722599891358477</v>
      </c>
      <c r="I294" s="30">
        <f t="shared" si="97"/>
        <v>-0.9938559100729849</v>
      </c>
      <c r="J294">
        <f t="shared" si="98"/>
        <v>-4.9007660376042414E-2</v>
      </c>
      <c r="K294">
        <f t="shared" si="99"/>
        <v>0.98534781921146752</v>
      </c>
      <c r="L294" s="26">
        <f t="shared" si="96"/>
        <v>4.8706552903579392E-2</v>
      </c>
      <c r="N294" s="27">
        <f>SIN(O291)</f>
        <v>-2.2844590222383403E-4</v>
      </c>
      <c r="O294" s="29">
        <f>N293</f>
        <v>0.99999997390623452</v>
      </c>
      <c r="Q294" s="30">
        <v>-2.4799804474952291E-2</v>
      </c>
      <c r="R294" s="26">
        <v>0.99722035952111066</v>
      </c>
    </row>
    <row r="295" spans="1:18" x14ac:dyDescent="0.35">
      <c r="A295" s="113">
        <v>-0.9771492016372969</v>
      </c>
      <c r="B295" s="114">
        <v>-1.4483423227684771E-3</v>
      </c>
      <c r="C295" s="114">
        <v>0.13726053543228725</v>
      </c>
      <c r="D295" s="115">
        <v>-0.16228643029209608</v>
      </c>
      <c r="F295" s="30">
        <f>INDEX(A295:D303,,F288)</f>
        <v>-1.4483423227684771E-3</v>
      </c>
      <c r="G295" s="26">
        <f>INDEX(A289:D297,,G288)</f>
        <v>0.13726053543228725</v>
      </c>
      <c r="I295" s="30">
        <f t="shared" si="97"/>
        <v>-1.8838356891674259E-2</v>
      </c>
      <c r="J295">
        <f t="shared" si="98"/>
        <v>-3.9760048542488753E-4</v>
      </c>
      <c r="K295">
        <f t="shared" si="99"/>
        <v>3.5472560423208094E-4</v>
      </c>
      <c r="L295" s="26">
        <f t="shared" si="96"/>
        <v>7.4901398447369608E-6</v>
      </c>
      <c r="Q295" s="30">
        <v>-1.4796988918323276E-3</v>
      </c>
      <c r="R295" s="26">
        <v>0.13726020098277436</v>
      </c>
    </row>
    <row r="296" spans="1:18" x14ac:dyDescent="0.35">
      <c r="A296" s="113">
        <v>-0.72024965265711782</v>
      </c>
      <c r="B296" s="114">
        <v>0.20381519069149817</v>
      </c>
      <c r="C296" s="114">
        <v>0.55080073088642145</v>
      </c>
      <c r="D296" s="115">
        <v>-0.36921316437211865</v>
      </c>
      <c r="F296" s="30">
        <f>INDEX(A296:D304,,F288)</f>
        <v>0.20381519069149817</v>
      </c>
      <c r="G296" s="26">
        <f>INDEX(A289:D297,,G288)</f>
        <v>0.55080073088642145</v>
      </c>
      <c r="I296" s="30">
        <f t="shared" si="97"/>
        <v>-0.2618408131884043</v>
      </c>
      <c r="J296">
        <f t="shared" si="98"/>
        <v>0.2245231119972651</v>
      </c>
      <c r="K296">
        <f t="shared" si="99"/>
        <v>1.8149983630228385E-2</v>
      </c>
      <c r="L296" s="26">
        <f t="shared" si="96"/>
        <v>-5.8789314224955064E-2</v>
      </c>
      <c r="Q296" s="30">
        <v>0.20368935720327949</v>
      </c>
      <c r="R296" s="26">
        <v>0.55084727725908078</v>
      </c>
    </row>
    <row r="297" spans="1:18" x14ac:dyDescent="0.35">
      <c r="A297" s="116">
        <v>-0.10311381707958901</v>
      </c>
      <c r="B297" s="117">
        <v>0.92626596503675251</v>
      </c>
      <c r="C297" s="117">
        <v>-0.20035427356927518</v>
      </c>
      <c r="D297" s="118">
        <v>-0.30208784782632159</v>
      </c>
      <c r="F297" s="27">
        <f>INDEX(A297:D305,,F288)</f>
        <v>0.92626596503675251</v>
      </c>
      <c r="G297" s="29">
        <f>INDEX(A289:D297,,G288)</f>
        <v>-0.20035427356927518</v>
      </c>
      <c r="I297" s="27">
        <f t="shared" si="97"/>
        <v>0.81782680304799449</v>
      </c>
      <c r="J297" s="28">
        <f t="shared" si="98"/>
        <v>-0.37116268911376438</v>
      </c>
      <c r="K297" s="28">
        <f t="shared" si="99"/>
        <v>0.53107893799354233</v>
      </c>
      <c r="L297" s="29">
        <f t="shared" si="96"/>
        <v>-0.30354679544860658</v>
      </c>
      <c r="Q297" s="27">
        <v>0.9263117109797756</v>
      </c>
      <c r="R297" s="29">
        <v>-0.20014266667719571</v>
      </c>
    </row>
    <row r="298" spans="1:18" x14ac:dyDescent="0.35">
      <c r="I298">
        <f>SUM(I289:I297)</f>
        <v>-0.2028924611731564</v>
      </c>
      <c r="J298">
        <f>SUM(J289:J297)</f>
        <v>0.63742065993936892</v>
      </c>
      <c r="K298">
        <f>SUM(K289:K297)</f>
        <v>2.2675229412403763</v>
      </c>
      <c r="L298">
        <f>SUM(L289:L297)</f>
        <v>-1.5424310268223163E-2</v>
      </c>
    </row>
    <row r="299" spans="1:18" x14ac:dyDescent="0.35">
      <c r="A299" s="12" t="s">
        <v>2</v>
      </c>
      <c r="B299">
        <f>COUNT(A289:A297)</f>
        <v>9</v>
      </c>
      <c r="I299" s="12" t="s">
        <v>16</v>
      </c>
      <c r="J299" s="12" t="s">
        <v>258</v>
      </c>
      <c r="K299" s="12" t="s">
        <v>18</v>
      </c>
      <c r="L299" s="12" t="s">
        <v>19</v>
      </c>
      <c r="N299" s="12"/>
    </row>
    <row r="301" spans="1:18" x14ac:dyDescent="0.3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12" t="s">
        <v>251</v>
      </c>
      <c r="J301" s="12" t="s">
        <v>252</v>
      </c>
      <c r="K301" s="12" t="s">
        <v>253</v>
      </c>
      <c r="L301" s="12" t="s">
        <v>254</v>
      </c>
      <c r="Q301">
        <f>F301</f>
        <v>2</v>
      </c>
      <c r="R301">
        <f>G301</f>
        <v>4</v>
      </c>
    </row>
    <row r="302" spans="1:18" x14ac:dyDescent="0.35">
      <c r="A302" s="110">
        <f t="array" ref="A302:A310">IF(A301=$Q288,$Q289:$Q297,IF(A301=$R288,$R289:$R297,A289:A297))</f>
        <v>-9.1280476661328908E-2</v>
      </c>
      <c r="B302" s="111">
        <f t="array" ref="B302:B310">IF(B301=$Q288,$Q289:$Q297,IF(B301=$R288,$R289:$R297,B289:B297))</f>
        <v>-0.88933585425865158</v>
      </c>
      <c r="C302" s="111">
        <f t="array" ref="C302:C310">IF(C301=$Q288,$Q289:$Q297,IF(C301=$R288,$R289:$R297,C289:C297))</f>
        <v>-0.34326841109015349</v>
      </c>
      <c r="D302" s="112">
        <f t="array" ref="D302:D310">IF(D301=$Q288,$Q289:$Q297,IF(D301=$R288,$R289:$R297,D289:D297))</f>
        <v>-0.28795209820065021</v>
      </c>
      <c r="F302" s="94">
        <f>INDEX(A302:D310,,F301)</f>
        <v>-0.88933585425865158</v>
      </c>
      <c r="G302" s="96">
        <f>INDEX(A302:D310,,G301)</f>
        <v>-0.28795209820065021</v>
      </c>
      <c r="I302" s="94">
        <f>F302^2-G302^2</f>
        <v>0.70800185081180866</v>
      </c>
      <c r="J302" s="95">
        <f>2*F302*G302</f>
        <v>0.51217225047769277</v>
      </c>
      <c r="K302" s="95">
        <f>I302^2-J302^2</f>
        <v>0.23894620659356214</v>
      </c>
      <c r="L302" s="96">
        <f t="shared" ref="L302:L310" si="100">I302*J302</f>
        <v>0.36261890127265572</v>
      </c>
      <c r="N302" t="s">
        <v>12</v>
      </c>
      <c r="O302" s="51">
        <f>2*L311*B312-2*I311*J311</f>
        <v>-2.8351379711419322E-3</v>
      </c>
      <c r="Q302" s="94">
        <f t="array" ref="Q302:R310">MMULT(F302:G310,N306:O307)</f>
        <v>-0.88932094108737936</v>
      </c>
      <c r="R302" s="96">
        <v>-0.2879981532433506</v>
      </c>
    </row>
    <row r="303" spans="1:18" x14ac:dyDescent="0.35">
      <c r="A303" s="113">
        <v>-0.80893643665245318</v>
      </c>
      <c r="B303" s="114">
        <v>0.58097711907619953</v>
      </c>
      <c r="C303" s="114">
        <v>5.8243141942473424E-2</v>
      </c>
      <c r="D303" s="115">
        <v>6.8521273941895139E-2</v>
      </c>
      <c r="F303" s="30">
        <f>INDEX(A303:D311,,F301)</f>
        <v>0.58097711907619953</v>
      </c>
      <c r="G303" s="26">
        <f>INDEX(A302:D310,,G301)</f>
        <v>6.8521273941895139E-2</v>
      </c>
      <c r="I303" s="30">
        <f t="shared" ref="I303:I310" si="101">F303^2-G303^2</f>
        <v>0.33283924790746028</v>
      </c>
      <c r="J303">
        <f t="shared" ref="J303:J310" si="102">2*F303*G303</f>
        <v>7.9618584660386599E-2</v>
      </c>
      <c r="K303">
        <f t="shared" ref="K303:K310" si="103">I303^2-J303^2</f>
        <v>0.10444284592428064</v>
      </c>
      <c r="L303" s="26">
        <f t="shared" si="100"/>
        <v>2.6500189837819529E-2</v>
      </c>
      <c r="N303" t="s">
        <v>255</v>
      </c>
      <c r="O303" s="52">
        <f>K311*B312-(I311^2-J311^2)</f>
        <v>13.68671336361149</v>
      </c>
      <c r="Q303" s="30">
        <v>0.58097356983272008</v>
      </c>
      <c r="R303" s="26">
        <v>6.8551360515501397E-2</v>
      </c>
    </row>
    <row r="304" spans="1:18" x14ac:dyDescent="0.35">
      <c r="A304" s="113">
        <v>-0.9863103713513437</v>
      </c>
      <c r="B304" s="114">
        <v>-0.14235687333875921</v>
      </c>
      <c r="C304" s="114">
        <v>8.0851964898392109E-2</v>
      </c>
      <c r="D304" s="115">
        <v>-1.9731491328754361E-2</v>
      </c>
      <c r="F304" s="30">
        <f>INDEX(A304:D312,,F301)</f>
        <v>-0.14235687333875921</v>
      </c>
      <c r="G304" s="26">
        <f>INDEX(A302:D310,,G301)</f>
        <v>-1.9731491328754361E-2</v>
      </c>
      <c r="I304" s="30">
        <f t="shared" si="101"/>
        <v>1.9876147636730825E-2</v>
      </c>
      <c r="J304">
        <f t="shared" si="102"/>
        <v>5.6178268237446205E-3</v>
      </c>
      <c r="K304">
        <f t="shared" si="103"/>
        <v>3.6350126665553577E-4</v>
      </c>
      <c r="L304" s="26">
        <f t="shared" si="100"/>
        <v>1.1166075534633467E-4</v>
      </c>
      <c r="N304" t="s">
        <v>256</v>
      </c>
      <c r="O304" s="53">
        <f>0.25*ATAN(O302/O303)</f>
        <v>-5.1786317417308294E-5</v>
      </c>
      <c r="Q304" s="30">
        <v>-0.14235585132659864</v>
      </c>
      <c r="R304" s="26">
        <v>-1.9738863440522138E-2</v>
      </c>
    </row>
    <row r="305" spans="1:18" x14ac:dyDescent="0.35">
      <c r="A305" s="113">
        <v>-0.10438557933008505</v>
      </c>
      <c r="B305" s="114">
        <v>5.1113866837785831E-3</v>
      </c>
      <c r="C305" s="114">
        <v>9.103858205097233E-2</v>
      </c>
      <c r="D305" s="115">
        <v>-0.99034817167107425</v>
      </c>
      <c r="F305" s="30">
        <f>INDEX(A305:D313,,F301)</f>
        <v>5.1113866837785831E-3</v>
      </c>
      <c r="G305" s="26">
        <f>INDEX(A302:D310,,G301)</f>
        <v>-0.99034817167107425</v>
      </c>
      <c r="I305" s="30">
        <f t="shared" si="101"/>
        <v>-0.98076337485840837</v>
      </c>
      <c r="J305">
        <f t="shared" si="102"/>
        <v>-1.012410491396799E-2</v>
      </c>
      <c r="K305">
        <f t="shared" si="103"/>
        <v>0.96179429996334587</v>
      </c>
      <c r="L305" s="26">
        <f t="shared" si="100"/>
        <v>9.9293513028438415E-3</v>
      </c>
      <c r="Q305" s="30">
        <v>5.1626731616735517E-3</v>
      </c>
      <c r="R305" s="26">
        <v>-0.99034790564321196</v>
      </c>
    </row>
    <row r="306" spans="1:18" x14ac:dyDescent="0.35">
      <c r="A306" s="113">
        <v>-0.40019063034759506</v>
      </c>
      <c r="B306" s="114">
        <v>0.10113535092750606</v>
      </c>
      <c r="C306" s="114">
        <v>0.87720415197826251</v>
      </c>
      <c r="D306" s="115">
        <v>-0.24521822103355587</v>
      </c>
      <c r="F306" s="30">
        <f>INDEX(A306:D314,,F301)</f>
        <v>0.10113535092750606</v>
      </c>
      <c r="G306" s="26">
        <f>INDEX(A302:D310,,G301)</f>
        <v>-0.24521822103355587</v>
      </c>
      <c r="I306" s="30">
        <f t="shared" si="101"/>
        <v>-4.990361671963206E-2</v>
      </c>
      <c r="J306">
        <f t="shared" si="102"/>
        <v>-4.9600461676094838E-2</v>
      </c>
      <c r="K306">
        <f t="shared" si="103"/>
        <v>3.0165163218187629E-5</v>
      </c>
      <c r="L306" s="26">
        <f t="shared" si="100"/>
        <v>2.4752424286006358E-3</v>
      </c>
      <c r="N306" s="94">
        <f>COS(O304)</f>
        <v>0.99999999865908862</v>
      </c>
      <c r="O306" s="96">
        <f>-N307</f>
        <v>5.1786317394161343E-5</v>
      </c>
      <c r="Q306" s="30">
        <v>0.10114804974051779</v>
      </c>
      <c r="R306" s="26">
        <v>-0.24521298327735708</v>
      </c>
    </row>
    <row r="307" spans="1:18" x14ac:dyDescent="0.35">
      <c r="A307" s="113">
        <v>1.4320378389273353E-3</v>
      </c>
      <c r="B307" s="114">
        <v>-2.4799804474952291E-2</v>
      </c>
      <c r="C307" s="114">
        <v>0.99722035952111066</v>
      </c>
      <c r="D307" s="115">
        <v>7.0245807862242493E-2</v>
      </c>
      <c r="F307" s="30">
        <f>INDEX(A307:D315,,F301)</f>
        <v>-2.4799804474952291E-2</v>
      </c>
      <c r="G307" s="26">
        <f>INDEX(A302:D310,,G301)</f>
        <v>7.0245807862242493E-2</v>
      </c>
      <c r="I307" s="30">
        <f t="shared" si="101"/>
        <v>-4.3194432202232251E-3</v>
      </c>
      <c r="J307">
        <f t="shared" si="102"/>
        <v>-3.4841646003373602E-3</v>
      </c>
      <c r="K307">
        <f t="shared" si="103"/>
        <v>6.5181867704883888E-6</v>
      </c>
      <c r="L307" s="26">
        <f t="shared" si="100"/>
        <v>1.5049651161068973E-5</v>
      </c>
      <c r="N307" s="27">
        <f>SIN(O304)</f>
        <v>-5.1786317394161343E-5</v>
      </c>
      <c r="O307" s="29">
        <f>N306</f>
        <v>0.99999999865908862</v>
      </c>
      <c r="Q307" s="30">
        <v>-2.4803442213399515E-2</v>
      </c>
      <c r="R307" s="26">
        <v>7.0244523477503235E-2</v>
      </c>
    </row>
    <row r="308" spans="1:18" x14ac:dyDescent="0.35">
      <c r="A308" s="113">
        <v>-0.9771492016372969</v>
      </c>
      <c r="B308" s="114">
        <v>-1.4796988918323276E-3</v>
      </c>
      <c r="C308" s="114">
        <v>0.13726020098277436</v>
      </c>
      <c r="D308" s="115">
        <v>-0.16228643029209608</v>
      </c>
      <c r="F308" s="30">
        <f>INDEX(A308:D316,,F301)</f>
        <v>-1.4796988918323276E-3</v>
      </c>
      <c r="G308" s="26">
        <f>INDEX(A302:D310,,G301)</f>
        <v>-0.16228643029209608</v>
      </c>
      <c r="I308" s="30">
        <f t="shared" si="101"/>
        <v>-2.633469594814087E-2</v>
      </c>
      <c r="J308">
        <f t="shared" si="102"/>
        <v>4.8027010212527772E-4</v>
      </c>
      <c r="K308">
        <f t="shared" si="103"/>
        <v>6.9328555131003167E-4</v>
      </c>
      <c r="L308" s="26">
        <f t="shared" si="100"/>
        <v>-1.2647767112451753E-5</v>
      </c>
      <c r="Q308" s="30">
        <v>-1.4712946732603105E-3</v>
      </c>
      <c r="R308" s="26">
        <v>-0.1622865067026408</v>
      </c>
    </row>
    <row r="309" spans="1:18" x14ac:dyDescent="0.35">
      <c r="A309" s="113">
        <v>-0.72024965265711782</v>
      </c>
      <c r="B309" s="114">
        <v>0.20368935720327949</v>
      </c>
      <c r="C309" s="114">
        <v>0.55084727725908078</v>
      </c>
      <c r="D309" s="115">
        <v>-0.36921316437211865</v>
      </c>
      <c r="F309" s="30">
        <f>INDEX(A309:D317,,F301)</f>
        <v>0.20368935720327949</v>
      </c>
      <c r="G309" s="26">
        <f>INDEX(A302:D310,,G301)</f>
        <v>-0.36921316437211865</v>
      </c>
      <c r="I309" s="30">
        <f t="shared" si="101"/>
        <v>-9.4829006507787916E-2</v>
      </c>
      <c r="J309">
        <f t="shared" si="102"/>
        <v>-0.15040958424389125</v>
      </c>
      <c r="K309">
        <f t="shared" si="103"/>
        <v>-1.3630502557166139E-2</v>
      </c>
      <c r="L309" s="26">
        <f t="shared" si="100"/>
        <v>1.4263191443097638E-2</v>
      </c>
      <c r="Q309" s="30">
        <v>0.20370847712026638</v>
      </c>
      <c r="R309" s="26">
        <v>-0.36920261555533457</v>
      </c>
    </row>
    <row r="310" spans="1:18" x14ac:dyDescent="0.35">
      <c r="A310" s="116">
        <v>-0.10311381707958901</v>
      </c>
      <c r="B310" s="117">
        <v>0.9263117109797756</v>
      </c>
      <c r="C310" s="117">
        <v>-0.20014266667719571</v>
      </c>
      <c r="D310" s="118">
        <v>-0.30208784782632159</v>
      </c>
      <c r="F310" s="27">
        <f>INDEX(A310:D318,,F301)</f>
        <v>0.9263117109797756</v>
      </c>
      <c r="G310" s="29">
        <f>INDEX(A302:D310,,G301)</f>
        <v>-0.30208784782632159</v>
      </c>
      <c r="I310" s="27">
        <f t="shared" si="101"/>
        <v>0.76679631809394044</v>
      </c>
      <c r="J310" s="28">
        <f t="shared" si="102"/>
        <v>-0.55965502237239606</v>
      </c>
      <c r="K310" s="28">
        <f t="shared" si="103"/>
        <v>0.27476284937577633</v>
      </c>
      <c r="L310" s="29">
        <f t="shared" si="100"/>
        <v>-0.42914141055793514</v>
      </c>
      <c r="Q310" s="27">
        <v>0.92632735375484221</v>
      </c>
      <c r="R310" s="29">
        <v>-0.30203987714897784</v>
      </c>
    </row>
    <row r="311" spans="1:18" x14ac:dyDescent="0.35">
      <c r="I311">
        <f>SUM(I302:I310)</f>
        <v>0.67136342719574771</v>
      </c>
      <c r="J311">
        <f>SUM(J302:J310)</f>
        <v>-0.17538440574273839</v>
      </c>
      <c r="K311">
        <f>SUM(K302:K310)</f>
        <v>1.567409169467753</v>
      </c>
      <c r="L311">
        <f>SUM(L302:L310)</f>
        <v>-1.3240471633522821E-2</v>
      </c>
    </row>
    <row r="312" spans="1:18" x14ac:dyDescent="0.35">
      <c r="A312" s="12" t="s">
        <v>2</v>
      </c>
      <c r="B312">
        <f>COUNT(A302:A310)</f>
        <v>9</v>
      </c>
      <c r="I312" s="12" t="s">
        <v>16</v>
      </c>
      <c r="J312" s="12" t="s">
        <v>258</v>
      </c>
      <c r="K312" s="12" t="s">
        <v>18</v>
      </c>
      <c r="L312" s="12" t="s">
        <v>19</v>
      </c>
      <c r="N312" s="12"/>
    </row>
    <row r="314" spans="1:18" x14ac:dyDescent="0.3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12" t="s">
        <v>251</v>
      </c>
      <c r="J314" s="12" t="s">
        <v>252</v>
      </c>
      <c r="K314" s="12" t="s">
        <v>253</v>
      </c>
      <c r="L314" s="12" t="s">
        <v>254</v>
      </c>
      <c r="Q314">
        <f>F314</f>
        <v>3</v>
      </c>
      <c r="R314">
        <f>G314</f>
        <v>4</v>
      </c>
    </row>
    <row r="315" spans="1:18" x14ac:dyDescent="0.35">
      <c r="A315" s="110">
        <f t="array" ref="A315:A323">IF(A314=$Q301,$Q302:$Q310,IF(A314=$R301,$R302:$R310,A302:A310))</f>
        <v>-9.1280476661328908E-2</v>
      </c>
      <c r="B315" s="111">
        <f t="array" ref="B315:B323">IF(B314=$Q301,$Q302:$Q310,IF(B314=$R301,$R302:$R310,B302:B310))</f>
        <v>-0.88932094108737936</v>
      </c>
      <c r="C315" s="111">
        <f t="array" ref="C315:C323">IF(C314=$Q301,$Q302:$Q310,IF(C314=$R301,$R302:$R310,C302:C310))</f>
        <v>-0.34326841109015349</v>
      </c>
      <c r="D315" s="112">
        <f t="array" ref="D315:D323">IF(D314=$Q301,$Q302:$Q310,IF(D314=$R301,$R302:$R310,D302:D310))</f>
        <v>-0.2879981532433506</v>
      </c>
      <c r="F315" s="94">
        <f>INDEX(A315:D323,,F314)</f>
        <v>-0.34326841109015349</v>
      </c>
      <c r="G315" s="96">
        <f>INDEX(A315:D323,,G314)</f>
        <v>-0.2879981532433506</v>
      </c>
      <c r="I315" s="94">
        <f>F315^2-G315^2</f>
        <v>3.4890265780778168E-2</v>
      </c>
      <c r="J315" s="95">
        <f>2*F315*G315</f>
        <v>0.197721336921487</v>
      </c>
      <c r="K315" s="95">
        <f>I315^2-J315^2</f>
        <v>-3.7876396427766836E-2</v>
      </c>
      <c r="L315" s="96">
        <f t="shared" ref="L315:L323" si="104">I315*J315</f>
        <v>6.8985499957214683E-3</v>
      </c>
      <c r="N315" t="s">
        <v>12</v>
      </c>
      <c r="O315" s="51">
        <f>2*L324*B325-2*I324*J324</f>
        <v>1.2028337531111433E-5</v>
      </c>
      <c r="Q315" s="94">
        <f t="array" ref="Q315:R323">MMULT(F315:G323,N319:O320)</f>
        <v>-0.343268460277809</v>
      </c>
      <c r="R315" s="96">
        <v>-0.28799809461599107</v>
      </c>
    </row>
    <row r="316" spans="1:18" x14ac:dyDescent="0.35">
      <c r="A316" s="113">
        <v>-0.80893643665245318</v>
      </c>
      <c r="B316" s="114">
        <v>0.58097356983272008</v>
      </c>
      <c r="C316" s="114">
        <v>5.8243141942473424E-2</v>
      </c>
      <c r="D316" s="115">
        <v>6.8551360515501397E-2</v>
      </c>
      <c r="F316" s="30">
        <f>INDEX(A316:D324,,F314)</f>
        <v>5.8243141942473424E-2</v>
      </c>
      <c r="G316" s="26">
        <f>INDEX(A315:D323,,G314)</f>
        <v>6.8551360515501397E-2</v>
      </c>
      <c r="I316" s="30">
        <f t="shared" ref="I316:I323" si="105">F316^2-G316^2</f>
        <v>-1.3070254451951367E-3</v>
      </c>
      <c r="J316">
        <f t="shared" ref="J316:J323" si="106">2*F316*G316</f>
        <v>7.9852932417080313E-3</v>
      </c>
      <c r="K316">
        <f t="shared" ref="K316:K323" si="107">I316^2-J316^2</f>
        <v>-6.2056592641680417E-5</v>
      </c>
      <c r="L316" s="26">
        <f t="shared" si="104"/>
        <v>-1.0436981454257156E-5</v>
      </c>
      <c r="N316" t="s">
        <v>255</v>
      </c>
      <c r="O316" s="52">
        <f>K324*B325-(I324^2-J324^2)</f>
        <v>17.606748116264026</v>
      </c>
      <c r="Q316" s="30">
        <v>5.8243153650467956E-2</v>
      </c>
      <c r="R316" s="26">
        <v>6.8551350568061983E-2</v>
      </c>
    </row>
    <row r="317" spans="1:18" x14ac:dyDescent="0.35">
      <c r="A317" s="113">
        <v>-0.9863103713513437</v>
      </c>
      <c r="B317" s="114">
        <v>-0.14235585132659864</v>
      </c>
      <c r="C317" s="114">
        <v>8.0851964898392109E-2</v>
      </c>
      <c r="D317" s="115">
        <v>-1.9738863440522138E-2</v>
      </c>
      <c r="F317" s="30">
        <f>INDEX(A317:D325,,F314)</f>
        <v>8.0851964898392109E-2</v>
      </c>
      <c r="G317" s="26">
        <f>INDEX(A315:D323,,G314)</f>
        <v>-1.9738863440522138E-2</v>
      </c>
      <c r="I317" s="30">
        <f t="shared" si="105"/>
        <v>6.1474174980072479E-3</v>
      </c>
      <c r="J317">
        <f t="shared" si="106"/>
        <v>-3.1918517880545026E-3</v>
      </c>
      <c r="K317">
        <f t="shared" si="107"/>
        <v>2.7602824057898963E-5</v>
      </c>
      <c r="L317" s="26">
        <f t="shared" si="104"/>
        <v>-1.962164553293197E-5</v>
      </c>
      <c r="N317" t="s">
        <v>256</v>
      </c>
      <c r="O317" s="53">
        <f>0.25*ATAN(O315/O316)</f>
        <v>1.7079158302944263E-7</v>
      </c>
      <c r="Q317" s="30">
        <v>8.0851961527159191E-2</v>
      </c>
      <c r="R317" s="26">
        <v>-1.9738877249356926E-2</v>
      </c>
    </row>
    <row r="318" spans="1:18" x14ac:dyDescent="0.35">
      <c r="A318" s="113">
        <v>-0.10438557933008505</v>
      </c>
      <c r="B318" s="114">
        <v>5.1626731616735517E-3</v>
      </c>
      <c r="C318" s="114">
        <v>9.103858205097233E-2</v>
      </c>
      <c r="D318" s="115">
        <v>-0.99034790564321196</v>
      </c>
      <c r="F318" s="30">
        <f>INDEX(A318:D326,,F314)</f>
        <v>9.103858205097233E-2</v>
      </c>
      <c r="G318" s="26">
        <f>INDEX(A315:D323,,G314)</f>
        <v>-0.99034790564321196</v>
      </c>
      <c r="I318" s="30">
        <f t="shared" si="105"/>
        <v>-0.97250095079004462</v>
      </c>
      <c r="J318">
        <f t="shared" si="106"/>
        <v>-0.1803197381338163</v>
      </c>
      <c r="K318">
        <f t="shared" si="107"/>
        <v>0.91324289132689263</v>
      </c>
      <c r="L318" s="26">
        <f t="shared" si="104"/>
        <v>0.17536111678134822</v>
      </c>
      <c r="Q318" s="30">
        <v>9.1038412907884461E-2</v>
      </c>
      <c r="R318" s="26">
        <v>-0.99034792119182102</v>
      </c>
    </row>
    <row r="319" spans="1:18" x14ac:dyDescent="0.35">
      <c r="A319" s="113">
        <v>-0.40019063034759506</v>
      </c>
      <c r="B319" s="114">
        <v>0.10114804974051779</v>
      </c>
      <c r="C319" s="114">
        <v>0.87720415197826251</v>
      </c>
      <c r="D319" s="115">
        <v>-0.24521298327735708</v>
      </c>
      <c r="F319" s="30">
        <f>INDEX(A319:D327,,F314)</f>
        <v>0.87720415197826251</v>
      </c>
      <c r="G319" s="26">
        <f>INDEX(A315:D323,,G314)</f>
        <v>-0.24521298327735708</v>
      </c>
      <c r="I319" s="30">
        <f t="shared" si="105"/>
        <v>0.7093577170801213</v>
      </c>
      <c r="J319">
        <f t="shared" si="106"/>
        <v>-0.43020369409974779</v>
      </c>
      <c r="K319">
        <f t="shared" si="107"/>
        <v>0.31811315236405208</v>
      </c>
      <c r="L319" s="26">
        <f t="shared" si="104"/>
        <v>-0.30516831032603192</v>
      </c>
      <c r="N319" s="94">
        <f>COS(O317)</f>
        <v>0.99999999999998546</v>
      </c>
      <c r="O319" s="96">
        <f>-N320</f>
        <v>-1.7079158302944181E-7</v>
      </c>
      <c r="Q319" s="30">
        <v>0.8772041100979362</v>
      </c>
      <c r="R319" s="26">
        <v>-0.24521313309643927</v>
      </c>
    </row>
    <row r="320" spans="1:18" x14ac:dyDescent="0.35">
      <c r="A320" s="113">
        <v>1.4320378389273353E-3</v>
      </c>
      <c r="B320" s="114">
        <v>-2.4803442213399515E-2</v>
      </c>
      <c r="C320" s="114">
        <v>0.99722035952111066</v>
      </c>
      <c r="D320" s="115">
        <v>7.0244523477503235E-2</v>
      </c>
      <c r="F320" s="30">
        <f>INDEX(A320:D328,,F314)</f>
        <v>0.99722035952111066</v>
      </c>
      <c r="G320" s="26">
        <f>INDEX(A315:D323,,G314)</f>
        <v>7.0244523477503235E-2</v>
      </c>
      <c r="I320" s="30">
        <f t="shared" si="105"/>
        <v>0.98951415236483165</v>
      </c>
      <c r="J320">
        <f t="shared" si="106"/>
        <v>0.14009853791324975</v>
      </c>
      <c r="K320">
        <f t="shared" si="107"/>
        <v>0.95951065740486097</v>
      </c>
      <c r="L320" s="26">
        <f t="shared" si="104"/>
        <v>0.13862948599078156</v>
      </c>
      <c r="N320" s="27">
        <f>SIN(O317)</f>
        <v>1.7079158302944181E-7</v>
      </c>
      <c r="O320" s="29">
        <f>N319</f>
        <v>0.99999999999998546</v>
      </c>
      <c r="Q320" s="30">
        <v>0.99722037151826948</v>
      </c>
      <c r="R320" s="26">
        <v>7.0244353160658371E-2</v>
      </c>
    </row>
    <row r="321" spans="1:18" x14ac:dyDescent="0.35">
      <c r="A321" s="113">
        <v>-0.9771492016372969</v>
      </c>
      <c r="B321" s="114">
        <v>-1.4712946732603105E-3</v>
      </c>
      <c r="C321" s="114">
        <v>0.13726020098277436</v>
      </c>
      <c r="D321" s="115">
        <v>-0.1622865067026408</v>
      </c>
      <c r="F321" s="30">
        <f>INDEX(A321:D329,,F314)</f>
        <v>0.13726020098277436</v>
      </c>
      <c r="G321" s="26">
        <f>INDEX(A315:D323,,G314)</f>
        <v>-0.1622865067026408</v>
      </c>
      <c r="I321" s="30">
        <f t="shared" si="105"/>
        <v>-7.4965474839146645E-3</v>
      </c>
      <c r="J321">
        <f t="shared" si="106"/>
        <v>-4.4550957053593673E-2</v>
      </c>
      <c r="K321">
        <f t="shared" si="107"/>
        <v>-1.9285895502125607E-3</v>
      </c>
      <c r="L321" s="26">
        <f t="shared" si="104"/>
        <v>3.3397836500610793E-4</v>
      </c>
      <c r="Q321" s="30">
        <v>0.13726017326560297</v>
      </c>
      <c r="R321" s="26">
        <v>-0.16228653014552546</v>
      </c>
    </row>
    <row r="322" spans="1:18" x14ac:dyDescent="0.35">
      <c r="A322" s="113">
        <v>-0.72024965265711782</v>
      </c>
      <c r="B322" s="114">
        <v>0.20370847712026638</v>
      </c>
      <c r="C322" s="114">
        <v>0.55084727725908078</v>
      </c>
      <c r="D322" s="115">
        <v>-0.36920261555533457</v>
      </c>
      <c r="F322" s="30">
        <f>INDEX(A322:D330,,F314)</f>
        <v>0.55084727725908078</v>
      </c>
      <c r="G322" s="26">
        <f>INDEX(A315:D323,,G314)</f>
        <v>-0.36920261555533457</v>
      </c>
      <c r="I322" s="30">
        <f t="shared" si="105"/>
        <v>0.16712215153084245</v>
      </c>
      <c r="J322">
        <f t="shared" si="106"/>
        <v>-0.40674851107117438</v>
      </c>
      <c r="K322">
        <f t="shared" si="107"/>
        <v>-0.13751453772631939</v>
      </c>
      <c r="L322" s="26">
        <f t="shared" si="104"/>
        <v>-6.7976686302181358E-2</v>
      </c>
      <c r="Q322" s="30">
        <v>0.55084721420237359</v>
      </c>
      <c r="R322" s="26">
        <v>-0.36920270963540769</v>
      </c>
    </row>
    <row r="323" spans="1:18" x14ac:dyDescent="0.35">
      <c r="A323" s="116">
        <v>-0.10311381707958901</v>
      </c>
      <c r="B323" s="117">
        <v>0.92632735375484221</v>
      </c>
      <c r="C323" s="117">
        <v>-0.20014266667719571</v>
      </c>
      <c r="D323" s="118">
        <v>-0.30203987714897784</v>
      </c>
      <c r="F323" s="27">
        <f>INDEX(A323:D331,,F314)</f>
        <v>-0.20014266667719571</v>
      </c>
      <c r="G323" s="29">
        <f>INDEX(A315:D323,,G314)</f>
        <v>-0.30203987714897784</v>
      </c>
      <c r="I323" s="27">
        <f t="shared" si="105"/>
        <v>-5.1171000363510556E-2</v>
      </c>
      <c r="J323" s="28">
        <f t="shared" si="106"/>
        <v>0.12090213291089803</v>
      </c>
      <c r="K323" s="28">
        <f t="shared" si="107"/>
        <v>-1.1998854464202055E-2</v>
      </c>
      <c r="L323" s="29">
        <f t="shared" si="104"/>
        <v>-6.1866830871327647E-3</v>
      </c>
      <c r="Q323" s="27">
        <v>-0.20014271826306154</v>
      </c>
      <c r="R323" s="29">
        <v>-0.30203984296629061</v>
      </c>
    </row>
    <row r="324" spans="1:18" x14ac:dyDescent="0.35">
      <c r="I324">
        <f>SUM(I315:I323)</f>
        <v>0.87455618017191583</v>
      </c>
      <c r="J324">
        <f>SUM(J315:J323)</f>
        <v>-0.59830745115904382</v>
      </c>
      <c r="K324">
        <f>SUM(K315:K323)</f>
        <v>2.0015138691587206</v>
      </c>
      <c r="L324">
        <f>SUM(L315:L323)</f>
        <v>-5.8138607209475883E-2</v>
      </c>
    </row>
    <row r="325" spans="1:18" x14ac:dyDescent="0.35">
      <c r="A325" s="12" t="s">
        <v>2</v>
      </c>
      <c r="B325">
        <f>COUNT(A315:A323)</f>
        <v>9</v>
      </c>
      <c r="I325" s="12" t="s">
        <v>16</v>
      </c>
      <c r="J325" s="12" t="s">
        <v>258</v>
      </c>
      <c r="K325" s="12" t="s">
        <v>18</v>
      </c>
      <c r="L325" s="12" t="s">
        <v>19</v>
      </c>
      <c r="N325" s="12"/>
    </row>
    <row r="327" spans="1:18" x14ac:dyDescent="0.3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12" t="s">
        <v>251</v>
      </c>
      <c r="J327" s="12" t="s">
        <v>252</v>
      </c>
      <c r="K327" s="12" t="s">
        <v>253</v>
      </c>
      <c r="L327" s="12" t="s">
        <v>254</v>
      </c>
      <c r="Q327">
        <f>F327</f>
        <v>1</v>
      </c>
      <c r="R327">
        <f>G327</f>
        <v>2</v>
      </c>
    </row>
    <row r="328" spans="1:18" x14ac:dyDescent="0.35">
      <c r="A328" s="110">
        <f t="array" ref="A328:A336">IF(A327=$Q314,$Q315:$Q323,IF(A327=$R314,$R315:$R323,A315:A323))</f>
        <v>-9.1280476661328908E-2</v>
      </c>
      <c r="B328" s="111">
        <f t="array" ref="B328:B336">IF(B327=$Q314,$Q315:$Q323,IF(B327=$R314,$R315:$R323,B315:B323))</f>
        <v>-0.88932094108737936</v>
      </c>
      <c r="C328" s="111">
        <f t="array" ref="C328:C336">IF(C327=$Q314,$Q315:$Q323,IF(C327=$R314,$R315:$R323,C315:C323))</f>
        <v>-0.343268460277809</v>
      </c>
      <c r="D328" s="112">
        <f t="array" ref="D328:D336">IF(D327=$Q314,$Q315:$Q323,IF(D327=$R314,$R315:$R323,D315:D323))</f>
        <v>-0.28799809461599107</v>
      </c>
      <c r="F328" s="94">
        <f>INDEX(A328:D336,,F327)</f>
        <v>-9.1280476661328908E-2</v>
      </c>
      <c r="G328" s="96">
        <f>INDEX(A328:D336,,G327)</f>
        <v>-0.88932094108737936</v>
      </c>
      <c r="I328" s="94">
        <f>F328^2-G328^2</f>
        <v>-0.78255961083702263</v>
      </c>
      <c r="J328" s="95">
        <f>2*F328*G328</f>
        <v>0.16235527881471518</v>
      </c>
      <c r="K328" s="95">
        <f>I328^2-J328^2</f>
        <v>0.58604030795438844</v>
      </c>
      <c r="L328" s="96">
        <f t="shared" ref="L328:L336" si="108">I328*J328</f>
        <v>-0.1270526838065798</v>
      </c>
      <c r="N328" t="s">
        <v>12</v>
      </c>
      <c r="O328" s="51">
        <f>2*L337*B338-2*I337*J337</f>
        <v>3.2673083261718361E-3</v>
      </c>
      <c r="Q328" s="94">
        <f t="array" ref="Q328:R336">MMULT(F328:G336,N332:O333)</f>
        <v>-9.1314985886446362E-2</v>
      </c>
      <c r="R328" s="96">
        <v>-0.88931739836158585</v>
      </c>
    </row>
    <row r="329" spans="1:18" x14ac:dyDescent="0.35">
      <c r="A329" s="113">
        <v>-0.80893643665245318</v>
      </c>
      <c r="B329" s="114">
        <v>0.58097356983272008</v>
      </c>
      <c r="C329" s="114">
        <v>5.8243153650467956E-2</v>
      </c>
      <c r="D329" s="115">
        <v>6.8551350568061983E-2</v>
      </c>
      <c r="F329" s="30">
        <f>INDEX(A329:D337,,F327)</f>
        <v>-0.80893643665245318</v>
      </c>
      <c r="G329" s="26">
        <f>INDEX(A328:D336,,G327)</f>
        <v>0.58097356983272008</v>
      </c>
      <c r="I329" s="30">
        <f t="shared" ref="I329:I336" si="109">F329^2-G329^2</f>
        <v>0.31684786969979395</v>
      </c>
      <c r="J329">
        <f t="shared" ref="J329:J336" si="110">2*F329*G329</f>
        <v>-0.93994137873947148</v>
      </c>
      <c r="K329">
        <f t="shared" ref="K329:K336" si="111">I329^2-J329^2</f>
        <v>-0.78309722293336093</v>
      </c>
      <c r="L329" s="26">
        <f t="shared" si="108"/>
        <v>-0.29781842349628873</v>
      </c>
      <c r="N329" t="s">
        <v>255</v>
      </c>
      <c r="O329" s="52">
        <f>K337*B338-(I337^2-J337^2)</f>
        <v>21.050022820030222</v>
      </c>
      <c r="Q329" s="30">
        <v>-0.80891389189011509</v>
      </c>
      <c r="R329" s="26">
        <v>0.58100495944125141</v>
      </c>
    </row>
    <row r="330" spans="1:18" x14ac:dyDescent="0.35">
      <c r="A330" s="113">
        <v>-0.9863103713513437</v>
      </c>
      <c r="B330" s="114">
        <v>-0.14235585132659864</v>
      </c>
      <c r="C330" s="114">
        <v>8.0851961527159191E-2</v>
      </c>
      <c r="D330" s="115">
        <v>-1.9738877249356926E-2</v>
      </c>
      <c r="F330" s="30">
        <f>INDEX(A330:D338,,F327)</f>
        <v>-0.9863103713513437</v>
      </c>
      <c r="G330" s="26">
        <f>INDEX(A328:D336,,G327)</f>
        <v>-0.14235585132659864</v>
      </c>
      <c r="I330" s="30">
        <f t="shared" si="109"/>
        <v>0.95254296022830476</v>
      </c>
      <c r="J330">
        <f t="shared" si="110"/>
        <v>0.28081410517194838</v>
      </c>
      <c r="K330">
        <f t="shared" si="111"/>
        <v>0.82848152941697972</v>
      </c>
      <c r="L330" s="26">
        <f t="shared" si="108"/>
        <v>0.26748749901435021</v>
      </c>
      <c r="N330" t="s">
        <v>256</v>
      </c>
      <c r="O330" s="53">
        <f>0.25*ATAN(O328/O329)</f>
        <v>3.8804094511764832E-5</v>
      </c>
      <c r="Q330" s="30">
        <v>-0.9863158945986793</v>
      </c>
      <c r="R330" s="26">
        <v>-0.14231757833856368</v>
      </c>
    </row>
    <row r="331" spans="1:18" x14ac:dyDescent="0.35">
      <c r="A331" s="113">
        <v>-0.10438557933008505</v>
      </c>
      <c r="B331" s="114">
        <v>5.1626731616735517E-3</v>
      </c>
      <c r="C331" s="114">
        <v>9.1038412907884461E-2</v>
      </c>
      <c r="D331" s="115">
        <v>-0.99034792119182102</v>
      </c>
      <c r="F331" s="30">
        <f>INDEX(A331:D338,,F327)</f>
        <v>-0.10438557933008505</v>
      </c>
      <c r="G331" s="26">
        <f>INDEX(A328:D336,,G327)</f>
        <v>5.1626731616735517E-3</v>
      </c>
      <c r="I331" s="30">
        <f t="shared" si="109"/>
        <v>1.0869695977903214E-2</v>
      </c>
      <c r="J331">
        <f t="shared" si="110"/>
        <v>-1.077817257746351E-3</v>
      </c>
      <c r="K331">
        <f t="shared" si="111"/>
        <v>1.1698860061094944E-4</v>
      </c>
      <c r="L331" s="26">
        <f t="shared" si="108"/>
        <v>-1.1715545911440182E-5</v>
      </c>
      <c r="Q331" s="30">
        <v>-0.10438537891863811</v>
      </c>
      <c r="R331" s="26">
        <v>5.1667237456716579E-3</v>
      </c>
    </row>
    <row r="332" spans="1:18" x14ac:dyDescent="0.35">
      <c r="A332" s="113">
        <v>-0.40019063034759506</v>
      </c>
      <c r="B332" s="114">
        <v>0.10114804974051779</v>
      </c>
      <c r="C332" s="114">
        <v>0.8772041100979362</v>
      </c>
      <c r="D332" s="115">
        <v>-0.24521313309643927</v>
      </c>
      <c r="F332" s="30">
        <f>INDEX(A332:D338,,F327)</f>
        <v>-0.40019063034759506</v>
      </c>
      <c r="G332" s="26">
        <f>INDEX(A328:D336,,G327)</f>
        <v>0.10114804974051779</v>
      </c>
      <c r="I332" s="30">
        <f t="shared" si="109"/>
        <v>0.14992161265169521</v>
      </c>
      <c r="J332">
        <f t="shared" si="110"/>
        <v>-8.0957003568175423E-2</v>
      </c>
      <c r="K332">
        <f t="shared" si="111"/>
        <v>1.5922453513347368E-2</v>
      </c>
      <c r="L332" s="26">
        <f t="shared" si="108"/>
        <v>-1.2137204530389903E-2</v>
      </c>
      <c r="N332" s="94">
        <f>COS(O330)</f>
        <v>0.99999999924712113</v>
      </c>
      <c r="O332" s="96">
        <f>-N333</f>
        <v>-3.8804094502026569E-5</v>
      </c>
      <c r="Q332" s="30">
        <v>-0.40018670508781917</v>
      </c>
      <c r="R332" s="26">
        <v>0.1011635786994044</v>
      </c>
    </row>
    <row r="333" spans="1:18" x14ac:dyDescent="0.35">
      <c r="A333" s="113">
        <v>1.4320378389273353E-3</v>
      </c>
      <c r="B333" s="114">
        <v>-2.4803442213399515E-2</v>
      </c>
      <c r="C333" s="114">
        <v>0.99722037151826948</v>
      </c>
      <c r="D333" s="115">
        <v>7.0244353160658371E-2</v>
      </c>
      <c r="F333" s="30">
        <f>INDEX(A333:D338,,F327)</f>
        <v>1.4320378389273353E-3</v>
      </c>
      <c r="G333" s="26">
        <f>INDEX(A328:D336,,G327)</f>
        <v>-2.4803442213399515E-2</v>
      </c>
      <c r="I333" s="30">
        <f t="shared" si="109"/>
        <v>-6.1316001326132939E-4</v>
      </c>
      <c r="J333">
        <f t="shared" si="110"/>
        <v>-7.1038935570471375E-5</v>
      </c>
      <c r="K333">
        <f t="shared" si="111"/>
        <v>3.7091867149564809E-7</v>
      </c>
      <c r="L333" s="26">
        <f t="shared" si="108"/>
        <v>4.3558234676460953E-8</v>
      </c>
      <c r="N333" s="27">
        <f>SIN(O330)</f>
        <v>3.8804094502026569E-5</v>
      </c>
      <c r="O333" s="29">
        <f>N332</f>
        <v>0.99999999924712113</v>
      </c>
      <c r="Q333" s="30">
        <v>1.43107536273356E-3</v>
      </c>
      <c r="R333" s="26">
        <v>-2.4803497763657163E-2</v>
      </c>
    </row>
    <row r="334" spans="1:18" x14ac:dyDescent="0.35">
      <c r="A334" s="113">
        <v>-0.9771492016372969</v>
      </c>
      <c r="B334" s="114">
        <v>-1.4712946732603105E-3</v>
      </c>
      <c r="C334" s="114">
        <v>0.13726017326560297</v>
      </c>
      <c r="D334" s="115">
        <v>-0.16228653014552546</v>
      </c>
      <c r="F334" s="30">
        <f>INDEX(A334:D338,,F327)</f>
        <v>-0.9771492016372969</v>
      </c>
      <c r="G334" s="26">
        <f>INDEX(A328:D336,,G327)</f>
        <v>-1.4712946732603105E-3</v>
      </c>
      <c r="I334" s="30">
        <f t="shared" si="109"/>
        <v>0.95481839755239106</v>
      </c>
      <c r="J334">
        <f t="shared" si="110"/>
        <v>2.8753488306990402E-3</v>
      </c>
      <c r="K334">
        <f t="shared" si="111"/>
        <v>0.91166990467361764</v>
      </c>
      <c r="L334" s="26">
        <f t="shared" si="108"/>
        <v>2.7454359629321989E-3</v>
      </c>
      <c r="Q334" s="30">
        <v>-0.97714925799387953</v>
      </c>
      <c r="R334" s="26">
        <v>-1.4333772821896905E-3</v>
      </c>
    </row>
    <row r="335" spans="1:18" x14ac:dyDescent="0.35">
      <c r="A335" s="113">
        <v>-0.72024965265711782</v>
      </c>
      <c r="B335" s="114">
        <v>0.20370847712026638</v>
      </c>
      <c r="C335" s="114">
        <v>0.55084721420237359</v>
      </c>
      <c r="D335" s="115">
        <v>-0.36920270963540769</v>
      </c>
      <c r="F335" s="30">
        <f>INDEX(A335:D338,,F327)</f>
        <v>-0.72024965265711782</v>
      </c>
      <c r="G335" s="26">
        <f>INDEX(A328:D336,,G327)</f>
        <v>0.20370847712026638</v>
      </c>
      <c r="I335" s="30">
        <f t="shared" si="109"/>
        <v>0.47726241850204082</v>
      </c>
      <c r="J335">
        <f t="shared" si="110"/>
        <v>-0.29344191977836459</v>
      </c>
      <c r="K335">
        <f t="shared" si="111"/>
        <v>0.14167125583120499</v>
      </c>
      <c r="L335" s="26">
        <f t="shared" si="108"/>
        <v>-0.14004880032330413</v>
      </c>
      <c r="Q335" s="30">
        <v>-0.72024174739185998</v>
      </c>
      <c r="R335" s="26">
        <v>0.20373642560248531</v>
      </c>
    </row>
    <row r="336" spans="1:18" x14ac:dyDescent="0.35">
      <c r="A336" s="116">
        <v>-0.10311381707958901</v>
      </c>
      <c r="B336" s="117">
        <v>0.92632735375484221</v>
      </c>
      <c r="C336" s="117">
        <v>-0.20014271826306154</v>
      </c>
      <c r="D336" s="118">
        <v>-0.30203984296629061</v>
      </c>
      <c r="F336" s="27">
        <f>INDEX(A336:D338,,F327)</f>
        <v>-0.10311381707958901</v>
      </c>
      <c r="G336" s="29">
        <f>INDEX(A328:D336,,G327)</f>
        <v>0.92632735375484221</v>
      </c>
      <c r="I336" s="27">
        <f t="shared" si="109"/>
        <v>-0.84744990704172563</v>
      </c>
      <c r="J336" s="28">
        <f t="shared" si="110"/>
        <v>-0.19103429862179308</v>
      </c>
      <c r="K336" s="28">
        <f t="shared" si="111"/>
        <v>0.68167724169510902</v>
      </c>
      <c r="L336" s="29">
        <f t="shared" si="108"/>
        <v>0.16189199860881981</v>
      </c>
      <c r="Q336" s="27">
        <v>-0.10307787170778188</v>
      </c>
      <c r="R336" s="29">
        <v>0.92633135429573243</v>
      </c>
    </row>
    <row r="337" spans="1:14" x14ac:dyDescent="0.35">
      <c r="I337">
        <f>SUM(I328:I336)</f>
        <v>1.2316402767201196</v>
      </c>
      <c r="J337">
        <f>SUM(J328:J336)</f>
        <v>-1.0604787240837588</v>
      </c>
      <c r="K337">
        <f>SUM(K328:K336)</f>
        <v>2.3824828296705687</v>
      </c>
      <c r="L337">
        <f>SUM(L328:L336)</f>
        <v>-0.14494385055813713</v>
      </c>
    </row>
    <row r="338" spans="1:14" x14ac:dyDescent="0.35">
      <c r="A338" s="12" t="s">
        <v>2</v>
      </c>
      <c r="B338">
        <f>COUNT(A328:A336)</f>
        <v>9</v>
      </c>
      <c r="I338" s="12" t="s">
        <v>16</v>
      </c>
      <c r="J338" s="12" t="s">
        <v>258</v>
      </c>
      <c r="K338" s="12" t="s">
        <v>18</v>
      </c>
      <c r="L338" s="12" t="s">
        <v>19</v>
      </c>
      <c r="N338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1FB3-C3D6-4606-A147-27B37FC250F1}">
  <sheetPr codeName="Sheet31"/>
  <dimension ref="A1:AU962"/>
  <sheetViews>
    <sheetView workbookViewId="0"/>
  </sheetViews>
  <sheetFormatPr defaultRowHeight="14.5" x14ac:dyDescent="0.35"/>
  <sheetData>
    <row r="1" spans="1:47" x14ac:dyDescent="0.35">
      <c r="A1" s="10" t="s">
        <v>14</v>
      </c>
    </row>
    <row r="2" spans="1:47" x14ac:dyDescent="0.35">
      <c r="G2" t="s">
        <v>246</v>
      </c>
      <c r="L2" t="s">
        <v>247</v>
      </c>
      <c r="Q2" t="s">
        <v>248</v>
      </c>
      <c r="V2" t="s">
        <v>249</v>
      </c>
    </row>
    <row r="3" spans="1:47" x14ac:dyDescent="0.35">
      <c r="A3">
        <v>1</v>
      </c>
      <c r="B3">
        <v>2</v>
      </c>
      <c r="C3">
        <v>3</v>
      </c>
      <c r="D3">
        <v>4</v>
      </c>
      <c r="E3" s="12" t="s">
        <v>11</v>
      </c>
      <c r="G3">
        <v>1</v>
      </c>
      <c r="H3">
        <v>2</v>
      </c>
      <c r="I3">
        <v>3</v>
      </c>
      <c r="J3">
        <v>4</v>
      </c>
      <c r="L3">
        <v>1</v>
      </c>
      <c r="M3">
        <v>2</v>
      </c>
      <c r="N3">
        <v>3</v>
      </c>
      <c r="O3">
        <v>4</v>
      </c>
      <c r="Q3">
        <v>1</v>
      </c>
      <c r="R3">
        <v>2</v>
      </c>
      <c r="S3">
        <v>3</v>
      </c>
      <c r="T3">
        <v>4</v>
      </c>
    </row>
    <row r="4" spans="1:47" x14ac:dyDescent="0.35">
      <c r="A4" s="94">
        <f t="array" ref="A4:D12">[1]Factor!B44:E52</f>
        <v>0.1844378805524543</v>
      </c>
      <c r="B4" s="95">
        <v>-0.76673944089161195</v>
      </c>
      <c r="C4" s="95">
        <v>-0.27758481196282242</v>
      </c>
      <c r="D4" s="96">
        <v>-0.11515839253508237</v>
      </c>
      <c r="E4" s="51">
        <f>SUMSQ(A4:D4)</f>
        <v>0.71222148520516271</v>
      </c>
      <c r="G4" s="94">
        <f>A4/SQRT($E4)</f>
        <v>0.21854586186362829</v>
      </c>
      <c r="H4" s="95">
        <f t="shared" ref="H4:J12" si="0">B4/SQRT($E4)</f>
        <v>-0.9085320837160531</v>
      </c>
      <c r="I4" s="95">
        <f t="shared" si="0"/>
        <v>-0.32891839674667611</v>
      </c>
      <c r="J4" s="96">
        <f t="shared" si="0"/>
        <v>-0.13645456167694339</v>
      </c>
      <c r="L4" s="94">
        <f>A328</f>
        <v>-9.1280476661328908E-2</v>
      </c>
      <c r="M4" s="95">
        <f t="shared" ref="M4:O12" si="1">B328</f>
        <v>-0.88932094108737936</v>
      </c>
      <c r="N4" s="95">
        <f t="shared" si="1"/>
        <v>-0.343268460277809</v>
      </c>
      <c r="O4" s="96">
        <f t="shared" si="1"/>
        <v>-0.28799809461599107</v>
      </c>
      <c r="Q4" s="94">
        <f>L4*SQRT($E4)</f>
        <v>-7.703452953842066E-2</v>
      </c>
      <c r="R4" s="95">
        <f t="shared" ref="R4:T12" si="2">M4*SQRT($E4)</f>
        <v>-0.75052653985926721</v>
      </c>
      <c r="S4" s="95">
        <f t="shared" si="2"/>
        <v>-0.28969529202822281</v>
      </c>
      <c r="T4" s="96">
        <f t="shared" si="2"/>
        <v>-0.24305085313060679</v>
      </c>
      <c r="V4" s="94">
        <f>A4</f>
        <v>0.1844378805524543</v>
      </c>
      <c r="W4" s="95">
        <f t="shared" ref="W4:Y12" si="3">B4</f>
        <v>-0.76673944089161195</v>
      </c>
      <c r="X4" s="95">
        <f t="shared" si="3"/>
        <v>-0.27758481196282242</v>
      </c>
      <c r="Y4" s="96">
        <f t="shared" si="3"/>
        <v>-0.11515839253508237</v>
      </c>
      <c r="Z4" s="94">
        <f>Q4</f>
        <v>-7.703452953842066E-2</v>
      </c>
      <c r="AA4" s="95">
        <f t="shared" ref="AA4:AC12" si="4">R4</f>
        <v>-0.75052653985926721</v>
      </c>
      <c r="AB4" s="95">
        <f t="shared" si="4"/>
        <v>-0.28969529202822281</v>
      </c>
      <c r="AC4" s="96">
        <f t="shared" si="4"/>
        <v>-0.24305085313060679</v>
      </c>
      <c r="AI4" s="110">
        <v>0.2868162169295429</v>
      </c>
      <c r="AJ4" s="111">
        <v>7.5371712423519005E-2</v>
      </c>
      <c r="AK4" s="112">
        <v>0.84088412384119726</v>
      </c>
      <c r="AL4" s="94">
        <v>2.134470470531338E-2</v>
      </c>
      <c r="AM4" s="95">
        <v>0.23770392074205507</v>
      </c>
      <c r="AN4" s="96">
        <v>0.85911105027260837</v>
      </c>
      <c r="AP4" s="94" t="e">
        <f t="array" aca="1" ref="AP4:AU12" ca="1">ELIM(AI4:AN12)</f>
        <v>#NAME?</v>
      </c>
      <c r="AQ4" s="95" t="e">
        <f ca="1"/>
        <v>#NAME?</v>
      </c>
      <c r="AR4" s="95" t="e">
        <f ca="1"/>
        <v>#NAME?</v>
      </c>
      <c r="AS4" s="95" t="e">
        <f ca="1"/>
        <v>#NAME?</v>
      </c>
      <c r="AT4" s="95" t="e">
        <f ca="1"/>
        <v>#NAME?</v>
      </c>
      <c r="AU4" s="96" t="e">
        <f ca="1"/>
        <v>#NAME?</v>
      </c>
    </row>
    <row r="5" spans="1:47" x14ac:dyDescent="0.35">
      <c r="A5" s="30">
        <v>-0.69848518848974095</v>
      </c>
      <c r="B5">
        <v>0.30363015858216291</v>
      </c>
      <c r="C5">
        <v>-0.19538523477740502</v>
      </c>
      <c r="D5" s="26">
        <v>0.26479923502475183</v>
      </c>
      <c r="E5" s="52">
        <f t="shared" ref="E5:E12" si="5">SUMSQ(A5:D5)</f>
        <v>0.68836685657889374</v>
      </c>
      <c r="G5" s="30">
        <f t="shared" ref="G5:G12" si="6">A5/SQRT($E5)</f>
        <v>-0.84187424842749725</v>
      </c>
      <c r="H5">
        <f t="shared" si="0"/>
        <v>0.36596110521538228</v>
      </c>
      <c r="I5">
        <f t="shared" si="0"/>
        <v>-0.23549504039980643</v>
      </c>
      <c r="J5" s="26">
        <f t="shared" si="0"/>
        <v>0.31915874616132023</v>
      </c>
      <c r="L5" s="30">
        <f t="shared" ref="L5:L12" si="7">A329</f>
        <v>-0.80893643665245318</v>
      </c>
      <c r="M5">
        <f t="shared" si="1"/>
        <v>0.58097356983272008</v>
      </c>
      <c r="N5">
        <f t="shared" si="1"/>
        <v>5.8243153650467956E-2</v>
      </c>
      <c r="O5" s="26">
        <f t="shared" si="1"/>
        <v>6.8551350568061983E-2</v>
      </c>
      <c r="Q5" s="30">
        <f t="shared" ref="Q5:Q12" si="8">L5*SQRT($E5)</f>
        <v>-0.67115738542520453</v>
      </c>
      <c r="R5">
        <f t="shared" si="2"/>
        <v>0.48202143513730844</v>
      </c>
      <c r="S5">
        <f t="shared" si="2"/>
        <v>4.8323107912817471E-2</v>
      </c>
      <c r="T5" s="26">
        <f t="shared" si="2"/>
        <v>5.6875600022445301E-2</v>
      </c>
      <c r="V5" s="30">
        <f t="shared" ref="V5:V12" si="9">A5</f>
        <v>-0.69848518848974095</v>
      </c>
      <c r="W5">
        <f t="shared" si="3"/>
        <v>0.30363015858216291</v>
      </c>
      <c r="X5">
        <f t="shared" si="3"/>
        <v>-0.19538523477740502</v>
      </c>
      <c r="Y5" s="26">
        <f t="shared" si="3"/>
        <v>0.26479923502475183</v>
      </c>
      <c r="Z5" s="30">
        <f t="shared" ref="Z5:Z12" si="10">Q5</f>
        <v>-0.67115738542520453</v>
      </c>
      <c r="AA5">
        <f t="shared" si="4"/>
        <v>0.48202143513730844</v>
      </c>
      <c r="AB5">
        <f t="shared" si="4"/>
        <v>4.8323107912817471E-2</v>
      </c>
      <c r="AC5" s="26">
        <f t="shared" si="4"/>
        <v>5.6875600022445301E-2</v>
      </c>
      <c r="AI5" s="113">
        <v>0.69807369973808031</v>
      </c>
      <c r="AJ5" s="114">
        <v>0.15333673618444155</v>
      </c>
      <c r="AK5" s="115">
        <v>8.3684842863132464E-2</v>
      </c>
      <c r="AL5" s="30">
        <v>0.4380521684646308</v>
      </c>
      <c r="AM5">
        <v>0.54610705803162629</v>
      </c>
      <c r="AN5" s="26">
        <v>0.16643189816322013</v>
      </c>
      <c r="AP5" s="30" t="e">
        <f ca="1"/>
        <v>#NAME?</v>
      </c>
      <c r="AQ5" t="e">
        <f ca="1"/>
        <v>#NAME?</v>
      </c>
      <c r="AR5" t="e">
        <f ca="1"/>
        <v>#NAME?</v>
      </c>
      <c r="AS5" t="e">
        <f ca="1"/>
        <v>#NAME?</v>
      </c>
      <c r="AT5" t="e">
        <f ca="1"/>
        <v>#NAME?</v>
      </c>
      <c r="AU5" s="26" t="e">
        <f ca="1"/>
        <v>#NAME?</v>
      </c>
    </row>
    <row r="6" spans="1:47" x14ac:dyDescent="0.35">
      <c r="A6" s="30">
        <v>-0.75409390641255714</v>
      </c>
      <c r="B6">
        <v>-0.34865162907379493</v>
      </c>
      <c r="C6">
        <v>-0.20204851885995068</v>
      </c>
      <c r="D6" s="26">
        <v>0.30587511636389098</v>
      </c>
      <c r="E6" s="52">
        <f t="shared" si="5"/>
        <v>0.82459876892848516</v>
      </c>
      <c r="G6" s="30">
        <f t="shared" si="6"/>
        <v>-0.83043202746502165</v>
      </c>
      <c r="H6">
        <f t="shared" si="0"/>
        <v>-0.38394618594402813</v>
      </c>
      <c r="I6">
        <f t="shared" si="0"/>
        <v>-0.22250221058195188</v>
      </c>
      <c r="J6" s="26">
        <f t="shared" si="0"/>
        <v>0.33683933907059044</v>
      </c>
      <c r="L6" s="30">
        <f t="shared" si="7"/>
        <v>-0.9863103713513437</v>
      </c>
      <c r="M6">
        <f t="shared" si="1"/>
        <v>-0.14235585132659864</v>
      </c>
      <c r="N6">
        <f t="shared" si="1"/>
        <v>8.0851961527159191E-2</v>
      </c>
      <c r="O6" s="26">
        <f t="shared" si="1"/>
        <v>-1.9738877249356926E-2</v>
      </c>
      <c r="Q6" s="30">
        <f t="shared" si="8"/>
        <v>-0.89564301022684578</v>
      </c>
      <c r="R6">
        <f t="shared" si="2"/>
        <v>-0.12926967708032144</v>
      </c>
      <c r="S6">
        <f t="shared" si="2"/>
        <v>7.3419581004420434E-2</v>
      </c>
      <c r="T6" s="26">
        <f t="shared" si="2"/>
        <v>-1.7924365343426594E-2</v>
      </c>
      <c r="V6" s="30">
        <f t="shared" si="9"/>
        <v>-0.75409390641255714</v>
      </c>
      <c r="W6">
        <f t="shared" si="3"/>
        <v>-0.34865162907379493</v>
      </c>
      <c r="X6">
        <f t="shared" si="3"/>
        <v>-0.20204851885995068</v>
      </c>
      <c r="Y6" s="26">
        <f t="shared" si="3"/>
        <v>0.30587511636389098</v>
      </c>
      <c r="Z6" s="30">
        <f t="shared" si="10"/>
        <v>-0.89564301022684578</v>
      </c>
      <c r="AA6">
        <f t="shared" si="4"/>
        <v>-0.12926967708032144</v>
      </c>
      <c r="AB6">
        <f t="shared" si="4"/>
        <v>7.3419581004420434E-2</v>
      </c>
      <c r="AC6" s="26">
        <f t="shared" si="4"/>
        <v>-1.7924365343426594E-2</v>
      </c>
      <c r="AI6" s="113">
        <v>0.74438594238915312</v>
      </c>
      <c r="AJ6" s="114">
        <v>-0.40957759030043861</v>
      </c>
      <c r="AK6" s="115">
        <v>-2.0342245616596158E-2</v>
      </c>
      <c r="AL6" s="30">
        <v>0.82914282581978305</v>
      </c>
      <c r="AM6">
        <v>0.1265547980110012</v>
      </c>
      <c r="AN6" s="26">
        <v>0.13705509166611762</v>
      </c>
      <c r="AP6" s="30" t="e">
        <f ca="1"/>
        <v>#NAME?</v>
      </c>
      <c r="AQ6" t="e">
        <f ca="1"/>
        <v>#NAME?</v>
      </c>
      <c r="AR6" t="e">
        <f ca="1"/>
        <v>#NAME?</v>
      </c>
      <c r="AS6" t="e">
        <f ca="1"/>
        <v>#NAME?</v>
      </c>
      <c r="AT6" t="e">
        <f ca="1"/>
        <v>#NAME?</v>
      </c>
      <c r="AU6" s="26" t="e">
        <f ca="1"/>
        <v>#NAME?</v>
      </c>
    </row>
    <row r="7" spans="1:47" x14ac:dyDescent="0.35">
      <c r="A7" s="30">
        <v>-0.36597842708944234</v>
      </c>
      <c r="B7">
        <v>-0.16252503821235828</v>
      </c>
      <c r="C7">
        <v>-0.19730233536299194</v>
      </c>
      <c r="D7" s="26">
        <v>-0.84984515758013812</v>
      </c>
      <c r="E7" s="52">
        <f t="shared" si="5"/>
        <v>0.92151960054289106</v>
      </c>
      <c r="G7" s="30">
        <f t="shared" si="6"/>
        <v>-0.38124415825934083</v>
      </c>
      <c r="H7">
        <f t="shared" si="0"/>
        <v>-0.16930429993403617</v>
      </c>
      <c r="I7">
        <f t="shared" si="0"/>
        <v>-0.20553223141123222</v>
      </c>
      <c r="J7" s="26">
        <f t="shared" si="0"/>
        <v>-0.88529398940018356</v>
      </c>
      <c r="L7" s="30">
        <f t="shared" si="7"/>
        <v>-0.10438557933008505</v>
      </c>
      <c r="M7">
        <f t="shared" si="1"/>
        <v>5.1626731616735517E-3</v>
      </c>
      <c r="N7">
        <f t="shared" si="1"/>
        <v>9.1038412907884461E-2</v>
      </c>
      <c r="O7" s="26">
        <f t="shared" si="1"/>
        <v>-0.99034792119182102</v>
      </c>
      <c r="Q7" s="30">
        <f t="shared" si="8"/>
        <v>-0.10020578494492571</v>
      </c>
      <c r="R7">
        <f t="shared" si="2"/>
        <v>4.9559500450125837E-3</v>
      </c>
      <c r="S7">
        <f t="shared" si="2"/>
        <v>8.739306410062328E-2</v>
      </c>
      <c r="T7" s="26">
        <f t="shared" si="2"/>
        <v>-0.95069253290047329</v>
      </c>
      <c r="V7" s="30">
        <f t="shared" si="9"/>
        <v>-0.36597842708944234</v>
      </c>
      <c r="W7">
        <f t="shared" si="3"/>
        <v>-0.16252503821235828</v>
      </c>
      <c r="X7">
        <f t="shared" si="3"/>
        <v>-0.19730233536299194</v>
      </c>
      <c r="Y7" s="26">
        <f t="shared" si="3"/>
        <v>-0.84984515758013812</v>
      </c>
      <c r="Z7" s="30">
        <f t="shared" si="10"/>
        <v>-0.10020578494492571</v>
      </c>
      <c r="AA7">
        <f t="shared" si="4"/>
        <v>4.9559500450125837E-3</v>
      </c>
      <c r="AB7">
        <f t="shared" si="4"/>
        <v>8.739306410062328E-2</v>
      </c>
      <c r="AC7" s="26">
        <f t="shared" si="4"/>
        <v>-0.95069253290047329</v>
      </c>
      <c r="AI7" s="113">
        <v>0.47052553753531157</v>
      </c>
      <c r="AJ7" s="114">
        <v>0.52224511849987132</v>
      </c>
      <c r="AK7" s="115">
        <v>0.13489810567247856</v>
      </c>
      <c r="AL7" s="30">
        <v>3.0942332300160295E-2</v>
      </c>
      <c r="AM7">
        <v>0.70123649207596495</v>
      </c>
      <c r="AN7" s="26">
        <v>0.14014884386495546</v>
      </c>
      <c r="AP7" s="30" t="e">
        <f ca="1"/>
        <v>#NAME?</v>
      </c>
      <c r="AQ7" t="e">
        <f ca="1"/>
        <v>#NAME?</v>
      </c>
      <c r="AR7" t="e">
        <f ca="1"/>
        <v>#NAME?</v>
      </c>
      <c r="AS7" t="e">
        <f ca="1"/>
        <v>#NAME?</v>
      </c>
      <c r="AT7" t="e">
        <f ca="1"/>
        <v>#NAME?</v>
      </c>
      <c r="AU7" s="26" t="e">
        <f ca="1"/>
        <v>#NAME?</v>
      </c>
    </row>
    <row r="8" spans="1:47" x14ac:dyDescent="0.35">
      <c r="A8" s="30">
        <v>-0.57816295036903409</v>
      </c>
      <c r="B8">
        <v>-4.4133810816554792E-2</v>
      </c>
      <c r="C8">
        <v>0.45272186814134935</v>
      </c>
      <c r="D8" s="26">
        <v>-0.15789519627101323</v>
      </c>
      <c r="E8" s="52">
        <f t="shared" si="5"/>
        <v>0.56610817333547281</v>
      </c>
      <c r="G8" s="30">
        <f t="shared" si="6"/>
        <v>-0.76842333599820989</v>
      </c>
      <c r="H8">
        <f t="shared" si="0"/>
        <v>-5.8657252451621796E-2</v>
      </c>
      <c r="I8">
        <f t="shared" si="0"/>
        <v>0.60170242312218147</v>
      </c>
      <c r="J8" s="26">
        <f t="shared" si="0"/>
        <v>-0.20985494379952999</v>
      </c>
      <c r="L8" s="30">
        <f t="shared" si="7"/>
        <v>-0.40019063034759506</v>
      </c>
      <c r="M8">
        <f t="shared" si="1"/>
        <v>0.10114804974051779</v>
      </c>
      <c r="N8">
        <f t="shared" si="1"/>
        <v>0.8772041100979362</v>
      </c>
      <c r="O8" s="26">
        <f t="shared" si="1"/>
        <v>-0.24521313309643927</v>
      </c>
      <c r="Q8" s="30">
        <f t="shared" si="8"/>
        <v>-0.301104072081887</v>
      </c>
      <c r="R8">
        <f t="shared" si="2"/>
        <v>7.6103954841615862E-2</v>
      </c>
      <c r="S8">
        <f t="shared" si="2"/>
        <v>0.66000977925955029</v>
      </c>
      <c r="T8" s="26">
        <f t="shared" si="2"/>
        <v>-0.1844987546039365</v>
      </c>
      <c r="V8" s="30">
        <f t="shared" si="9"/>
        <v>-0.57816295036903409</v>
      </c>
      <c r="W8">
        <f t="shared" si="3"/>
        <v>-4.4133810816554792E-2</v>
      </c>
      <c r="X8">
        <f t="shared" si="3"/>
        <v>0.45272186814134935</v>
      </c>
      <c r="Y8" s="26">
        <f t="shared" si="3"/>
        <v>-0.15789519627101323</v>
      </c>
      <c r="Z8" s="30">
        <f t="shared" si="10"/>
        <v>-0.301104072081887</v>
      </c>
      <c r="AA8">
        <f t="shared" si="4"/>
        <v>7.6103954841615862E-2</v>
      </c>
      <c r="AB8">
        <f t="shared" si="4"/>
        <v>0.66000977925955029</v>
      </c>
      <c r="AC8" s="26">
        <f t="shared" si="4"/>
        <v>-0.1844987546039365</v>
      </c>
      <c r="AI8" s="113">
        <v>0.68078968690372377</v>
      </c>
      <c r="AJ8" s="114">
        <v>-0.15585532840255137</v>
      </c>
      <c r="AK8" s="115">
        <v>-0.14833247439129119</v>
      </c>
      <c r="AL8" s="30">
        <v>0.65230562922377366</v>
      </c>
      <c r="AM8">
        <v>0.28895720213505266</v>
      </c>
      <c r="AN8" s="26">
        <v>-2.7732752518274773E-2</v>
      </c>
      <c r="AP8" s="30" t="e">
        <f ca="1"/>
        <v>#NAME?</v>
      </c>
      <c r="AQ8" t="e">
        <f ca="1"/>
        <v>#NAME?</v>
      </c>
      <c r="AR8" t="e">
        <f ca="1"/>
        <v>#NAME?</v>
      </c>
      <c r="AS8" t="e">
        <f ca="1"/>
        <v>#NAME?</v>
      </c>
      <c r="AT8" t="e">
        <f ca="1"/>
        <v>#NAME?</v>
      </c>
      <c r="AU8" s="26" t="e">
        <f ca="1"/>
        <v>#NAME?</v>
      </c>
    </row>
    <row r="9" spans="1:47" x14ac:dyDescent="0.35">
      <c r="A9" s="30">
        <v>-0.29966683800483013</v>
      </c>
      <c r="B9">
        <v>-3.0388016666013516E-2</v>
      </c>
      <c r="C9">
        <v>0.77085649526291034</v>
      </c>
      <c r="D9" s="26">
        <v>-6.3738785374645737E-2</v>
      </c>
      <c r="E9" s="52">
        <f t="shared" si="5"/>
        <v>0.68900601440675935</v>
      </c>
      <c r="G9" s="30">
        <f t="shared" si="6"/>
        <v>-0.36101660589276491</v>
      </c>
      <c r="H9">
        <f t="shared" si="0"/>
        <v>-3.6609251492819989E-2</v>
      </c>
      <c r="I9">
        <f t="shared" si="0"/>
        <v>0.92867131179100471</v>
      </c>
      <c r="J9" s="26">
        <f t="shared" si="0"/>
        <v>-7.6787809131256338E-2</v>
      </c>
      <c r="L9" s="30">
        <f t="shared" si="7"/>
        <v>1.4320378389273353E-3</v>
      </c>
      <c r="M9">
        <f t="shared" si="1"/>
        <v>-2.4803442213399515E-2</v>
      </c>
      <c r="N9">
        <f t="shared" si="1"/>
        <v>0.99722037151826948</v>
      </c>
      <c r="O9" s="26">
        <f t="shared" si="1"/>
        <v>7.0244353160658371E-2</v>
      </c>
      <c r="Q9" s="30">
        <f t="shared" si="8"/>
        <v>1.1886828585998433E-3</v>
      </c>
      <c r="R9">
        <f t="shared" si="2"/>
        <v>-2.0588441025709385E-2</v>
      </c>
      <c r="S9">
        <f t="shared" si="2"/>
        <v>0.82775659249216449</v>
      </c>
      <c r="T9" s="26">
        <f t="shared" si="2"/>
        <v>5.830729904319603E-2</v>
      </c>
      <c r="V9" s="30">
        <f t="shared" si="9"/>
        <v>-0.29966683800483013</v>
      </c>
      <c r="W9">
        <f t="shared" si="3"/>
        <v>-3.0388016666013516E-2</v>
      </c>
      <c r="X9">
        <f t="shared" si="3"/>
        <v>0.77085649526291034</v>
      </c>
      <c r="Y9" s="26">
        <f t="shared" si="3"/>
        <v>-6.3738785374645737E-2</v>
      </c>
      <c r="Z9" s="30">
        <f t="shared" si="10"/>
        <v>1.1886828585998433E-3</v>
      </c>
      <c r="AA9">
        <f t="shared" si="4"/>
        <v>-2.0588441025709385E-2</v>
      </c>
      <c r="AB9">
        <f t="shared" si="4"/>
        <v>0.82775659249216449</v>
      </c>
      <c r="AC9" s="26">
        <f t="shared" si="4"/>
        <v>5.830729904319603E-2</v>
      </c>
      <c r="AI9" s="113">
        <v>0.49816917573692815</v>
      </c>
      <c r="AJ9" s="114">
        <v>-0.49820303064754523</v>
      </c>
      <c r="AK9" s="115">
        <v>-0.25325935865574634</v>
      </c>
      <c r="AL9" s="30">
        <v>0.73336958828156706</v>
      </c>
      <c r="AM9">
        <v>-9.4387302590942163E-2</v>
      </c>
      <c r="AN9" s="26">
        <v>-0.11738472746000909</v>
      </c>
      <c r="AP9" s="30" t="e">
        <f ca="1"/>
        <v>#NAME?</v>
      </c>
      <c r="AQ9" t="e">
        <f ca="1"/>
        <v>#NAME?</v>
      </c>
      <c r="AR9" t="e">
        <f ca="1"/>
        <v>#NAME?</v>
      </c>
      <c r="AS9" t="e">
        <f ca="1"/>
        <v>#NAME?</v>
      </c>
      <c r="AT9" t="e">
        <f ca="1"/>
        <v>#NAME?</v>
      </c>
      <c r="AU9" s="26" t="e">
        <f ca="1"/>
        <v>#NAME?</v>
      </c>
    </row>
    <row r="10" spans="1:47" x14ac:dyDescent="0.35">
      <c r="A10" s="30">
        <v>-0.81718661596991127</v>
      </c>
      <c r="B10">
        <v>-0.23935266908492522</v>
      </c>
      <c r="C10">
        <v>-0.19451473035327382</v>
      </c>
      <c r="D10" s="26">
        <v>0.1664342445594475</v>
      </c>
      <c r="E10" s="52">
        <f t="shared" si="5"/>
        <v>0.7906200036049138</v>
      </c>
      <c r="G10" s="30">
        <f t="shared" si="6"/>
        <v>-0.9190462046766612</v>
      </c>
      <c r="H10">
        <f t="shared" si="0"/>
        <v>-0.26918718173160688</v>
      </c>
      <c r="I10">
        <f t="shared" si="0"/>
        <v>-0.21876034334299801</v>
      </c>
      <c r="J10" s="26">
        <f t="shared" si="0"/>
        <v>0.18717971856286431</v>
      </c>
      <c r="L10" s="30">
        <f t="shared" si="7"/>
        <v>-0.9771492016372969</v>
      </c>
      <c r="M10">
        <f t="shared" si="1"/>
        <v>-1.4712946732603105E-3</v>
      </c>
      <c r="N10">
        <f t="shared" si="1"/>
        <v>0.13726017326560297</v>
      </c>
      <c r="O10" s="26">
        <f t="shared" si="1"/>
        <v>-0.16228653014552546</v>
      </c>
      <c r="Q10" s="30">
        <f t="shared" si="8"/>
        <v>-0.86884995043814595</v>
      </c>
      <c r="R10">
        <f t="shared" si="2"/>
        <v>-1.3082283665587309E-3</v>
      </c>
      <c r="S10">
        <f t="shared" si="2"/>
        <v>0.12204737468865826</v>
      </c>
      <c r="T10" s="26">
        <f t="shared" si="2"/>
        <v>-0.14430001420198318</v>
      </c>
      <c r="V10" s="30">
        <f t="shared" si="9"/>
        <v>-0.81718661596991127</v>
      </c>
      <c r="W10">
        <f t="shared" si="3"/>
        <v>-0.23935266908492522</v>
      </c>
      <c r="X10">
        <f t="shared" si="3"/>
        <v>-0.19451473035327382</v>
      </c>
      <c r="Y10" s="26">
        <f t="shared" si="3"/>
        <v>0.1664342445594475</v>
      </c>
      <c r="Z10" s="30">
        <f t="shared" si="10"/>
        <v>-0.86884995043814595</v>
      </c>
      <c r="AA10">
        <f t="shared" si="4"/>
        <v>-1.3082283665587309E-3</v>
      </c>
      <c r="AB10">
        <f t="shared" si="4"/>
        <v>0.12204737468865826</v>
      </c>
      <c r="AC10" s="26">
        <f t="shared" si="4"/>
        <v>-0.14430001420198318</v>
      </c>
      <c r="AI10" s="113">
        <v>0.8604957870010006</v>
      </c>
      <c r="AJ10" s="114">
        <v>-0.1150420711694501</v>
      </c>
      <c r="AK10" s="115">
        <v>1.1605686981563886E-2</v>
      </c>
      <c r="AL10" s="30">
        <v>0.73831868891076147</v>
      </c>
      <c r="AM10">
        <v>0.43120679142970381</v>
      </c>
      <c r="AN10" s="26">
        <v>0.15089263131689856</v>
      </c>
      <c r="AP10" s="30" t="e">
        <f ca="1"/>
        <v>#NAME?</v>
      </c>
      <c r="AQ10" t="e">
        <f ca="1"/>
        <v>#NAME?</v>
      </c>
      <c r="AR10" t="e">
        <f ca="1"/>
        <v>#NAME?</v>
      </c>
      <c r="AS10" t="e">
        <f ca="1"/>
        <v>#NAME?</v>
      </c>
      <c r="AT10" t="e">
        <f ca="1"/>
        <v>#NAME?</v>
      </c>
      <c r="AU10" s="26" t="e">
        <f ca="1"/>
        <v>#NAME?</v>
      </c>
    </row>
    <row r="11" spans="1:47" x14ac:dyDescent="0.35">
      <c r="A11" s="30">
        <v>-0.687892728351156</v>
      </c>
      <c r="B11">
        <v>-3.5303982803742376E-2</v>
      </c>
      <c r="C11">
        <v>0.11603236905930761</v>
      </c>
      <c r="D11" s="26">
        <v>-0.11762701672464819</v>
      </c>
      <c r="E11" s="52">
        <f t="shared" si="5"/>
        <v>0.50174240265326031</v>
      </c>
      <c r="G11" s="30">
        <f t="shared" si="6"/>
        <v>-0.97113658653328405</v>
      </c>
      <c r="H11">
        <f t="shared" si="0"/>
        <v>-4.9840604411149271E-2</v>
      </c>
      <c r="I11">
        <f t="shared" si="0"/>
        <v>0.16380937633360707</v>
      </c>
      <c r="J11" s="26">
        <f t="shared" si="0"/>
        <v>-0.16606062951105244</v>
      </c>
      <c r="L11" s="30">
        <f t="shared" si="7"/>
        <v>-0.72024965265711782</v>
      </c>
      <c r="M11">
        <f t="shared" si="1"/>
        <v>0.20370847712026638</v>
      </c>
      <c r="N11">
        <f t="shared" si="1"/>
        <v>0.55084721420237359</v>
      </c>
      <c r="O11" s="26">
        <f t="shared" si="1"/>
        <v>-0.36920270963540769</v>
      </c>
      <c r="Q11" s="30">
        <f t="shared" si="8"/>
        <v>-0.5101800359812686</v>
      </c>
      <c r="R11">
        <f t="shared" si="2"/>
        <v>0.14429440931140983</v>
      </c>
      <c r="S11">
        <f t="shared" si="2"/>
        <v>0.39018588974694901</v>
      </c>
      <c r="T11" s="26">
        <f t="shared" si="2"/>
        <v>-0.26152022564854294</v>
      </c>
      <c r="V11" s="30">
        <f t="shared" si="9"/>
        <v>-0.687892728351156</v>
      </c>
      <c r="W11">
        <f t="shared" si="3"/>
        <v>-3.5303982803742376E-2</v>
      </c>
      <c r="X11">
        <f t="shared" si="3"/>
        <v>0.11603236905930761</v>
      </c>
      <c r="Y11" s="26">
        <f t="shared" si="3"/>
        <v>-0.11762701672464819</v>
      </c>
      <c r="Z11" s="30">
        <f t="shared" si="10"/>
        <v>-0.5101800359812686</v>
      </c>
      <c r="AA11">
        <f t="shared" si="4"/>
        <v>0.14429440931140983</v>
      </c>
      <c r="AB11">
        <f t="shared" si="4"/>
        <v>0.39018588974694901</v>
      </c>
      <c r="AC11" s="26">
        <f t="shared" si="4"/>
        <v>-0.26152022564854294</v>
      </c>
      <c r="AI11" s="113">
        <v>0.64178906622912479</v>
      </c>
      <c r="AJ11" s="114">
        <v>0.32154746844579774</v>
      </c>
      <c r="AK11" s="115">
        <v>4.3814865308338655E-2</v>
      </c>
      <c r="AL11" s="30">
        <v>0.30134924156350584</v>
      </c>
      <c r="AM11">
        <v>0.64539442208262487</v>
      </c>
      <c r="AN11" s="26">
        <v>9.9299531574300506E-2</v>
      </c>
      <c r="AP11" s="30" t="e">
        <f ca="1"/>
        <v>#NAME?</v>
      </c>
      <c r="AQ11" t="e">
        <f ca="1"/>
        <v>#NAME?</v>
      </c>
      <c r="AR11" t="e">
        <f ca="1"/>
        <v>#NAME?</v>
      </c>
      <c r="AS11" t="e">
        <f ca="1"/>
        <v>#NAME?</v>
      </c>
      <c r="AT11" t="e">
        <f ca="1"/>
        <v>#NAME?</v>
      </c>
      <c r="AU11" s="26" t="e">
        <f ca="1"/>
        <v>#NAME?</v>
      </c>
    </row>
    <row r="12" spans="1:47" x14ac:dyDescent="0.35">
      <c r="A12" s="27">
        <v>-0.30145846294129242</v>
      </c>
      <c r="B12" s="28">
        <v>0.74107631451599554</v>
      </c>
      <c r="C12" s="28">
        <v>-0.34419877868563109</v>
      </c>
      <c r="D12" s="29">
        <v>-0.23397915226319332</v>
      </c>
      <c r="E12" s="53">
        <f t="shared" si="5"/>
        <v>0.81329035175802</v>
      </c>
      <c r="G12" s="27">
        <f t="shared" si="6"/>
        <v>-0.33427559488723679</v>
      </c>
      <c r="H12" s="28">
        <f t="shared" si="0"/>
        <v>0.82175077612572589</v>
      </c>
      <c r="I12" s="28">
        <f t="shared" si="0"/>
        <v>-0.38166867296409768</v>
      </c>
      <c r="J12" s="29">
        <f t="shared" si="0"/>
        <v>-0.25945040504376887</v>
      </c>
      <c r="L12" s="27">
        <f t="shared" si="7"/>
        <v>-0.10311381707958901</v>
      </c>
      <c r="M12" s="28">
        <f t="shared" si="1"/>
        <v>0.92632735375484221</v>
      </c>
      <c r="N12" s="28">
        <f t="shared" si="1"/>
        <v>-0.20014271826306154</v>
      </c>
      <c r="O12" s="29">
        <f t="shared" si="1"/>
        <v>-0.30203984296629061</v>
      </c>
      <c r="Q12" s="27">
        <f t="shared" si="8"/>
        <v>-9.2990733634947004E-2</v>
      </c>
      <c r="R12" s="28">
        <f t="shared" si="2"/>
        <v>0.83538620382265838</v>
      </c>
      <c r="S12" s="28">
        <f t="shared" si="2"/>
        <v>-0.18049393117325163</v>
      </c>
      <c r="T12" s="29">
        <f t="shared" si="2"/>
        <v>-0.27238741984248827</v>
      </c>
      <c r="V12" s="27">
        <f t="shared" si="9"/>
        <v>-0.30145846294129242</v>
      </c>
      <c r="W12" s="28">
        <f t="shared" si="3"/>
        <v>0.74107631451599554</v>
      </c>
      <c r="X12" s="28">
        <f t="shared" si="3"/>
        <v>-0.34419877868563109</v>
      </c>
      <c r="Y12" s="29">
        <f t="shared" si="3"/>
        <v>-0.23397915226319332</v>
      </c>
      <c r="Z12" s="27">
        <f t="shared" si="10"/>
        <v>-9.2990733634947004E-2</v>
      </c>
      <c r="AA12" s="28">
        <f t="shared" si="4"/>
        <v>0.83538620382265838</v>
      </c>
      <c r="AB12" s="28">
        <f t="shared" si="4"/>
        <v>-0.18049393117325163</v>
      </c>
      <c r="AC12" s="29">
        <f t="shared" si="4"/>
        <v>-0.27238741984248827</v>
      </c>
      <c r="AI12" s="116">
        <v>0.29787837167899389</v>
      </c>
      <c r="AJ12" s="117">
        <v>0.59564132520222801</v>
      </c>
      <c r="AK12" s="118">
        <v>-0.5334811818405415</v>
      </c>
      <c r="AL12" s="27">
        <v>-2.2248379303483948E-2</v>
      </c>
      <c r="AM12" s="28">
        <v>0.65180584852740908</v>
      </c>
      <c r="AN12" s="29">
        <v>-0.55025124209274456</v>
      </c>
      <c r="AP12" s="27" t="e">
        <f ca="1"/>
        <v>#NAME?</v>
      </c>
      <c r="AQ12" s="28" t="e">
        <f ca="1"/>
        <v>#NAME?</v>
      </c>
      <c r="AR12" s="28" t="e">
        <f ca="1"/>
        <v>#NAME?</v>
      </c>
      <c r="AS12" s="28" t="e">
        <f ca="1"/>
        <v>#NAME?</v>
      </c>
      <c r="AT12" s="28" t="e">
        <f ca="1"/>
        <v>#NAME?</v>
      </c>
      <c r="AU12" s="29" t="e">
        <f ca="1"/>
        <v>#NAME?</v>
      </c>
    </row>
    <row r="14" spans="1:47" x14ac:dyDescent="0.35">
      <c r="AE14" t="s">
        <v>16</v>
      </c>
      <c r="AI14" t="s">
        <v>250</v>
      </c>
    </row>
    <row r="15" spans="1:47" x14ac:dyDescent="0.35">
      <c r="A15">
        <v>1</v>
      </c>
      <c r="B15">
        <v>2</v>
      </c>
      <c r="C15">
        <v>3</v>
      </c>
      <c r="D15">
        <v>4</v>
      </c>
      <c r="F15">
        <v>1</v>
      </c>
      <c r="G15">
        <v>2</v>
      </c>
      <c r="I15" s="12" t="s">
        <v>251</v>
      </c>
      <c r="J15" s="12" t="s">
        <v>252</v>
      </c>
      <c r="K15" s="12" t="s">
        <v>253</v>
      </c>
      <c r="L15" s="12" t="s">
        <v>254</v>
      </c>
      <c r="Q15">
        <f>F15</f>
        <v>1</v>
      </c>
      <c r="R15">
        <f>G15</f>
        <v>2</v>
      </c>
      <c r="V15" s="94" t="e">
        <f t="array" aca="1" ref="V15:AC23" ca="1">ELIM(V4:AC12)</f>
        <v>#NAME?</v>
      </c>
      <c r="W15" s="95" t="e">
        <f ca="1"/>
        <v>#NAME?</v>
      </c>
      <c r="X15" s="95" t="e">
        <f ca="1"/>
        <v>#NAME?</v>
      </c>
      <c r="Y15" s="95" t="e">
        <f ca="1"/>
        <v>#NAME?</v>
      </c>
      <c r="Z15" s="94" t="e">
        <f ca="1"/>
        <v>#NAME?</v>
      </c>
      <c r="AA15" s="95" t="e">
        <f ca="1"/>
        <v>#NAME?</v>
      </c>
      <c r="AB15" s="95" t="e">
        <f ca="1"/>
        <v>#NAME?</v>
      </c>
      <c r="AC15" s="96" t="e">
        <f ca="1"/>
        <v>#NAME?</v>
      </c>
      <c r="AE15" s="94">
        <f t="array" ref="AE15:AH23">A4:D12</f>
        <v>0.1844378805524543</v>
      </c>
      <c r="AF15" s="95">
        <v>-0.76673944089161195</v>
      </c>
      <c r="AG15" s="95">
        <v>-0.27758481196282242</v>
      </c>
      <c r="AH15" s="96">
        <v>-0.11515839253508237</v>
      </c>
      <c r="AI15" s="94" t="e">
        <f t="array" aca="1" ref="AI15:AL23" ca="1">VARIMAX(AE15:AH23,100)</f>
        <v>#NAME?</v>
      </c>
      <c r="AJ15" s="95" t="e">
        <f ca="1"/>
        <v>#NAME?</v>
      </c>
      <c r="AK15" s="95" t="e">
        <f ca="1"/>
        <v>#NAME?</v>
      </c>
      <c r="AL15" s="96" t="e">
        <f ca="1"/>
        <v>#NAME?</v>
      </c>
      <c r="AS15" s="94" t="e">
        <f t="array" ref="AS15:AU17" ca="1">AS4:AU6</f>
        <v>#NAME?</v>
      </c>
      <c r="AT15" s="95" t="e">
        <f ca="1"/>
        <v>#NAME?</v>
      </c>
      <c r="AU15" s="96" t="e">
        <f ca="1"/>
        <v>#NAME?</v>
      </c>
    </row>
    <row r="16" spans="1:47" x14ac:dyDescent="0.35">
      <c r="A16" s="110">
        <f t="shared" ref="A16:D24" si="11">G4</f>
        <v>0.21854586186362829</v>
      </c>
      <c r="B16" s="111">
        <f t="shared" si="11"/>
        <v>-0.9085320837160531</v>
      </c>
      <c r="C16" s="111">
        <f t="shared" si="11"/>
        <v>-0.32891839674667611</v>
      </c>
      <c r="D16" s="112">
        <f t="shared" si="11"/>
        <v>-0.13645456167694339</v>
      </c>
      <c r="F16" s="94">
        <f>INDEX(A16:D24,,F15)</f>
        <v>0.21854586186362829</v>
      </c>
      <c r="G16" s="96">
        <f>INDEX(A16:D24,,G15)</f>
        <v>-0.9085320837160531</v>
      </c>
      <c r="I16" s="94">
        <f>F16^2-G16^2</f>
        <v>-0.77766825340371715</v>
      </c>
      <c r="J16" s="95">
        <f>2*F16*G16</f>
        <v>-0.39711185453296582</v>
      </c>
      <c r="K16" s="95">
        <f>I16^2-J16^2</f>
        <v>0.4470700873413766</v>
      </c>
      <c r="L16" s="96">
        <f t="shared" ref="L16:L24" si="12">I16*J16</f>
        <v>0.30882128232056255</v>
      </c>
      <c r="N16" t="s">
        <v>12</v>
      </c>
      <c r="O16" s="51">
        <f>2*L25*B26-2*I25*J25</f>
        <v>21.188103405045482</v>
      </c>
      <c r="Q16" s="94">
        <f t="array" ref="Q16:R24">MMULT(F16:G24,N20:O21)</f>
        <v>-3.0083174932662826E-2</v>
      </c>
      <c r="R16" s="96">
        <v>-0.93396351291960023</v>
      </c>
      <c r="V16" s="30" t="e">
        <f ca="1"/>
        <v>#NAME?</v>
      </c>
      <c r="W16" t="e">
        <f ca="1"/>
        <v>#NAME?</v>
      </c>
      <c r="X16" t="e">
        <f ca="1"/>
        <v>#NAME?</v>
      </c>
      <c r="Y16" t="e">
        <f ca="1"/>
        <v>#NAME?</v>
      </c>
      <c r="Z16" s="30" t="e">
        <f ca="1"/>
        <v>#NAME?</v>
      </c>
      <c r="AA16" t="e">
        <f ca="1"/>
        <v>#NAME?</v>
      </c>
      <c r="AB16" t="e">
        <f ca="1"/>
        <v>#NAME?</v>
      </c>
      <c r="AC16" s="26" t="e">
        <f ca="1"/>
        <v>#NAME?</v>
      </c>
      <c r="AE16" s="30">
        <v>-0.69848518848974095</v>
      </c>
      <c r="AF16">
        <v>0.30363015858216291</v>
      </c>
      <c r="AG16">
        <v>-0.19538523477740502</v>
      </c>
      <c r="AH16" s="26">
        <v>0.26479923502475183</v>
      </c>
      <c r="AI16" s="30" t="e">
        <f ca="1"/>
        <v>#NAME?</v>
      </c>
      <c r="AJ16" t="e">
        <f ca="1"/>
        <v>#NAME?</v>
      </c>
      <c r="AK16" t="e">
        <f ca="1"/>
        <v>#NAME?</v>
      </c>
      <c r="AL16" s="26" t="e">
        <f ca="1"/>
        <v>#NAME?</v>
      </c>
      <c r="AS16" s="30" t="e">
        <f ca="1"/>
        <v>#NAME?</v>
      </c>
      <c r="AT16" t="e">
        <f ca="1"/>
        <v>#NAME?</v>
      </c>
      <c r="AU16" s="26" t="e">
        <f ca="1"/>
        <v>#NAME?</v>
      </c>
    </row>
    <row r="17" spans="1:47" x14ac:dyDescent="0.35">
      <c r="A17" s="113">
        <f t="shared" si="11"/>
        <v>-0.84187424842749725</v>
      </c>
      <c r="B17" s="114">
        <f t="shared" si="11"/>
        <v>0.36596110521538228</v>
      </c>
      <c r="C17" s="114">
        <f t="shared" si="11"/>
        <v>-0.23549504039980643</v>
      </c>
      <c r="D17" s="115">
        <f t="shared" si="11"/>
        <v>0.31915874616132023</v>
      </c>
      <c r="F17" s="30">
        <f>INDEX(A17:D25,,F15)</f>
        <v>-0.84187424842749725</v>
      </c>
      <c r="G17" s="26">
        <f>INDEX(A16:D24,,G15)</f>
        <v>0.36596110521538228</v>
      </c>
      <c r="I17" s="30">
        <f t="shared" ref="I17:I24" si="13">F17^2-G17^2</f>
        <v>0.57482471963489923</v>
      </c>
      <c r="J17">
        <f t="shared" ref="J17:J24" si="14">2*F17*G17</f>
        <v>-0.61618646081379236</v>
      </c>
      <c r="K17">
        <f t="shared" ref="K17:K24" si="15">I17^2-J17^2</f>
        <v>-4.9262296186886767E-2</v>
      </c>
      <c r="L17" s="26">
        <f t="shared" si="12"/>
        <v>-0.35419920958010903</v>
      </c>
      <c r="N17" t="s">
        <v>255</v>
      </c>
      <c r="O17" s="52">
        <f>K25*B26-(I25^2-J25^2)</f>
        <v>11.513191876375057</v>
      </c>
      <c r="Q17" s="30">
        <v>-0.71476249629075472</v>
      </c>
      <c r="R17" s="26">
        <v>0.57601593258523343</v>
      </c>
      <c r="V17" s="30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s="30" t="e">
        <f ca="1"/>
        <v>#NAME?</v>
      </c>
      <c r="AA17" t="e">
        <f ca="1"/>
        <v>#NAME?</v>
      </c>
      <c r="AB17" t="e">
        <f ca="1"/>
        <v>#NAME?</v>
      </c>
      <c r="AC17" s="26" t="e">
        <f ca="1"/>
        <v>#NAME?</v>
      </c>
      <c r="AE17" s="30">
        <v>-0.75409390641255714</v>
      </c>
      <c r="AF17">
        <v>-0.34865162907379493</v>
      </c>
      <c r="AG17">
        <v>-0.20204851885995068</v>
      </c>
      <c r="AH17" s="26">
        <v>0.30587511636389098</v>
      </c>
      <c r="AI17" s="30" t="e">
        <f ca="1"/>
        <v>#NAME?</v>
      </c>
      <c r="AJ17" t="e">
        <f ca="1"/>
        <v>#NAME?</v>
      </c>
      <c r="AK17" t="e">
        <f ca="1"/>
        <v>#NAME?</v>
      </c>
      <c r="AL17" s="26" t="e">
        <f ca="1"/>
        <v>#NAME?</v>
      </c>
      <c r="AS17" s="27" t="e">
        <f ca="1"/>
        <v>#NAME?</v>
      </c>
      <c r="AT17" s="28" t="e">
        <f ca="1"/>
        <v>#NAME?</v>
      </c>
      <c r="AU17" s="29" t="e">
        <f ca="1"/>
        <v>#NAME?</v>
      </c>
    </row>
    <row r="18" spans="1:47" x14ac:dyDescent="0.35">
      <c r="A18" s="113">
        <f t="shared" si="11"/>
        <v>-0.83043202746502165</v>
      </c>
      <c r="B18" s="114">
        <f t="shared" si="11"/>
        <v>-0.38394618594402813</v>
      </c>
      <c r="C18" s="114">
        <f t="shared" si="11"/>
        <v>-0.22250221058195188</v>
      </c>
      <c r="D18" s="115">
        <f t="shared" si="11"/>
        <v>0.33683933907059044</v>
      </c>
      <c r="F18" s="30">
        <f>INDEX(A18:D26,,F15)</f>
        <v>-0.83043202746502165</v>
      </c>
      <c r="G18" s="26">
        <f>INDEX(A16:D24,,G15)</f>
        <v>-0.38394618594402813</v>
      </c>
      <c r="I18" s="30">
        <f t="shared" si="13"/>
        <v>0.54220267853870019</v>
      </c>
      <c r="J18">
        <f t="shared" si="14"/>
        <v>0.63768241926192293</v>
      </c>
      <c r="K18">
        <f t="shared" si="15"/>
        <v>-0.11265512322119775</v>
      </c>
      <c r="L18" s="26">
        <f t="shared" si="12"/>
        <v>0.34575311578085305</v>
      </c>
      <c r="N18" t="s">
        <v>256</v>
      </c>
      <c r="O18" s="53">
        <f>0.25*ATAN(O16/O17)</f>
        <v>0.26826246094764372</v>
      </c>
      <c r="Q18" s="30">
        <v>-0.90249729133518475</v>
      </c>
      <c r="R18" s="26">
        <v>-0.15010218210701462</v>
      </c>
      <c r="V18" s="30" t="e">
        <f ca="1"/>
        <v>#NAME?</v>
      </c>
      <c r="W18" t="e">
        <f ca="1"/>
        <v>#NAME?</v>
      </c>
      <c r="X18" t="e">
        <f ca="1"/>
        <v>#NAME?</v>
      </c>
      <c r="Y18" t="e">
        <f ca="1"/>
        <v>#NAME?</v>
      </c>
      <c r="Z18" s="30" t="e">
        <f ca="1"/>
        <v>#NAME?</v>
      </c>
      <c r="AA18" t="e">
        <f ca="1"/>
        <v>#NAME?</v>
      </c>
      <c r="AB18" t="e">
        <f ca="1"/>
        <v>#NAME?</v>
      </c>
      <c r="AC18" s="26" t="e">
        <f ca="1"/>
        <v>#NAME?</v>
      </c>
      <c r="AE18" s="30">
        <v>-0.36597842708944234</v>
      </c>
      <c r="AF18">
        <v>-0.16252503821235828</v>
      </c>
      <c r="AG18">
        <v>-0.19730233536299194</v>
      </c>
      <c r="AH18" s="26">
        <v>-0.84984515758013812</v>
      </c>
      <c r="AI18" s="30" t="e">
        <f ca="1"/>
        <v>#NAME?</v>
      </c>
      <c r="AJ18" t="e">
        <f ca="1"/>
        <v>#NAME?</v>
      </c>
      <c r="AK18" t="e">
        <f ca="1"/>
        <v>#NAME?</v>
      </c>
      <c r="AL18" s="26" t="e">
        <f ca="1"/>
        <v>#NAME?</v>
      </c>
    </row>
    <row r="19" spans="1:47" x14ac:dyDescent="0.35">
      <c r="A19" s="113">
        <f t="shared" si="11"/>
        <v>-0.38124415825934083</v>
      </c>
      <c r="B19" s="114">
        <f t="shared" si="11"/>
        <v>-0.16930429993403617</v>
      </c>
      <c r="C19" s="114">
        <f t="shared" si="11"/>
        <v>-0.20553223141123222</v>
      </c>
      <c r="D19" s="115">
        <f t="shared" si="11"/>
        <v>-0.88529398940018356</v>
      </c>
      <c r="F19" s="30">
        <f>INDEX(A19:D27,,F15)</f>
        <v>-0.38124415825934083</v>
      </c>
      <c r="G19" s="26">
        <f>INDEX(A16:D24,,G15)</f>
        <v>-0.16930429993403617</v>
      </c>
      <c r="I19" s="30">
        <f t="shared" si="13"/>
        <v>0.11668316223071924</v>
      </c>
      <c r="J19">
        <f t="shared" si="14"/>
        <v>0.12909255063607719</v>
      </c>
      <c r="K19">
        <f t="shared" si="15"/>
        <v>-3.0499262815678104E-3</v>
      </c>
      <c r="L19" s="26">
        <f t="shared" si="12"/>
        <v>1.5062927028646733E-2</v>
      </c>
      <c r="Q19" s="30">
        <v>-0.41248335532579117</v>
      </c>
      <c r="R19" s="26">
        <v>-6.2197554310475037E-2</v>
      </c>
      <c r="V19" s="30" t="e">
        <f ca="1"/>
        <v>#NAME?</v>
      </c>
      <c r="W19" t="e">
        <f ca="1"/>
        <v>#NAME?</v>
      </c>
      <c r="X19" t="e">
        <f ca="1"/>
        <v>#NAME?</v>
      </c>
      <c r="Y19" t="e">
        <f ca="1"/>
        <v>#NAME?</v>
      </c>
      <c r="Z19" s="30" t="e">
        <f ca="1"/>
        <v>#NAME?</v>
      </c>
      <c r="AA19" t="e">
        <f ca="1"/>
        <v>#NAME?</v>
      </c>
      <c r="AB19" t="e">
        <f ca="1"/>
        <v>#NAME?</v>
      </c>
      <c r="AC19" s="26" t="e">
        <f ca="1"/>
        <v>#NAME?</v>
      </c>
      <c r="AE19" s="30">
        <v>-0.57816295036903409</v>
      </c>
      <c r="AF19">
        <v>-4.4133810816554792E-2</v>
      </c>
      <c r="AG19">
        <v>0.45272186814134935</v>
      </c>
      <c r="AH19" s="26">
        <v>-0.15789519627101323</v>
      </c>
      <c r="AI19" s="30" t="e">
        <f ca="1"/>
        <v>#NAME?</v>
      </c>
      <c r="AJ19" t="e">
        <f ca="1"/>
        <v>#NAME?</v>
      </c>
      <c r="AK19" t="e">
        <f ca="1"/>
        <v>#NAME?</v>
      </c>
      <c r="AL19" s="26" t="e">
        <f ca="1"/>
        <v>#NAME?</v>
      </c>
      <c r="AS19" s="94" t="e">
        <f t="array" aca="1" ref="AS19:AU21" ca="1">MINVERSE(AS15:AU17)</f>
        <v>#NAME?</v>
      </c>
      <c r="AT19" s="95" t="e">
        <f ca="1"/>
        <v>#NAME?</v>
      </c>
      <c r="AU19" s="96" t="e">
        <f ca="1"/>
        <v>#NAME?</v>
      </c>
    </row>
    <row r="20" spans="1:47" x14ac:dyDescent="0.35">
      <c r="A20" s="113">
        <f t="shared" si="11"/>
        <v>-0.76842333599820989</v>
      </c>
      <c r="B20" s="114">
        <f t="shared" si="11"/>
        <v>-5.8657252451621796E-2</v>
      </c>
      <c r="C20" s="114">
        <f t="shared" si="11"/>
        <v>0.60170242312218147</v>
      </c>
      <c r="D20" s="115">
        <f t="shared" si="11"/>
        <v>-0.20985494379952999</v>
      </c>
      <c r="F20" s="30">
        <f>INDEX(A20:D28,,F15)</f>
        <v>-0.76842333599820989</v>
      </c>
      <c r="G20" s="26">
        <f>INDEX(A16:D24,,G15)</f>
        <v>-5.8657252451621796E-2</v>
      </c>
      <c r="I20" s="30">
        <f t="shared" si="13"/>
        <v>0.58703375004144454</v>
      </c>
      <c r="J20">
        <f t="shared" si="14"/>
        <v>9.0147203218728794E-2</v>
      </c>
      <c r="K20">
        <f t="shared" si="15"/>
        <v>0.33648210543956236</v>
      </c>
      <c r="L20" s="26">
        <f t="shared" si="12"/>
        <v>5.2919450761238544E-2</v>
      </c>
      <c r="N20" s="94">
        <f>COS(O18)</f>
        <v>0.96423289758840824</v>
      </c>
      <c r="O20" s="96">
        <f>-N21</f>
        <v>-0.26505644532488198</v>
      </c>
      <c r="Q20" s="30">
        <v>-0.75648654267145599</v>
      </c>
      <c r="R20" s="26">
        <v>0.1471163054483709</v>
      </c>
      <c r="V20" s="3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  <c r="Z20" s="30" t="e">
        <f ca="1"/>
        <v>#NAME?</v>
      </c>
      <c r="AA20" t="e">
        <f ca="1"/>
        <v>#NAME?</v>
      </c>
      <c r="AB20" t="e">
        <f ca="1"/>
        <v>#NAME?</v>
      </c>
      <c r="AC20" s="26" t="e">
        <f ca="1"/>
        <v>#NAME?</v>
      </c>
      <c r="AE20" s="30">
        <v>-0.29966683800483013</v>
      </c>
      <c r="AF20">
        <v>-3.0388016666013516E-2</v>
      </c>
      <c r="AG20">
        <v>0.77085649526291034</v>
      </c>
      <c r="AH20" s="26">
        <v>-6.3738785374645737E-2</v>
      </c>
      <c r="AI20" s="30" t="e">
        <f ca="1"/>
        <v>#NAME?</v>
      </c>
      <c r="AJ20" t="e">
        <f ca="1"/>
        <v>#NAME?</v>
      </c>
      <c r="AK20" t="e">
        <f ca="1"/>
        <v>#NAME?</v>
      </c>
      <c r="AL20" s="26" t="e">
        <f ca="1"/>
        <v>#NAME?</v>
      </c>
      <c r="AS20" s="30" t="e">
        <f ca="1"/>
        <v>#NAME?</v>
      </c>
      <c r="AT20" t="e">
        <f ca="1"/>
        <v>#NAME?</v>
      </c>
      <c r="AU20" s="26" t="e">
        <f ca="1"/>
        <v>#NAME?</v>
      </c>
    </row>
    <row r="21" spans="1:47" x14ac:dyDescent="0.35">
      <c r="A21" s="113">
        <f t="shared" si="11"/>
        <v>-0.36101660589276491</v>
      </c>
      <c r="B21" s="114">
        <f t="shared" si="11"/>
        <v>-3.6609251492819989E-2</v>
      </c>
      <c r="C21" s="114">
        <f t="shared" si="11"/>
        <v>0.92867131179100471</v>
      </c>
      <c r="D21" s="115">
        <f t="shared" si="11"/>
        <v>-7.6787809131256338E-2</v>
      </c>
      <c r="F21" s="30">
        <f>INDEX(A21:D29,,F15)</f>
        <v>-0.36101660589276491</v>
      </c>
      <c r="G21" s="26">
        <f>INDEX(A16:D24,,G15)</f>
        <v>-3.6609251492819989E-2</v>
      </c>
      <c r="I21" s="30">
        <f t="shared" si="13"/>
        <v>0.1289927524354674</v>
      </c>
      <c r="J21">
        <f t="shared" si="14"/>
        <v>2.6433095436425018E-2</v>
      </c>
      <c r="K21">
        <f t="shared" si="15"/>
        <v>1.5940421646526627E-2</v>
      </c>
      <c r="L21" s="26">
        <f t="shared" si="12"/>
        <v>3.4096777357338556E-3</v>
      </c>
      <c r="N21" s="27">
        <f>SIN(O18)</f>
        <v>0.26505644532488198</v>
      </c>
      <c r="O21" s="29">
        <f>N20</f>
        <v>0.96423289758840824</v>
      </c>
      <c r="Q21" s="30">
        <v>-0.35780760604420464</v>
      </c>
      <c r="R21" s="26">
        <v>6.038993361572554E-2</v>
      </c>
      <c r="V21" s="30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  <c r="Z21" s="30" t="e">
        <f ca="1"/>
        <v>#NAME?</v>
      </c>
      <c r="AA21" t="e">
        <f ca="1"/>
        <v>#NAME?</v>
      </c>
      <c r="AB21" t="e">
        <f ca="1"/>
        <v>#NAME?</v>
      </c>
      <c r="AC21" s="26" t="e">
        <f ca="1"/>
        <v>#NAME?</v>
      </c>
      <c r="AE21" s="30">
        <v>-0.81718661596991127</v>
      </c>
      <c r="AF21">
        <v>-0.23935266908492522</v>
      </c>
      <c r="AG21">
        <v>-0.19451473035327382</v>
      </c>
      <c r="AH21" s="26">
        <v>0.1664342445594475</v>
      </c>
      <c r="AI21" s="30" t="e">
        <f ca="1"/>
        <v>#NAME?</v>
      </c>
      <c r="AJ21" t="e">
        <f ca="1"/>
        <v>#NAME?</v>
      </c>
      <c r="AK21" t="e">
        <f ca="1"/>
        <v>#NAME?</v>
      </c>
      <c r="AL21" s="26" t="e">
        <f ca="1"/>
        <v>#NAME?</v>
      </c>
      <c r="AS21" s="27" t="e">
        <f ca="1"/>
        <v>#NAME?</v>
      </c>
      <c r="AT21" s="28" t="e">
        <f ca="1"/>
        <v>#NAME?</v>
      </c>
      <c r="AU21" s="29" t="e">
        <f ca="1"/>
        <v>#NAME?</v>
      </c>
    </row>
    <row r="22" spans="1:47" x14ac:dyDescent="0.35">
      <c r="A22" s="113">
        <f t="shared" si="11"/>
        <v>-0.9190462046766612</v>
      </c>
      <c r="B22" s="114">
        <f t="shared" si="11"/>
        <v>-0.26918718173160688</v>
      </c>
      <c r="C22" s="114">
        <f t="shared" si="11"/>
        <v>-0.21876034334299801</v>
      </c>
      <c r="D22" s="115">
        <f t="shared" si="11"/>
        <v>0.18717971856286431</v>
      </c>
      <c r="F22" s="30">
        <f>INDEX(A22:D30,,F15)</f>
        <v>-0.9190462046766612</v>
      </c>
      <c r="G22" s="26">
        <f>INDEX(A16:D24,,G15)</f>
        <v>-0.26918718173160688</v>
      </c>
      <c r="I22" s="30">
        <f t="shared" si="13"/>
        <v>0.77218418752197027</v>
      </c>
      <c r="J22">
        <f t="shared" si="14"/>
        <v>0.49479091543607995</v>
      </c>
      <c r="K22">
        <f t="shared" si="15"/>
        <v>0.35145036946089137</v>
      </c>
      <c r="L22" s="26">
        <f t="shared" si="12"/>
        <v>0.38206972102926129</v>
      </c>
      <c r="Q22" s="30">
        <v>-0.95752438246980909</v>
      </c>
      <c r="R22" s="26">
        <v>-1.5960016133805016E-2</v>
      </c>
      <c r="V22" s="30" t="e">
        <f ca="1"/>
        <v>#NAME?</v>
      </c>
      <c r="W22" t="e">
        <f ca="1"/>
        <v>#NAME?</v>
      </c>
      <c r="X22" t="e">
        <f ca="1"/>
        <v>#NAME?</v>
      </c>
      <c r="Y22" t="e">
        <f ca="1"/>
        <v>#NAME?</v>
      </c>
      <c r="Z22" s="30" t="e">
        <f ca="1"/>
        <v>#NAME?</v>
      </c>
      <c r="AA22" t="e">
        <f ca="1"/>
        <v>#NAME?</v>
      </c>
      <c r="AB22" t="e">
        <f ca="1"/>
        <v>#NAME?</v>
      </c>
      <c r="AC22" s="26" t="e">
        <f ca="1"/>
        <v>#NAME?</v>
      </c>
      <c r="AE22" s="30">
        <v>-0.687892728351156</v>
      </c>
      <c r="AF22">
        <v>-3.5303982803742376E-2</v>
      </c>
      <c r="AG22">
        <v>0.11603236905930761</v>
      </c>
      <c r="AH22" s="26">
        <v>-0.11762701672464819</v>
      </c>
      <c r="AI22" s="30" t="e">
        <f ca="1"/>
        <v>#NAME?</v>
      </c>
      <c r="AJ22" t="e">
        <f ca="1"/>
        <v>#NAME?</v>
      </c>
      <c r="AK22" t="e">
        <f ca="1"/>
        <v>#NAME?</v>
      </c>
      <c r="AL22" s="26" t="e">
        <f ca="1"/>
        <v>#NAME?</v>
      </c>
    </row>
    <row r="23" spans="1:47" x14ac:dyDescent="0.35">
      <c r="A23" s="113">
        <f t="shared" si="11"/>
        <v>-0.97113658653328405</v>
      </c>
      <c r="B23" s="114">
        <f t="shared" si="11"/>
        <v>-4.9840604411149271E-2</v>
      </c>
      <c r="C23" s="114">
        <f t="shared" si="11"/>
        <v>0.16380937633360707</v>
      </c>
      <c r="D23" s="115">
        <f t="shared" si="11"/>
        <v>-0.16606062951105244</v>
      </c>
      <c r="F23" s="30">
        <f>INDEX(A23:D31,,F15)</f>
        <v>-0.97113658653328405</v>
      </c>
      <c r="G23" s="26">
        <f>INDEX(A16:D24,,G15)</f>
        <v>-4.9840604411149271E-2</v>
      </c>
      <c r="I23" s="30">
        <f t="shared" si="13"/>
        <v>0.94062218385545004</v>
      </c>
      <c r="J23">
        <f t="shared" si="14"/>
        <v>9.6804068877198488E-2</v>
      </c>
      <c r="K23">
        <f t="shared" si="15"/>
        <v>0.87539906500981468</v>
      </c>
      <c r="L23" s="26">
        <f t="shared" si="12"/>
        <v>9.1056054673363848E-2</v>
      </c>
      <c r="Q23" s="30">
        <v>-0.94961241822516729</v>
      </c>
      <c r="R23" s="26">
        <v>0.20934806114253185</v>
      </c>
      <c r="V23" s="27" t="e">
        <f ca="1"/>
        <v>#NAME?</v>
      </c>
      <c r="W23" s="28" t="e">
        <f ca="1"/>
        <v>#NAME?</v>
      </c>
      <c r="X23" s="28" t="e">
        <f ca="1"/>
        <v>#NAME?</v>
      </c>
      <c r="Y23" s="28" t="e">
        <f ca="1"/>
        <v>#NAME?</v>
      </c>
      <c r="Z23" s="27" t="e">
        <f ca="1"/>
        <v>#NAME?</v>
      </c>
      <c r="AA23" s="28" t="e">
        <f ca="1"/>
        <v>#NAME?</v>
      </c>
      <c r="AB23" s="28" t="e">
        <f ca="1"/>
        <v>#NAME?</v>
      </c>
      <c r="AC23" s="29" t="e">
        <f ca="1"/>
        <v>#NAME?</v>
      </c>
      <c r="AE23" s="27">
        <v>-0.30145846294129242</v>
      </c>
      <c r="AF23" s="28">
        <v>0.74107631451599554</v>
      </c>
      <c r="AG23" s="28">
        <v>-0.34419877868563109</v>
      </c>
      <c r="AH23" s="29">
        <v>-0.23397915226319332</v>
      </c>
      <c r="AI23" s="27" t="e">
        <f ca="1"/>
        <v>#NAME?</v>
      </c>
      <c r="AJ23" s="28" t="e">
        <f ca="1"/>
        <v>#NAME?</v>
      </c>
      <c r="AK23" s="28" t="e">
        <f ca="1"/>
        <v>#NAME?</v>
      </c>
      <c r="AL23" s="29" t="e">
        <f ca="1"/>
        <v>#NAME?</v>
      </c>
    </row>
    <row r="24" spans="1:47" x14ac:dyDescent="0.35">
      <c r="A24" s="116">
        <f t="shared" si="11"/>
        <v>-0.33427559488723679</v>
      </c>
      <c r="B24" s="117">
        <f t="shared" si="11"/>
        <v>0.82175077612572589</v>
      </c>
      <c r="C24" s="117">
        <f t="shared" si="11"/>
        <v>-0.38166867296409768</v>
      </c>
      <c r="D24" s="118">
        <f t="shared" si="11"/>
        <v>-0.25945040504376887</v>
      </c>
      <c r="F24" s="27">
        <f>INDEX(A24:D32,,F15)</f>
        <v>-0.33427559488723679</v>
      </c>
      <c r="G24" s="29">
        <f>INDEX(A16:D24,,G15)</f>
        <v>0.82175077612572589</v>
      </c>
      <c r="I24" s="27">
        <f t="shared" si="13"/>
        <v>-0.56353416472601681</v>
      </c>
      <c r="J24" s="28">
        <f t="shared" si="14"/>
        <v>-0.54938245907695116</v>
      </c>
      <c r="K24" s="28">
        <f t="shared" si="15"/>
        <v>1.5749668472011535E-2</v>
      </c>
      <c r="L24" s="29">
        <f t="shared" si="12"/>
        <v>0.3095957851910548</v>
      </c>
      <c r="Q24" s="27">
        <v>-0.10450918578836144</v>
      </c>
      <c r="R24" s="29">
        <v>0.88096103289890326</v>
      </c>
    </row>
    <row r="25" spans="1:47" x14ac:dyDescent="0.35">
      <c r="I25">
        <f>SUM(I16:I24)</f>
        <v>2.3213410161289172</v>
      </c>
      <c r="J25">
        <f>SUM(J16:J24)</f>
        <v>-8.7730521557277064E-2</v>
      </c>
      <c r="K25">
        <f>SUM(K16:K24)</f>
        <v>1.877124371680531</v>
      </c>
      <c r="L25">
        <f>SUM(L16:L24)</f>
        <v>1.1544888049406057</v>
      </c>
      <c r="Z25" s="94" t="e">
        <f t="array" aca="1" ref="Z25:AC28" ca="1">MINVERSE(Z15:AC18)</f>
        <v>#NAME?</v>
      </c>
      <c r="AA25" s="95" t="e">
        <f ca="1"/>
        <v>#NAME?</v>
      </c>
      <c r="AB25" s="95" t="e">
        <f ca="1"/>
        <v>#NAME?</v>
      </c>
      <c r="AC25" s="96" t="e">
        <f ca="1"/>
        <v>#NAME?</v>
      </c>
    </row>
    <row r="26" spans="1:47" x14ac:dyDescent="0.35">
      <c r="A26" s="12" t="s">
        <v>2</v>
      </c>
      <c r="B26">
        <f>COUNT(A16:A24)</f>
        <v>9</v>
      </c>
      <c r="I26" s="12" t="s">
        <v>16</v>
      </c>
      <c r="J26" s="12" t="s">
        <v>258</v>
      </c>
      <c r="K26" s="12" t="s">
        <v>18</v>
      </c>
      <c r="L26" s="12" t="s">
        <v>19</v>
      </c>
      <c r="N26" s="12"/>
      <c r="Z26" s="30" t="e">
        <f ca="1"/>
        <v>#NAME?</v>
      </c>
      <c r="AA26" t="e">
        <f ca="1"/>
        <v>#NAME?</v>
      </c>
      <c r="AB26" t="e">
        <f ca="1"/>
        <v>#NAME?</v>
      </c>
      <c r="AC26" s="26" t="e">
        <f ca="1"/>
        <v>#NAME?</v>
      </c>
    </row>
    <row r="27" spans="1:47" x14ac:dyDescent="0.35">
      <c r="Z27" s="30" t="e">
        <f ca="1"/>
        <v>#NAME?</v>
      </c>
      <c r="AA27" t="e">
        <f ca="1"/>
        <v>#NAME?</v>
      </c>
      <c r="AB27" t="e">
        <f ca="1"/>
        <v>#NAME?</v>
      </c>
      <c r="AC27" s="26" t="e">
        <f ca="1"/>
        <v>#NAME?</v>
      </c>
    </row>
    <row r="28" spans="1:47" x14ac:dyDescent="0.35">
      <c r="A28">
        <v>1</v>
      </c>
      <c r="B28">
        <v>2</v>
      </c>
      <c r="C28">
        <v>3</v>
      </c>
      <c r="D28">
        <v>4</v>
      </c>
      <c r="F28">
        <v>1</v>
      </c>
      <c r="G28">
        <v>3</v>
      </c>
      <c r="I28" s="12" t="s">
        <v>251</v>
      </c>
      <c r="J28" s="12" t="s">
        <v>252</v>
      </c>
      <c r="K28" s="12" t="s">
        <v>253</v>
      </c>
      <c r="L28" s="12" t="s">
        <v>254</v>
      </c>
      <c r="Q28">
        <f>F28</f>
        <v>1</v>
      </c>
      <c r="R28">
        <f>G28</f>
        <v>3</v>
      </c>
      <c r="Z28" s="27" t="e">
        <f ca="1"/>
        <v>#NAME?</v>
      </c>
      <c r="AA28" s="28" t="e">
        <f ca="1"/>
        <v>#NAME?</v>
      </c>
      <c r="AB28" s="28" t="e">
        <f ca="1"/>
        <v>#NAME?</v>
      </c>
      <c r="AC28" s="29" t="e">
        <f ca="1"/>
        <v>#NAME?</v>
      </c>
    </row>
    <row r="29" spans="1:47" x14ac:dyDescent="0.35">
      <c r="A29" s="110">
        <f t="array" ref="A29:A37">IF(A28=$Q15,$Q16:$Q24,IF(A28=$R15,$R16:$R24,A16:A24))</f>
        <v>-3.0083174932662826E-2</v>
      </c>
      <c r="B29" s="111">
        <f t="array" ref="B29:B37">IF(B28=$Q15,$Q16:$Q24,IF(B28=$R15,$R16:$R24,B16:B24))</f>
        <v>-0.93396351291960023</v>
      </c>
      <c r="C29" s="111">
        <f t="array" ref="C29:C37">IF(C28=$Q15,$Q16:$Q24,IF(C28=$R15,$R16:$R24,C16:C24))</f>
        <v>-0.32891839674667611</v>
      </c>
      <c r="D29" s="112">
        <f t="array" ref="D29:D37">IF(D28=$Q15,$Q16:$Q24,IF(D28=$R15,$R16:$R24,D16:D24))</f>
        <v>-0.13645456167694339</v>
      </c>
      <c r="F29" s="94">
        <f>INDEX(A29:D37,,F28)</f>
        <v>-3.0083174932662826E-2</v>
      </c>
      <c r="G29" s="96">
        <f>INDEX(A29:D37,,G28)</f>
        <v>-0.32891839674667611</v>
      </c>
      <c r="I29" s="94">
        <f>F29^2-G29^2</f>
        <v>-0.10728231430437464</v>
      </c>
      <c r="J29" s="95">
        <f>2*F29*G29</f>
        <v>1.9789819335802504E-2</v>
      </c>
      <c r="K29" s="95">
        <f>I29^2-J29^2</f>
        <v>1.1117858013158925E-2</v>
      </c>
      <c r="L29" s="96">
        <f t="shared" ref="L29:L37" si="16">I29*J29</f>
        <v>-2.1230976180103547E-3</v>
      </c>
      <c r="N29" t="s">
        <v>12</v>
      </c>
      <c r="O29" s="51">
        <f>2*L38*B39-2*I38*J38</f>
        <v>17.580886216587768</v>
      </c>
      <c r="Q29" s="94">
        <f t="array" ref="Q29:R37">MMULT(F29:G37,N33:O34)</f>
        <v>-0.13461374415138255</v>
      </c>
      <c r="R29" s="96">
        <v>-0.30161473607564193</v>
      </c>
    </row>
    <row r="30" spans="1:47" x14ac:dyDescent="0.35">
      <c r="A30" s="113">
        <v>-0.71476249629075472</v>
      </c>
      <c r="B30" s="114">
        <v>0.57601593258523343</v>
      </c>
      <c r="C30" s="114">
        <v>-0.23549504039980643</v>
      </c>
      <c r="D30" s="115">
        <v>0.31915874616132023</v>
      </c>
      <c r="F30" s="30">
        <f>INDEX(A30:D38,,F28)</f>
        <v>-0.71476249629075472</v>
      </c>
      <c r="G30" s="26">
        <f>INDEX(A29:D37,,G28)</f>
        <v>-0.23549504039980643</v>
      </c>
      <c r="I30" s="30">
        <f t="shared" ref="I30:I37" si="17">F30^2-G30^2</f>
        <v>0.45542751205088472</v>
      </c>
      <c r="J30">
        <f t="shared" ref="J30:J37" si="18">2*F30*G30</f>
        <v>0.33664604588051555</v>
      </c>
      <c r="K30">
        <f t="shared" ref="K30:K37" si="19">I30^2-J30^2</f>
        <v>9.4083658525872568E-2</v>
      </c>
      <c r="L30" s="26">
        <f t="shared" si="16"/>
        <v>0.15331787111713119</v>
      </c>
      <c r="N30" t="s">
        <v>255</v>
      </c>
      <c r="O30" s="52">
        <f>K38*B39-(I38^2-J38^2)</f>
        <v>4.6110642342357453</v>
      </c>
      <c r="Q30" s="30">
        <v>-0.75251793220706364</v>
      </c>
      <c r="R30" s="26">
        <v>7.7525391648738951E-3</v>
      </c>
    </row>
    <row r="31" spans="1:47" x14ac:dyDescent="0.35">
      <c r="A31" s="113">
        <v>-0.90249729133518475</v>
      </c>
      <c r="B31" s="114">
        <v>-0.15010218210701462</v>
      </c>
      <c r="C31" s="114">
        <v>-0.22250221058195188</v>
      </c>
      <c r="D31" s="115">
        <v>0.33683933907059044</v>
      </c>
      <c r="F31" s="30">
        <f>INDEX(A31:D39,,F28)</f>
        <v>-0.90249729133518475</v>
      </c>
      <c r="G31" s="26">
        <f>INDEX(A29:D37,,G28)</f>
        <v>-0.22250221058195188</v>
      </c>
      <c r="I31" s="30">
        <f t="shared" si="17"/>
        <v>0.76499412715349013</v>
      </c>
      <c r="J31">
        <f t="shared" si="18"/>
        <v>0.40161528473260488</v>
      </c>
      <c r="K31">
        <f t="shared" si="19"/>
        <v>0.42392117764847898</v>
      </c>
      <c r="L31" s="26">
        <f t="shared" si="16"/>
        <v>0.30723333419551946</v>
      </c>
      <c r="N31" t="s">
        <v>256</v>
      </c>
      <c r="O31" s="53">
        <f>0.25*ATAN(O29/O30)</f>
        <v>0.32857412959128013</v>
      </c>
      <c r="Q31" s="30">
        <v>-0.92601685353432095</v>
      </c>
      <c r="R31" s="26">
        <v>8.0631145047039832E-2</v>
      </c>
    </row>
    <row r="32" spans="1:47" x14ac:dyDescent="0.35">
      <c r="A32" s="113">
        <v>-0.41248335532579117</v>
      </c>
      <c r="B32" s="114">
        <v>-6.2197554310475037E-2</v>
      </c>
      <c r="C32" s="114">
        <v>-0.20553223141123222</v>
      </c>
      <c r="D32" s="115">
        <v>-0.88529398940018356</v>
      </c>
      <c r="F32" s="30">
        <f>INDEX(A32:D40,,F28)</f>
        <v>-0.41248335532579117</v>
      </c>
      <c r="G32" s="26">
        <f>INDEX(A29:D37,,G28)</f>
        <v>-0.20553223141123222</v>
      </c>
      <c r="I32" s="30">
        <f t="shared" si="17"/>
        <v>0.12789902027194258</v>
      </c>
      <c r="J32">
        <f t="shared" si="18"/>
        <v>0.16955724888020407</v>
      </c>
      <c r="K32">
        <f t="shared" si="19"/>
        <v>-1.2391501261300685E-2</v>
      </c>
      <c r="L32" s="26">
        <f t="shared" si="16"/>
        <v>2.1686206011784035E-2</v>
      </c>
      <c r="Q32" s="30">
        <v>-0.45674087830477078</v>
      </c>
      <c r="R32" s="26">
        <v>-6.1431153782830678E-2</v>
      </c>
    </row>
    <row r="33" spans="1:18" x14ac:dyDescent="0.35">
      <c r="A33" s="113">
        <v>-0.75648654267145599</v>
      </c>
      <c r="B33" s="114">
        <v>0.1471163054483709</v>
      </c>
      <c r="C33" s="114">
        <v>0.60170242312218147</v>
      </c>
      <c r="D33" s="115">
        <v>-0.20985494379952999</v>
      </c>
      <c r="F33" s="30">
        <f>INDEX(A33:D41,,F28)</f>
        <v>-0.75648654267145599</v>
      </c>
      <c r="G33" s="26">
        <f>INDEX(A29:D37,,G28)</f>
        <v>0.60170242312218147</v>
      </c>
      <c r="I33" s="30">
        <f t="shared" si="17"/>
        <v>0.21022608325190795</v>
      </c>
      <c r="J33">
        <f t="shared" si="18"/>
        <v>-0.91035957156947322</v>
      </c>
      <c r="K33">
        <f t="shared" si="19"/>
        <v>-0.7845595434687167</v>
      </c>
      <c r="L33" s="26">
        <f t="shared" si="16"/>
        <v>-0.19138132708193534</v>
      </c>
      <c r="N33" s="94">
        <f>COS(O31)</f>
        <v>0.946503425034944</v>
      </c>
      <c r="O33" s="96">
        <f>-N34</f>
        <v>-0.32269376566199753</v>
      </c>
      <c r="Q33" s="30">
        <v>-0.52185148290613104</v>
      </c>
      <c r="R33" s="26">
        <v>0.81362689546424738</v>
      </c>
    </row>
    <row r="34" spans="1:18" x14ac:dyDescent="0.35">
      <c r="A34" s="113">
        <v>-0.35780760604420464</v>
      </c>
      <c r="B34" s="114">
        <v>6.038993361572554E-2</v>
      </c>
      <c r="C34" s="114">
        <v>0.92867131179100471</v>
      </c>
      <c r="D34" s="115">
        <v>-7.6787809131256338E-2</v>
      </c>
      <c r="F34" s="30">
        <f>INDEX(A34:D42,,F28)</f>
        <v>-0.35780760604420464</v>
      </c>
      <c r="G34" s="26">
        <f>INDEX(A29:D37,,G28)</f>
        <v>0.92867131179100471</v>
      </c>
      <c r="I34" s="30">
        <f t="shared" si="17"/>
        <v>-0.73440412240054076</v>
      </c>
      <c r="J34">
        <f t="shared" si="18"/>
        <v>-0.66457131774774114</v>
      </c>
      <c r="K34">
        <f t="shared" si="19"/>
        <v>9.7694378625939327E-2</v>
      </c>
      <c r="L34" s="26">
        <f t="shared" si="16"/>
        <v>0.48806391538310073</v>
      </c>
      <c r="N34" s="27">
        <f>SIN(O31)</f>
        <v>0.32269376566199753</v>
      </c>
      <c r="O34" s="29">
        <f>N33</f>
        <v>0.946503425034944</v>
      </c>
      <c r="Q34" s="30">
        <v>-3.8989681960287292E-2</v>
      </c>
      <c r="R34" s="26">
        <v>0.99445286111878928</v>
      </c>
    </row>
    <row r="35" spans="1:18" x14ac:dyDescent="0.35">
      <c r="A35" s="113">
        <v>-0.95752438246980909</v>
      </c>
      <c r="B35" s="114">
        <v>-1.5960016133805016E-2</v>
      </c>
      <c r="C35" s="114">
        <v>-0.21876034334299801</v>
      </c>
      <c r="D35" s="115">
        <v>0.18717971856286431</v>
      </c>
      <c r="F35" s="30">
        <f>INDEX(A35:D43,,F28)</f>
        <v>-0.95752438246980909</v>
      </c>
      <c r="G35" s="26">
        <f>INDEX(A29:D37,,G28)</f>
        <v>-0.21876034334299801</v>
      </c>
      <c r="I35" s="30">
        <f t="shared" si="17"/>
        <v>0.86899685520464276</v>
      </c>
      <c r="J35">
        <f t="shared" si="18"/>
        <v>0.41893672533677517</v>
      </c>
      <c r="K35">
        <f t="shared" si="19"/>
        <v>0.57964755451965821</v>
      </c>
      <c r="L35" s="26">
        <f t="shared" si="16"/>
        <v>0.36405469684738878</v>
      </c>
      <c r="Q35" s="30">
        <v>-0.97689270653300753</v>
      </c>
      <c r="R35" s="26">
        <v>0.10192973445639356</v>
      </c>
    </row>
    <row r="36" spans="1:18" x14ac:dyDescent="0.35">
      <c r="A36" s="113">
        <v>-0.94961241822516729</v>
      </c>
      <c r="B36" s="114">
        <v>0.20934806114253185</v>
      </c>
      <c r="C36" s="114">
        <v>0.16380937633360707</v>
      </c>
      <c r="D36" s="115">
        <v>-0.16606062951105244</v>
      </c>
      <c r="F36" s="30">
        <f>INDEX(A36:D44,,F28)</f>
        <v>-0.94961241822516729</v>
      </c>
      <c r="G36" s="26">
        <f>INDEX(A29:D37,,G28)</f>
        <v>0.16380937633360707</v>
      </c>
      <c r="I36" s="30">
        <f t="shared" si="17"/>
        <v>0.87493023307264473</v>
      </c>
      <c r="J36">
        <f t="shared" si="18"/>
        <v>-0.31111083597622619</v>
      </c>
      <c r="K36">
        <f t="shared" si="19"/>
        <v>0.6687129604827261</v>
      </c>
      <c r="L36" s="26">
        <f t="shared" si="16"/>
        <v>-0.27220027623210491</v>
      </c>
      <c r="Q36" s="30">
        <v>-0.84595114180600162</v>
      </c>
      <c r="R36" s="26">
        <v>0.46148014290907213</v>
      </c>
    </row>
    <row r="37" spans="1:18" x14ac:dyDescent="0.35">
      <c r="A37" s="116">
        <v>-0.10450918578836144</v>
      </c>
      <c r="B37" s="117">
        <v>0.88096103289890326</v>
      </c>
      <c r="C37" s="117">
        <v>-0.38166867296409768</v>
      </c>
      <c r="D37" s="118">
        <v>-0.25945040504376887</v>
      </c>
      <c r="F37" s="27">
        <f>INDEX(A37:D45,,F28)</f>
        <v>-0.10450918578836144</v>
      </c>
      <c r="G37" s="29">
        <f>INDEX(A29:D37,,G28)</f>
        <v>-0.38166867296409768</v>
      </c>
      <c r="I37" s="27">
        <f t="shared" si="17"/>
        <v>-0.1347488060080291</v>
      </c>
      <c r="J37" s="28">
        <f t="shared" si="18"/>
        <v>7.9775764504804489E-2</v>
      </c>
      <c r="K37" s="28">
        <f t="shared" si="19"/>
        <v>1.1793068118263438E-2</v>
      </c>
      <c r="L37" s="29">
        <f t="shared" si="16"/>
        <v>-1.0749689015400113E-2</v>
      </c>
      <c r="Q37" s="27">
        <v>-0.22208040361029951</v>
      </c>
      <c r="R37" s="29">
        <v>-0.32752624348074477</v>
      </c>
    </row>
    <row r="38" spans="1:18" x14ac:dyDescent="0.35">
      <c r="I38">
        <f>SUM(I29:I37)</f>
        <v>2.326038588292568</v>
      </c>
      <c r="J38">
        <f>SUM(J29:J37)</f>
        <v>-0.45972083662273389</v>
      </c>
      <c r="K38">
        <f>SUM(K29:K37)</f>
        <v>1.0900196112040801</v>
      </c>
      <c r="L38">
        <f>SUM(L29:L37)</f>
        <v>0.85790163360747351</v>
      </c>
    </row>
    <row r="39" spans="1:18" x14ac:dyDescent="0.35">
      <c r="A39" s="12" t="s">
        <v>2</v>
      </c>
      <c r="B39">
        <f>COUNT(A29:A37)</f>
        <v>9</v>
      </c>
      <c r="I39" s="12" t="s">
        <v>16</v>
      </c>
      <c r="J39" s="12" t="s">
        <v>258</v>
      </c>
      <c r="K39" s="12" t="s">
        <v>18</v>
      </c>
      <c r="L39" s="12" t="s">
        <v>19</v>
      </c>
      <c r="N39" s="12"/>
    </row>
    <row r="41" spans="1:18" x14ac:dyDescent="0.35">
      <c r="A41">
        <v>1</v>
      </c>
      <c r="B41">
        <v>2</v>
      </c>
      <c r="C41">
        <v>3</v>
      </c>
      <c r="D41">
        <v>4</v>
      </c>
      <c r="F41">
        <v>1</v>
      </c>
      <c r="G41">
        <v>4</v>
      </c>
      <c r="I41" s="12" t="s">
        <v>251</v>
      </c>
      <c r="J41" s="12" t="s">
        <v>252</v>
      </c>
      <c r="K41" s="12" t="s">
        <v>253</v>
      </c>
      <c r="L41" s="12" t="s">
        <v>254</v>
      </c>
      <c r="Q41">
        <f>F41</f>
        <v>1</v>
      </c>
      <c r="R41">
        <f>G41</f>
        <v>4</v>
      </c>
    </row>
    <row r="42" spans="1:18" x14ac:dyDescent="0.35">
      <c r="A42" s="110">
        <f t="array" ref="A42:A50">IF(A41=$Q28,$Q29:$Q37,IF(A41=$R28,$R29:$R37,A29:A37))</f>
        <v>-0.13461374415138255</v>
      </c>
      <c r="B42" s="111">
        <f t="array" ref="B42:B50">IF(B41=$Q28,$Q29:$Q37,IF(B41=$R28,$R29:$R37,B29:B37))</f>
        <v>-0.93396351291960023</v>
      </c>
      <c r="C42" s="111">
        <f t="array" ref="C42:C50">IF(C41=$Q28,$Q29:$Q37,IF(C41=$R28,$R29:$R37,C29:C37))</f>
        <v>-0.30161473607564193</v>
      </c>
      <c r="D42" s="112">
        <f t="array" ref="D42:D50">IF(D41=$Q28,$Q29:$Q37,IF(D41=$R28,$R29:$R37,D29:D37))</f>
        <v>-0.13645456167694339</v>
      </c>
      <c r="F42" s="94">
        <f>INDEX(A42:D50,,F41)</f>
        <v>-0.13461374415138255</v>
      </c>
      <c r="G42" s="96">
        <f>INDEX(A42:D50,,G41)</f>
        <v>-0.13645456167694339</v>
      </c>
      <c r="I42" s="94">
        <f>F42^2-G42^2</f>
        <v>-4.9898728799286848E-4</v>
      </c>
      <c r="J42" s="95">
        <f>2*F42*G42</f>
        <v>3.6737318907738216E-2</v>
      </c>
      <c r="K42" s="95">
        <f>I42^2-J42^2</f>
        <v>-1.3493816122152813E-3</v>
      </c>
      <c r="L42" s="96">
        <f t="shared" ref="L42:L50" si="20">I42*J42</f>
        <v>-1.8331455129901423E-5</v>
      </c>
      <c r="N42" t="s">
        <v>12</v>
      </c>
      <c r="O42" s="51">
        <f>2*L51*B52-2*I51*J51</f>
        <v>-22.436396662090793</v>
      </c>
      <c r="Q42" s="94">
        <f t="array" ref="Q42:R50">MMULT(F42:G50,N46:O47)</f>
        <v>-7.6684304848265522E-2</v>
      </c>
      <c r="R42" s="96">
        <v>-0.17567078558154997</v>
      </c>
    </row>
    <row r="43" spans="1:18" x14ac:dyDescent="0.35">
      <c r="A43" s="113">
        <v>-0.75251793220706364</v>
      </c>
      <c r="B43" s="114">
        <v>0.57601593258523343</v>
      </c>
      <c r="C43" s="114">
        <v>7.7525391648738951E-3</v>
      </c>
      <c r="D43" s="115">
        <v>0.31915874616132023</v>
      </c>
      <c r="F43" s="30">
        <f>INDEX(A43:D51,,F41)</f>
        <v>-0.75251793220706364</v>
      </c>
      <c r="G43" s="26">
        <f>INDEX(A42:D50,,G41)</f>
        <v>0.31915874616132023</v>
      </c>
      <c r="I43" s="30">
        <f t="shared" ref="I43:I50" si="21">F43^2-G43^2</f>
        <v>0.46442093304192877</v>
      </c>
      <c r="J43">
        <f t="shared" ref="J43:J50" si="22">2*F43*G43</f>
        <v>-0.48034535941423162</v>
      </c>
      <c r="K43">
        <f t="shared" ref="K43:K50" si="23">I43^2-J43^2</f>
        <v>-1.5044861263251663E-2</v>
      </c>
      <c r="L43" s="26">
        <f t="shared" si="20"/>
        <v>-0.22308244000151808</v>
      </c>
      <c r="N43" t="s">
        <v>255</v>
      </c>
      <c r="O43" s="52">
        <f>K51*B52-(I51^2-J51^2)</f>
        <v>2.3129641916732746</v>
      </c>
      <c r="Q43" s="30">
        <v>-0.81692626638398269</v>
      </c>
      <c r="R43" s="26">
        <v>2.7875057603292785E-2</v>
      </c>
    </row>
    <row r="44" spans="1:18" x14ac:dyDescent="0.35">
      <c r="A44" s="113">
        <v>-0.92601685353432095</v>
      </c>
      <c r="B44" s="114">
        <v>-0.15010218210701462</v>
      </c>
      <c r="C44" s="114">
        <v>8.0631145047039832E-2</v>
      </c>
      <c r="D44" s="115">
        <v>0.33683933907059044</v>
      </c>
      <c r="F44" s="30">
        <f>INDEX(A44:D52,,F41)</f>
        <v>-0.92601685353432095</v>
      </c>
      <c r="G44" s="26">
        <f>INDEX(A42:D50,,G41)</f>
        <v>0.33683933907059044</v>
      </c>
      <c r="I44" s="30">
        <f t="shared" si="21"/>
        <v>0.74404647268409174</v>
      </c>
      <c r="J44">
        <f t="shared" si="22"/>
        <v>-0.62383780982545689</v>
      </c>
      <c r="K44">
        <f t="shared" si="23"/>
        <v>0.16443154054581599</v>
      </c>
      <c r="L44" s="26">
        <f t="shared" si="20"/>
        <v>-0.46416432192760043</v>
      </c>
      <c r="N44" t="s">
        <v>256</v>
      </c>
      <c r="O44" s="53">
        <f>0.25*ATAN(O42/O43)</f>
        <v>-0.36701734684512233</v>
      </c>
      <c r="Q44" s="30">
        <v>-0.98521484722246089</v>
      </c>
      <c r="R44" s="26">
        <v>-1.7878987318617423E-2</v>
      </c>
    </row>
    <row r="45" spans="1:18" x14ac:dyDescent="0.35">
      <c r="A45" s="113">
        <v>-0.45674087830477078</v>
      </c>
      <c r="B45" s="114">
        <v>-6.2197554310475037E-2</v>
      </c>
      <c r="C45" s="114">
        <v>-6.1431153782830678E-2</v>
      </c>
      <c r="D45" s="115">
        <v>-0.88529398940018356</v>
      </c>
      <c r="F45" s="30">
        <f>INDEX(A45:D53,,F41)</f>
        <v>-0.45674087830477078</v>
      </c>
      <c r="G45" s="26">
        <f>INDEX(A42:D50,,G41)</f>
        <v>-0.88529398940018356</v>
      </c>
      <c r="I45" s="30">
        <f t="shared" si="21"/>
        <v>-0.57513321775347892</v>
      </c>
      <c r="J45">
        <f t="shared" si="22"/>
        <v>0.80869990855314855</v>
      </c>
      <c r="K45">
        <f t="shared" si="23"/>
        <v>-0.3232173239304002</v>
      </c>
      <c r="L45" s="26">
        <f t="shared" si="20"/>
        <v>-0.46511018060311649</v>
      </c>
      <c r="Q45" s="30">
        <v>-0.10865002992580647</v>
      </c>
      <c r="R45" s="26">
        <v>-0.99022868499141503</v>
      </c>
    </row>
    <row r="46" spans="1:18" x14ac:dyDescent="0.35">
      <c r="A46" s="113">
        <v>-0.52185148290613104</v>
      </c>
      <c r="B46" s="114">
        <v>0.1471163054483709</v>
      </c>
      <c r="C46" s="114">
        <v>0.81362689546424738</v>
      </c>
      <c r="D46" s="115">
        <v>-0.20985494379952999</v>
      </c>
      <c r="F46" s="30">
        <f>INDEX(A46:D54,,F41)</f>
        <v>-0.52185148290613104</v>
      </c>
      <c r="G46" s="26">
        <f>INDEX(A42:D50,,G41)</f>
        <v>-0.20985494379952999</v>
      </c>
      <c r="I46" s="30">
        <f t="shared" si="21"/>
        <v>0.22828987277422408</v>
      </c>
      <c r="J46">
        <f t="shared" si="22"/>
        <v>0.21902622723393503</v>
      </c>
      <c r="K46">
        <f t="shared" si="23"/>
        <v>4.1437777949400734E-3</v>
      </c>
      <c r="L46" s="26">
        <f t="shared" si="20"/>
        <v>5.0001469549453323E-2</v>
      </c>
      <c r="N46" s="94">
        <f>COS(O44)</f>
        <v>0.9334017703243922</v>
      </c>
      <c r="O46" s="96">
        <f>-N47</f>
        <v>0.35883301848532634</v>
      </c>
      <c r="Q46" s="30">
        <v>-0.41179421506333813</v>
      </c>
      <c r="R46" s="26">
        <v>-0.38313651886605782</v>
      </c>
    </row>
    <row r="47" spans="1:18" x14ac:dyDescent="0.35">
      <c r="A47" s="113">
        <v>-3.8989681960287292E-2</v>
      </c>
      <c r="B47" s="114">
        <v>6.038993361572554E-2</v>
      </c>
      <c r="C47" s="114">
        <v>0.99445286111878928</v>
      </c>
      <c r="D47" s="115">
        <v>-7.6787809131256338E-2</v>
      </c>
      <c r="F47" s="30">
        <f>INDEX(A47:D55,,F41)</f>
        <v>-3.8989681960287292E-2</v>
      </c>
      <c r="G47" s="26">
        <f>INDEX(A42:D50,,G41)</f>
        <v>-7.6787809131256338E-2</v>
      </c>
      <c r="I47" s="30">
        <f t="shared" si="21"/>
        <v>-4.3761723318139021E-3</v>
      </c>
      <c r="J47">
        <f t="shared" si="22"/>
        <v>5.9878645129098577E-3</v>
      </c>
      <c r="K47">
        <f t="shared" si="23"/>
        <v>-1.6703637147231685E-5</v>
      </c>
      <c r="L47" s="26">
        <f t="shared" si="20"/>
        <v>-2.6203927008046446E-5</v>
      </c>
      <c r="N47" s="27">
        <f>SIN(O44)</f>
        <v>-0.35883301848532634</v>
      </c>
      <c r="O47" s="29">
        <f>N46</f>
        <v>0.9334017703243922</v>
      </c>
      <c r="Q47" s="30">
        <v>-8.8390368326733623E-3</v>
      </c>
      <c r="R47" s="26">
        <v>-8.566466225003895E-2</v>
      </c>
    </row>
    <row r="48" spans="1:18" x14ac:dyDescent="0.35">
      <c r="A48" s="113">
        <v>-0.97689270653300753</v>
      </c>
      <c r="B48" s="114">
        <v>-1.5960016133805016E-2</v>
      </c>
      <c r="C48" s="114">
        <v>0.10192973445639356</v>
      </c>
      <c r="D48" s="115">
        <v>0.18717971856286431</v>
      </c>
      <c r="F48" s="30">
        <f>INDEX(A48:D56,,F41)</f>
        <v>-0.97689270653300753</v>
      </c>
      <c r="G48" s="26">
        <f>INDEX(A42:D50,,G41)</f>
        <v>0.18717971856286431</v>
      </c>
      <c r="I48" s="30">
        <f t="shared" si="21"/>
        <v>0.91928311303611165</v>
      </c>
      <c r="J48">
        <f t="shared" si="22"/>
        <v>-0.36570900374992626</v>
      </c>
      <c r="K48">
        <f t="shared" si="23"/>
        <v>0.7113383664896008</v>
      </c>
      <c r="L48" s="26">
        <f t="shared" si="20"/>
        <v>-0.33619011143256727</v>
      </c>
      <c r="Q48" s="30">
        <v>-0.97899964510604265</v>
      </c>
      <c r="R48" s="26">
        <v>-0.17582747794614015</v>
      </c>
    </row>
    <row r="49" spans="1:18" x14ac:dyDescent="0.35">
      <c r="A49" s="113">
        <v>-0.84595114180600162</v>
      </c>
      <c r="B49" s="114">
        <v>0.20934806114253185</v>
      </c>
      <c r="C49" s="114">
        <v>0.46148014290907213</v>
      </c>
      <c r="D49" s="115">
        <v>-0.16606062951105244</v>
      </c>
      <c r="F49" s="30">
        <f>INDEX(A49:D57,,F41)</f>
        <v>-0.84595114180600162</v>
      </c>
      <c r="G49" s="26">
        <f>INDEX(A42:D50,,G41)</f>
        <v>-0.16606062951105244</v>
      </c>
      <c r="I49" s="30">
        <f t="shared" si="21"/>
        <v>0.68805720164927087</v>
      </c>
      <c r="J49">
        <f t="shared" si="22"/>
        <v>0.28095835828779642</v>
      </c>
      <c r="K49">
        <f t="shared" si="23"/>
        <v>0.39448511364965161</v>
      </c>
      <c r="L49" s="26">
        <f t="shared" si="20"/>
        <v>0.19331542178347444</v>
      </c>
      <c r="Q49" s="30">
        <v>-0.73002425643063851</v>
      </c>
      <c r="R49" s="26">
        <v>-0.45855648727215526</v>
      </c>
    </row>
    <row r="50" spans="1:18" x14ac:dyDescent="0.35">
      <c r="A50" s="116">
        <v>-0.22208040361029951</v>
      </c>
      <c r="B50" s="117">
        <v>0.88096103289890326</v>
      </c>
      <c r="C50" s="117">
        <v>-0.32752624348074477</v>
      </c>
      <c r="D50" s="118">
        <v>-0.25945040504376887</v>
      </c>
      <c r="F50" s="27">
        <f>INDEX(A50:D58,,F41)</f>
        <v>-0.22208040361029951</v>
      </c>
      <c r="G50" s="29">
        <f>INDEX(A42:D50,,G41)</f>
        <v>-0.25945040504376887</v>
      </c>
      <c r="I50" s="27">
        <f t="shared" si="21"/>
        <v>-1.7994807009662196E-2</v>
      </c>
      <c r="J50" s="28">
        <f t="shared" si="22"/>
        <v>0.11523770133795176</v>
      </c>
      <c r="K50" s="28">
        <f t="shared" si="23"/>
        <v>-1.2955914730339982E-2</v>
      </c>
      <c r="L50" s="29">
        <f t="shared" si="20"/>
        <v>-2.073680195813533E-3</v>
      </c>
      <c r="Q50" s="27">
        <v>-0.11419086989511298</v>
      </c>
      <c r="R50" s="29">
        <v>-0.32186124895315782</v>
      </c>
    </row>
    <row r="51" spans="1:18" x14ac:dyDescent="0.35">
      <c r="I51">
        <f>SUM(I42:I50)</f>
        <v>2.4460944088026793</v>
      </c>
      <c r="J51">
        <f>SUM(J42:J50)</f>
        <v>-3.2447941561350307E-3</v>
      </c>
      <c r="K51">
        <f>SUM(K42:K50)</f>
        <v>0.92181461330665404</v>
      </c>
      <c r="L51">
        <f>SUM(L42:L50)</f>
        <v>-1.247348378209826</v>
      </c>
    </row>
    <row r="52" spans="1:18" x14ac:dyDescent="0.35">
      <c r="A52" s="12" t="s">
        <v>2</v>
      </c>
      <c r="B52">
        <f>COUNT(A42:A50)</f>
        <v>9</v>
      </c>
      <c r="I52" s="12" t="s">
        <v>16</v>
      </c>
      <c r="J52" s="12" t="s">
        <v>258</v>
      </c>
      <c r="K52" s="12" t="s">
        <v>18</v>
      </c>
      <c r="L52" s="12" t="s">
        <v>19</v>
      </c>
      <c r="N52" s="12"/>
    </row>
    <row r="54" spans="1:18" x14ac:dyDescent="0.35">
      <c r="A54">
        <v>1</v>
      </c>
      <c r="B54">
        <v>2</v>
      </c>
      <c r="C54">
        <v>3</v>
      </c>
      <c r="D54">
        <v>4</v>
      </c>
      <c r="F54">
        <v>2</v>
      </c>
      <c r="G54">
        <v>3</v>
      </c>
      <c r="I54" s="12" t="s">
        <v>251</v>
      </c>
      <c r="J54" s="12" t="s">
        <v>252</v>
      </c>
      <c r="K54" s="12" t="s">
        <v>253</v>
      </c>
      <c r="L54" s="12" t="s">
        <v>254</v>
      </c>
      <c r="Q54">
        <f>F54</f>
        <v>2</v>
      </c>
      <c r="R54">
        <f>G54</f>
        <v>3</v>
      </c>
    </row>
    <row r="55" spans="1:18" x14ac:dyDescent="0.35">
      <c r="A55" s="110">
        <f t="array" ref="A55:A63">IF(A54=$Q41,$Q42:$Q50,IF(A54=$R41,$R42:$R50,A42:A50))</f>
        <v>-7.6684304848265522E-2</v>
      </c>
      <c r="B55" s="111">
        <f t="array" ref="B55:B63">IF(B54=$Q41,$Q42:$Q50,IF(B54=$R41,$R42:$R50,B42:B50))</f>
        <v>-0.93396351291960023</v>
      </c>
      <c r="C55" s="111">
        <f t="array" ref="C55:C63">IF(C54=$Q41,$Q42:$Q50,IF(C54=$R41,$R42:$R50,C42:C50))</f>
        <v>-0.30161473607564193</v>
      </c>
      <c r="D55" s="112">
        <f t="array" ref="D55:D63">IF(D54=$Q41,$Q42:$Q50,IF(D54=$R41,$R42:$R50,D42:D50))</f>
        <v>-0.17567078558154997</v>
      </c>
      <c r="F55" s="94">
        <f>INDEX(A55:D63,,F54)</f>
        <v>-0.93396351291960023</v>
      </c>
      <c r="G55" s="96">
        <f>INDEX(A55:D63,,G54)</f>
        <v>-0.30161473607564193</v>
      </c>
      <c r="I55" s="94">
        <f>F55^2-G55^2</f>
        <v>0.78131639444714107</v>
      </c>
      <c r="J55" s="95">
        <f>2*F55*G55</f>
        <v>0.56339431690704922</v>
      </c>
      <c r="K55" s="95">
        <f>I55^2-J55^2</f>
        <v>0.29304215190871996</v>
      </c>
      <c r="L55" s="96">
        <f t="shared" ref="L55:L63" si="24">I55*J55</f>
        <v>0.44018921633782565</v>
      </c>
      <c r="N55" t="s">
        <v>12</v>
      </c>
      <c r="O55" s="51">
        <f>2*L64*B65-2*I64*J64</f>
        <v>-4.4473558165261826</v>
      </c>
      <c r="Q55" s="94">
        <f t="array" ref="Q55:R63">MMULT(F55:G63,N59:O60)</f>
        <v>-0.91228851864370386</v>
      </c>
      <c r="R55" s="96">
        <v>-0.36192395780602271</v>
      </c>
    </row>
    <row r="56" spans="1:18" x14ac:dyDescent="0.35">
      <c r="A56" s="113">
        <v>-0.81692626638398269</v>
      </c>
      <c r="B56" s="114">
        <v>0.57601593258523343</v>
      </c>
      <c r="C56" s="114">
        <v>7.7525391648738951E-3</v>
      </c>
      <c r="D56" s="115">
        <v>2.7875057603292785E-2</v>
      </c>
      <c r="F56" s="30">
        <f>INDEX(A56:D64,,F54)</f>
        <v>0.57601593258523343</v>
      </c>
      <c r="G56" s="26">
        <f>INDEX(A55:D63,,G54)</f>
        <v>7.7525391648738951E-3</v>
      </c>
      <c r="I56" s="30">
        <f t="shared" ref="I56:I63" si="25">F56^2-G56^2</f>
        <v>0.33173425272853324</v>
      </c>
      <c r="J56">
        <f t="shared" ref="J56:J63" si="26">2*F56*G56</f>
        <v>8.9311721539167676E-3</v>
      </c>
      <c r="K56">
        <f t="shared" ref="K56:K63" si="27">I56^2-J56^2</f>
        <v>0.10996784859731547</v>
      </c>
      <c r="L56" s="26">
        <f t="shared" si="24"/>
        <v>2.9627757204694636E-3</v>
      </c>
      <c r="N56" t="s">
        <v>255</v>
      </c>
      <c r="O56" s="52">
        <f>K64*B65-(I64^2-J64^2)</f>
        <v>16.635429092053933</v>
      </c>
      <c r="Q56" s="30">
        <v>0.57428202002699502</v>
      </c>
      <c r="R56" s="26">
        <v>4.5327893501167948E-2</v>
      </c>
    </row>
    <row r="57" spans="1:18" x14ac:dyDescent="0.35">
      <c r="A57" s="113">
        <v>-0.98521484722246089</v>
      </c>
      <c r="B57" s="114">
        <v>-0.15010218210701462</v>
      </c>
      <c r="C57" s="114">
        <v>8.0631145047039832E-2</v>
      </c>
      <c r="D57" s="115">
        <v>-1.7878987318617423E-2</v>
      </c>
      <c r="F57" s="30">
        <f>INDEX(A57:D65,,F54)</f>
        <v>-0.15010218210701462</v>
      </c>
      <c r="G57" s="26">
        <f>INDEX(A55:D63,,G54)</f>
        <v>8.0631145047039832E-2</v>
      </c>
      <c r="I57" s="30">
        <f t="shared" si="25"/>
        <v>1.6029283521690606E-2</v>
      </c>
      <c r="J57">
        <f t="shared" si="26"/>
        <v>-2.4205821634695767E-2</v>
      </c>
      <c r="K57">
        <f t="shared" si="27"/>
        <v>-3.2898387079196369E-4</v>
      </c>
      <c r="L57" s="26">
        <f t="shared" si="24"/>
        <v>-3.8800197785801083E-4</v>
      </c>
      <c r="N57" t="s">
        <v>256</v>
      </c>
      <c r="O57" s="53">
        <f>0.25*ATAN(O55/O56)</f>
        <v>-6.5308293128987352E-2</v>
      </c>
      <c r="Q57" s="30">
        <v>-0.1550443299054107</v>
      </c>
      <c r="R57" s="26">
        <v>7.0663302987238885E-2</v>
      </c>
    </row>
    <row r="58" spans="1:18" x14ac:dyDescent="0.35">
      <c r="A58" s="113">
        <v>-0.10865002992580647</v>
      </c>
      <c r="B58" s="114">
        <v>-6.2197554310475037E-2</v>
      </c>
      <c r="C58" s="114">
        <v>-6.1431153782830678E-2</v>
      </c>
      <c r="D58" s="115">
        <v>-0.99022868499141503</v>
      </c>
      <c r="F58" s="30">
        <f>INDEX(A58:D66,,F54)</f>
        <v>-6.2197554310475037E-2</v>
      </c>
      <c r="G58" s="26">
        <f>INDEX(A55:D63,,G54)</f>
        <v>-6.1431153782830678E-2</v>
      </c>
      <c r="I58" s="30">
        <f t="shared" si="25"/>
        <v>9.4749107114700231E-5</v>
      </c>
      <c r="J58">
        <f t="shared" si="26"/>
        <v>7.6417350475255098E-3</v>
      </c>
      <c r="K58">
        <f t="shared" si="27"/>
        <v>-5.8387137143280675E-5</v>
      </c>
      <c r="L58" s="26">
        <f t="shared" si="24"/>
        <v>7.2404757256015343E-7</v>
      </c>
      <c r="Q58" s="30">
        <v>-5.805584732611882E-2</v>
      </c>
      <c r="R58" s="26">
        <v>-6.535932227724417E-2</v>
      </c>
    </row>
    <row r="59" spans="1:18" x14ac:dyDescent="0.35">
      <c r="A59" s="113">
        <v>-0.41179421506333813</v>
      </c>
      <c r="B59" s="114">
        <v>0.1471163054483709</v>
      </c>
      <c r="C59" s="114">
        <v>0.81362689546424738</v>
      </c>
      <c r="D59" s="115">
        <v>-0.38313651886605782</v>
      </c>
      <c r="F59" s="30">
        <f>INDEX(A59:D67,,F54)</f>
        <v>0.1471163054483709</v>
      </c>
      <c r="G59" s="26">
        <f>INDEX(A55:D63,,G54)</f>
        <v>0.81362689546424738</v>
      </c>
      <c r="I59" s="30">
        <f t="shared" si="25"/>
        <v>-0.64034551769401105</v>
      </c>
      <c r="J59">
        <f t="shared" si="26"/>
        <v>0.23939556574825591</v>
      </c>
      <c r="K59">
        <f t="shared" si="27"/>
        <v>0.35273214513088347</v>
      </c>
      <c r="L59" s="26">
        <f t="shared" si="24"/>
        <v>-0.15329587748271759</v>
      </c>
      <c r="N59" s="94">
        <f>COS(O57)</f>
        <v>0.9978681713041162</v>
      </c>
      <c r="O59" s="96">
        <f>-N60</f>
        <v>6.5261877832153897E-2</v>
      </c>
      <c r="Q59" s="30">
        <v>9.3703859634041292E-2</v>
      </c>
      <c r="R59" s="26">
        <v>0.82149346865404327</v>
      </c>
    </row>
    <row r="60" spans="1:18" x14ac:dyDescent="0.35">
      <c r="A60" s="113">
        <v>-8.8390368326733623E-3</v>
      </c>
      <c r="B60" s="114">
        <v>6.038993361572554E-2</v>
      </c>
      <c r="C60" s="114">
        <v>0.99445286111878928</v>
      </c>
      <c r="D60" s="115">
        <v>-8.566466225003895E-2</v>
      </c>
      <c r="F60" s="30">
        <f>INDEX(A60:D68,,F54)</f>
        <v>6.038993361572554E-2</v>
      </c>
      <c r="G60" s="26">
        <f>INDEX(A55:D63,,G54)</f>
        <v>0.99445286111878928</v>
      </c>
      <c r="I60" s="30">
        <f t="shared" si="25"/>
        <v>-0.98528954890523424</v>
      </c>
      <c r="J60">
        <f t="shared" si="26"/>
        <v>0.12010988453386402</v>
      </c>
      <c r="K60">
        <f t="shared" si="27"/>
        <v>0.95636911081914189</v>
      </c>
      <c r="L60" s="26">
        <f t="shared" si="24"/>
        <v>-0.11834301395143065</v>
      </c>
      <c r="N60" s="27">
        <f>SIN(O57)</f>
        <v>-6.5261877832153897E-2</v>
      </c>
      <c r="O60" s="29">
        <f>N59</f>
        <v>0.9978681713041162</v>
      </c>
      <c r="Q60" s="30">
        <v>-4.638668509869312E-3</v>
      </c>
      <c r="R60" s="26">
        <v>0.99627401844267383</v>
      </c>
    </row>
    <row r="61" spans="1:18" x14ac:dyDescent="0.35">
      <c r="A61" s="113">
        <v>-0.97899964510604265</v>
      </c>
      <c r="B61" s="114">
        <v>-1.5960016133805016E-2</v>
      </c>
      <c r="C61" s="114">
        <v>0.10192973445639356</v>
      </c>
      <c r="D61" s="115">
        <v>-0.17582747794614015</v>
      </c>
      <c r="F61" s="30">
        <f>INDEX(A61:D69,,F54)</f>
        <v>-1.5960016133805016E-2</v>
      </c>
      <c r="G61" s="26">
        <f>INDEX(A55:D63,,G54)</f>
        <v>0.10192973445639356</v>
      </c>
      <c r="I61" s="30">
        <f t="shared" si="25"/>
        <v>-1.0134948651359587E-2</v>
      </c>
      <c r="J61">
        <f t="shared" si="26"/>
        <v>-3.2536004128770044E-3</v>
      </c>
      <c r="K61">
        <f t="shared" si="27"/>
        <v>9.2131268519022111E-5</v>
      </c>
      <c r="L61" s="26">
        <f t="shared" si="24"/>
        <v>3.2975073116550793E-5</v>
      </c>
      <c r="Q61" s="30">
        <v>-2.2578117990981243E-2</v>
      </c>
      <c r="R61" s="26">
        <v>0.100670857100392</v>
      </c>
    </row>
    <row r="62" spans="1:18" x14ac:dyDescent="0.35">
      <c r="A62" s="113">
        <v>-0.73002425643063851</v>
      </c>
      <c r="B62" s="114">
        <v>0.20934806114253185</v>
      </c>
      <c r="C62" s="114">
        <v>0.46148014290907213</v>
      </c>
      <c r="D62" s="115">
        <v>-0.45855648727215526</v>
      </c>
      <c r="F62" s="30">
        <f>INDEX(A62:D70,,F54)</f>
        <v>0.20934806114253185</v>
      </c>
      <c r="G62" s="26">
        <f>INDEX(A55:D63,,G54)</f>
        <v>0.46148014290907213</v>
      </c>
      <c r="I62" s="30">
        <f t="shared" si="25"/>
        <v>-0.16913731159524037</v>
      </c>
      <c r="J62">
        <f t="shared" si="26"/>
        <v>0.19321994634758555</v>
      </c>
      <c r="K62">
        <f t="shared" si="27"/>
        <v>-8.7265174928984057E-3</v>
      </c>
      <c r="L62" s="26">
        <f t="shared" si="24"/>
        <v>-3.2680702271807201E-2</v>
      </c>
      <c r="Q62" s="30">
        <v>0.17878470622986378</v>
      </c>
      <c r="R62" s="26">
        <v>0.47415879388852022</v>
      </c>
    </row>
    <row r="63" spans="1:18" x14ac:dyDescent="0.35">
      <c r="A63" s="116">
        <v>-0.11419086989511298</v>
      </c>
      <c r="B63" s="117">
        <v>0.88096103289890326</v>
      </c>
      <c r="C63" s="117">
        <v>-0.32752624348074477</v>
      </c>
      <c r="D63" s="118">
        <v>-0.32186124895315782</v>
      </c>
      <c r="F63" s="27">
        <f>INDEX(A63:D71,,F54)</f>
        <v>0.88096103289890326</v>
      </c>
      <c r="G63" s="29">
        <f>INDEX(A55:D63,,G54)</f>
        <v>-0.32752624348074477</v>
      </c>
      <c r="I63" s="27">
        <f t="shared" si="25"/>
        <v>0.66881890131769439</v>
      </c>
      <c r="J63" s="28">
        <f t="shared" si="26"/>
        <v>-0.5770757155165892</v>
      </c>
      <c r="K63" s="28">
        <f t="shared" si="27"/>
        <v>0.11430234132082445</v>
      </c>
      <c r="L63" s="29">
        <f t="shared" si="24"/>
        <v>-0.38595914602892756</v>
      </c>
      <c r="Q63" s="27">
        <v>0.90045795257787864</v>
      </c>
      <c r="R63" s="29">
        <v>-0.26933484233230115</v>
      </c>
    </row>
    <row r="64" spans="1:18" x14ac:dyDescent="0.35">
      <c r="I64">
        <f>SUM(I55:I63)</f>
        <v>-6.9137457236713162E-3</v>
      </c>
      <c r="J64">
        <f>SUM(J55:J63)</f>
        <v>0.5281574831740351</v>
      </c>
      <c r="K64">
        <f>SUM(K55:K63)</f>
        <v>1.8173918405445706</v>
      </c>
      <c r="L64">
        <f>SUM(L55:L63)</f>
        <v>-0.24748105053375674</v>
      </c>
    </row>
    <row r="65" spans="1:18" x14ac:dyDescent="0.35">
      <c r="A65" s="12" t="s">
        <v>2</v>
      </c>
      <c r="B65">
        <f>COUNT(A55:A63)</f>
        <v>9</v>
      </c>
      <c r="I65" s="12" t="s">
        <v>16</v>
      </c>
      <c r="J65" s="12" t="s">
        <v>258</v>
      </c>
      <c r="K65" s="12" t="s">
        <v>18</v>
      </c>
      <c r="L65" s="12" t="s">
        <v>19</v>
      </c>
      <c r="N65" s="12"/>
    </row>
    <row r="67" spans="1:18" x14ac:dyDescent="0.35">
      <c r="A67">
        <v>1</v>
      </c>
      <c r="B67">
        <v>2</v>
      </c>
      <c r="C67">
        <v>3</v>
      </c>
      <c r="D67">
        <v>4</v>
      </c>
      <c r="F67">
        <v>2</v>
      </c>
      <c r="G67">
        <v>4</v>
      </c>
      <c r="I67" s="12" t="s">
        <v>251</v>
      </c>
      <c r="J67" s="12" t="s">
        <v>252</v>
      </c>
      <c r="K67" s="12" t="s">
        <v>253</v>
      </c>
      <c r="L67" s="12" t="s">
        <v>254</v>
      </c>
      <c r="Q67">
        <f>F67</f>
        <v>2</v>
      </c>
      <c r="R67">
        <f>G67</f>
        <v>4</v>
      </c>
    </row>
    <row r="68" spans="1:18" x14ac:dyDescent="0.35">
      <c r="A68" s="110">
        <f t="array" ref="A68:A76">IF(A67=$Q54,$Q55:$Q63,IF(A67=$R54,$R55:$R63,A55:A63))</f>
        <v>-7.6684304848265522E-2</v>
      </c>
      <c r="B68" s="111">
        <f t="array" ref="B68:B76">IF(B67=$Q54,$Q55:$Q63,IF(B67=$R54,$R55:$R63,B55:B63))</f>
        <v>-0.91228851864370386</v>
      </c>
      <c r="C68" s="111">
        <f t="array" ref="C68:C76">IF(C67=$Q54,$Q55:$Q63,IF(C67=$R54,$R55:$R63,C55:C63))</f>
        <v>-0.36192395780602271</v>
      </c>
      <c r="D68" s="112">
        <f t="array" ref="D68:D76">IF(D67=$Q54,$Q55:$Q63,IF(D67=$R54,$R55:$R63,D55:D63))</f>
        <v>-0.17567078558154997</v>
      </c>
      <c r="F68" s="94">
        <f>INDEX(A68:D76,,F67)</f>
        <v>-0.91228851864370386</v>
      </c>
      <c r="G68" s="96">
        <f>INDEX(A68:D76,,G67)</f>
        <v>-0.17567078558154997</v>
      </c>
      <c r="I68" s="94">
        <f>F68^2-G68^2</f>
        <v>0.80141011634228465</v>
      </c>
      <c r="J68" s="95">
        <f>2*F68*G68</f>
        <v>0.32052488149433589</v>
      </c>
      <c r="K68" s="95">
        <f>I68^2-J68^2</f>
        <v>0.53952197491879605</v>
      </c>
      <c r="L68" s="96">
        <f t="shared" ref="L68:L76" si="28">I68*J68</f>
        <v>0.2568718825689727</v>
      </c>
      <c r="N68" t="s">
        <v>12</v>
      </c>
      <c r="O68" s="51">
        <f>2*L77*B78-2*I77*J77</f>
        <v>-3.5317289814351449</v>
      </c>
      <c r="Q68" s="94">
        <f t="array" ref="Q68:R76">MMULT(F68:G76,N72:O73)</f>
        <v>-0.90124624563495281</v>
      </c>
      <c r="R68" s="96">
        <v>-0.22557874652738236</v>
      </c>
    </row>
    <row r="69" spans="1:18" x14ac:dyDescent="0.35">
      <c r="A69" s="113">
        <v>-0.81692626638398269</v>
      </c>
      <c r="B69" s="114">
        <v>0.57428202002699502</v>
      </c>
      <c r="C69" s="114">
        <v>4.5327893501167948E-2</v>
      </c>
      <c r="D69" s="115">
        <v>2.7875057603292785E-2</v>
      </c>
      <c r="F69" s="30">
        <f>INDEX(A69:D77,,F67)</f>
        <v>0.57428202002699502</v>
      </c>
      <c r="G69" s="26">
        <f>INDEX(A68:D76,,G67)</f>
        <v>2.7875057603292785E-2</v>
      </c>
      <c r="I69" s="30">
        <f t="shared" ref="I69:I76" si="29">F69^2-G69^2</f>
        <v>0.32902281968989905</v>
      </c>
      <c r="J69">
        <f t="shared" ref="J69:J76" si="30">2*F69*G69</f>
        <v>3.2016288777575654E-2</v>
      </c>
      <c r="K69">
        <f t="shared" ref="K69:K76" si="31">I69^2-J69^2</f>
        <v>0.10723097312960271</v>
      </c>
      <c r="L69" s="26">
        <f t="shared" si="28"/>
        <v>1.0534089609604013E-2</v>
      </c>
      <c r="N69" t="s">
        <v>255</v>
      </c>
      <c r="O69" s="52">
        <f>K77*B78-(I77^2-J77^2)</f>
        <v>15.78590706583361</v>
      </c>
      <c r="Q69" s="30">
        <v>0.57187976456688216</v>
      </c>
      <c r="R69" s="26">
        <v>5.9417103948276651E-2</v>
      </c>
    </row>
    <row r="70" spans="1:18" x14ac:dyDescent="0.35">
      <c r="A70" s="113">
        <v>-0.98521484722246089</v>
      </c>
      <c r="B70" s="114">
        <v>-0.1550443299054107</v>
      </c>
      <c r="C70" s="114">
        <v>7.0663302987238885E-2</v>
      </c>
      <c r="D70" s="115">
        <v>-1.7878987318617423E-2</v>
      </c>
      <c r="F70" s="30">
        <f>INDEX(A70:D78,,F67)</f>
        <v>-0.1550443299054107</v>
      </c>
      <c r="G70" s="26">
        <f>INDEX(A68:D76,,G67)</f>
        <v>-1.7878987318617423E-2</v>
      </c>
      <c r="I70" s="30">
        <f t="shared" si="29"/>
        <v>2.3719086048278548E-2</v>
      </c>
      <c r="J70">
        <f t="shared" si="30"/>
        <v>5.5440712164047477E-3</v>
      </c>
      <c r="K70">
        <f t="shared" si="31"/>
        <v>5.3185831731307443E-4</v>
      </c>
      <c r="L70" s="26">
        <f t="shared" si="28"/>
        <v>1.3150030223968854E-4</v>
      </c>
      <c r="N70" t="s">
        <v>256</v>
      </c>
      <c r="O70" s="53">
        <f>0.25*ATAN(O68/O69)</f>
        <v>-5.502554308805481E-2</v>
      </c>
      <c r="Q70" s="30">
        <v>-0.15382636210560013</v>
      </c>
      <c r="R70" s="26">
        <v>-2.6379020920305335E-2</v>
      </c>
    </row>
    <row r="71" spans="1:18" x14ac:dyDescent="0.35">
      <c r="A71" s="113">
        <v>-0.10865002992580647</v>
      </c>
      <c r="B71" s="114">
        <v>-5.805584732611882E-2</v>
      </c>
      <c r="C71" s="114">
        <v>-6.535932227724417E-2</v>
      </c>
      <c r="D71" s="115">
        <v>-0.99022868499141503</v>
      </c>
      <c r="F71" s="30">
        <f>INDEX(A71:D79,,F67)</f>
        <v>-5.805584732611882E-2</v>
      </c>
      <c r="G71" s="26">
        <f>INDEX(A68:D76,,G67)</f>
        <v>-0.99022868499141503</v>
      </c>
      <c r="I71" s="30">
        <f t="shared" si="29"/>
        <v>-0.97718236717107343</v>
      </c>
      <c r="J71">
        <f t="shared" si="30"/>
        <v>0.11497713070761</v>
      </c>
      <c r="K71">
        <f t="shared" si="31"/>
        <v>0.9416656381243077</v>
      </c>
      <c r="L71" s="26">
        <f t="shared" si="28"/>
        <v>-0.11235362475540026</v>
      </c>
      <c r="Q71" s="30">
        <v>-3.5075996064038786E-3</v>
      </c>
      <c r="R71" s="26">
        <v>-0.99192289354242746</v>
      </c>
    </row>
    <row r="72" spans="1:18" x14ac:dyDescent="0.35">
      <c r="A72" s="113">
        <v>-0.41179421506333813</v>
      </c>
      <c r="B72" s="114">
        <v>9.3703859634041292E-2</v>
      </c>
      <c r="C72" s="114">
        <v>0.82149346865404327</v>
      </c>
      <c r="D72" s="115">
        <v>-0.38313651886605782</v>
      </c>
      <c r="F72" s="30">
        <f>INDEX(A72:D80,,F67)</f>
        <v>9.3703859634041292E-2</v>
      </c>
      <c r="G72" s="26">
        <f>INDEX(A68:D76,,G67)</f>
        <v>-0.38313651886605782</v>
      </c>
      <c r="I72" s="30">
        <f t="shared" si="29"/>
        <v>-0.13801317877848496</v>
      </c>
      <c r="J72">
        <f t="shared" si="30"/>
        <v>-7.1802741169000595E-2</v>
      </c>
      <c r="K72">
        <f t="shared" si="31"/>
        <v>1.3892003877159559E-2</v>
      </c>
      <c r="L72" s="26">
        <f t="shared" si="28"/>
        <v>9.9097245537425604E-3</v>
      </c>
      <c r="N72" s="94">
        <f>COS(O70)</f>
        <v>0.99848647675020563</v>
      </c>
      <c r="O72" s="96">
        <f>-N73</f>
        <v>5.4997779473003758E-2</v>
      </c>
      <c r="Q72" s="30">
        <v>0.11463369443653951</v>
      </c>
      <c r="R72" s="26">
        <v>-0.37740312862898645</v>
      </c>
    </row>
    <row r="73" spans="1:18" x14ac:dyDescent="0.35">
      <c r="A73" s="113">
        <v>-8.8390368326733623E-3</v>
      </c>
      <c r="B73" s="114">
        <v>-4.638668509869312E-3</v>
      </c>
      <c r="C73" s="114">
        <v>0.99627401844267383</v>
      </c>
      <c r="D73" s="115">
        <v>-8.566466225003895E-2</v>
      </c>
      <c r="F73" s="30">
        <f>INDEX(A73:D81,,F67)</f>
        <v>-4.638668509869312E-3</v>
      </c>
      <c r="G73" s="26">
        <f>INDEX(A68:D76,,G67)</f>
        <v>-8.566466225003895E-2</v>
      </c>
      <c r="I73" s="30">
        <f t="shared" si="29"/>
        <v>-7.3169171128687951E-3</v>
      </c>
      <c r="J73">
        <f t="shared" si="30"/>
        <v>7.9473994237569217E-4</v>
      </c>
      <c r="K73">
        <f t="shared" si="31"/>
        <v>5.2905664460584904E-5</v>
      </c>
      <c r="L73" s="26">
        <f t="shared" si="28"/>
        <v>-5.8150462846490619E-6</v>
      </c>
      <c r="N73" s="27">
        <f>SIN(O70)</f>
        <v>-5.4997779473003758E-2</v>
      </c>
      <c r="O73" s="29">
        <f>N72</f>
        <v>0.99848647675020563</v>
      </c>
      <c r="Q73" s="30">
        <v>7.9718425825455949E-5</v>
      </c>
      <c r="R73" s="26">
        <v>-8.5790123259791892E-2</v>
      </c>
    </row>
    <row r="74" spans="1:18" x14ac:dyDescent="0.35">
      <c r="A74" s="113">
        <v>-0.97899964510604265</v>
      </c>
      <c r="B74" s="114">
        <v>-2.2578117990981243E-2</v>
      </c>
      <c r="C74" s="114">
        <v>0.100670857100392</v>
      </c>
      <c r="D74" s="115">
        <v>-0.17582747794614015</v>
      </c>
      <c r="F74" s="30">
        <f>INDEX(A74:D82,,F67)</f>
        <v>-2.2578117990981243E-2</v>
      </c>
      <c r="G74" s="26">
        <f>INDEX(A68:D76,,G67)</f>
        <v>-0.17582747794614015</v>
      </c>
      <c r="I74" s="30">
        <f t="shared" si="29"/>
        <v>-3.0405530588885728E-2</v>
      </c>
      <c r="J74">
        <f t="shared" si="30"/>
        <v>7.9397070862492099E-3</v>
      </c>
      <c r="K74">
        <f t="shared" si="31"/>
        <v>8.6145734177622976E-4</v>
      </c>
      <c r="L74" s="26">
        <f t="shared" si="28"/>
        <v>-2.4141100667774313E-4</v>
      </c>
      <c r="Q74" s="30">
        <v>-1.2873824627089046E-2</v>
      </c>
      <c r="R74" s="26">
        <v>-0.17680310532449942</v>
      </c>
    </row>
    <row r="75" spans="1:18" x14ac:dyDescent="0.35">
      <c r="A75" s="113">
        <v>-0.73002425643063851</v>
      </c>
      <c r="B75" s="114">
        <v>0.17878470622986378</v>
      </c>
      <c r="C75" s="114">
        <v>0.47415879388852022</v>
      </c>
      <c r="D75" s="115">
        <v>-0.45855648727215526</v>
      </c>
      <c r="F75" s="30">
        <f>INDEX(A75:D83,,F67)</f>
        <v>0.17878470622986378</v>
      </c>
      <c r="G75" s="26">
        <f>INDEX(A68:D76,,G67)</f>
        <v>-0.45855648727215526</v>
      </c>
      <c r="I75" s="30">
        <f t="shared" si="29"/>
        <v>-0.1783100808376796</v>
      </c>
      <c r="J75">
        <f t="shared" si="30"/>
        <v>-0.1639657737335011</v>
      </c>
      <c r="K75">
        <f t="shared" si="31"/>
        <v>4.9097099723141545E-3</v>
      </c>
      <c r="L75" s="26">
        <f t="shared" si="28"/>
        <v>2.9236750369033265E-2</v>
      </c>
      <c r="Q75" s="30">
        <v>0.20373369998318647</v>
      </c>
      <c r="R75" s="26">
        <v>-0.44802968952094896</v>
      </c>
    </row>
    <row r="76" spans="1:18" x14ac:dyDescent="0.35">
      <c r="A76" s="116">
        <v>-0.11419086989511298</v>
      </c>
      <c r="B76" s="117">
        <v>0.90045795257787864</v>
      </c>
      <c r="C76" s="117">
        <v>-0.26933484233230115</v>
      </c>
      <c r="D76" s="118">
        <v>-0.32186124895315782</v>
      </c>
      <c r="F76" s="27">
        <f>INDEX(A76:D84,,F67)</f>
        <v>0.90045795257787864</v>
      </c>
      <c r="G76" s="29">
        <f>INDEX(A68:D76,,G67)</f>
        <v>-0.32186124895315782</v>
      </c>
      <c r="I76" s="27">
        <f t="shared" si="29"/>
        <v>0.70722986078305849</v>
      </c>
      <c r="J76" s="28">
        <f t="shared" si="30"/>
        <v>-0.57964504249303872</v>
      </c>
      <c r="K76" s="28">
        <f t="shared" si="31"/>
        <v>0.1641857006964676</v>
      </c>
      <c r="L76" s="29">
        <f t="shared" si="28"/>
        <v>-0.4099422827059418</v>
      </c>
      <c r="Q76" s="27">
        <v>0.91679674252202115</v>
      </c>
      <c r="R76" s="29">
        <v>-0.27185091656906873</v>
      </c>
    </row>
    <row r="77" spans="1:18" x14ac:dyDescent="0.35">
      <c r="I77">
        <f>SUM(I68:I76)</f>
        <v>0.53015380837452819</v>
      </c>
      <c r="J77">
        <f>SUM(J68:J76)</f>
        <v>-0.33361673817098925</v>
      </c>
      <c r="K77">
        <f>SUM(K68:K76)</f>
        <v>1.7728522220421974</v>
      </c>
      <c r="L77">
        <f>SUM(L68:L76)</f>
        <v>-0.21585918611071225</v>
      </c>
    </row>
    <row r="78" spans="1:18" x14ac:dyDescent="0.35">
      <c r="A78" s="12" t="s">
        <v>2</v>
      </c>
      <c r="B78">
        <f>COUNT(A68:A76)</f>
        <v>9</v>
      </c>
      <c r="I78" s="12" t="s">
        <v>16</v>
      </c>
      <c r="J78" s="12" t="s">
        <v>258</v>
      </c>
      <c r="K78" s="12" t="s">
        <v>18</v>
      </c>
      <c r="L78" s="12" t="s">
        <v>19</v>
      </c>
      <c r="N78" s="12"/>
    </row>
    <row r="80" spans="1:18" x14ac:dyDescent="0.35">
      <c r="A80">
        <v>1</v>
      </c>
      <c r="B80">
        <v>2</v>
      </c>
      <c r="C80">
        <v>3</v>
      </c>
      <c r="D80">
        <v>4</v>
      </c>
      <c r="F80">
        <v>3</v>
      </c>
      <c r="G80">
        <v>4</v>
      </c>
      <c r="I80" s="12" t="s">
        <v>251</v>
      </c>
      <c r="J80" s="12" t="s">
        <v>252</v>
      </c>
      <c r="K80" s="12" t="s">
        <v>253</v>
      </c>
      <c r="L80" s="12" t="s">
        <v>254</v>
      </c>
      <c r="Q80">
        <f>F80</f>
        <v>3</v>
      </c>
      <c r="R80">
        <f>G80</f>
        <v>4</v>
      </c>
    </row>
    <row r="81" spans="1:18" x14ac:dyDescent="0.35">
      <c r="A81" s="110">
        <f t="array" ref="A81:A89">IF(A80=$Q67,$Q68:$Q76,IF(A80=$R67,$R68:$R76,A68:A76))</f>
        <v>-7.6684304848265522E-2</v>
      </c>
      <c r="B81" s="111">
        <f t="array" ref="B81:B89">IF(B80=$Q67,$Q68:$Q76,IF(B80=$R67,$R68:$R76,B68:B76))</f>
        <v>-0.90124624563495281</v>
      </c>
      <c r="C81" s="111">
        <f t="array" ref="C81:C89">IF(C80=$Q67,$Q68:$Q76,IF(C80=$R67,$R68:$R76,C68:C76))</f>
        <v>-0.36192395780602271</v>
      </c>
      <c r="D81" s="112">
        <f t="array" ref="D81:D89">IF(D80=$Q67,$Q68:$Q76,IF(D80=$R67,$R68:$R76,D68:D76))</f>
        <v>-0.22557874652738236</v>
      </c>
      <c r="F81" s="94">
        <f>INDEX(A81:D89,,F80)</f>
        <v>-0.36192395780602271</v>
      </c>
      <c r="G81" s="96">
        <f>INDEX(A81:D89,,G80)</f>
        <v>-0.22557874652738236</v>
      </c>
      <c r="I81" s="94">
        <f>F81^2-G81^2</f>
        <v>8.0103180349110709E-2</v>
      </c>
      <c r="J81" s="95">
        <f>2*F81*G81</f>
        <v>0.16328470548022364</v>
      </c>
      <c r="K81" s="95">
        <f>I81^2-J81^2</f>
        <v>-2.0245375541721219E-2</v>
      </c>
      <c r="L81" s="96">
        <f t="shared" ref="L81:L89" si="32">I81*J81</f>
        <v>1.307962421133378E-2</v>
      </c>
      <c r="N81" t="s">
        <v>12</v>
      </c>
      <c r="O81" s="51">
        <f>2*L90*B91-2*I90*J90</f>
        <v>-10.190570000013988</v>
      </c>
      <c r="Q81" s="94">
        <f t="array" ref="Q81:R89">MMULT(F81:G89,N85:O86)</f>
        <v>-0.32285726444529989</v>
      </c>
      <c r="R81" s="96">
        <v>-0.27863579977048614</v>
      </c>
    </row>
    <row r="82" spans="1:18" x14ac:dyDescent="0.35">
      <c r="A82" s="113">
        <v>-0.81692626638398269</v>
      </c>
      <c r="B82" s="114">
        <v>0.57187976456688216</v>
      </c>
      <c r="C82" s="114">
        <v>4.5327893501167948E-2</v>
      </c>
      <c r="D82" s="115">
        <v>5.9417103948276651E-2</v>
      </c>
      <c r="F82" s="30">
        <f>INDEX(A82:D90,,F80)</f>
        <v>4.5327893501167948E-2</v>
      </c>
      <c r="G82" s="26">
        <f>INDEX(A81:D89,,G80)</f>
        <v>5.9417103948276651E-2</v>
      </c>
      <c r="I82" s="30">
        <f t="shared" ref="I82:I89" si="33">F82^2-G82^2</f>
        <v>-1.4757743123470892E-3</v>
      </c>
      <c r="J82">
        <f t="shared" ref="J82:J89" si="34">2*F82*G82</f>
        <v>5.3865043198306189E-3</v>
      </c>
      <c r="K82">
        <f t="shared" ref="K82:K89" si="35">I82^2-J82^2</f>
        <v>-2.6836518966570396E-5</v>
      </c>
      <c r="L82" s="26">
        <f t="shared" si="32"/>
        <v>-7.9492647085526574E-6</v>
      </c>
      <c r="N82" t="s">
        <v>255</v>
      </c>
      <c r="O82" s="52">
        <f>K90*B91-(I90^2-J90^2)</f>
        <v>14.316471831603558</v>
      </c>
      <c r="Q82" s="30">
        <v>3.5634550180860813E-2</v>
      </c>
      <c r="R82" s="26">
        <v>6.5690098220822057E-2</v>
      </c>
    </row>
    <row r="83" spans="1:18" x14ac:dyDescent="0.35">
      <c r="A83" s="113">
        <v>-0.98521484722246089</v>
      </c>
      <c r="B83" s="114">
        <v>-0.15382636210560013</v>
      </c>
      <c r="C83" s="114">
        <v>7.0663302987238885E-2</v>
      </c>
      <c r="D83" s="115">
        <v>-2.6379020920305335E-2</v>
      </c>
      <c r="F83" s="30">
        <f>INDEX(A83:D91,,F80)</f>
        <v>7.0663302987238885E-2</v>
      </c>
      <c r="G83" s="26">
        <f>INDEX(A81:D89,,G80)</f>
        <v>-2.6379020920305335E-2</v>
      </c>
      <c r="I83" s="30">
        <f t="shared" si="33"/>
        <v>4.2974496443524178E-3</v>
      </c>
      <c r="J83">
        <f t="shared" si="34"/>
        <v>-3.7280574955964982E-3</v>
      </c>
      <c r="K83">
        <f t="shared" si="35"/>
        <v>4.5696607552714881E-6</v>
      </c>
      <c r="L83" s="26">
        <f t="shared" si="32"/>
        <v>-1.6021139358576536E-5</v>
      </c>
      <c r="N83" t="s">
        <v>256</v>
      </c>
      <c r="O83" s="53">
        <f>0.25*ATAN(O81/O82)</f>
        <v>-0.15465162205907068</v>
      </c>
      <c r="Q83" s="30">
        <v>7.3883270300270157E-2</v>
      </c>
      <c r="R83" s="26">
        <v>-1.5179509330589348E-2</v>
      </c>
    </row>
    <row r="84" spans="1:18" x14ac:dyDescent="0.35">
      <c r="A84" s="113">
        <v>-0.10865002992580647</v>
      </c>
      <c r="B84" s="114">
        <v>-3.5075996064038786E-3</v>
      </c>
      <c r="C84" s="114">
        <v>-6.535932227724417E-2</v>
      </c>
      <c r="D84" s="115">
        <v>-0.99192289354242746</v>
      </c>
      <c r="F84" s="30">
        <f>INDEX(A84:D92,,F80)</f>
        <v>-6.535932227724417E-2</v>
      </c>
      <c r="G84" s="26">
        <f>INDEX(A81:D89,,G80)</f>
        <v>-0.99192289354242746</v>
      </c>
      <c r="I84" s="30">
        <f t="shared" si="33"/>
        <v>-0.97963918572504127</v>
      </c>
      <c r="J84">
        <f t="shared" si="34"/>
        <v>0.12966281614643216</v>
      </c>
      <c r="K84">
        <f t="shared" si="35"/>
        <v>0.94288048831699844</v>
      </c>
      <c r="L84" s="26">
        <f t="shared" si="32"/>
        <v>-0.12702277562850653</v>
      </c>
      <c r="Q84" s="30">
        <v>8.8212448906890228E-2</v>
      </c>
      <c r="R84" s="26">
        <v>-0.9901522264783188</v>
      </c>
    </row>
    <row r="85" spans="1:18" x14ac:dyDescent="0.35">
      <c r="A85" s="113">
        <v>-0.41179421506333813</v>
      </c>
      <c r="B85" s="114">
        <v>0.11463369443653951</v>
      </c>
      <c r="C85" s="114">
        <v>0.82149346865404327</v>
      </c>
      <c r="D85" s="115">
        <v>-0.37740312862898645</v>
      </c>
      <c r="F85" s="30">
        <f>INDEX(A85:D93,,F80)</f>
        <v>0.82149346865404327</v>
      </c>
      <c r="G85" s="26">
        <f>INDEX(A81:D89,,G80)</f>
        <v>-0.37740312862898645</v>
      </c>
      <c r="I85" s="30">
        <f t="shared" si="33"/>
        <v>0.53241839754230436</v>
      </c>
      <c r="J85">
        <f t="shared" si="34"/>
        <v>-0.6200684104366283</v>
      </c>
      <c r="K85">
        <f t="shared" si="35"/>
        <v>-0.10101548357989171</v>
      </c>
      <c r="L85" s="26">
        <f t="shared" si="32"/>
        <v>-0.33013582945127351</v>
      </c>
      <c r="N85" s="94">
        <f>COS(O83)</f>
        <v>0.98806525343817264</v>
      </c>
      <c r="O85" s="96">
        <f>-N86</f>
        <v>0.15403588850706101</v>
      </c>
      <c r="Q85" s="30">
        <v>0.86982277854717138</v>
      </c>
      <c r="R85" s="26">
        <v>-0.24635944159028575</v>
      </c>
    </row>
    <row r="86" spans="1:18" x14ac:dyDescent="0.35">
      <c r="A86" s="113">
        <v>-8.8390368326733623E-3</v>
      </c>
      <c r="B86" s="114">
        <v>7.9718425825455949E-5</v>
      </c>
      <c r="C86" s="114">
        <v>0.99627401844267383</v>
      </c>
      <c r="D86" s="115">
        <v>-8.5790123259791892E-2</v>
      </c>
      <c r="F86" s="30">
        <f>INDEX(A86:D94,,F80)</f>
        <v>0.99627401844267383</v>
      </c>
      <c r="G86" s="26">
        <f>INDEX(A81:D89,,G80)</f>
        <v>-8.5790123259791892E-2</v>
      </c>
      <c r="I86" s="30">
        <f t="shared" si="33"/>
        <v>0.98520197457498293</v>
      </c>
      <c r="J86">
        <f t="shared" si="34"/>
        <v>-0.17094094168545035</v>
      </c>
      <c r="K86">
        <f t="shared" si="35"/>
        <v>0.94140212516213684</v>
      </c>
      <c r="L86" s="26">
        <f t="shared" si="32"/>
        <v>-0.16841135328421269</v>
      </c>
      <c r="N86" s="27">
        <f>SIN(O83)</f>
        <v>-0.15403588850706101</v>
      </c>
      <c r="O86" s="29">
        <f>N85</f>
        <v>0.98806525343817264</v>
      </c>
      <c r="Q86" s="30">
        <v>0.99759849838787951</v>
      </c>
      <c r="R86" s="26">
        <v>6.8695713746139003E-2</v>
      </c>
    </row>
    <row r="87" spans="1:18" x14ac:dyDescent="0.35">
      <c r="A87" s="113">
        <v>-0.97899964510604265</v>
      </c>
      <c r="B87" s="114">
        <v>-1.2873824627089046E-2</v>
      </c>
      <c r="C87" s="114">
        <v>0.100670857100392</v>
      </c>
      <c r="D87" s="115">
        <v>-0.17680310532449942</v>
      </c>
      <c r="F87" s="30">
        <f>INDEX(A87:D95,,F80)</f>
        <v>0.100670857100392</v>
      </c>
      <c r="G87" s="26">
        <f>INDEX(A81:D89,,G80)</f>
        <v>-0.17680310532449942</v>
      </c>
      <c r="I87" s="30">
        <f t="shared" si="33"/>
        <v>-2.1124716583058485E-2</v>
      </c>
      <c r="J87">
        <f t="shared" si="34"/>
        <v>-3.5597840302056476E-2</v>
      </c>
      <c r="K87">
        <f t="shared" si="35"/>
        <v>-8.2095258345617011E-4</v>
      </c>
      <c r="L87" s="26">
        <f t="shared" si="32"/>
        <v>7.5199428734992009E-4</v>
      </c>
      <c r="Q87" s="30">
        <v>0.12670339935420363</v>
      </c>
      <c r="R87" s="26">
        <v>-0.15918608015088118</v>
      </c>
    </row>
    <row r="88" spans="1:18" x14ac:dyDescent="0.35">
      <c r="A88" s="113">
        <v>-0.73002425643063851</v>
      </c>
      <c r="B88" s="114">
        <v>0.20373369998318647</v>
      </c>
      <c r="C88" s="114">
        <v>0.47415879388852022</v>
      </c>
      <c r="D88" s="115">
        <v>-0.44802968952094896</v>
      </c>
      <c r="F88" s="30">
        <f>INDEX(A88:D96,,F80)</f>
        <v>0.47415879388852022</v>
      </c>
      <c r="G88" s="26">
        <f>INDEX(A81:D89,,G80)</f>
        <v>-0.44802968952094896</v>
      </c>
      <c r="I88" s="30">
        <f t="shared" si="33"/>
        <v>2.4095959129578293E-2</v>
      </c>
      <c r="J88">
        <f t="shared" si="34"/>
        <v>-0.42487443441900269</v>
      </c>
      <c r="K88">
        <f t="shared" si="35"/>
        <v>-0.17993766977649309</v>
      </c>
      <c r="L88" s="26">
        <f t="shared" si="32"/>
        <v>-1.0237757006962981E-2</v>
      </c>
      <c r="Q88" s="30">
        <v>0.53751248015630104</v>
      </c>
      <c r="R88" s="26">
        <v>-0.36964509761428765</v>
      </c>
    </row>
    <row r="89" spans="1:18" x14ac:dyDescent="0.35">
      <c r="A89" s="116">
        <v>-0.11419086989511298</v>
      </c>
      <c r="B89" s="117">
        <v>0.91679674252202115</v>
      </c>
      <c r="C89" s="117">
        <v>-0.26933484233230115</v>
      </c>
      <c r="D89" s="118">
        <v>-0.27185091656906873</v>
      </c>
      <c r="F89" s="27">
        <f>INDEX(A89:D97,,F80)</f>
        <v>-0.26933484233230115</v>
      </c>
      <c r="G89" s="29">
        <f>INDEX(A81:D89,,G80)</f>
        <v>-0.27185091656906873</v>
      </c>
      <c r="I89" s="27">
        <f t="shared" si="33"/>
        <v>-1.361663545277253E-3</v>
      </c>
      <c r="J89" s="28">
        <f t="shared" si="34"/>
        <v>0.14643784750404337</v>
      </c>
      <c r="K89" s="28">
        <f t="shared" si="35"/>
        <v>-2.1442189054006924E-2</v>
      </c>
      <c r="L89" s="29">
        <f t="shared" si="32"/>
        <v>-1.9939907859512542E-4</v>
      </c>
      <c r="Q89" s="27">
        <v>-0.22424560177361996</v>
      </c>
      <c r="R89" s="29">
        <v>-0.3100936765217816</v>
      </c>
    </row>
    <row r="90" spans="1:18" x14ac:dyDescent="0.35">
      <c r="I90">
        <f>SUM(I81:I89)</f>
        <v>0.62251562107460467</v>
      </c>
      <c r="J90">
        <f>SUM(J81:J89)</f>
        <v>-0.81043781088820466</v>
      </c>
      <c r="K90">
        <f>SUM(K81:K89)</f>
        <v>1.5607986760853547</v>
      </c>
      <c r="L90">
        <f>SUM(L81:L89)</f>
        <v>-0.62219946635493417</v>
      </c>
    </row>
    <row r="91" spans="1:18" x14ac:dyDescent="0.35">
      <c r="A91" s="12" t="s">
        <v>2</v>
      </c>
      <c r="B91">
        <f>COUNT(A81:A89)</f>
        <v>9</v>
      </c>
      <c r="I91" s="12" t="s">
        <v>16</v>
      </c>
      <c r="J91" s="12" t="s">
        <v>258</v>
      </c>
      <c r="K91" s="12" t="s">
        <v>18</v>
      </c>
      <c r="L91" s="12" t="s">
        <v>19</v>
      </c>
      <c r="N91" s="12"/>
    </row>
    <row r="93" spans="1:18" x14ac:dyDescent="0.35">
      <c r="A93">
        <v>1</v>
      </c>
      <c r="B93">
        <v>2</v>
      </c>
      <c r="C93">
        <v>3</v>
      </c>
      <c r="D93">
        <v>4</v>
      </c>
      <c r="F93">
        <v>1</v>
      </c>
      <c r="G93">
        <v>2</v>
      </c>
      <c r="I93" s="12" t="s">
        <v>251</v>
      </c>
      <c r="J93" s="12" t="s">
        <v>252</v>
      </c>
      <c r="K93" s="12" t="s">
        <v>253</v>
      </c>
      <c r="L93" s="12" t="s">
        <v>254</v>
      </c>
      <c r="Q93">
        <f>F93</f>
        <v>1</v>
      </c>
      <c r="R93">
        <f>G93</f>
        <v>2</v>
      </c>
    </row>
    <row r="94" spans="1:18" x14ac:dyDescent="0.35">
      <c r="A94" s="110">
        <f t="array" ref="A94:A102">IF(A93=$Q80,$Q81:$Q89,IF(A93=$R80,$R81:$R89,A81:A89))</f>
        <v>-7.6684304848265522E-2</v>
      </c>
      <c r="B94" s="111">
        <f t="array" ref="B94:B102">IF(B93=$Q80,$Q81:$Q89,IF(B93=$R80,$R81:$R89,B81:B89))</f>
        <v>-0.90124624563495281</v>
      </c>
      <c r="C94" s="111">
        <f t="array" ref="C94:C102">IF(C93=$Q80,$Q81:$Q89,IF(C93=$R80,$R81:$R89,C81:C89))</f>
        <v>-0.32285726444529989</v>
      </c>
      <c r="D94" s="112">
        <f t="array" ref="D94:D102">IF(D93=$Q80,$Q81:$Q89,IF(D93=$R80,$R81:$R89,D81:D89))</f>
        <v>-0.27863579977048614</v>
      </c>
      <c r="F94" s="94">
        <f>INDEX(A94:D102,,F93)</f>
        <v>-7.6684304848265522E-2</v>
      </c>
      <c r="G94" s="96">
        <f>INDEX(A94:D102,,G93)</f>
        <v>-0.90124624563495281</v>
      </c>
      <c r="I94" s="94">
        <f>F94^2-G94^2</f>
        <v>-0.80636431266103603</v>
      </c>
      <c r="J94" s="95">
        <f>2*F94*G94</f>
        <v>0.13822288368725102</v>
      </c>
      <c r="K94" s="95">
        <f>I94^2-J94^2</f>
        <v>0.63111783915848574</v>
      </c>
      <c r="L94" s="96">
        <f t="shared" ref="L94:L102" si="36">I94*J94</f>
        <v>-0.1114580005984965</v>
      </c>
      <c r="N94" t="s">
        <v>12</v>
      </c>
      <c r="O94" s="51">
        <f>2*L103*B104-2*I103*J103</f>
        <v>0.80981897729477303</v>
      </c>
      <c r="Q94" s="94">
        <f t="array" ref="Q94:R102">MMULT(F94:G102,N98:O99)</f>
        <v>-8.5291632798953618E-2</v>
      </c>
      <c r="R94" s="96">
        <v>-0.90047244003114724</v>
      </c>
    </row>
    <row r="95" spans="1:18" x14ac:dyDescent="0.35">
      <c r="A95" s="113">
        <v>-0.81692626638398269</v>
      </c>
      <c r="B95" s="114">
        <v>0.57187976456688216</v>
      </c>
      <c r="C95" s="114">
        <v>3.5634550180860813E-2</v>
      </c>
      <c r="D95" s="115">
        <v>6.5690098220822057E-2</v>
      </c>
      <c r="F95" s="30">
        <f>INDEX(A95:D103,,F93)</f>
        <v>-0.81692626638398269</v>
      </c>
      <c r="G95" s="26">
        <f>INDEX(A94:D102,,G93)</f>
        <v>0.57187976456688216</v>
      </c>
      <c r="I95" s="30">
        <f t="shared" ref="I95:I102" si="37">F95^2-G95^2</f>
        <v>0.34032205958700129</v>
      </c>
      <c r="J95">
        <f t="shared" ref="J95:J102" si="38">2*F95*G95</f>
        <v>-0.93436720177634813</v>
      </c>
      <c r="K95">
        <f t="shared" ref="K95:K102" si="39">I95^2-J95^2</f>
        <v>-0.75722296351382434</v>
      </c>
      <c r="L95" s="26">
        <f t="shared" si="36"/>
        <v>-0.31798577051907001</v>
      </c>
      <c r="N95" t="s">
        <v>255</v>
      </c>
      <c r="O95" s="52">
        <f>K103*B104-(I103^2-J103^2)</f>
        <v>21.179142912867178</v>
      </c>
      <c r="Q95" s="30">
        <v>-0.81142503540599131</v>
      </c>
      <c r="R95" s="26">
        <v>0.57965886670138356</v>
      </c>
    </row>
    <row r="96" spans="1:18" x14ac:dyDescent="0.35">
      <c r="A96" s="113">
        <v>-0.98521484722246089</v>
      </c>
      <c r="B96" s="114">
        <v>-0.15382636210560013</v>
      </c>
      <c r="C96" s="114">
        <v>7.3883270300270157E-2</v>
      </c>
      <c r="D96" s="115">
        <v>-1.5179509330589348E-2</v>
      </c>
      <c r="F96" s="30">
        <f>INDEX(A96:D104,,F93)</f>
        <v>-0.98521484722246089</v>
      </c>
      <c r="G96" s="26">
        <f>INDEX(A94:D102,,G93)</f>
        <v>-0.15382636210560013</v>
      </c>
      <c r="I96" s="30">
        <f t="shared" si="37"/>
        <v>0.94698574550893366</v>
      </c>
      <c r="J96">
        <f t="shared" si="38"/>
        <v>0.30310403168131156</v>
      </c>
      <c r="K96">
        <f t="shared" si="39"/>
        <v>0.80490994817564543</v>
      </c>
      <c r="L96" s="26">
        <f t="shared" si="36"/>
        <v>0.28703519740849026</v>
      </c>
      <c r="N96" t="s">
        <v>256</v>
      </c>
      <c r="O96" s="53">
        <f>0.25*ATAN(O94/O95)</f>
        <v>9.5545020872418798E-3</v>
      </c>
      <c r="Q96" s="30">
        <v>-0.98663959010304647</v>
      </c>
      <c r="R96" s="26">
        <v>-0.14440624677455144</v>
      </c>
    </row>
    <row r="97" spans="1:18" x14ac:dyDescent="0.35">
      <c r="A97" s="113">
        <v>-0.10865002992580647</v>
      </c>
      <c r="B97" s="114">
        <v>-3.5075996064038786E-3</v>
      </c>
      <c r="C97" s="114">
        <v>8.8212448906890228E-2</v>
      </c>
      <c r="D97" s="115">
        <v>-0.9901522264783188</v>
      </c>
      <c r="F97" s="30">
        <f>INDEX(A97:D105,,F93)</f>
        <v>-0.10865002992580647</v>
      </c>
      <c r="G97" s="26">
        <f>INDEX(A94:D102,,G93)</f>
        <v>-3.5075996064038786E-3</v>
      </c>
      <c r="I97" s="30">
        <f t="shared" si="37"/>
        <v>1.1792525747879796E-2</v>
      </c>
      <c r="J97">
        <f t="shared" si="38"/>
        <v>7.6220160440705685E-4</v>
      </c>
      <c r="K97">
        <f t="shared" si="39"/>
        <v>1.3848271222864725E-4</v>
      </c>
      <c r="L97" s="26">
        <f t="shared" si="36"/>
        <v>8.9882820450455094E-6</v>
      </c>
      <c r="Q97" s="30">
        <v>-0.10867858357171956</v>
      </c>
      <c r="R97" s="26">
        <v>-2.4693583624607537E-3</v>
      </c>
    </row>
    <row r="98" spans="1:18" x14ac:dyDescent="0.35">
      <c r="A98" s="113">
        <v>-0.41179421506333813</v>
      </c>
      <c r="B98" s="114">
        <v>0.11463369443653951</v>
      </c>
      <c r="C98" s="114">
        <v>0.86982277854717138</v>
      </c>
      <c r="D98" s="115">
        <v>-0.24635944159028575</v>
      </c>
      <c r="F98" s="30">
        <f>INDEX(A98:D106,,F93)</f>
        <v>-0.41179421506333813</v>
      </c>
      <c r="G98" s="26">
        <f>INDEX(A94:D102,,G93)</f>
        <v>0.11463369443653951</v>
      </c>
      <c r="I98" s="30">
        <f t="shared" si="37"/>
        <v>0.15643359165946089</v>
      </c>
      <c r="J98">
        <f t="shared" si="38"/>
        <v>-9.4410984440610676E-2</v>
      </c>
      <c r="K98">
        <f t="shared" si="39"/>
        <v>1.5558034616433718E-2</v>
      </c>
      <c r="L98" s="26">
        <f t="shared" si="36"/>
        <v>-1.4769049388150206E-2</v>
      </c>
      <c r="N98" s="94">
        <f>COS(O96)</f>
        <v>0.99995435609216443</v>
      </c>
      <c r="O98" s="96">
        <f>-N99</f>
        <v>-9.5543567185286341E-3</v>
      </c>
      <c r="Q98" s="30">
        <v>-0.4106801679575291</v>
      </c>
      <c r="R98" s="26">
        <v>0.11856289093209743</v>
      </c>
    </row>
    <row r="99" spans="1:18" x14ac:dyDescent="0.35">
      <c r="A99" s="113">
        <v>-8.8390368326733623E-3</v>
      </c>
      <c r="B99" s="114">
        <v>7.9718425825455949E-5</v>
      </c>
      <c r="C99" s="114">
        <v>0.99759849838787951</v>
      </c>
      <c r="D99" s="115">
        <v>6.8695713746139003E-2</v>
      </c>
      <c r="F99" s="30">
        <f>INDEX(A99:D107,,F93)</f>
        <v>-8.8390368326733623E-3</v>
      </c>
      <c r="G99" s="26">
        <f>INDEX(A94:D102,,G93)</f>
        <v>7.9718425825455949E-5</v>
      </c>
      <c r="I99" s="30">
        <f t="shared" si="37"/>
        <v>7.8122217101940261E-5</v>
      </c>
      <c r="J99">
        <f t="shared" si="38"/>
        <v>-1.409268204227889E-6</v>
      </c>
      <c r="K99">
        <f t="shared" si="39"/>
        <v>6.1010947680512398E-9</v>
      </c>
      <c r="L99" s="26">
        <f t="shared" si="36"/>
        <v>-1.1009515660555263E-10</v>
      </c>
      <c r="N99" s="27">
        <f>SIN(O96)</f>
        <v>9.5543567185286341E-3</v>
      </c>
      <c r="O99" s="29">
        <f>N98</f>
        <v>0.99995435609216443</v>
      </c>
      <c r="Q99" s="30">
        <v>-8.8378717262134407E-3</v>
      </c>
      <c r="R99" s="26">
        <v>1.6416609811254959E-4</v>
      </c>
    </row>
    <row r="100" spans="1:18" x14ac:dyDescent="0.35">
      <c r="A100" s="113">
        <v>-0.97899964510604265</v>
      </c>
      <c r="B100" s="114">
        <v>-1.2873824627089046E-2</v>
      </c>
      <c r="C100" s="114">
        <v>0.12670339935420363</v>
      </c>
      <c r="D100" s="115">
        <v>-0.15918608015088118</v>
      </c>
      <c r="F100" s="30">
        <f>INDEX(A100:D108,,F93)</f>
        <v>-0.97899964510604265</v>
      </c>
      <c r="G100" s="26">
        <f>INDEX(A94:D102,,G93)</f>
        <v>-1.2873824627089046E-2</v>
      </c>
      <c r="I100" s="30">
        <f t="shared" si="37"/>
        <v>0.95827456975722847</v>
      </c>
      <c r="J100">
        <f t="shared" si="38"/>
        <v>2.5206939482155216E-2</v>
      </c>
      <c r="K100">
        <f t="shared" si="39"/>
        <v>0.91765476124534429</v>
      </c>
      <c r="L100" s="26">
        <f t="shared" si="36"/>
        <v>2.4155169087158784E-2</v>
      </c>
      <c r="Q100" s="30">
        <v>-0.97907796084928933</v>
      </c>
      <c r="R100" s="26">
        <v>-3.5195251787682093E-3</v>
      </c>
    </row>
    <row r="101" spans="1:18" x14ac:dyDescent="0.35">
      <c r="A101" s="113">
        <v>-0.73002425643063851</v>
      </c>
      <c r="B101" s="114">
        <v>0.20373369998318647</v>
      </c>
      <c r="C101" s="114">
        <v>0.53751248015630104</v>
      </c>
      <c r="D101" s="115">
        <v>-0.36964509761428765</v>
      </c>
      <c r="F101" s="30">
        <f>INDEX(A101:D109,,F93)</f>
        <v>-0.73002425643063851</v>
      </c>
      <c r="G101" s="26">
        <f>INDEX(A94:D102,,G93)</f>
        <v>0.20373369998318647</v>
      </c>
      <c r="I101" s="30">
        <f t="shared" si="37"/>
        <v>0.49142799446826757</v>
      </c>
      <c r="J101">
        <f t="shared" si="38"/>
        <v>-0.29746108568017698</v>
      </c>
      <c r="K101">
        <f t="shared" si="39"/>
        <v>0.15301837625307402</v>
      </c>
      <c r="L101" s="26">
        <f t="shared" si="36"/>
        <v>-0.14618070476816289</v>
      </c>
      <c r="Q101" s="30">
        <v>-0.72804439082553529</v>
      </c>
      <c r="R101" s="26">
        <v>0.21069931294007838</v>
      </c>
    </row>
    <row r="102" spans="1:18" x14ac:dyDescent="0.35">
      <c r="A102" s="116">
        <v>-0.11419086989511298</v>
      </c>
      <c r="B102" s="117">
        <v>0.91679674252202115</v>
      </c>
      <c r="C102" s="117">
        <v>-0.22424560177361996</v>
      </c>
      <c r="D102" s="118">
        <v>-0.3100936765217816</v>
      </c>
      <c r="F102" s="27">
        <f>INDEX(A102:D110,,F93)</f>
        <v>-0.11419086989511298</v>
      </c>
      <c r="G102" s="29">
        <f>INDEX(A94:D102,,G93)</f>
        <v>0.91679674252202115</v>
      </c>
      <c r="I102" s="27">
        <f t="shared" si="37"/>
        <v>-0.82747671233158659</v>
      </c>
      <c r="J102" s="28">
        <f t="shared" si="38"/>
        <v>-0.20937963509119104</v>
      </c>
      <c r="K102" s="28">
        <f t="shared" si="39"/>
        <v>0.64087787786017103</v>
      </c>
      <c r="L102" s="29">
        <f t="shared" si="36"/>
        <v>0.17325677207444606</v>
      </c>
      <c r="Q102" s="27">
        <v>-0.10542625466113138</v>
      </c>
      <c r="R102" s="29">
        <v>0.91784591664097848</v>
      </c>
    </row>
    <row r="103" spans="1:18" x14ac:dyDescent="0.35">
      <c r="I103">
        <f>SUM(I94:I102)</f>
        <v>1.2714735839532509</v>
      </c>
      <c r="J103">
        <f>SUM(J94:J102)</f>
        <v>-1.0683242598014062</v>
      </c>
      <c r="K103">
        <f>SUM(K94:K102)</f>
        <v>2.4060523626086532</v>
      </c>
      <c r="L103">
        <f>SUM(L94:L102)</f>
        <v>-0.10593739853183459</v>
      </c>
    </row>
    <row r="104" spans="1:18" x14ac:dyDescent="0.35">
      <c r="A104" s="12" t="s">
        <v>2</v>
      </c>
      <c r="B104">
        <f>COUNT(A94:A102)</f>
        <v>9</v>
      </c>
      <c r="I104" s="12" t="s">
        <v>16</v>
      </c>
      <c r="J104" s="12" t="s">
        <v>258</v>
      </c>
      <c r="K104" s="12" t="s">
        <v>18</v>
      </c>
      <c r="L104" s="12" t="s">
        <v>19</v>
      </c>
      <c r="N104" s="12"/>
    </row>
    <row r="106" spans="1:18" x14ac:dyDescent="0.35">
      <c r="A106">
        <v>1</v>
      </c>
      <c r="B106">
        <v>2</v>
      </c>
      <c r="C106">
        <v>3</v>
      </c>
      <c r="D106">
        <v>4</v>
      </c>
      <c r="F106">
        <v>1</v>
      </c>
      <c r="G106">
        <v>3</v>
      </c>
      <c r="I106" s="12" t="s">
        <v>251</v>
      </c>
      <c r="J106" s="12" t="s">
        <v>252</v>
      </c>
      <c r="K106" s="12" t="s">
        <v>253</v>
      </c>
      <c r="L106" s="12" t="s">
        <v>254</v>
      </c>
      <c r="Q106">
        <f>F106</f>
        <v>1</v>
      </c>
      <c r="R106">
        <f>G106</f>
        <v>3</v>
      </c>
    </row>
    <row r="107" spans="1:18" x14ac:dyDescent="0.35">
      <c r="A107" s="110">
        <f t="array" ref="A107:A115">IF(A106=$Q93,$Q94:$Q102,IF(A106=$R93,$R94:$R102,A94:A102))</f>
        <v>-8.5291632798953618E-2</v>
      </c>
      <c r="B107" s="111">
        <f t="array" ref="B107:B115">IF(B106=$Q93,$Q94:$Q102,IF(B106=$R93,$R94:$R102,B94:B102))</f>
        <v>-0.90047244003114724</v>
      </c>
      <c r="C107" s="111">
        <f t="array" ref="C107:C115">IF(C106=$Q93,$Q94:$Q102,IF(C106=$R93,$R94:$R102,C94:C102))</f>
        <v>-0.32285726444529989</v>
      </c>
      <c r="D107" s="112">
        <f t="array" ref="D107:D115">IF(D106=$Q93,$Q94:$Q102,IF(D106=$R93,$R94:$R102,D94:D102))</f>
        <v>-0.27863579977048614</v>
      </c>
      <c r="F107" s="94">
        <f>INDEX(A107:D115,,F106)</f>
        <v>-8.5291632798953618E-2</v>
      </c>
      <c r="G107" s="96">
        <f>INDEX(A107:D115,,G106)</f>
        <v>-0.32285726444529989</v>
      </c>
      <c r="I107" s="94">
        <f>F107^2-G107^2</f>
        <v>-9.6962150579590761E-2</v>
      </c>
      <c r="J107" s="95">
        <f>2*F107*G107</f>
        <v>5.5074046491086361E-2</v>
      </c>
      <c r="K107" s="95">
        <f>I107^2-J107^2</f>
        <v>6.3685080481168908E-3</v>
      </c>
      <c r="L107" s="96">
        <f t="shared" ref="L107:L115" si="40">I107*J107</f>
        <v>-5.3400979888960981E-3</v>
      </c>
      <c r="N107" t="s">
        <v>12</v>
      </c>
      <c r="O107" s="51">
        <f>2*L116*B117-2*I116*J116</f>
        <v>1.034420964424779</v>
      </c>
      <c r="Q107" s="94">
        <f t="array" ref="Q107:R115">MMULT(F107:G115,N111:O112)</f>
        <v>-8.8710012841784092E-2</v>
      </c>
      <c r="R107" s="96">
        <v>-0.3219347906831822</v>
      </c>
    </row>
    <row r="108" spans="1:18" x14ac:dyDescent="0.35">
      <c r="A108" s="113">
        <v>-0.81142503540599131</v>
      </c>
      <c r="B108" s="114">
        <v>0.57965886670138356</v>
      </c>
      <c r="C108" s="114">
        <v>3.5634550180860813E-2</v>
      </c>
      <c r="D108" s="115">
        <v>6.5690098220822057E-2</v>
      </c>
      <c r="F108" s="30">
        <f>INDEX(A108:D116,,F106)</f>
        <v>-0.81142503540599131</v>
      </c>
      <c r="G108" s="26">
        <f>INDEX(A107:D115,,G106)</f>
        <v>3.5634550180860813E-2</v>
      </c>
      <c r="I108" s="30">
        <f t="shared" ref="I108:I115" si="41">F108^2-G108^2</f>
        <v>0.65714076691702206</v>
      </c>
      <c r="J108">
        <f t="shared" ref="J108:J115" si="42">2*F108*G108</f>
        <v>-5.7829532284363119E-2</v>
      </c>
      <c r="K108">
        <f t="shared" ref="K108:K115" si="43">I108^2-J108^2</f>
        <v>0.42848973274006374</v>
      </c>
      <c r="L108" s="26">
        <f t="shared" si="40"/>
        <v>-3.8002143195799067E-2</v>
      </c>
      <c r="N108" t="s">
        <v>255</v>
      </c>
      <c r="O108" s="52">
        <f>K116*B117-(I116^2-J116^2)</f>
        <v>24.375314187500521</v>
      </c>
      <c r="Q108" s="30">
        <v>-0.81100160045297909</v>
      </c>
      <c r="R108" s="26">
        <v>4.4235882639697882E-2</v>
      </c>
    </row>
    <row r="109" spans="1:18" x14ac:dyDescent="0.35">
      <c r="A109" s="113">
        <v>-0.98663959010304647</v>
      </c>
      <c r="B109" s="114">
        <v>-0.14440624677455144</v>
      </c>
      <c r="C109" s="114">
        <v>7.3883270300270157E-2</v>
      </c>
      <c r="D109" s="115">
        <v>-1.5179509330589348E-2</v>
      </c>
      <c r="F109" s="30">
        <f>INDEX(A109:D117,,F106)</f>
        <v>-0.98663959010304647</v>
      </c>
      <c r="G109" s="26">
        <f>INDEX(A107:D115,,G106)</f>
        <v>7.3883270300270157E-2</v>
      </c>
      <c r="I109" s="30">
        <f t="shared" si="41"/>
        <v>0.9679989431284447</v>
      </c>
      <c r="J109">
        <f t="shared" si="42"/>
        <v>-0.14579231904906226</v>
      </c>
      <c r="K109">
        <f t="shared" si="43"/>
        <v>0.91576655360408232</v>
      </c>
      <c r="L109" s="26">
        <f t="shared" si="40"/>
        <v>-0.14112681075573727</v>
      </c>
      <c r="N109" t="s">
        <v>256</v>
      </c>
      <c r="O109" s="53">
        <f>0.25*ATAN(O107/O108)</f>
        <v>1.0602947075262104E-2</v>
      </c>
      <c r="Q109" s="30">
        <v>-0.98580076465797617</v>
      </c>
      <c r="R109" s="26">
        <v>8.4340208612025555E-2</v>
      </c>
    </row>
    <row r="110" spans="1:18" x14ac:dyDescent="0.35">
      <c r="A110" s="113">
        <v>-0.10867858357171956</v>
      </c>
      <c r="B110" s="114">
        <v>-2.4693583624607537E-3</v>
      </c>
      <c r="C110" s="114">
        <v>8.8212448906890228E-2</v>
      </c>
      <c r="D110" s="115">
        <v>-0.9901522264783188</v>
      </c>
      <c r="F110" s="30">
        <f>INDEX(A110:D118,,F106)</f>
        <v>-0.10867858357171956</v>
      </c>
      <c r="G110" s="26">
        <f>INDEX(A107:D115,,G106)</f>
        <v>8.8212448906890228E-2</v>
      </c>
      <c r="I110" s="30">
        <f t="shared" si="41"/>
        <v>4.0295983850045132E-3</v>
      </c>
      <c r="J110">
        <f t="shared" si="42"/>
        <v>-1.9173608001187021E-2</v>
      </c>
      <c r="K110">
        <f t="shared" si="43"/>
        <v>-3.51389580638752E-4</v>
      </c>
      <c r="L110" s="26">
        <f t="shared" si="40"/>
        <v>-7.7261939836292833E-5</v>
      </c>
      <c r="Q110" s="30">
        <v>-0.10773718026842226</v>
      </c>
      <c r="R110" s="26">
        <v>8.9359782100872656E-2</v>
      </c>
    </row>
    <row r="111" spans="1:18" x14ac:dyDescent="0.35">
      <c r="A111" s="113">
        <v>-0.4106801679575291</v>
      </c>
      <c r="B111" s="114">
        <v>0.11856289093209743</v>
      </c>
      <c r="C111" s="114">
        <v>0.86982277854717138</v>
      </c>
      <c r="D111" s="115">
        <v>-0.24635944159028575</v>
      </c>
      <c r="F111" s="30">
        <f>INDEX(A111:D119,,F106)</f>
        <v>-0.4106801679575291</v>
      </c>
      <c r="G111" s="26">
        <f>INDEX(A107:D115,,G106)</f>
        <v>0.86982277854717138</v>
      </c>
      <c r="I111" s="30">
        <f t="shared" si="41"/>
        <v>-0.58793346572589722</v>
      </c>
      <c r="J111">
        <f t="shared" si="42"/>
        <v>-0.71443792957407393</v>
      </c>
      <c r="K111">
        <f t="shared" si="43"/>
        <v>-0.16475579509362465</v>
      </c>
      <c r="L111" s="26">
        <f t="shared" si="40"/>
        <v>0.42004196798051974</v>
      </c>
      <c r="N111" s="94">
        <f>COS(O109)</f>
        <v>0.99994378928327499</v>
      </c>
      <c r="O111" s="96">
        <f>-N112</f>
        <v>-1.0602748408099449E-2</v>
      </c>
      <c r="Q111" s="30">
        <v>-0.4014345712503738</v>
      </c>
      <c r="R111" s="26">
        <v>0.87412822368241516</v>
      </c>
    </row>
    <row r="112" spans="1:18" x14ac:dyDescent="0.35">
      <c r="A112" s="113">
        <v>-8.8378717262134407E-3</v>
      </c>
      <c r="B112" s="114">
        <v>1.6416609811254959E-4</v>
      </c>
      <c r="C112" s="114">
        <v>0.99759849838787951</v>
      </c>
      <c r="D112" s="115">
        <v>6.8695713746139003E-2</v>
      </c>
      <c r="F112" s="30">
        <f>INDEX(A112:D120,,F106)</f>
        <v>-8.8378717262134407E-3</v>
      </c>
      <c r="G112" s="26">
        <f>INDEX(A107:D115,,G106)</f>
        <v>0.99759849838787951</v>
      </c>
      <c r="I112" s="30">
        <f t="shared" si="41"/>
        <v>-0.99512465600910305</v>
      </c>
      <c r="J112">
        <f t="shared" si="42"/>
        <v>-1.763329512603045E-2</v>
      </c>
      <c r="K112">
        <f t="shared" si="43"/>
        <v>0.98996214790023396</v>
      </c>
      <c r="L112" s="26">
        <f t="shared" si="40"/>
        <v>1.7547326746598046E-2</v>
      </c>
      <c r="N112" s="27">
        <f>SIN(O109)</f>
        <v>1.0602748408099449E-2</v>
      </c>
      <c r="O112" s="29">
        <f>N111</f>
        <v>0.99994378928327499</v>
      </c>
      <c r="Q112" s="30">
        <v>1.7399109475951038E-3</v>
      </c>
      <c r="R112" s="26">
        <v>0.9976361283916575</v>
      </c>
    </row>
    <row r="113" spans="1:18" x14ac:dyDescent="0.35">
      <c r="A113" s="113">
        <v>-0.97907796084928933</v>
      </c>
      <c r="B113" s="114">
        <v>-3.5195251787682093E-3</v>
      </c>
      <c r="C113" s="114">
        <v>0.12670339935420363</v>
      </c>
      <c r="D113" s="115">
        <v>-0.15918608015088118</v>
      </c>
      <c r="F113" s="30">
        <f>INDEX(A113:D121,,F106)</f>
        <v>-0.97907796084928933</v>
      </c>
      <c r="G113" s="26">
        <f>INDEX(A107:D115,,G106)</f>
        <v>0.12670339935420363</v>
      </c>
      <c r="I113" s="30">
        <f t="shared" si="41"/>
        <v>0.94253990201289173</v>
      </c>
      <c r="J113">
        <f t="shared" si="42"/>
        <v>-0.2481050117447737</v>
      </c>
      <c r="K113">
        <f t="shared" si="43"/>
        <v>0.82682537003359724</v>
      </c>
      <c r="L113" s="26">
        <f t="shared" si="40"/>
        <v>-0.23384887345882635</v>
      </c>
      <c r="Q113" s="30">
        <v>-0.97767952190957674</v>
      </c>
      <c r="R113" s="26">
        <v>0.1370771945561145</v>
      </c>
    </row>
    <row r="114" spans="1:18" x14ac:dyDescent="0.35">
      <c r="A114" s="113">
        <v>-0.72804439082553529</v>
      </c>
      <c r="B114" s="114">
        <v>0.21069931294007838</v>
      </c>
      <c r="C114" s="114">
        <v>0.53751248015630104</v>
      </c>
      <c r="D114" s="115">
        <v>-0.36964509761428765</v>
      </c>
      <c r="F114" s="30">
        <f>INDEX(A114:D122,,F106)</f>
        <v>-0.72804439082553529</v>
      </c>
      <c r="G114" s="26">
        <f>INDEX(A107:D115,,G106)</f>
        <v>0.53751248015630104</v>
      </c>
      <c r="I114" s="30">
        <f t="shared" si="41"/>
        <v>0.24112896868874684</v>
      </c>
      <c r="J114">
        <f t="shared" si="42"/>
        <v>-0.78266589235303363</v>
      </c>
      <c r="K114">
        <f t="shared" si="43"/>
        <v>-0.55442271951187183</v>
      </c>
      <c r="L114" s="26">
        <f t="shared" si="40"/>
        <v>-0.18872341945094476</v>
      </c>
      <c r="Q114" s="30">
        <v>-0.72230435733520859</v>
      </c>
      <c r="R114" s="26">
        <v>0.54520153770039403</v>
      </c>
    </row>
    <row r="115" spans="1:18" x14ac:dyDescent="0.35">
      <c r="A115" s="116">
        <v>-0.10542625466113138</v>
      </c>
      <c r="B115" s="117">
        <v>0.91784591664097848</v>
      </c>
      <c r="C115" s="117">
        <v>-0.22424560177361996</v>
      </c>
      <c r="D115" s="118">
        <v>-0.3100936765217816</v>
      </c>
      <c r="F115" s="27">
        <f>INDEX(A115:D123,,F106)</f>
        <v>-0.10542625466113138</v>
      </c>
      <c r="G115" s="29">
        <f>INDEX(A107:D115,,G106)</f>
        <v>-0.22424560177361996</v>
      </c>
      <c r="I115" s="27">
        <f t="shared" si="41"/>
        <v>-3.9171394742939222E-2</v>
      </c>
      <c r="J115" s="28">
        <f t="shared" si="42"/>
        <v>4.728274783844863E-2</v>
      </c>
      <c r="K115" s="28">
        <f t="shared" si="43"/>
        <v>-7.0126007704715185E-4</v>
      </c>
      <c r="L115" s="29">
        <f t="shared" si="40"/>
        <v>-1.8521311801107275E-3</v>
      </c>
      <c r="Q115" s="27">
        <v>-0.1077979482730238</v>
      </c>
      <c r="R115" s="29">
        <v>-0.22311518871384164</v>
      </c>
    </row>
    <row r="116" spans="1:18" x14ac:dyDescent="0.35">
      <c r="I116">
        <f>SUM(I107:I115)</f>
        <v>1.0936465120745795</v>
      </c>
      <c r="J116">
        <f>SUM(J107:J115)</f>
        <v>-1.8832807938029892</v>
      </c>
      <c r="K116">
        <f>SUM(K107:K115)</f>
        <v>2.4471811480629109</v>
      </c>
      <c r="L116">
        <f>SUM(L107:L115)</f>
        <v>-0.17138144324303278</v>
      </c>
    </row>
    <row r="117" spans="1:18" x14ac:dyDescent="0.35">
      <c r="A117" s="12" t="s">
        <v>2</v>
      </c>
      <c r="B117">
        <f>COUNT(A107:A115)</f>
        <v>9</v>
      </c>
      <c r="I117" s="12" t="s">
        <v>16</v>
      </c>
      <c r="J117" s="12" t="s">
        <v>258</v>
      </c>
      <c r="K117" s="12" t="s">
        <v>18</v>
      </c>
      <c r="L117" s="12" t="s">
        <v>19</v>
      </c>
      <c r="N117" s="12"/>
    </row>
    <row r="119" spans="1:18" x14ac:dyDescent="0.35">
      <c r="A119">
        <v>1</v>
      </c>
      <c r="B119">
        <v>2</v>
      </c>
      <c r="C119">
        <v>3</v>
      </c>
      <c r="D119">
        <v>4</v>
      </c>
      <c r="F119">
        <v>1</v>
      </c>
      <c r="G119">
        <v>4</v>
      </c>
      <c r="I119" s="12" t="s">
        <v>251</v>
      </c>
      <c r="J119" s="12" t="s">
        <v>252</v>
      </c>
      <c r="K119" s="12" t="s">
        <v>253</v>
      </c>
      <c r="L119" s="12" t="s">
        <v>254</v>
      </c>
      <c r="Q119">
        <f>F119</f>
        <v>1</v>
      </c>
      <c r="R119">
        <f>G119</f>
        <v>4</v>
      </c>
    </row>
    <row r="120" spans="1:18" x14ac:dyDescent="0.35">
      <c r="A120" s="110">
        <f t="array" ref="A120:A128">IF(A119=$Q106,$Q107:$Q115,IF(A119=$R106,$R107:$R115,A107:A115))</f>
        <v>-8.8710012841784092E-2</v>
      </c>
      <c r="B120" s="111">
        <f t="array" ref="B120:B128">IF(B119=$Q106,$Q107:$Q115,IF(B119=$R106,$R107:$R115,B107:B115))</f>
        <v>-0.90047244003114724</v>
      </c>
      <c r="C120" s="111">
        <f t="array" ref="C120:C128">IF(C119=$Q106,$Q107:$Q115,IF(C119=$R106,$R107:$R115,C107:C115))</f>
        <v>-0.3219347906831822</v>
      </c>
      <c r="D120" s="112">
        <f t="array" ref="D120:D128">IF(D119=$Q106,$Q107:$Q115,IF(D119=$R106,$R107:$R115,D107:D115))</f>
        <v>-0.27863579977048614</v>
      </c>
      <c r="F120" s="94">
        <f>INDEX(A120:D128,,F119)</f>
        <v>-8.8710012841784092E-2</v>
      </c>
      <c r="G120" s="96">
        <f>INDEX(A120:D128,,G119)</f>
        <v>-0.27863579977048614</v>
      </c>
      <c r="I120" s="94">
        <f>F120^2-G120^2</f>
        <v>-6.9768442535348946E-2</v>
      </c>
      <c r="J120" s="95">
        <f>2*F120*G120</f>
        <v>4.9435570751641213E-2</v>
      </c>
      <c r="K120" s="95">
        <f>I120^2-J120^2</f>
        <v>2.4237599182677636E-3</v>
      </c>
      <c r="L120" s="96">
        <f t="shared" ref="L120:L128" si="44">I120*J120</f>
        <v>-3.4490427771880572E-3</v>
      </c>
      <c r="N120" t="s">
        <v>12</v>
      </c>
      <c r="O120" s="51">
        <f>2*L129*B130-2*I129*J129</f>
        <v>-0.30185098807564437</v>
      </c>
      <c r="Q120" s="94">
        <f t="array" ref="Q120:R128">MMULT(F120:G128,N124:O125)</f>
        <v>-8.7824622485212056E-2</v>
      </c>
      <c r="R120" s="96">
        <v>-0.27891613610090382</v>
      </c>
    </row>
    <row r="121" spans="1:18" x14ac:dyDescent="0.35">
      <c r="A121" s="113">
        <v>-0.81100160045297909</v>
      </c>
      <c r="B121" s="114">
        <v>0.57965886670138356</v>
      </c>
      <c r="C121" s="114">
        <v>4.4235882639697882E-2</v>
      </c>
      <c r="D121" s="115">
        <v>6.5690098220822057E-2</v>
      </c>
      <c r="F121" s="30">
        <f>INDEX(A121:D129,,F119)</f>
        <v>-0.81100160045297909</v>
      </c>
      <c r="G121" s="26">
        <f>INDEX(A120:D128,,G119)</f>
        <v>6.5690098220822057E-2</v>
      </c>
      <c r="I121" s="30">
        <f t="shared" ref="I121:I128" si="45">F121^2-G121^2</f>
        <v>0.65340840693303237</v>
      </c>
      <c r="J121">
        <f t="shared" ref="J121:J128" si="46">2*F121*G121</f>
        <v>-0.10654954958200016</v>
      </c>
      <c r="K121">
        <f t="shared" ref="K121:K128" si="47">I121^2-J121^2</f>
        <v>0.41558973973463609</v>
      </c>
      <c r="L121" s="26">
        <f t="shared" si="44"/>
        <v>-6.962037145180687E-2</v>
      </c>
      <c r="N121" t="s">
        <v>255</v>
      </c>
      <c r="O121" s="52">
        <f>K129*B130-(I129^2-J129^2)</f>
        <v>23.75910932632182</v>
      </c>
      <c r="Q121" s="30">
        <v>-0.81120614093287347</v>
      </c>
      <c r="R121" s="26">
        <v>6.311403848867389E-2</v>
      </c>
    </row>
    <row r="122" spans="1:18" x14ac:dyDescent="0.35">
      <c r="A122" s="113">
        <v>-0.98580076465797617</v>
      </c>
      <c r="B122" s="114">
        <v>-0.14440624677455144</v>
      </c>
      <c r="C122" s="114">
        <v>8.4340208612025555E-2</v>
      </c>
      <c r="D122" s="115">
        <v>-1.5179509330589348E-2</v>
      </c>
      <c r="F122" s="30">
        <f>INDEX(A122:D130,,F119)</f>
        <v>-0.98580076465797617</v>
      </c>
      <c r="G122" s="26">
        <f>INDEX(A120:D128,,G119)</f>
        <v>-1.5179509330589348E-2</v>
      </c>
      <c r="I122" s="30">
        <f t="shared" si="45"/>
        <v>0.97157273009673306</v>
      </c>
      <c r="J122">
        <f t="shared" si="46"/>
        <v>2.9927943810455729E-2</v>
      </c>
      <c r="K122">
        <f t="shared" si="47"/>
        <v>0.94305788804689761</v>
      </c>
      <c r="L122" s="26">
        <f t="shared" si="44"/>
        <v>2.9077174074106097E-2</v>
      </c>
      <c r="N122" t="s">
        <v>256</v>
      </c>
      <c r="O122" s="53">
        <f>0.25*ATAN(O120/O121)</f>
        <v>-3.1759897343029099E-3</v>
      </c>
      <c r="Q122" s="30">
        <v>-0.98574758293521181</v>
      </c>
      <c r="R122" s="26">
        <v>-1.831032061859322E-2</v>
      </c>
    </row>
    <row r="123" spans="1:18" x14ac:dyDescent="0.35">
      <c r="A123" s="113">
        <v>-0.10773718026842226</v>
      </c>
      <c r="B123" s="114">
        <v>-2.4693583624607537E-3</v>
      </c>
      <c r="C123" s="114">
        <v>8.9359782100872656E-2</v>
      </c>
      <c r="D123" s="115">
        <v>-0.9901522264783188</v>
      </c>
      <c r="F123" s="30">
        <f>INDEX(A123:D131,,F119)</f>
        <v>-0.10773718026842226</v>
      </c>
      <c r="G123" s="26">
        <f>INDEX(A120:D128,,G119)</f>
        <v>-0.9901522264783188</v>
      </c>
      <c r="I123" s="30">
        <f t="shared" si="45"/>
        <v>-0.96879413158778138</v>
      </c>
      <c r="J123">
        <f t="shared" si="46"/>
        <v>0.21335241783454859</v>
      </c>
      <c r="K123">
        <f t="shared" si="47"/>
        <v>0.89304281520307571</v>
      </c>
      <c r="L123" s="26">
        <f t="shared" si="44"/>
        <v>-0.20669457035817498</v>
      </c>
      <c r="Q123" s="30">
        <v>-0.10459192888126126</v>
      </c>
      <c r="R123" s="26">
        <v>-0.99048940429721899</v>
      </c>
    </row>
    <row r="124" spans="1:18" x14ac:dyDescent="0.35">
      <c r="A124" s="113">
        <v>-0.4014345712503738</v>
      </c>
      <c r="B124" s="114">
        <v>0.11856289093209743</v>
      </c>
      <c r="C124" s="114">
        <v>0.87412822368241516</v>
      </c>
      <c r="D124" s="115">
        <v>-0.24635944159028575</v>
      </c>
      <c r="F124" s="30">
        <f>INDEX(A124:D132,,F119)</f>
        <v>-0.4014345712503738</v>
      </c>
      <c r="G124" s="26">
        <f>INDEX(A120:D128,,G119)</f>
        <v>-0.24635944159028575</v>
      </c>
      <c r="I124" s="30">
        <f t="shared" si="45"/>
        <v>0.10045674053429401</v>
      </c>
      <c r="J124">
        <f t="shared" si="46"/>
        <v>0.19779439361655574</v>
      </c>
      <c r="K124">
        <f t="shared" si="47"/>
        <v>-2.9031065427366512E-2</v>
      </c>
      <c r="L124" s="26">
        <f t="shared" si="44"/>
        <v>1.9869780078676361E-2</v>
      </c>
      <c r="N124" s="94">
        <f>COS(O122)</f>
        <v>0.99999495654884318</v>
      </c>
      <c r="O124" s="96">
        <f>-N125</f>
        <v>3.1759843949847482E-3</v>
      </c>
      <c r="Q124" s="30">
        <v>-0.40065011289267316</v>
      </c>
      <c r="R124" s="26">
        <v>-0.24763314902237363</v>
      </c>
    </row>
    <row r="125" spans="1:18" x14ac:dyDescent="0.35">
      <c r="A125" s="113">
        <v>1.7399109475951038E-3</v>
      </c>
      <c r="B125" s="114">
        <v>1.6416609811254959E-4</v>
      </c>
      <c r="C125" s="114">
        <v>0.9976361283916575</v>
      </c>
      <c r="D125" s="115">
        <v>6.8695713746139003E-2</v>
      </c>
      <c r="F125" s="30">
        <f>INDEX(A125:D133,,F119)</f>
        <v>1.7399109475951038E-3</v>
      </c>
      <c r="G125" s="26">
        <f>INDEX(A120:D128,,G119)</f>
        <v>6.8695713746139003E-2</v>
      </c>
      <c r="I125" s="30">
        <f t="shared" si="45"/>
        <v>-4.7160737969859099E-3</v>
      </c>
      <c r="J125">
        <f t="shared" si="46"/>
        <v>2.3904884879953343E-4</v>
      </c>
      <c r="K125">
        <f t="shared" si="47"/>
        <v>2.2184207706504716E-5</v>
      </c>
      <c r="L125" s="26">
        <f t="shared" si="44"/>
        <v>-1.1273720120231262E-6</v>
      </c>
      <c r="N125" s="27">
        <f>SIN(O122)</f>
        <v>-3.1759843949847482E-3</v>
      </c>
      <c r="O125" s="29">
        <f>N124</f>
        <v>0.99999495654884318</v>
      </c>
      <c r="Q125" s="30">
        <v>1.5217256575791457E-3</v>
      </c>
      <c r="R125" s="26">
        <v>6.8700893212680261E-2</v>
      </c>
    </row>
    <row r="126" spans="1:18" x14ac:dyDescent="0.35">
      <c r="A126" s="113">
        <v>-0.97767952190957674</v>
      </c>
      <c r="B126" s="114">
        <v>-3.5195251787682093E-3</v>
      </c>
      <c r="C126" s="114">
        <v>0.1370771945561145</v>
      </c>
      <c r="D126" s="115">
        <v>-0.15918608015088118</v>
      </c>
      <c r="F126" s="30">
        <f>INDEX(A126:D134,,F119)</f>
        <v>-0.97767952190957674</v>
      </c>
      <c r="G126" s="26">
        <f>INDEX(A120:D128,,G119)</f>
        <v>-0.15918608015088118</v>
      </c>
      <c r="I126" s="30">
        <f t="shared" si="45"/>
        <v>0.93051703944753572</v>
      </c>
      <c r="J126">
        <f t="shared" si="46"/>
        <v>0.31126594147314612</v>
      </c>
      <c r="K126">
        <f t="shared" si="47"/>
        <v>0.76897547438104275</v>
      </c>
      <c r="L126" s="26">
        <f t="shared" si="44"/>
        <v>0.28963826234044188</v>
      </c>
      <c r="Q126" s="30">
        <v>-0.97716901852420301</v>
      </c>
      <c r="R126" s="26">
        <v>-0.16229037220854206</v>
      </c>
    </row>
    <row r="127" spans="1:18" x14ac:dyDescent="0.35">
      <c r="A127" s="113">
        <v>-0.72230435733520859</v>
      </c>
      <c r="B127" s="114">
        <v>0.21069931294007838</v>
      </c>
      <c r="C127" s="114">
        <v>0.54520153770039403</v>
      </c>
      <c r="D127" s="115">
        <v>-0.36964509761428765</v>
      </c>
      <c r="F127" s="30">
        <f>INDEX(A127:D135,,F119)</f>
        <v>-0.72230435733520859</v>
      </c>
      <c r="G127" s="26">
        <f>INDEX(A120:D128,,G119)</f>
        <v>-0.36964509761428765</v>
      </c>
      <c r="I127" s="30">
        <f t="shared" si="45"/>
        <v>0.38508608643515241</v>
      </c>
      <c r="J127">
        <f t="shared" si="46"/>
        <v>0.53399252934879693</v>
      </c>
      <c r="K127">
        <f t="shared" si="47"/>
        <v>-0.13685672743438407</v>
      </c>
      <c r="L127" s="26">
        <f t="shared" si="44"/>
        <v>0.20563309331253649</v>
      </c>
      <c r="Q127" s="30">
        <v>-0.72112672736675643</v>
      </c>
      <c r="R127" s="26">
        <v>-0.37193726069461858</v>
      </c>
    </row>
    <row r="128" spans="1:18" x14ac:dyDescent="0.35">
      <c r="A128" s="116">
        <v>-0.1077979482730238</v>
      </c>
      <c r="B128" s="117">
        <v>0.91784591664097848</v>
      </c>
      <c r="C128" s="117">
        <v>-0.22311518871384164</v>
      </c>
      <c r="D128" s="118">
        <v>-0.3100936765217816</v>
      </c>
      <c r="F128" s="27">
        <f>INDEX(A128:D136,,F119)</f>
        <v>-0.1077979482730238</v>
      </c>
      <c r="G128" s="29">
        <f>INDEX(A120:D128,,G119)</f>
        <v>-0.3100936765217816</v>
      </c>
      <c r="I128" s="27">
        <f t="shared" si="45"/>
        <v>-8.4537690566921814E-2</v>
      </c>
      <c r="J128" s="28">
        <f t="shared" si="46"/>
        <v>6.6854924202973579E-2</v>
      </c>
      <c r="K128" s="28">
        <f t="shared" si="47"/>
        <v>2.6770402362032795E-3</v>
      </c>
      <c r="L128" s="29">
        <f t="shared" si="44"/>
        <v>-5.6517608951459925E-3</v>
      </c>
      <c r="Q128" s="27">
        <v>-0.10681255192172026</v>
      </c>
      <c r="R128" s="29">
        <v>-0.31043447718099648</v>
      </c>
    </row>
    <row r="129" spans="1:18" x14ac:dyDescent="0.35">
      <c r="I129">
        <f>SUM(I120:I128)</f>
        <v>1.9132246649597096</v>
      </c>
      <c r="J129">
        <f>SUM(J120:J128)</f>
        <v>1.2963132203049172</v>
      </c>
      <c r="K129">
        <f>SUM(K120:K128)</f>
        <v>2.8599011088660786</v>
      </c>
      <c r="L129">
        <f>SUM(L120:L128)</f>
        <v>0.25880143695143282</v>
      </c>
    </row>
    <row r="130" spans="1:18" x14ac:dyDescent="0.35">
      <c r="A130" s="12" t="s">
        <v>2</v>
      </c>
      <c r="B130">
        <f>COUNT(A120:A128)</f>
        <v>9</v>
      </c>
      <c r="I130" s="12" t="s">
        <v>16</v>
      </c>
      <c r="J130" s="12" t="s">
        <v>258</v>
      </c>
      <c r="K130" s="12" t="s">
        <v>18</v>
      </c>
      <c r="L130" s="12" t="s">
        <v>19</v>
      </c>
      <c r="N130" s="12"/>
    </row>
    <row r="132" spans="1:18" x14ac:dyDescent="0.35">
      <c r="A132">
        <v>1</v>
      </c>
      <c r="B132">
        <v>2</v>
      </c>
      <c r="C132">
        <v>3</v>
      </c>
      <c r="D132">
        <v>4</v>
      </c>
      <c r="F132">
        <v>2</v>
      </c>
      <c r="G132">
        <v>3</v>
      </c>
      <c r="I132" s="12" t="s">
        <v>251</v>
      </c>
      <c r="J132" s="12" t="s">
        <v>252</v>
      </c>
      <c r="K132" s="12" t="s">
        <v>253</v>
      </c>
      <c r="L132" s="12" t="s">
        <v>254</v>
      </c>
      <c r="Q132">
        <f>F132</f>
        <v>2</v>
      </c>
      <c r="R132">
        <f>G132</f>
        <v>3</v>
      </c>
    </row>
    <row r="133" spans="1:18" x14ac:dyDescent="0.35">
      <c r="A133" s="110">
        <f t="array" ref="A133:A141">IF(A132=$Q119,$Q120:$Q128,IF(A132=$R119,$R120:$R128,A120:A128))</f>
        <v>-8.7824622485212056E-2</v>
      </c>
      <c r="B133" s="111">
        <f t="array" ref="B133:B141">IF(B132=$Q119,$Q120:$Q128,IF(B132=$R119,$R120:$R128,B120:B128))</f>
        <v>-0.90047244003114724</v>
      </c>
      <c r="C133" s="111">
        <f t="array" ref="C133:C141">IF(C132=$Q119,$Q120:$Q128,IF(C132=$R119,$R120:$R128,C120:C128))</f>
        <v>-0.3219347906831822</v>
      </c>
      <c r="D133" s="112">
        <f t="array" ref="D133:D141">IF(D132=$Q119,$Q120:$Q128,IF(D132=$R119,$R120:$R128,D120:D128))</f>
        <v>-0.27891613610090382</v>
      </c>
      <c r="F133" s="94">
        <f>INDEX(A133:D141,,F132)</f>
        <v>-0.90047244003114724</v>
      </c>
      <c r="G133" s="96">
        <f>INDEX(A133:D141,,G132)</f>
        <v>-0.3219347906831822</v>
      </c>
      <c r="I133" s="94">
        <f>F133^2-G133^2</f>
        <v>0.70720860580342371</v>
      </c>
      <c r="J133" s="95">
        <f>2*F133*G133</f>
        <v>0.5797868129948035</v>
      </c>
      <c r="K133" s="95">
        <f>I133^2-J133^2</f>
        <v>0.16399126359975108</v>
      </c>
      <c r="L133" s="96">
        <f t="shared" ref="L133:L141" si="48">I133*J133</f>
        <v>0.41003022368126535</v>
      </c>
      <c r="N133" t="s">
        <v>12</v>
      </c>
      <c r="O133" s="51">
        <f>2*L142*B143-2*I142*J142</f>
        <v>-1.7859221746515606</v>
      </c>
      <c r="Q133" s="94">
        <f t="array" ref="Q133:R141">MMULT(F133:G141,N137:O138)</f>
        <v>-0.89332478740349797</v>
      </c>
      <c r="R133" s="96">
        <v>-0.34126741555321038</v>
      </c>
    </row>
    <row r="134" spans="1:18" x14ac:dyDescent="0.35">
      <c r="A134" s="113">
        <v>-0.81120614093287347</v>
      </c>
      <c r="B134" s="114">
        <v>0.57965886670138356</v>
      </c>
      <c r="C134" s="114">
        <v>4.4235882639697882E-2</v>
      </c>
      <c r="D134" s="115">
        <v>6.311403848867389E-2</v>
      </c>
      <c r="F134" s="30">
        <f>INDEX(A134:D142,,F132)</f>
        <v>0.57965886670138356</v>
      </c>
      <c r="G134" s="26">
        <f>INDEX(A133:D141,,G132)</f>
        <v>4.4235882639697882E-2</v>
      </c>
      <c r="I134" s="30">
        <f t="shared" ref="I134:I141" si="49">F134^2-G134^2</f>
        <v>0.33404758843261922</v>
      </c>
      <c r="J134">
        <f t="shared" ref="J134:J141" si="50">2*F134*G134</f>
        <v>5.1283443196925363E-2</v>
      </c>
      <c r="K134">
        <f t="shared" ref="K134:K141" si="51">I134^2-J134^2</f>
        <v>0.10895779979151629</v>
      </c>
      <c r="L134" s="26">
        <f t="shared" si="48"/>
        <v>1.7131110526454128E-2</v>
      </c>
      <c r="N134" t="s">
        <v>255</v>
      </c>
      <c r="O134" s="52">
        <f>K142*B143-(I142^2-J142^2)</f>
        <v>20.663026444911139</v>
      </c>
      <c r="Q134" s="30">
        <v>0.57857083021758737</v>
      </c>
      <c r="R134" s="26">
        <v>5.6718687218386923E-2</v>
      </c>
    </row>
    <row r="135" spans="1:18" x14ac:dyDescent="0.35">
      <c r="A135" s="113">
        <v>-0.98574758293521181</v>
      </c>
      <c r="B135" s="114">
        <v>-0.14440624677455144</v>
      </c>
      <c r="C135" s="114">
        <v>8.4340208612025555E-2</v>
      </c>
      <c r="D135" s="115">
        <v>-1.831032061859322E-2</v>
      </c>
      <c r="F135" s="30">
        <f>INDEX(A135:D143,,F132)</f>
        <v>-0.14440624677455144</v>
      </c>
      <c r="G135" s="26">
        <f>INDEX(A133:D141,,G132)</f>
        <v>8.4340208612025555E-2</v>
      </c>
      <c r="I135" s="30">
        <f t="shared" si="49"/>
        <v>1.3739893318792658E-2</v>
      </c>
      <c r="J135">
        <f t="shared" si="50"/>
        <v>-2.4358505955690623E-2</v>
      </c>
      <c r="K135">
        <f t="shared" si="51"/>
        <v>-4.0455214398161241E-4</v>
      </c>
      <c r="L135" s="26">
        <f t="shared" si="48"/>
        <v>-3.3468327323636475E-4</v>
      </c>
      <c r="N135" t="s">
        <v>256</v>
      </c>
      <c r="O135" s="53">
        <f>0.25*ATAN(O133/O134)</f>
        <v>-2.1554137897650313E-2</v>
      </c>
      <c r="Q135" s="30">
        <v>-0.1461904436152652</v>
      </c>
      <c r="R135" s="26">
        <v>8.1208306790651635E-2</v>
      </c>
    </row>
    <row r="136" spans="1:18" x14ac:dyDescent="0.35">
      <c r="A136" s="113">
        <v>-0.10459192888126126</v>
      </c>
      <c r="B136" s="114">
        <v>-2.4693583624607537E-3</v>
      </c>
      <c r="C136" s="114">
        <v>8.9359782100872656E-2</v>
      </c>
      <c r="D136" s="115">
        <v>-0.99048940429721899</v>
      </c>
      <c r="F136" s="30">
        <f>INDEX(A136:D144,,F132)</f>
        <v>-2.4693583624607537E-3</v>
      </c>
      <c r="G136" s="26">
        <f>INDEX(A133:D141,,G132)</f>
        <v>8.9359782100872656E-2</v>
      </c>
      <c r="I136" s="30">
        <f t="shared" si="49"/>
        <v>-7.9790729263931864E-3</v>
      </c>
      <c r="J136">
        <f t="shared" si="50"/>
        <v>-4.4132265039692134E-4</v>
      </c>
      <c r="K136">
        <f t="shared" si="51"/>
        <v>6.3470839082947371E-5</v>
      </c>
      <c r="L136" s="26">
        <f t="shared" si="48"/>
        <v>3.5213456115861604E-6</v>
      </c>
      <c r="Q136" s="30">
        <v>-4.3947087096079425E-3</v>
      </c>
      <c r="R136" s="26">
        <v>8.9285804712705558E-2</v>
      </c>
    </row>
    <row r="137" spans="1:18" x14ac:dyDescent="0.35">
      <c r="A137" s="113">
        <v>-0.40065011289267316</v>
      </c>
      <c r="B137" s="114">
        <v>0.11856289093209743</v>
      </c>
      <c r="C137" s="114">
        <v>0.87412822368241516</v>
      </c>
      <c r="D137" s="115">
        <v>-0.24763314902237363</v>
      </c>
      <c r="F137" s="30">
        <f>INDEX(A137:D145,,F132)</f>
        <v>0.11856289093209743</v>
      </c>
      <c r="G137" s="26">
        <f>INDEX(A133:D141,,G132)</f>
        <v>0.87412822368241516</v>
      </c>
      <c r="I137" s="30">
        <f t="shared" si="49"/>
        <v>-0.750042992331998</v>
      </c>
      <c r="J137">
        <f t="shared" si="50"/>
        <v>0.20727833849025251</v>
      </c>
      <c r="K137">
        <f t="shared" si="51"/>
        <v>0.51960018073905789</v>
      </c>
      <c r="L137" s="26">
        <f t="shared" si="48"/>
        <v>-0.15546766524683375</v>
      </c>
      <c r="N137" s="94">
        <f>COS(O135)</f>
        <v>0.99976771856274593</v>
      </c>
      <c r="O137" s="96">
        <f>-N138</f>
        <v>2.1552468996429087E-2</v>
      </c>
      <c r="Q137" s="30">
        <v>9.969572953356784E-2</v>
      </c>
      <c r="R137" s="26">
        <v>0.876480502953215</v>
      </c>
    </row>
    <row r="138" spans="1:18" x14ac:dyDescent="0.35">
      <c r="A138" s="113">
        <v>1.5217256575791457E-3</v>
      </c>
      <c r="B138" s="114">
        <v>1.6416609811254959E-4</v>
      </c>
      <c r="C138" s="114">
        <v>0.9976361283916575</v>
      </c>
      <c r="D138" s="115">
        <v>6.8700893212680261E-2</v>
      </c>
      <c r="F138" s="30">
        <f>INDEX(A138:D146,,F132)</f>
        <v>1.6416609811254959E-4</v>
      </c>
      <c r="G138" s="26">
        <f>INDEX(A133:D141,,G132)</f>
        <v>0.9976361283916575</v>
      </c>
      <c r="I138" s="30">
        <f t="shared" si="49"/>
        <v>-0.99527781772178803</v>
      </c>
      <c r="J138">
        <f t="shared" si="50"/>
        <v>3.2755606106833795E-4</v>
      </c>
      <c r="K138">
        <f t="shared" si="51"/>
        <v>0.99057782715607157</v>
      </c>
      <c r="L138" s="26">
        <f t="shared" si="48"/>
        <v>-3.2600928164164012E-4</v>
      </c>
      <c r="N138" s="27">
        <f>SIN(O135)</f>
        <v>-2.1552468996429087E-2</v>
      </c>
      <c r="O138" s="29">
        <f>N137</f>
        <v>0.99976771856274593</v>
      </c>
      <c r="Q138" s="30">
        <v>-2.1337393761503416E-2</v>
      </c>
      <c r="R138" s="26">
        <v>0.99740793422263796</v>
      </c>
    </row>
    <row r="139" spans="1:18" x14ac:dyDescent="0.35">
      <c r="A139" s="113">
        <v>-0.97716901852420301</v>
      </c>
      <c r="B139" s="114">
        <v>-3.5195251787682093E-3</v>
      </c>
      <c r="C139" s="114">
        <v>0.1370771945561145</v>
      </c>
      <c r="D139" s="115">
        <v>-0.16229037220854206</v>
      </c>
      <c r="F139" s="30">
        <f>INDEX(A139:D147,,F132)</f>
        <v>-3.5195251787682093E-3</v>
      </c>
      <c r="G139" s="26">
        <f>INDEX(A133:D141,,G132)</f>
        <v>0.1370771945561145</v>
      </c>
      <c r="I139" s="30">
        <f t="shared" si="49"/>
        <v>-1.8777770209890885E-2</v>
      </c>
      <c r="J139">
        <f t="shared" si="50"/>
        <v>-9.6489327535030699E-4</v>
      </c>
      <c r="K139">
        <f t="shared" si="51"/>
        <v>3.5167363502264931E-4</v>
      </c>
      <c r="L139" s="26">
        <f t="shared" si="48"/>
        <v>1.8118544201597036E-5</v>
      </c>
      <c r="Q139" s="30">
        <v>-6.4730596441893683E-3</v>
      </c>
      <c r="R139" s="26">
        <v>0.1369694996110507</v>
      </c>
    </row>
    <row r="140" spans="1:18" x14ac:dyDescent="0.35">
      <c r="A140" s="113">
        <v>-0.72112672736675643</v>
      </c>
      <c r="B140" s="114">
        <v>0.21069931294007838</v>
      </c>
      <c r="C140" s="114">
        <v>0.54520153770039403</v>
      </c>
      <c r="D140" s="115">
        <v>-0.37193726069461858</v>
      </c>
      <c r="F140" s="30">
        <f>INDEX(A140:D148,,F132)</f>
        <v>0.21069931294007838</v>
      </c>
      <c r="G140" s="26">
        <f>INDEX(A133:D141,,G132)</f>
        <v>0.54520153770039403</v>
      </c>
      <c r="I140" s="30">
        <f t="shared" si="49"/>
        <v>-0.25285051623745308</v>
      </c>
      <c r="J140">
        <f t="shared" si="50"/>
        <v>0.22974717881469453</v>
      </c>
      <c r="K140">
        <f t="shared" si="51"/>
        <v>1.1149617388235306E-2</v>
      </c>
      <c r="L140" s="26">
        <f t="shared" si="48"/>
        <v>-5.8091692767393954E-2</v>
      </c>
      <c r="Q140" s="30">
        <v>0.19889993216274698</v>
      </c>
      <c r="R140" s="26">
        <v>0.54961598791333377</v>
      </c>
    </row>
    <row r="141" spans="1:18" x14ac:dyDescent="0.35">
      <c r="A141" s="116">
        <v>-0.10681255192172026</v>
      </c>
      <c r="B141" s="117">
        <v>0.91784591664097848</v>
      </c>
      <c r="C141" s="117">
        <v>-0.22311518871384164</v>
      </c>
      <c r="D141" s="118">
        <v>-0.31043447718099648</v>
      </c>
      <c r="F141" s="27">
        <f>INDEX(A141:D149,,F132)</f>
        <v>0.91784591664097848</v>
      </c>
      <c r="G141" s="29">
        <f>INDEX(A133:D141,,G132)</f>
        <v>-0.22311518871384164</v>
      </c>
      <c r="I141" s="27">
        <f t="shared" si="49"/>
        <v>0.79266073925970482</v>
      </c>
      <c r="J141" s="28">
        <f t="shared" si="50"/>
        <v>-0.40957072980316178</v>
      </c>
      <c r="K141" s="28">
        <f t="shared" si="51"/>
        <v>0.46056286485224723</v>
      </c>
      <c r="L141" s="29">
        <f t="shared" si="48"/>
        <v>-0.32465063746491102</v>
      </c>
      <c r="Q141" s="27">
        <v>0.92244140125967078</v>
      </c>
      <c r="R141" s="29">
        <v>-0.20328151753523027</v>
      </c>
    </row>
    <row r="142" spans="1:18" x14ac:dyDescent="0.35">
      <c r="I142">
        <f>SUM(I133:I141)</f>
        <v>-0.17727134261298272</v>
      </c>
      <c r="J142">
        <f>SUM(J133:J141)</f>
        <v>0.63308787787314469</v>
      </c>
      <c r="K142">
        <f>SUM(K133:K141)</f>
        <v>2.2548501458570032</v>
      </c>
      <c r="L142">
        <f>SUM(L133:L141)</f>
        <v>-0.11168771393648408</v>
      </c>
    </row>
    <row r="143" spans="1:18" x14ac:dyDescent="0.35">
      <c r="A143" s="12" t="s">
        <v>2</v>
      </c>
      <c r="B143">
        <f>COUNT(A133:A141)</f>
        <v>9</v>
      </c>
      <c r="I143" s="12" t="s">
        <v>16</v>
      </c>
      <c r="J143" s="12" t="s">
        <v>258</v>
      </c>
      <c r="K143" s="12" t="s">
        <v>18</v>
      </c>
      <c r="L143" s="12" t="s">
        <v>19</v>
      </c>
      <c r="N143" s="12"/>
    </row>
    <row r="145" spans="1:18" x14ac:dyDescent="0.35">
      <c r="A145">
        <v>1</v>
      </c>
      <c r="B145">
        <v>2</v>
      </c>
      <c r="C145">
        <v>3</v>
      </c>
      <c r="D145">
        <v>4</v>
      </c>
      <c r="F145">
        <v>2</v>
      </c>
      <c r="G145">
        <v>4</v>
      </c>
      <c r="I145" s="12" t="s">
        <v>251</v>
      </c>
      <c r="J145" s="12" t="s">
        <v>252</v>
      </c>
      <c r="K145" s="12" t="s">
        <v>253</v>
      </c>
      <c r="L145" s="12" t="s">
        <v>254</v>
      </c>
      <c r="Q145">
        <f>F145</f>
        <v>2</v>
      </c>
      <c r="R145">
        <f>G145</f>
        <v>4</v>
      </c>
    </row>
    <row r="146" spans="1:18" x14ac:dyDescent="0.35">
      <c r="A146" s="110">
        <f t="array" ref="A146:A154">IF(A145=$Q132,$Q133:$Q141,IF(A145=$R132,$R133:$R141,A133:A141))</f>
        <v>-8.7824622485212056E-2</v>
      </c>
      <c r="B146" s="111">
        <f t="array" ref="B146:B154">IF(B145=$Q132,$Q133:$Q141,IF(B145=$R132,$R133:$R141,B133:B141))</f>
        <v>-0.89332478740349797</v>
      </c>
      <c r="C146" s="111">
        <f t="array" ref="C146:C154">IF(C145=$Q132,$Q133:$Q141,IF(C145=$R132,$R133:$R141,C133:C141))</f>
        <v>-0.34126741555321038</v>
      </c>
      <c r="D146" s="112">
        <f t="array" ref="D146:D154">IF(D145=$Q132,$Q133:$Q141,IF(D145=$R132,$R133:$R141,D133:D141))</f>
        <v>-0.27891613610090382</v>
      </c>
      <c r="F146" s="94">
        <f>INDEX(A146:D154,,F145)</f>
        <v>-0.89332478740349797</v>
      </c>
      <c r="G146" s="96">
        <f>INDEX(A146:D154,,G145)</f>
        <v>-0.27891613610090382</v>
      </c>
      <c r="I146" s="94">
        <f>F146^2-G146^2</f>
        <v>0.72023496481204696</v>
      </c>
      <c r="J146" s="95">
        <f>2*F146*G146</f>
        <v>0.49832539597149</v>
      </c>
      <c r="K146" s="95">
        <f>I146^2-J146^2</f>
        <v>0.27041020426766821</v>
      </c>
      <c r="L146" s="96">
        <f t="shared" ref="L146:L154" si="52">I146*J146</f>
        <v>0.35891137403247547</v>
      </c>
      <c r="N146" t="s">
        <v>12</v>
      </c>
      <c r="O146" s="51">
        <f>2*L155*B156-2*I155*J155</f>
        <v>-0.48028676461922015</v>
      </c>
      <c r="Q146" s="94">
        <f t="array" ref="Q146:R154">MMULT(F146:G154,N150:O151)</f>
        <v>-0.89084676289723774</v>
      </c>
      <c r="R146" s="96">
        <v>-0.28673233476968657</v>
      </c>
    </row>
    <row r="147" spans="1:18" x14ac:dyDescent="0.35">
      <c r="A147" s="113">
        <v>-0.81120614093287347</v>
      </c>
      <c r="B147" s="114">
        <v>0.57857083021758737</v>
      </c>
      <c r="C147" s="114">
        <v>5.6718687218386923E-2</v>
      </c>
      <c r="D147" s="115">
        <v>6.311403848867389E-2</v>
      </c>
      <c r="F147" s="30">
        <f>INDEX(A147:D155,,F145)</f>
        <v>0.57857083021758737</v>
      </c>
      <c r="G147" s="26">
        <f>INDEX(A146:D154,,G145)</f>
        <v>6.311403848867389E-2</v>
      </c>
      <c r="I147" s="30">
        <f t="shared" ref="I147:I154" si="53">F147^2-G147^2</f>
        <v>0.33076082372431848</v>
      </c>
      <c r="J147">
        <f t="shared" ref="J147:J154" si="54">2*F147*G147</f>
        <v>7.3031883293553632E-2</v>
      </c>
      <c r="K147">
        <f t="shared" ref="K147:K154" si="55">I147^2-J147^2</f>
        <v>0.10406906653338645</v>
      </c>
      <c r="L147" s="26">
        <f t="shared" si="52"/>
        <v>2.4156085876314091E-2</v>
      </c>
      <c r="N147" t="s">
        <v>255</v>
      </c>
      <c r="O147" s="52">
        <f>K155*B156-(I155^2-J155^2)</f>
        <v>13.698612158798991</v>
      </c>
      <c r="Q147" s="30">
        <v>0.57799564647973578</v>
      </c>
      <c r="R147" s="26">
        <v>6.8180789695415522E-2</v>
      </c>
    </row>
    <row r="148" spans="1:18" x14ac:dyDescent="0.35">
      <c r="A148" s="113">
        <v>-0.98574758293521181</v>
      </c>
      <c r="B148" s="114">
        <v>-0.1461904436152652</v>
      </c>
      <c r="C148" s="114">
        <v>8.1208306790651635E-2</v>
      </c>
      <c r="D148" s="115">
        <v>-1.831032061859322E-2</v>
      </c>
      <c r="F148" s="30">
        <f>INDEX(A148:D156,,F145)</f>
        <v>-0.1461904436152652</v>
      </c>
      <c r="G148" s="26">
        <f>INDEX(A146:D154,,G145)</f>
        <v>-1.831032061859322E-2</v>
      </c>
      <c r="I148" s="30">
        <f t="shared" si="53"/>
        <v>2.1036377963272356E-2</v>
      </c>
      <c r="J148">
        <f t="shared" si="54"/>
        <v>5.3535877879397602E-3</v>
      </c>
      <c r="K148">
        <f t="shared" si="55"/>
        <v>4.1386829561047307E-4</v>
      </c>
      <c r="L148" s="26">
        <f t="shared" si="52"/>
        <v>1.1262009616665998E-4</v>
      </c>
      <c r="N148" t="s">
        <v>256</v>
      </c>
      <c r="O148" s="53">
        <f>0.25*ATAN(O146/O147)</f>
        <v>-8.7616559803061159E-3</v>
      </c>
      <c r="Q148" s="30">
        <v>-0.14602440570081099</v>
      </c>
      <c r="R148" s="26">
        <v>-1.9590471799032047E-2</v>
      </c>
    </row>
    <row r="149" spans="1:18" x14ac:dyDescent="0.35">
      <c r="A149" s="113">
        <v>-0.10459192888126126</v>
      </c>
      <c r="B149" s="114">
        <v>-4.3947087096079425E-3</v>
      </c>
      <c r="C149" s="114">
        <v>8.9285804712705558E-2</v>
      </c>
      <c r="D149" s="115">
        <v>-0.99048940429721899</v>
      </c>
      <c r="F149" s="30">
        <f>INDEX(A149:D157,,F145)</f>
        <v>-4.3947087096079425E-3</v>
      </c>
      <c r="G149" s="26">
        <f>INDEX(A146:D154,,G145)</f>
        <v>-0.99048940429721899</v>
      </c>
      <c r="I149" s="30">
        <f t="shared" si="53"/>
        <v>-0.98104994656041744</v>
      </c>
      <c r="J149">
        <f t="shared" si="54"/>
        <v>8.7058248236787424E-3</v>
      </c>
      <c r="K149">
        <f t="shared" si="55"/>
        <v>0.96238320626033735</v>
      </c>
      <c r="L149" s="26">
        <f t="shared" si="52"/>
        <v>-8.5408489780343863E-3</v>
      </c>
      <c r="Q149" s="30">
        <v>4.283676351482653E-3</v>
      </c>
      <c r="R149" s="26">
        <v>-0.99048989071399296</v>
      </c>
    </row>
    <row r="150" spans="1:18" x14ac:dyDescent="0.35">
      <c r="A150" s="113">
        <v>-0.40065011289267316</v>
      </c>
      <c r="B150" s="114">
        <v>9.969572953356784E-2</v>
      </c>
      <c r="C150" s="114">
        <v>0.876480502953215</v>
      </c>
      <c r="D150" s="115">
        <v>-0.24763314902237363</v>
      </c>
      <c r="F150" s="30">
        <f>INDEX(A150:D158,,F145)</f>
        <v>9.969572953356784E-2</v>
      </c>
      <c r="G150" s="26">
        <f>INDEX(A146:D154,,G145)</f>
        <v>-0.24763314902237363</v>
      </c>
      <c r="I150" s="30">
        <f t="shared" si="53"/>
        <v>-5.138293800750679E-2</v>
      </c>
      <c r="J150">
        <f t="shared" si="54"/>
        <v>-4.9375934896960523E-2</v>
      </c>
      <c r="K150">
        <f t="shared" si="55"/>
        <v>2.022233713344021E-4</v>
      </c>
      <c r="L150" s="26">
        <f t="shared" si="52"/>
        <v>2.5370806018732137E-3</v>
      </c>
      <c r="N150" s="94">
        <f>COS(O148)</f>
        <v>0.99996161693778718</v>
      </c>
      <c r="O150" s="96">
        <f>-N151</f>
        <v>8.7615438802904049E-3</v>
      </c>
      <c r="Q150" s="30">
        <v>0.10186155160755282</v>
      </c>
      <c r="R150" s="26">
        <v>-0.24675015559482283</v>
      </c>
    </row>
    <row r="151" spans="1:18" x14ac:dyDescent="0.35">
      <c r="A151" s="113">
        <v>1.5217256575791457E-3</v>
      </c>
      <c r="B151" s="114">
        <v>-2.1337393761503416E-2</v>
      </c>
      <c r="C151" s="114">
        <v>0.99740793422263796</v>
      </c>
      <c r="D151" s="115">
        <v>6.8700893212680261E-2</v>
      </c>
      <c r="F151" s="30">
        <f>INDEX(A151:D159,,F145)</f>
        <v>-2.1337393761503416E-2</v>
      </c>
      <c r="G151" s="26">
        <f>INDEX(A146:D154,,G145)</f>
        <v>6.8700893212680261E-2</v>
      </c>
      <c r="I151" s="30">
        <f t="shared" si="53"/>
        <v>-4.2645283556866521E-3</v>
      </c>
      <c r="J151">
        <f t="shared" si="54"/>
        <v>-2.9317960204919124E-3</v>
      </c>
      <c r="K151">
        <f t="shared" si="55"/>
        <v>9.5907741906832883E-6</v>
      </c>
      <c r="L151" s="26">
        <f t="shared" si="52"/>
        <v>1.2502727262477045E-5</v>
      </c>
      <c r="N151" s="27">
        <f>SIN(O148)</f>
        <v>-8.7615438802904049E-3</v>
      </c>
      <c r="O151" s="29">
        <f>N150</f>
        <v>0.99996161693778718</v>
      </c>
      <c r="Q151" s="30">
        <v>-2.193850065748925E-2</v>
      </c>
      <c r="R151" s="26">
        <v>6.851130775028956E-2</v>
      </c>
    </row>
    <row r="152" spans="1:18" x14ac:dyDescent="0.35">
      <c r="A152" s="113">
        <v>-0.97716901852420301</v>
      </c>
      <c r="B152" s="114">
        <v>-6.4730596441893683E-3</v>
      </c>
      <c r="C152" s="114">
        <v>0.1369694996110507</v>
      </c>
      <c r="D152" s="115">
        <v>-0.16229037220854206</v>
      </c>
      <c r="F152" s="30">
        <f>INDEX(A152:D160,,F145)</f>
        <v>-6.4730596441893683E-3</v>
      </c>
      <c r="G152" s="26">
        <f>INDEX(A146:D154,,G145)</f>
        <v>-0.16229037220854206</v>
      </c>
      <c r="I152" s="30">
        <f t="shared" si="53"/>
        <v>-2.6296264410429891E-2</v>
      </c>
      <c r="J152">
        <f t="shared" si="54"/>
        <v>2.1010305179671707E-3</v>
      </c>
      <c r="K152">
        <f t="shared" si="55"/>
        <v>6.870791927058123E-4</v>
      </c>
      <c r="L152" s="26">
        <f t="shared" si="52"/>
        <v>-5.5249254034847194E-5</v>
      </c>
      <c r="Q152" s="30">
        <v>-5.0508969708845343E-3</v>
      </c>
      <c r="R152" s="26">
        <v>-0.16234085700320133</v>
      </c>
    </row>
    <row r="153" spans="1:18" x14ac:dyDescent="0.35">
      <c r="A153" s="113">
        <v>-0.72112672736675643</v>
      </c>
      <c r="B153" s="114">
        <v>0.19889993216274698</v>
      </c>
      <c r="C153" s="114">
        <v>0.54961598791333377</v>
      </c>
      <c r="D153" s="115">
        <v>-0.37193726069461858</v>
      </c>
      <c r="F153" s="30">
        <f>INDEX(A153:D161,,F145)</f>
        <v>0.19889993216274698</v>
      </c>
      <c r="G153" s="26">
        <f>INDEX(A146:D154,,G145)</f>
        <v>-0.37193726069461858</v>
      </c>
      <c r="I153" s="30">
        <f t="shared" si="53"/>
        <v>-9.8776142878671314E-2</v>
      </c>
      <c r="J153">
        <f t="shared" si="54"/>
        <v>-0.14795659184191515</v>
      </c>
      <c r="K153">
        <f t="shared" si="55"/>
        <v>-1.2134426667487382E-2</v>
      </c>
      <c r="L153" s="26">
        <f t="shared" si="52"/>
        <v>1.4614581455618265E-2</v>
      </c>
      <c r="Q153" s="30">
        <v>0.20215104240456758</v>
      </c>
      <c r="R153" s="26">
        <v>-0.37018031412017138</v>
      </c>
    </row>
    <row r="154" spans="1:18" x14ac:dyDescent="0.35">
      <c r="A154" s="116">
        <v>-0.10681255192172026</v>
      </c>
      <c r="B154" s="117">
        <v>0.92244140125967078</v>
      </c>
      <c r="C154" s="117">
        <v>-0.20328151753523027</v>
      </c>
      <c r="D154" s="118">
        <v>-0.31043447718099648</v>
      </c>
      <c r="F154" s="27">
        <f>INDEX(A154:D162,,F145)</f>
        <v>0.92244140125967078</v>
      </c>
      <c r="G154" s="29">
        <f>INDEX(A146:D154,,G145)</f>
        <v>-0.31043447718099648</v>
      </c>
      <c r="I154" s="27">
        <f t="shared" si="53"/>
        <v>0.75452857413526631</v>
      </c>
      <c r="J154" s="28">
        <f t="shared" si="54"/>
        <v>-0.57271522826030341</v>
      </c>
      <c r="K154" s="28">
        <f t="shared" si="55"/>
        <v>0.24131063650534657</v>
      </c>
      <c r="L154" s="29">
        <f t="shared" si="52"/>
        <v>-0.43213000456480033</v>
      </c>
      <c r="Q154" s="27">
        <v>0.9251258804277549</v>
      </c>
      <c r="R154" s="29">
        <v>-0.30234055094101264</v>
      </c>
    </row>
    <row r="155" spans="1:18" x14ac:dyDescent="0.35">
      <c r="I155">
        <f>SUM(I146:I154)</f>
        <v>0.66479092042219201</v>
      </c>
      <c r="J155">
        <f>SUM(J146:J154)</f>
        <v>-0.18546182862504168</v>
      </c>
      <c r="K155">
        <f>SUM(K146:K154)</f>
        <v>1.5673514485330924</v>
      </c>
      <c r="L155">
        <f>SUM(L146:L154)</f>
        <v>-4.0381858007159377E-2</v>
      </c>
    </row>
    <row r="156" spans="1:18" x14ac:dyDescent="0.35">
      <c r="A156" s="12" t="s">
        <v>2</v>
      </c>
      <c r="B156">
        <f>COUNT(A146:A154)</f>
        <v>9</v>
      </c>
      <c r="I156" s="12" t="s">
        <v>16</v>
      </c>
      <c r="J156" s="12" t="s">
        <v>258</v>
      </c>
      <c r="K156" s="12" t="s">
        <v>18</v>
      </c>
      <c r="L156" s="12" t="s">
        <v>19</v>
      </c>
      <c r="N156" s="12"/>
    </row>
    <row r="158" spans="1:18" x14ac:dyDescent="0.35">
      <c r="A158">
        <v>1</v>
      </c>
      <c r="B158">
        <v>2</v>
      </c>
      <c r="C158">
        <v>3</v>
      </c>
      <c r="D158">
        <v>4</v>
      </c>
      <c r="F158">
        <v>3</v>
      </c>
      <c r="G158">
        <v>4</v>
      </c>
      <c r="I158" s="12" t="s">
        <v>251</v>
      </c>
      <c r="J158" s="12" t="s">
        <v>252</v>
      </c>
      <c r="K158" s="12" t="s">
        <v>253</v>
      </c>
      <c r="L158" s="12" t="s">
        <v>254</v>
      </c>
      <c r="Q158">
        <f>F158</f>
        <v>3</v>
      </c>
      <c r="R158">
        <f>G158</f>
        <v>4</v>
      </c>
    </row>
    <row r="159" spans="1:18" x14ac:dyDescent="0.35">
      <c r="A159" s="110">
        <f t="array" ref="A159:A167">IF(A158=$Q145,$Q146:$Q154,IF(A158=$R145,$R146:$R154,A146:A154))</f>
        <v>-8.7824622485212056E-2</v>
      </c>
      <c r="B159" s="111">
        <f t="array" ref="B159:B167">IF(B158=$Q145,$Q146:$Q154,IF(B158=$R145,$R146:$R154,B146:B154))</f>
        <v>-0.89084676289723774</v>
      </c>
      <c r="C159" s="111">
        <f t="array" ref="C159:C167">IF(C158=$Q145,$Q146:$Q154,IF(C158=$R145,$R146:$R154,C146:C154))</f>
        <v>-0.34126741555321038</v>
      </c>
      <c r="D159" s="112">
        <f t="array" ref="D159:D167">IF(D158=$Q145,$Q146:$Q154,IF(D158=$R145,$R146:$R154,D146:D154))</f>
        <v>-0.28673233476968657</v>
      </c>
      <c r="F159" s="94">
        <f>INDEX(A159:D167,,F158)</f>
        <v>-0.34126741555321038</v>
      </c>
      <c r="G159" s="96">
        <f>INDEX(A159:D167,,G158)</f>
        <v>-0.28673233476968657</v>
      </c>
      <c r="I159" s="94">
        <f>F159^2-G159^2</f>
        <v>3.4248017115891982E-2</v>
      </c>
      <c r="J159" s="95">
        <f>2*F159*G159</f>
        <v>0.19570480568477772</v>
      </c>
      <c r="K159" s="95">
        <f>I159^2-J159^2</f>
        <v>-3.7127444291746171E-2</v>
      </c>
      <c r="L159" s="96">
        <f t="shared" ref="L159:L167" si="56">I159*J159</f>
        <v>6.7025015347545814E-3</v>
      </c>
      <c r="N159" t="s">
        <v>12</v>
      </c>
      <c r="O159" s="51">
        <f>2*L168*B169-2*I168*J168</f>
        <v>-0.1202695673048888</v>
      </c>
      <c r="Q159" s="94">
        <f t="array" ref="Q159:R167">MMULT(F159:G167,N163:O164)</f>
        <v>-0.3407772918791821</v>
      </c>
      <c r="R159" s="96">
        <v>-0.28731466732544986</v>
      </c>
    </row>
    <row r="160" spans="1:18" x14ac:dyDescent="0.35">
      <c r="A160" s="113">
        <v>-0.81120614093287347</v>
      </c>
      <c r="B160" s="114">
        <v>0.57799564647973578</v>
      </c>
      <c r="C160" s="114">
        <v>5.6718687218386923E-2</v>
      </c>
      <c r="D160" s="115">
        <v>6.8180789695415522E-2</v>
      </c>
      <c r="F160" s="30">
        <f>INDEX(A160:D168,,F158)</f>
        <v>5.6718687218386923E-2</v>
      </c>
      <c r="G160" s="26">
        <f>INDEX(A159:D167,,G158)</f>
        <v>6.8180789695415522E-2</v>
      </c>
      <c r="I160" s="30">
        <f t="shared" ref="I160:I167" si="57">F160^2-G160^2</f>
        <v>-1.431610603713271E-3</v>
      </c>
      <c r="J160">
        <f t="shared" ref="J160:J167" si="58">2*F160*G160</f>
        <v>7.7342497700737829E-3</v>
      </c>
      <c r="K160">
        <f t="shared" ref="K160:K167" si="59">I160^2-J160^2</f>
        <v>-5.7769110585222086E-5</v>
      </c>
      <c r="L160" s="26">
        <f t="shared" si="56"/>
        <v>-1.1072433982604556E-5</v>
      </c>
      <c r="N160" t="s">
        <v>255</v>
      </c>
      <c r="O160" s="52">
        <f>K168*B169-(I168^2-J168^2)</f>
        <v>17.607629282585858</v>
      </c>
      <c r="Q160" s="30">
        <v>5.6602178536380214E-2</v>
      </c>
      <c r="R160" s="26">
        <v>6.8277543513247649E-2</v>
      </c>
    </row>
    <row r="161" spans="1:18" x14ac:dyDescent="0.35">
      <c r="A161" s="113">
        <v>-0.98574758293521181</v>
      </c>
      <c r="B161" s="114">
        <v>-0.14602440570081099</v>
      </c>
      <c r="C161" s="114">
        <v>8.1208306790651635E-2</v>
      </c>
      <c r="D161" s="115">
        <v>-1.9590471799032047E-2</v>
      </c>
      <c r="F161" s="30">
        <f>INDEX(A161:D169,,F158)</f>
        <v>8.1208306790651635E-2</v>
      </c>
      <c r="G161" s="26">
        <f>INDEX(A159:D167,,G158)</f>
        <v>-1.9590471799032047E-2</v>
      </c>
      <c r="I161" s="30">
        <f t="shared" si="57"/>
        <v>6.2110025064959261E-3</v>
      </c>
      <c r="J161">
        <f t="shared" si="58"/>
        <v>-3.1818180880588071E-3</v>
      </c>
      <c r="K161">
        <f t="shared" si="59"/>
        <v>2.8452585790200477E-5</v>
      </c>
      <c r="L161" s="26">
        <f t="shared" si="56"/>
        <v>-1.9762280120147325E-5</v>
      </c>
      <c r="N161" t="s">
        <v>256</v>
      </c>
      <c r="O161" s="53">
        <f>0.25*ATAN(O159/O160)</f>
        <v>-1.7076077503845014E-3</v>
      </c>
      <c r="Q161" s="30">
        <v>8.1241641217265778E-2</v>
      </c>
      <c r="R161" s="26">
        <v>-1.9451771370194777E-2</v>
      </c>
    </row>
    <row r="162" spans="1:18" x14ac:dyDescent="0.35">
      <c r="A162" s="113">
        <v>-0.10459192888126126</v>
      </c>
      <c r="B162" s="114">
        <v>4.283676351482653E-3</v>
      </c>
      <c r="C162" s="114">
        <v>8.9285804712705558E-2</v>
      </c>
      <c r="D162" s="115">
        <v>-0.99048989071399296</v>
      </c>
      <c r="F162" s="30">
        <f>INDEX(A162:D170,,F158)</f>
        <v>8.9285804712705558E-2</v>
      </c>
      <c r="G162" s="26">
        <f>INDEX(A159:D167,,G158)</f>
        <v>-0.99048989071399296</v>
      </c>
      <c r="I162" s="30">
        <f t="shared" si="57"/>
        <v>-0.97309826868342231</v>
      </c>
      <c r="J162">
        <f t="shared" si="58"/>
        <v>-0.17687337390439728</v>
      </c>
      <c r="K162">
        <f t="shared" si="59"/>
        <v>0.91563605011834925</v>
      </c>
      <c r="L162" s="26">
        <f t="shared" si="56"/>
        <v>0.17211517392256459</v>
      </c>
      <c r="Q162" s="30">
        <v>9.0977041929493796E-2</v>
      </c>
      <c r="R162" s="26">
        <v>-0.99033598155957769</v>
      </c>
    </row>
    <row r="163" spans="1:18" x14ac:dyDescent="0.35">
      <c r="A163" s="113">
        <v>-0.40065011289267316</v>
      </c>
      <c r="B163" s="114">
        <v>0.10186155160755282</v>
      </c>
      <c r="C163" s="114">
        <v>0.876480502953215</v>
      </c>
      <c r="D163" s="115">
        <v>-0.24675015559482283</v>
      </c>
      <c r="F163" s="30">
        <f>INDEX(A163:D171,,F158)</f>
        <v>0.876480502953215</v>
      </c>
      <c r="G163" s="26">
        <f>INDEX(A159:D167,,G158)</f>
        <v>-0.24675015559482283</v>
      </c>
      <c r="I163" s="30">
        <f t="shared" si="57"/>
        <v>0.70733243277105151</v>
      </c>
      <c r="J163">
        <f t="shared" si="58"/>
        <v>-0.43254340095906874</v>
      </c>
      <c r="K163">
        <f t="shared" si="59"/>
        <v>0.31322537673657641</v>
      </c>
      <c r="L163" s="26">
        <f t="shared" si="56"/>
        <v>-0.30595197607944247</v>
      </c>
      <c r="N163" s="94">
        <f>COS(O161)</f>
        <v>0.99999854203823968</v>
      </c>
      <c r="O163" s="96">
        <f>-N164</f>
        <v>1.7076069205088202E-3</v>
      </c>
      <c r="Q163" s="30">
        <v>0.87690057735148841</v>
      </c>
      <c r="R163" s="26">
        <v>-0.24525311166999766</v>
      </c>
    </row>
    <row r="164" spans="1:18" x14ac:dyDescent="0.35">
      <c r="A164" s="113">
        <v>1.5217256575791457E-3</v>
      </c>
      <c r="B164" s="114">
        <v>-2.193850065748925E-2</v>
      </c>
      <c r="C164" s="114">
        <v>0.99740793422263796</v>
      </c>
      <c r="D164" s="115">
        <v>6.851130775028956E-2</v>
      </c>
      <c r="F164" s="30">
        <f>INDEX(A164:D172,,F158)</f>
        <v>0.99740793422263796</v>
      </c>
      <c r="G164" s="26">
        <f>INDEX(A159:D167,,G158)</f>
        <v>6.851130775028956E-2</v>
      </c>
      <c r="I164" s="30">
        <f t="shared" si="57"/>
        <v>0.99012878796061521</v>
      </c>
      <c r="J164">
        <f t="shared" si="58"/>
        <v>0.13666744386821544</v>
      </c>
      <c r="K164">
        <f t="shared" si="59"/>
        <v>0.96167702653488507</v>
      </c>
      <c r="L164" s="26">
        <f t="shared" si="56"/>
        <v>0.13531837055091156</v>
      </c>
      <c r="N164" s="27">
        <f>SIN(O161)</f>
        <v>-1.7076069205088202E-3</v>
      </c>
      <c r="O164" s="29">
        <f>N163</f>
        <v>0.99999854203823968</v>
      </c>
      <c r="Q164" s="30">
        <v>0.9972894896567629</v>
      </c>
      <c r="R164" s="26">
        <v>7.0214388554471693E-2</v>
      </c>
    </row>
    <row r="165" spans="1:18" x14ac:dyDescent="0.35">
      <c r="A165" s="113">
        <v>-0.97716901852420301</v>
      </c>
      <c r="B165" s="114">
        <v>-5.0508969708845343E-3</v>
      </c>
      <c r="C165" s="114">
        <v>0.1369694996110507</v>
      </c>
      <c r="D165" s="115">
        <v>-0.16234085700320133</v>
      </c>
      <c r="F165" s="30">
        <f>INDEX(A165:D173,,F158)</f>
        <v>0.1369694996110507</v>
      </c>
      <c r="G165" s="26">
        <f>INDEX(A159:D167,,G158)</f>
        <v>-0.16234085700320133</v>
      </c>
      <c r="I165" s="30">
        <f t="shared" si="57"/>
        <v>-7.5939100288322445E-3</v>
      </c>
      <c r="J165">
        <f t="shared" si="58"/>
        <v>-4.4471491900315248E-2</v>
      </c>
      <c r="K165">
        <f t="shared" si="59"/>
        <v>-1.9200461223138059E-3</v>
      </c>
      <c r="L165" s="26">
        <f t="shared" si="56"/>
        <v>3.3771250833893588E-4</v>
      </c>
      <c r="Q165" s="30">
        <v>0.13724651428565796</v>
      </c>
      <c r="R165" s="26">
        <v>-0.16210673025100522</v>
      </c>
    </row>
    <row r="166" spans="1:18" x14ac:dyDescent="0.35">
      <c r="A166" s="113">
        <v>-0.72112672736675643</v>
      </c>
      <c r="B166" s="114">
        <v>0.20215104240456758</v>
      </c>
      <c r="C166" s="114">
        <v>0.54961598791333377</v>
      </c>
      <c r="D166" s="115">
        <v>-0.37018031412017138</v>
      </c>
      <c r="F166" s="30">
        <f>INDEX(A166:D174,,F158)</f>
        <v>0.54961598791333377</v>
      </c>
      <c r="G166" s="26">
        <f>INDEX(A159:D167,,G158)</f>
        <v>-0.37018031412017138</v>
      </c>
      <c r="I166" s="30">
        <f t="shared" si="57"/>
        <v>0.16504426920784113</v>
      </c>
      <c r="J166">
        <f t="shared" si="58"/>
        <v>-0.40691403810245241</v>
      </c>
      <c r="K166">
        <f t="shared" si="59"/>
        <v>-0.13833942360649376</v>
      </c>
      <c r="L166" s="26">
        <f t="shared" si="56"/>
        <v>-6.7158830049030879E-2</v>
      </c>
      <c r="Q166" s="30">
        <v>0.55024730906046826</v>
      </c>
      <c r="R166" s="26">
        <v>-0.36924124634684585</v>
      </c>
    </row>
    <row r="167" spans="1:18" x14ac:dyDescent="0.35">
      <c r="A167" s="116">
        <v>-0.10681255192172026</v>
      </c>
      <c r="B167" s="117">
        <v>0.9251258804277549</v>
      </c>
      <c r="C167" s="117">
        <v>-0.20328151753523027</v>
      </c>
      <c r="D167" s="118">
        <v>-0.30234055094101264</v>
      </c>
      <c r="F167" s="27">
        <f>INDEX(A167:D175,,F158)</f>
        <v>-0.20328151753523027</v>
      </c>
      <c r="G167" s="29">
        <f>INDEX(A159:D167,,G158)</f>
        <v>-0.30234055094101264</v>
      </c>
      <c r="I167" s="27">
        <f t="shared" si="57"/>
        <v>-5.0086433371888922E-2</v>
      </c>
      <c r="J167" s="28">
        <f t="shared" si="58"/>
        <v>0.12292049201545328</v>
      </c>
      <c r="K167" s="28">
        <f t="shared" si="59"/>
        <v>-1.2600796549404446E-2</v>
      </c>
      <c r="L167" s="29">
        <f t="shared" si="56"/>
        <v>-6.1566490333718055E-3</v>
      </c>
      <c r="Q167" s="27">
        <v>-0.20276494234141382</v>
      </c>
      <c r="R167" s="29">
        <v>-0.30268723506620548</v>
      </c>
    </row>
    <row r="168" spans="1:18" x14ac:dyDescent="0.35">
      <c r="I168">
        <f>SUM(I159:I167)</f>
        <v>0.870754286874039</v>
      </c>
      <c r="J168">
        <f>SUM(J159:J167)</f>
        <v>-0.60095713161577224</v>
      </c>
      <c r="K168">
        <f>SUM(K159:K167)</f>
        <v>2.0005214262950575</v>
      </c>
      <c r="L168">
        <f>SUM(L159:L167)</f>
        <v>-6.482453135937824E-2</v>
      </c>
    </row>
    <row r="169" spans="1:18" x14ac:dyDescent="0.35">
      <c r="A169" s="12" t="s">
        <v>2</v>
      </c>
      <c r="B169">
        <f>COUNT(A159:A167)</f>
        <v>9</v>
      </c>
      <c r="I169" s="12" t="s">
        <v>16</v>
      </c>
      <c r="J169" s="12" t="s">
        <v>258</v>
      </c>
      <c r="K169" s="12" t="s">
        <v>18</v>
      </c>
      <c r="L169" s="12" t="s">
        <v>19</v>
      </c>
      <c r="N169" s="12"/>
    </row>
    <row r="171" spans="1:18" x14ac:dyDescent="0.35">
      <c r="A171">
        <v>1</v>
      </c>
      <c r="B171">
        <v>2</v>
      </c>
      <c r="C171">
        <v>3</v>
      </c>
      <c r="D171">
        <v>4</v>
      </c>
      <c r="F171">
        <v>1</v>
      </c>
      <c r="G171">
        <v>2</v>
      </c>
      <c r="I171" s="12" t="s">
        <v>251</v>
      </c>
      <c r="J171" s="12" t="s">
        <v>252</v>
      </c>
      <c r="K171" s="12" t="s">
        <v>253</v>
      </c>
      <c r="L171" s="12" t="s">
        <v>254</v>
      </c>
      <c r="Q171">
        <f>F171</f>
        <v>1</v>
      </c>
      <c r="R171">
        <f>G171</f>
        <v>2</v>
      </c>
    </row>
    <row r="172" spans="1:18" x14ac:dyDescent="0.35">
      <c r="A172" s="110">
        <f t="array" ref="A172:A180">IF(A171=$Q158,$Q159:$Q167,IF(A171=$R158,$R159:$R167,A159:A167))</f>
        <v>-8.7824622485212056E-2</v>
      </c>
      <c r="B172" s="111">
        <f t="array" ref="B172:B180">IF(B171=$Q158,$Q159:$Q167,IF(B171=$R158,$R159:$R167,B159:B167))</f>
        <v>-0.89084676289723774</v>
      </c>
      <c r="C172" s="111">
        <f t="array" ref="C172:C180">IF(C171=$Q158,$Q159:$Q167,IF(C171=$R158,$R159:$R167,C159:C167))</f>
        <v>-0.3407772918791821</v>
      </c>
      <c r="D172" s="112">
        <f t="array" ref="D172:D180">IF(D171=$Q158,$Q159:$Q167,IF(D171=$R158,$R159:$R167,D159:D167))</f>
        <v>-0.28731466732544986</v>
      </c>
      <c r="F172" s="94">
        <f>INDEX(A172:D180,,F171)</f>
        <v>-8.7824622485212056E-2</v>
      </c>
      <c r="G172" s="96">
        <f>INDEX(A172:D180,,G171)</f>
        <v>-0.89084676289723774</v>
      </c>
      <c r="I172" s="94">
        <f>F172^2-G172^2</f>
        <v>-0.78589479064981727</v>
      </c>
      <c r="J172" s="95">
        <f>2*F172*G172</f>
        <v>0.15647656128724624</v>
      </c>
      <c r="K172" s="95">
        <f>I172^2-J172^2</f>
        <v>0.59314570773823871</v>
      </c>
      <c r="L172" s="96">
        <f t="shared" ref="L172:L180" si="60">I172*J172</f>
        <v>-0.12297411437444368</v>
      </c>
      <c r="N172" t="s">
        <v>12</v>
      </c>
      <c r="O172" s="51">
        <f>2*L181*B182-2*I181*J181</f>
        <v>0.29511764029981968</v>
      </c>
      <c r="Q172" s="94">
        <f t="array" ref="Q172:R180">MMULT(F172:G180,N176:O177)</f>
        <v>-9.094665696395543E-2</v>
      </c>
      <c r="R172" s="96">
        <v>-0.89053344960548109</v>
      </c>
    </row>
    <row r="173" spans="1:18" x14ac:dyDescent="0.35">
      <c r="A173" s="113">
        <v>-0.81120614093287347</v>
      </c>
      <c r="B173" s="114">
        <v>0.57799564647973578</v>
      </c>
      <c r="C173" s="114">
        <v>5.6602178536380214E-2</v>
      </c>
      <c r="D173" s="115">
        <v>6.8277543513247649E-2</v>
      </c>
      <c r="F173" s="30">
        <f>INDEX(A173:D181,,F171)</f>
        <v>-0.81120614093287347</v>
      </c>
      <c r="G173" s="26">
        <f>INDEX(A172:D180,,G171)</f>
        <v>0.57799564647973578</v>
      </c>
      <c r="I173" s="30">
        <f t="shared" ref="I173:I180" si="61">F173^2-G173^2</f>
        <v>0.32397643573767732</v>
      </c>
      <c r="J173">
        <f t="shared" ref="J173:J180" si="62">2*F173*G173</f>
        <v>-0.9377472357136557</v>
      </c>
      <c r="K173">
        <f t="shared" ref="K173:K180" si="63">I173^2-J173^2</f>
        <v>-0.77440914717531317</v>
      </c>
      <c r="L173" s="26">
        <f t="shared" si="60"/>
        <v>-0.30380800704936972</v>
      </c>
      <c r="N173" t="s">
        <v>255</v>
      </c>
      <c r="O173" s="52">
        <f>K181*B182-(I181^2-J181^2)</f>
        <v>21.047285733401193</v>
      </c>
      <c r="Q173" s="30">
        <v>-0.80917518155814938</v>
      </c>
      <c r="R173" s="26">
        <v>0.58083551543192391</v>
      </c>
    </row>
    <row r="174" spans="1:18" x14ac:dyDescent="0.35">
      <c r="A174" s="113">
        <v>-0.98574758293521181</v>
      </c>
      <c r="B174" s="114">
        <v>-0.14602440570081099</v>
      </c>
      <c r="C174" s="114">
        <v>8.1241641217265778E-2</v>
      </c>
      <c r="D174" s="115">
        <v>-1.9451771370194777E-2</v>
      </c>
      <c r="F174" s="30">
        <f>INDEX(A174:D182,,F171)</f>
        <v>-0.98574758293521181</v>
      </c>
      <c r="G174" s="26">
        <f>INDEX(A172:D180,,G171)</f>
        <v>-0.14602440570081099</v>
      </c>
      <c r="I174" s="30">
        <f t="shared" si="61"/>
        <v>0.95037517020233719</v>
      </c>
      <c r="J174">
        <f t="shared" si="62"/>
        <v>0.28788640993825038</v>
      </c>
      <c r="K174">
        <f t="shared" si="63"/>
        <v>0.82033437910998708</v>
      </c>
      <c r="L174" s="26">
        <f t="shared" si="60"/>
        <v>0.27360009584400452</v>
      </c>
      <c r="N174" t="s">
        <v>256</v>
      </c>
      <c r="O174" s="53">
        <f>0.25*ATAN(O172/O173)</f>
        <v>3.50518239768085E-3</v>
      </c>
      <c r="Q174" s="30">
        <v>-0.98625336847274003</v>
      </c>
      <c r="R174" s="26">
        <v>-0.14256829065069448</v>
      </c>
    </row>
    <row r="175" spans="1:18" x14ac:dyDescent="0.35">
      <c r="A175" s="113">
        <v>-0.10459192888126126</v>
      </c>
      <c r="B175" s="114">
        <v>4.283676351482653E-3</v>
      </c>
      <c r="C175" s="114">
        <v>9.0977041929493796E-2</v>
      </c>
      <c r="D175" s="115">
        <v>-0.99033598155957769</v>
      </c>
      <c r="F175" s="30">
        <f>INDEX(A175:D183,,F171)</f>
        <v>-0.10459192888126126</v>
      </c>
      <c r="G175" s="26">
        <f>INDEX(A172:D180,,G171)</f>
        <v>4.283676351482653E-3</v>
      </c>
      <c r="I175" s="30">
        <f t="shared" si="61"/>
        <v>1.0921121704018561E-2</v>
      </c>
      <c r="J175">
        <f t="shared" si="62"/>
        <v>-8.960759446092287E-4</v>
      </c>
      <c r="K175">
        <f t="shared" si="63"/>
        <v>1.1846794717547796E-4</v>
      </c>
      <c r="L175" s="26">
        <f t="shared" si="60"/>
        <v>-9.7861544471207819E-6</v>
      </c>
      <c r="Q175" s="30">
        <v>-0.10457627132162281</v>
      </c>
      <c r="R175" s="26">
        <v>4.6502630735685783E-3</v>
      </c>
    </row>
    <row r="176" spans="1:18" x14ac:dyDescent="0.35">
      <c r="A176" s="113">
        <v>-0.40065011289267316</v>
      </c>
      <c r="B176" s="114">
        <v>0.10186155160755282</v>
      </c>
      <c r="C176" s="114">
        <v>0.87690057735148841</v>
      </c>
      <c r="D176" s="115">
        <v>-0.24525311166999766</v>
      </c>
      <c r="F176" s="30">
        <f>INDEX(A176:D184,,F171)</f>
        <v>-0.40065011289267316</v>
      </c>
      <c r="G176" s="26">
        <f>INDEX(A172:D180,,G171)</f>
        <v>0.10186155160755282</v>
      </c>
      <c r="I176" s="30">
        <f t="shared" si="61"/>
        <v>0.15014473726501359</v>
      </c>
      <c r="J176">
        <f t="shared" si="62"/>
        <v>-8.1621684301977776E-2</v>
      </c>
      <c r="K176">
        <f t="shared" si="63"/>
        <v>1.5881342780088237E-2</v>
      </c>
      <c r="L176" s="26">
        <f t="shared" si="60"/>
        <v>-1.2255066344648338E-2</v>
      </c>
      <c r="N176" s="94">
        <f>COS(O174)</f>
        <v>0.99999385685446918</v>
      </c>
      <c r="O176" s="96">
        <f>-N177</f>
        <v>-3.5051752200627169E-3</v>
      </c>
      <c r="Q176" s="30">
        <v>-0.40029060905415081</v>
      </c>
      <c r="R176" s="26">
        <v>0.10326527470484403</v>
      </c>
    </row>
    <row r="177" spans="1:18" x14ac:dyDescent="0.35">
      <c r="A177" s="113">
        <v>1.5217256575791457E-3</v>
      </c>
      <c r="B177" s="114">
        <v>-2.193850065748925E-2</v>
      </c>
      <c r="C177" s="114">
        <v>0.9972894896567629</v>
      </c>
      <c r="D177" s="115">
        <v>7.0214388554471693E-2</v>
      </c>
      <c r="F177" s="30">
        <f>INDEX(A177:D185,,F171)</f>
        <v>1.5217256575791457E-3</v>
      </c>
      <c r="G177" s="26">
        <f>INDEX(A172:D180,,G171)</f>
        <v>-2.193850065748925E-2</v>
      </c>
      <c r="I177" s="30">
        <f t="shared" si="61"/>
        <v>-4.7898216212172162E-4</v>
      </c>
      <c r="J177">
        <f t="shared" si="62"/>
        <v>-6.6768758678636701E-5</v>
      </c>
      <c r="K177">
        <f t="shared" si="63"/>
        <v>2.249658444953132E-7</v>
      </c>
      <c r="L177" s="26">
        <f t="shared" si="60"/>
        <v>3.1981044394076872E-8</v>
      </c>
      <c r="N177" s="27">
        <f>SIN(O174)</f>
        <v>3.5051752200627169E-3</v>
      </c>
      <c r="O177" s="29">
        <f>N176</f>
        <v>0.99999385685446918</v>
      </c>
      <c r="Q177" s="30">
        <v>1.4448180205270122E-3</v>
      </c>
      <c r="R177" s="26">
        <v>-2.1943699801153661E-2</v>
      </c>
    </row>
    <row r="178" spans="1:18" x14ac:dyDescent="0.35">
      <c r="A178" s="113">
        <v>-0.97716901852420301</v>
      </c>
      <c r="B178" s="114">
        <v>-5.0508969708845343E-3</v>
      </c>
      <c r="C178" s="114">
        <v>0.13724651428565796</v>
      </c>
      <c r="D178" s="115">
        <v>-0.16210673025100522</v>
      </c>
      <c r="F178" s="30">
        <f>INDEX(A178:D186,,F171)</f>
        <v>-0.97716901852420301</v>
      </c>
      <c r="G178" s="26">
        <f>INDEX(A172:D180,,G171)</f>
        <v>-5.0508969708845343E-3</v>
      </c>
      <c r="I178" s="30">
        <f t="shared" si="61"/>
        <v>0.95483377920334378</v>
      </c>
      <c r="J178">
        <f t="shared" si="62"/>
        <v>9.8711600714122202E-3</v>
      </c>
      <c r="K178">
        <f t="shared" si="63"/>
        <v>0.91161010610658444</v>
      </c>
      <c r="L178" s="26">
        <f t="shared" si="60"/>
        <v>9.42531707610768E-3</v>
      </c>
      <c r="Q178" s="30">
        <v>-0.97718071991161548</v>
      </c>
      <c r="R178" s="26">
        <v>-1.6257173129453385E-3</v>
      </c>
    </row>
    <row r="179" spans="1:18" x14ac:dyDescent="0.35">
      <c r="A179" s="113">
        <v>-0.72112672736675643</v>
      </c>
      <c r="B179" s="114">
        <v>0.20215104240456758</v>
      </c>
      <c r="C179" s="114">
        <v>0.55024730906046826</v>
      </c>
      <c r="D179" s="115">
        <v>-0.36924124634684585</v>
      </c>
      <c r="F179" s="30">
        <f>INDEX(A179:D187,,F171)</f>
        <v>-0.72112672736675643</v>
      </c>
      <c r="G179" s="26">
        <f>INDEX(A172:D180,,G171)</f>
        <v>0.20215104240456758</v>
      </c>
      <c r="I179" s="30">
        <f t="shared" si="61"/>
        <v>0.47915871297743495</v>
      </c>
      <c r="J179">
        <f t="shared" si="62"/>
        <v>-0.29155303928596843</v>
      </c>
      <c r="K179">
        <f t="shared" si="63"/>
        <v>0.14458989750530643</v>
      </c>
      <c r="L179" s="26">
        <f t="shared" si="60"/>
        <v>-0.13970017906892415</v>
      </c>
      <c r="Q179" s="30">
        <v>-0.72041372255577774</v>
      </c>
      <c r="R179" s="26">
        <v>0.20467747609658576</v>
      </c>
    </row>
    <row r="180" spans="1:18" x14ac:dyDescent="0.35">
      <c r="A180" s="116">
        <v>-0.10681255192172026</v>
      </c>
      <c r="B180" s="117">
        <v>0.9251258804277549</v>
      </c>
      <c r="C180" s="117">
        <v>-0.20276494234141382</v>
      </c>
      <c r="D180" s="118">
        <v>-0.30268723506620548</v>
      </c>
      <c r="F180" s="27">
        <f>INDEX(A180:D188,,F171)</f>
        <v>-0.10681255192172026</v>
      </c>
      <c r="G180" s="29">
        <f>INDEX(A172:D180,,G171)</f>
        <v>0.9251258804277549</v>
      </c>
      <c r="I180" s="27">
        <f t="shared" si="61"/>
        <v>-0.84444897338919844</v>
      </c>
      <c r="J180" s="28">
        <f t="shared" si="62"/>
        <v>-0.19763011227463348</v>
      </c>
      <c r="K180" s="28">
        <f t="shared" si="63"/>
        <v>0.67403640738038695</v>
      </c>
      <c r="L180" s="29">
        <f t="shared" si="60"/>
        <v>0.16688854542110626</v>
      </c>
      <c r="Q180" s="27">
        <v>-0.10356916744515522</v>
      </c>
      <c r="R180" s="29">
        <v>0.92549459395502476</v>
      </c>
    </row>
    <row r="181" spans="1:18" x14ac:dyDescent="0.35">
      <c r="I181">
        <f>SUM(I172:I180)</f>
        <v>1.2385872108886877</v>
      </c>
      <c r="J181">
        <f>SUM(J172:J180)</f>
        <v>-1.0552807849826145</v>
      </c>
      <c r="K181">
        <f>SUM(K172:K180)</f>
        <v>2.3853073863582988</v>
      </c>
      <c r="L181">
        <f>SUM(L172:L180)</f>
        <v>-0.12883316266957018</v>
      </c>
    </row>
    <row r="182" spans="1:18" x14ac:dyDescent="0.35">
      <c r="A182" s="12" t="s">
        <v>2</v>
      </c>
      <c r="B182">
        <f>COUNT(A172:A180)</f>
        <v>9</v>
      </c>
      <c r="I182" s="12" t="s">
        <v>16</v>
      </c>
      <c r="J182" s="12" t="s">
        <v>258</v>
      </c>
      <c r="K182" s="12" t="s">
        <v>18</v>
      </c>
      <c r="L182" s="12" t="s">
        <v>19</v>
      </c>
      <c r="N182" s="12"/>
    </row>
    <row r="184" spans="1:18" x14ac:dyDescent="0.35">
      <c r="A184">
        <v>1</v>
      </c>
      <c r="B184">
        <v>2</v>
      </c>
      <c r="C184">
        <v>3</v>
      </c>
      <c r="D184">
        <v>4</v>
      </c>
      <c r="F184">
        <v>1</v>
      </c>
      <c r="G184">
        <v>3</v>
      </c>
      <c r="I184" s="12" t="s">
        <v>251</v>
      </c>
      <c r="J184" s="12" t="s">
        <v>252</v>
      </c>
      <c r="K184" s="12" t="s">
        <v>253</v>
      </c>
      <c r="L184" s="12" t="s">
        <v>254</v>
      </c>
      <c r="Q184">
        <f>F184</f>
        <v>1</v>
      </c>
      <c r="R184">
        <f>G184</f>
        <v>3</v>
      </c>
    </row>
    <row r="185" spans="1:18" x14ac:dyDescent="0.35">
      <c r="A185" s="110">
        <f t="array" ref="A185:A193">IF(A184=$Q171,$Q172:$Q180,IF(A184=$R171,$R172:$R180,A172:A180))</f>
        <v>-9.094665696395543E-2</v>
      </c>
      <c r="B185" s="111">
        <f t="array" ref="B185:B193">IF(B184=$Q171,$Q172:$Q180,IF(B184=$R171,$R172:$R180,B172:B180))</f>
        <v>-0.89053344960548109</v>
      </c>
      <c r="C185" s="111">
        <f t="array" ref="C185:C193">IF(C184=$Q171,$Q172:$Q180,IF(C184=$R171,$R172:$R180,C172:C180))</f>
        <v>-0.3407772918791821</v>
      </c>
      <c r="D185" s="112">
        <f t="array" ref="D185:D193">IF(D184=$Q171,$Q172:$Q180,IF(D184=$R171,$R172:$R180,D172:D180))</f>
        <v>-0.28731466732544986</v>
      </c>
      <c r="F185" s="94">
        <f>INDEX(A185:D193,,F184)</f>
        <v>-9.094665696395543E-2</v>
      </c>
      <c r="G185" s="96">
        <f>INDEX(A185:D193,,G184)</f>
        <v>-0.3407772918791821</v>
      </c>
      <c r="I185" s="94">
        <f>F185^2-G185^2</f>
        <v>-0.10785786824758989</v>
      </c>
      <c r="J185" s="95">
        <f>2*F185*G185</f>
        <v>6.198511093128338E-2</v>
      </c>
      <c r="K185" s="95">
        <f>I185^2-J185^2</f>
        <v>7.7911657657509523E-3</v>
      </c>
      <c r="L185" s="96">
        <f t="shared" ref="L185:L193" si="64">I185*J185</f>
        <v>-6.6855819281386062E-3</v>
      </c>
      <c r="N185" t="s">
        <v>12</v>
      </c>
      <c r="O185" s="51">
        <f>2*L194*B195-2*I194*J194</f>
        <v>4.0947533577000428E-3</v>
      </c>
      <c r="Q185" s="94">
        <f t="array" ref="Q185:R193">MMULT(F185:G193,N189:O190)</f>
        <v>-9.0960937562059918E-2</v>
      </c>
      <c r="R185" s="96">
        <v>-0.34077348035206567</v>
      </c>
    </row>
    <row r="186" spans="1:18" x14ac:dyDescent="0.35">
      <c r="A186" s="113">
        <v>-0.80917518155814938</v>
      </c>
      <c r="B186" s="114">
        <v>0.58083551543192391</v>
      </c>
      <c r="C186" s="114">
        <v>5.6602178536380214E-2</v>
      </c>
      <c r="D186" s="115">
        <v>6.8277543513247649E-2</v>
      </c>
      <c r="F186" s="30">
        <f>INDEX(A186:D194,,F184)</f>
        <v>-0.80917518155814938</v>
      </c>
      <c r="G186" s="26">
        <f>INDEX(A185:D193,,G184)</f>
        <v>5.6602178536380214E-2</v>
      </c>
      <c r="I186" s="30">
        <f t="shared" ref="I186:I193" si="65">F186^2-G186^2</f>
        <v>0.65156066783459976</v>
      </c>
      <c r="J186">
        <f t="shared" ref="J186:J193" si="66">2*F186*G186</f>
        <v>-9.1602156187524486E-2</v>
      </c>
      <c r="K186">
        <f t="shared" ref="K186:K193" si="67">I186^2-J186^2</f>
        <v>0.41614034885086598</v>
      </c>
      <c r="L186" s="26">
        <f t="shared" si="64"/>
        <v>-5.9684362060632767E-2</v>
      </c>
      <c r="N186" t="s">
        <v>255</v>
      </c>
      <c r="O186" s="52">
        <f>K194*B195-(I194^2-J194^2)</f>
        <v>24.428093512672479</v>
      </c>
      <c r="Q186" s="30">
        <v>-0.80917280886598997</v>
      </c>
      <c r="R186" s="26">
        <v>5.6636087935629804E-2</v>
      </c>
    </row>
    <row r="187" spans="1:18" x14ac:dyDescent="0.35">
      <c r="A187" s="113">
        <v>-0.98625336847274003</v>
      </c>
      <c r="B187" s="114">
        <v>-0.14256829065069448</v>
      </c>
      <c r="C187" s="114">
        <v>8.1241641217265778E-2</v>
      </c>
      <c r="D187" s="115">
        <v>-1.9451771370194777E-2</v>
      </c>
      <c r="F187" s="30">
        <f>INDEX(A187:D195,,F184)</f>
        <v>-0.98625336847274003</v>
      </c>
      <c r="G187" s="26">
        <f>INDEX(A185:D193,,G184)</f>
        <v>8.1241641217265778E-2</v>
      </c>
      <c r="I187" s="30">
        <f t="shared" si="65"/>
        <v>0.9660955025561514</v>
      </c>
      <c r="J187">
        <f t="shared" si="66"/>
        <v>-0.16024968462156433</v>
      </c>
      <c r="K187">
        <f t="shared" si="67"/>
        <v>0.90766055863791195</v>
      </c>
      <c r="L187" s="26">
        <f t="shared" si="64"/>
        <v>-0.15481649959893495</v>
      </c>
      <c r="N187" t="s">
        <v>256</v>
      </c>
      <c r="O187" s="53">
        <f>0.25*ATAN(O185/O186)</f>
        <v>4.1906190071937859E-5</v>
      </c>
      <c r="Q187" s="30">
        <v>-0.98624996307908852</v>
      </c>
      <c r="R187" s="26">
        <v>8.1282971267036597E-2</v>
      </c>
    </row>
    <row r="188" spans="1:18" x14ac:dyDescent="0.35">
      <c r="A188" s="113">
        <v>-0.10457627132162281</v>
      </c>
      <c r="B188" s="114">
        <v>4.6502630735685783E-3</v>
      </c>
      <c r="C188" s="114">
        <v>9.0977041929493796E-2</v>
      </c>
      <c r="D188" s="115">
        <v>-0.99033598155957769</v>
      </c>
      <c r="F188" s="30">
        <f>INDEX(A188:D196,,F184)</f>
        <v>-0.10457627132162281</v>
      </c>
      <c r="G188" s="26">
        <f>INDEX(A185:D193,,G184)</f>
        <v>9.0977041929493796E-2</v>
      </c>
      <c r="I188" s="30">
        <f t="shared" si="65"/>
        <v>2.6593743652927986E-3</v>
      </c>
      <c r="J188">
        <f t="shared" si="66"/>
        <v>-1.9028079641714796E-2</v>
      </c>
      <c r="K188">
        <f t="shared" si="67"/>
        <v>-3.549955428366646E-4</v>
      </c>
      <c r="L188" s="26">
        <f t="shared" si="64"/>
        <v>-5.0602787219926108E-5</v>
      </c>
      <c r="Q188" s="30">
        <v>-0.10457245872858795</v>
      </c>
      <c r="R188" s="26">
        <v>9.0981424242711828E-2</v>
      </c>
    </row>
    <row r="189" spans="1:18" x14ac:dyDescent="0.35">
      <c r="A189" s="113">
        <v>-0.40029060905415081</v>
      </c>
      <c r="B189" s="114">
        <v>0.10326527470484403</v>
      </c>
      <c r="C189" s="114">
        <v>0.87690057735148841</v>
      </c>
      <c r="D189" s="115">
        <v>-0.24525311166999766</v>
      </c>
      <c r="F189" s="30">
        <f>INDEX(A189:D197,,F184)</f>
        <v>-0.40029060905415081</v>
      </c>
      <c r="G189" s="26">
        <f>INDEX(A185:D193,,G184)</f>
        <v>0.87690057735148841</v>
      </c>
      <c r="I189" s="30">
        <f t="shared" si="65"/>
        <v>-0.6087220508624307</v>
      </c>
      <c r="J189">
        <f t="shared" si="66"/>
        <v>-0.7020301323759276</v>
      </c>
      <c r="K189">
        <f t="shared" si="67"/>
        <v>-0.12230377155759875</v>
      </c>
      <c r="L189" s="26">
        <f t="shared" si="64"/>
        <v>0.42734122194709834</v>
      </c>
      <c r="N189" s="94">
        <f>COS(O187)</f>
        <v>0.9999999991219356</v>
      </c>
      <c r="O189" s="96">
        <f>-N190</f>
        <v>-4.1906190059672415E-5</v>
      </c>
      <c r="Q189" s="30">
        <v>-0.40025386114041195</v>
      </c>
      <c r="R189" s="26">
        <v>0.87691735123585535</v>
      </c>
    </row>
    <row r="190" spans="1:18" x14ac:dyDescent="0.35">
      <c r="A190" s="113">
        <v>1.4448180205270122E-3</v>
      </c>
      <c r="B190" s="114">
        <v>-2.1943699801153661E-2</v>
      </c>
      <c r="C190" s="114">
        <v>0.9972894896567629</v>
      </c>
      <c r="D190" s="115">
        <v>7.0214388554471693E-2</v>
      </c>
      <c r="F190" s="30">
        <f>INDEX(A190:D198,,F184)</f>
        <v>1.4448180205270122E-3</v>
      </c>
      <c r="G190" s="26">
        <f>INDEX(A185:D193,,G184)</f>
        <v>0.9972894896567629</v>
      </c>
      <c r="I190" s="30">
        <f t="shared" si="65"/>
        <v>-0.99458423868073409</v>
      </c>
      <c r="J190">
        <f t="shared" si="66"/>
        <v>2.881803652676557E-3</v>
      </c>
      <c r="K190">
        <f t="shared" si="67"/>
        <v>0.98918950303984277</v>
      </c>
      <c r="L190" s="26">
        <f t="shared" si="64"/>
        <v>-2.8661964919246721E-3</v>
      </c>
      <c r="N190" s="27">
        <f>SIN(O187)</f>
        <v>4.1906190059672415E-5</v>
      </c>
      <c r="O190" s="29">
        <f>N189</f>
        <v>0.9999999991219356</v>
      </c>
      <c r="Q190" s="30">
        <v>1.486610622156439E-3</v>
      </c>
      <c r="R190" s="26">
        <v>0.99728942823425992</v>
      </c>
    </row>
    <row r="191" spans="1:18" x14ac:dyDescent="0.35">
      <c r="A191" s="113">
        <v>-0.97718071991161548</v>
      </c>
      <c r="B191" s="114">
        <v>-1.6257173129453385E-3</v>
      </c>
      <c r="C191" s="114">
        <v>0.13724651428565796</v>
      </c>
      <c r="D191" s="115">
        <v>-0.16210673025100522</v>
      </c>
      <c r="F191" s="30">
        <f>INDEX(A191:D199,,F184)</f>
        <v>-0.97718071991161548</v>
      </c>
      <c r="G191" s="26">
        <f>INDEX(A185:D193,,G184)</f>
        <v>0.13724651428565796</v>
      </c>
      <c r="I191" s="30">
        <f t="shared" si="65"/>
        <v>0.9360455536834198</v>
      </c>
      <c r="J191">
        <f t="shared" si="66"/>
        <v>-0.26822929527003814</v>
      </c>
      <c r="K191">
        <f t="shared" si="67"/>
        <v>0.80423432372943859</v>
      </c>
      <c r="L191" s="26">
        <f t="shared" si="64"/>
        <v>-0.25107483920515633</v>
      </c>
      <c r="Q191" s="30">
        <v>-0.97717496757507516</v>
      </c>
      <c r="R191" s="26">
        <v>0.13728746408611794</v>
      </c>
    </row>
    <row r="192" spans="1:18" x14ac:dyDescent="0.35">
      <c r="A192" s="113">
        <v>-0.72041372255577774</v>
      </c>
      <c r="B192" s="114">
        <v>0.20467747609658576</v>
      </c>
      <c r="C192" s="114">
        <v>0.55024730906046826</v>
      </c>
      <c r="D192" s="115">
        <v>-0.36924124634684585</v>
      </c>
      <c r="F192" s="30">
        <f>INDEX(A192:D200,,F184)</f>
        <v>-0.72041372255577774</v>
      </c>
      <c r="G192" s="26">
        <f>INDEX(A185:D193,,G184)</f>
        <v>0.55024730906046826</v>
      </c>
      <c r="I192" s="30">
        <f t="shared" si="65"/>
        <v>0.21622383051838667</v>
      </c>
      <c r="J192">
        <f t="shared" si="66"/>
        <v>-0.79281142449310293</v>
      </c>
      <c r="K192">
        <f t="shared" si="67"/>
        <v>-0.58179720992273909</v>
      </c>
      <c r="L192" s="26">
        <f t="shared" si="64"/>
        <v>-0.1714247230826374</v>
      </c>
      <c r="Q192" s="30">
        <v>-0.72039066315489475</v>
      </c>
      <c r="R192" s="26">
        <v>0.55027749837169471</v>
      </c>
    </row>
    <row r="193" spans="1:18" x14ac:dyDescent="0.35">
      <c r="A193" s="116">
        <v>-0.10356916744515522</v>
      </c>
      <c r="B193" s="117">
        <v>0.92549459395502476</v>
      </c>
      <c r="C193" s="117">
        <v>-0.20276494234141382</v>
      </c>
      <c r="D193" s="118">
        <v>-0.30268723506620548</v>
      </c>
      <c r="F193" s="27">
        <f>INDEX(A193:D201,,F184)</f>
        <v>-0.10356916744515522</v>
      </c>
      <c r="G193" s="29">
        <f>INDEX(A185:D193,,G184)</f>
        <v>-0.20276494234141382</v>
      </c>
      <c r="I193" s="27">
        <f t="shared" si="65"/>
        <v>-3.0387049397434272E-2</v>
      </c>
      <c r="J193" s="28">
        <f t="shared" si="66"/>
        <v>4.2000392530730263E-2</v>
      </c>
      <c r="K193" s="28">
        <f t="shared" si="67"/>
        <v>-8.406602016533118E-4</v>
      </c>
      <c r="L193" s="29">
        <f t="shared" si="64"/>
        <v>-1.2762680025429299E-3</v>
      </c>
      <c r="Q193" s="27">
        <v>-0.10357766446042603</v>
      </c>
      <c r="R193" s="29">
        <v>-0.20276060197415788</v>
      </c>
    </row>
    <row r="194" spans="1:18" x14ac:dyDescent="0.35">
      <c r="I194">
        <f>SUM(I185:I193)</f>
        <v>1.0310337217696612</v>
      </c>
      <c r="J194">
        <f>SUM(J185:J193)</f>
        <v>-1.9270834654751823</v>
      </c>
      <c r="K194">
        <f>SUM(K185:K193)</f>
        <v>2.4197192627989823</v>
      </c>
      <c r="L194">
        <f>SUM(L185:L193)</f>
        <v>-0.22053785121008929</v>
      </c>
    </row>
    <row r="195" spans="1:18" x14ac:dyDescent="0.35">
      <c r="A195" s="12" t="s">
        <v>2</v>
      </c>
      <c r="B195">
        <f>COUNT(A185:A193)</f>
        <v>9</v>
      </c>
      <c r="I195" s="12" t="s">
        <v>16</v>
      </c>
      <c r="J195" s="12" t="s">
        <v>258</v>
      </c>
      <c r="K195" s="12" t="s">
        <v>18</v>
      </c>
      <c r="L195" s="12" t="s">
        <v>19</v>
      </c>
      <c r="N195" s="12"/>
    </row>
    <row r="197" spans="1:18" x14ac:dyDescent="0.35">
      <c r="A197">
        <v>1</v>
      </c>
      <c r="B197">
        <v>2</v>
      </c>
      <c r="C197">
        <v>3</v>
      </c>
      <c r="D197">
        <v>4</v>
      </c>
      <c r="F197">
        <v>1</v>
      </c>
      <c r="G197">
        <v>4</v>
      </c>
      <c r="I197" s="12" t="s">
        <v>251</v>
      </c>
      <c r="J197" s="12" t="s">
        <v>252</v>
      </c>
      <c r="K197" s="12" t="s">
        <v>253</v>
      </c>
      <c r="L197" s="12" t="s">
        <v>254</v>
      </c>
      <c r="Q197">
        <f>F197</f>
        <v>1</v>
      </c>
      <c r="R197">
        <f>G197</f>
        <v>4</v>
      </c>
    </row>
    <row r="198" spans="1:18" x14ac:dyDescent="0.35">
      <c r="A198" s="110">
        <f t="array" ref="A198:A206">IF(A197=$Q184,$Q185:$Q193,IF(A197=$R184,$R185:$R193,A185:A193))</f>
        <v>-9.0960937562059918E-2</v>
      </c>
      <c r="B198" s="111">
        <f t="array" ref="B198:B206">IF(B197=$Q184,$Q185:$Q193,IF(B197=$R184,$R185:$R193,B185:B193))</f>
        <v>-0.89053344960548109</v>
      </c>
      <c r="C198" s="111">
        <f t="array" ref="C198:C206">IF(C197=$Q184,$Q185:$Q193,IF(C197=$R184,$R185:$R193,C185:C193))</f>
        <v>-0.34077348035206567</v>
      </c>
      <c r="D198" s="112">
        <f t="array" ref="D198:D206">IF(D197=$Q184,$Q185:$Q193,IF(D197=$R184,$R185:$R193,D185:D193))</f>
        <v>-0.28731466732544986</v>
      </c>
      <c r="F198" s="94">
        <f>INDEX(A198:D206,,F197)</f>
        <v>-9.0960937562059918E-2</v>
      </c>
      <c r="G198" s="96">
        <f>INDEX(A198:D206,,G197)</f>
        <v>-0.28731466732544986</v>
      </c>
      <c r="I198" s="94">
        <f>F198^2-G198^2</f>
        <v>-7.4275825898164963E-2</v>
      </c>
      <c r="J198" s="95">
        <f>2*F198*G198</f>
        <v>5.2268823030508525E-2</v>
      </c>
      <c r="K198" s="95">
        <f>I198^2-J198^2</f>
        <v>2.7848684518598948E-3</v>
      </c>
      <c r="L198" s="96">
        <f t="shared" ref="L198:L206" si="68">I198*J198</f>
        <v>-3.8823099993160462E-3</v>
      </c>
      <c r="N198" t="s">
        <v>12</v>
      </c>
      <c r="O198" s="51">
        <f>2*L207*B208-2*I207*J207</f>
        <v>-1.737400447291737E-2</v>
      </c>
      <c r="Q198" s="94">
        <f t="array" ref="Q198:R206">MMULT(F198:G206,N202:O203)</f>
        <v>-9.0908371308588851E-2</v>
      </c>
      <c r="R198" s="96">
        <v>-0.28733130398291556</v>
      </c>
    </row>
    <row r="199" spans="1:18" x14ac:dyDescent="0.35">
      <c r="A199" s="113">
        <v>-0.80917280886598997</v>
      </c>
      <c r="B199" s="114">
        <v>0.58083551543192391</v>
      </c>
      <c r="C199" s="114">
        <v>5.6636087935629804E-2</v>
      </c>
      <c r="D199" s="115">
        <v>6.8277543513247649E-2</v>
      </c>
      <c r="F199" s="30">
        <f>INDEX(A199:D207,,F197)</f>
        <v>-0.80917280886598997</v>
      </c>
      <c r="G199" s="26">
        <f>INDEX(A198:D206,,G197)</f>
        <v>6.8277543513247649E-2</v>
      </c>
      <c r="I199" s="30">
        <f t="shared" ref="I199:I206" si="69">F199^2-G199^2</f>
        <v>0.6500988116598726</v>
      </c>
      <c r="J199">
        <f t="shared" ref="J199:J206" si="70">2*F199*G199</f>
        <v>-0.11049666333416891</v>
      </c>
      <c r="K199">
        <f t="shared" ref="K199:K206" si="71">I199^2-J199^2</f>
        <v>0.41041895231359382</v>
      </c>
      <c r="L199" s="26">
        <f t="shared" si="68"/>
        <v>-7.1833749525924223E-2</v>
      </c>
      <c r="N199" t="s">
        <v>255</v>
      </c>
      <c r="O199" s="52">
        <f>K207*B208-(I207^2-J207^2)</f>
        <v>23.741229548853603</v>
      </c>
      <c r="Q199" s="30">
        <v>-0.80918528682237989</v>
      </c>
      <c r="R199" s="26">
        <v>6.8129502761006377E-2</v>
      </c>
    </row>
    <row r="200" spans="1:18" x14ac:dyDescent="0.35">
      <c r="A200" s="113">
        <v>-0.98624996307908852</v>
      </c>
      <c r="B200" s="114">
        <v>-0.14256829065069448</v>
      </c>
      <c r="C200" s="114">
        <v>8.1282971267036597E-2</v>
      </c>
      <c r="D200" s="115">
        <v>-1.9451771370194777E-2</v>
      </c>
      <c r="F200" s="30">
        <f>INDEX(A200:D208,,F197)</f>
        <v>-0.98624996307908852</v>
      </c>
      <c r="G200" s="26">
        <f>INDEX(A198:D206,,G197)</f>
        <v>-1.9451771370194777E-2</v>
      </c>
      <c r="I200" s="30">
        <f t="shared" si="69"/>
        <v>0.97231061826406517</v>
      </c>
      <c r="J200">
        <f t="shared" si="70"/>
        <v>3.8368617591354938E-2</v>
      </c>
      <c r="K200">
        <f t="shared" si="71"/>
        <v>0.94391578757317707</v>
      </c>
      <c r="L200" s="26">
        <f t="shared" si="68"/>
        <v>3.7306214292187806E-2</v>
      </c>
      <c r="N200" t="s">
        <v>256</v>
      </c>
      <c r="O200" s="53">
        <f>0.25*ATAN(O198/O199)</f>
        <v>-1.8295178579172337E-4</v>
      </c>
      <c r="Q200" s="30">
        <v>-0.98624638783723761</v>
      </c>
      <c r="R200" s="26">
        <v>-1.9632207235631961E-2</v>
      </c>
    </row>
    <row r="201" spans="1:18" x14ac:dyDescent="0.35">
      <c r="A201" s="113">
        <v>-0.10457245872858795</v>
      </c>
      <c r="B201" s="114">
        <v>4.6502630735685783E-3</v>
      </c>
      <c r="C201" s="114">
        <v>9.0981424242711828E-2</v>
      </c>
      <c r="D201" s="115">
        <v>-0.99033598155957769</v>
      </c>
      <c r="F201" s="30">
        <f>INDEX(A201:D209,,F197)</f>
        <v>-0.10457245872858795</v>
      </c>
      <c r="G201" s="26">
        <f>INDEX(A198:D206,,G197)</f>
        <v>-0.99033598155957769</v>
      </c>
      <c r="I201" s="30">
        <f t="shared" si="69"/>
        <v>-0.96982995724703003</v>
      </c>
      <c r="J201">
        <f t="shared" si="70"/>
        <v>0.20712373711814913</v>
      </c>
      <c r="K201">
        <f t="shared" si="71"/>
        <v>0.89766990349598796</v>
      </c>
      <c r="L201" s="26">
        <f t="shared" si="68"/>
        <v>-0.20087480511413966</v>
      </c>
      <c r="Q201" s="30">
        <v>-0.10439127324314758</v>
      </c>
      <c r="R201" s="26">
        <v>-0.99035509670359589</v>
      </c>
    </row>
    <row r="202" spans="1:18" x14ac:dyDescent="0.35">
      <c r="A202" s="113">
        <v>-0.40025386114041195</v>
      </c>
      <c r="B202" s="114">
        <v>0.10326527470484403</v>
      </c>
      <c r="C202" s="114">
        <v>0.87691735123585535</v>
      </c>
      <c r="D202" s="115">
        <v>-0.24525311166999766</v>
      </c>
      <c r="F202" s="30">
        <f>INDEX(A202:D210,,F197)</f>
        <v>-0.40025386114041195</v>
      </c>
      <c r="G202" s="26">
        <f>INDEX(A198:D206,,G197)</f>
        <v>-0.24525311166999766</v>
      </c>
      <c r="I202" s="30">
        <f t="shared" si="69"/>
        <v>0.10005406457399182</v>
      </c>
      <c r="J202">
        <f t="shared" si="70"/>
        <v>0.19632700980523438</v>
      </c>
      <c r="K202">
        <f t="shared" si="71"/>
        <v>-2.8533478941288069E-2</v>
      </c>
      <c r="L202" s="26">
        <f t="shared" si="68"/>
        <v>1.9643315316671645E-2</v>
      </c>
      <c r="N202" s="94">
        <f>COS(O200)</f>
        <v>0.99999998326432205</v>
      </c>
      <c r="O202" s="96">
        <f>-N203</f>
        <v>1.8295178477111597E-4</v>
      </c>
      <c r="Q202" s="30">
        <v>-0.40020898494739149</v>
      </c>
      <c r="R202" s="26">
        <v>-0.24532633472377774</v>
      </c>
    </row>
    <row r="203" spans="1:18" x14ac:dyDescent="0.35">
      <c r="A203" s="113">
        <v>1.486610622156439E-3</v>
      </c>
      <c r="B203" s="114">
        <v>-2.1943699801153661E-2</v>
      </c>
      <c r="C203" s="114">
        <v>0.99728942823425992</v>
      </c>
      <c r="D203" s="115">
        <v>7.0214388554471693E-2</v>
      </c>
      <c r="F203" s="30">
        <f>INDEX(A203:D211,,F197)</f>
        <v>1.486610622156439E-3</v>
      </c>
      <c r="G203" s="26">
        <f>INDEX(A198:D206,,G197)</f>
        <v>7.0214388554471693E-2</v>
      </c>
      <c r="I203" s="30">
        <f t="shared" si="69"/>
        <v>-4.9278503489364172E-3</v>
      </c>
      <c r="J203">
        <f t="shared" si="70"/>
        <v>2.0876291170659423E-4</v>
      </c>
      <c r="K203">
        <f t="shared" si="71"/>
        <v>2.4240127108208553E-5</v>
      </c>
      <c r="L203" s="26">
        <f t="shared" si="68"/>
        <v>-1.0287523872983229E-6</v>
      </c>
      <c r="N203" s="27">
        <f>SIN(O200)</f>
        <v>-1.8295178477111597E-4</v>
      </c>
      <c r="O203" s="29">
        <f>N202</f>
        <v>0.99999998326432205</v>
      </c>
      <c r="Q203" s="30">
        <v>1.4737647495743492E-3</v>
      </c>
      <c r="R203" s="26">
        <v>7.0214659357452885E-2</v>
      </c>
    </row>
    <row r="204" spans="1:18" x14ac:dyDescent="0.35">
      <c r="A204" s="113">
        <v>-0.97717496757507516</v>
      </c>
      <c r="B204" s="114">
        <v>-1.6257173129453385E-3</v>
      </c>
      <c r="C204" s="114">
        <v>0.13728746408611794</v>
      </c>
      <c r="D204" s="115">
        <v>-0.16210673025100522</v>
      </c>
      <c r="F204" s="30">
        <f>INDEX(A204:D212,,F197)</f>
        <v>-0.97717496757507516</v>
      </c>
      <c r="G204" s="26">
        <f>INDEX(A198:D206,,G197)</f>
        <v>-0.16210673025100522</v>
      </c>
      <c r="I204" s="30">
        <f t="shared" si="69"/>
        <v>0.9285923252626771</v>
      </c>
      <c r="J204">
        <f t="shared" si="70"/>
        <v>0.31681327775345497</v>
      </c>
      <c r="K204">
        <f t="shared" si="71"/>
        <v>0.7619130535758577</v>
      </c>
      <c r="L204" s="26">
        <f t="shared" si="68"/>
        <v>0.29419037826317113</v>
      </c>
      <c r="Q204" s="30">
        <v>-0.97714529350576684</v>
      </c>
      <c r="R204" s="26">
        <v>-0.16228550344239073</v>
      </c>
    </row>
    <row r="205" spans="1:18" x14ac:dyDescent="0.35">
      <c r="A205" s="113">
        <v>-0.72039066315489475</v>
      </c>
      <c r="B205" s="114">
        <v>0.20467747609658576</v>
      </c>
      <c r="C205" s="114">
        <v>0.55027749837169471</v>
      </c>
      <c r="D205" s="115">
        <v>-0.36924124634684585</v>
      </c>
      <c r="F205" s="30">
        <f>INDEX(A205:D213,,F197)</f>
        <v>-0.72039066315489475</v>
      </c>
      <c r="G205" s="26">
        <f>INDEX(A198:D206,,G197)</f>
        <v>-0.36924124634684585</v>
      </c>
      <c r="I205" s="30">
        <f t="shared" si="69"/>
        <v>0.38262360955697694</v>
      </c>
      <c r="J205">
        <f t="shared" si="70"/>
        <v>0.53199589263988833</v>
      </c>
      <c r="K205">
        <f t="shared" si="71"/>
        <v>-0.13661880319530167</v>
      </c>
      <c r="L205" s="26">
        <f t="shared" si="68"/>
        <v>0.20355418871136005</v>
      </c>
      <c r="Q205" s="30">
        <v>-0.72032309775363834</v>
      </c>
      <c r="R205" s="26">
        <v>-0.36937303692489992</v>
      </c>
    </row>
    <row r="206" spans="1:18" x14ac:dyDescent="0.35">
      <c r="A206" s="116">
        <v>-0.10357766446042603</v>
      </c>
      <c r="B206" s="117">
        <v>0.92549459395502476</v>
      </c>
      <c r="C206" s="117">
        <v>-0.20276060197415788</v>
      </c>
      <c r="D206" s="118">
        <v>-0.30268723506620548</v>
      </c>
      <c r="F206" s="27">
        <f>INDEX(A206:D214,,F197)</f>
        <v>-0.10357766446042603</v>
      </c>
      <c r="G206" s="29">
        <f>INDEX(A198:D206,,G197)</f>
        <v>-0.30268723506620548</v>
      </c>
      <c r="I206" s="27">
        <f t="shared" si="69"/>
        <v>-8.0891229696947731E-2</v>
      </c>
      <c r="J206" s="28">
        <f t="shared" si="70"/>
        <v>6.2703273740283061E-2</v>
      </c>
      <c r="K206" s="28">
        <f t="shared" si="71"/>
        <v>2.6116905041354875E-3</v>
      </c>
      <c r="L206" s="29">
        <f t="shared" si="68"/>
        <v>-5.0721449188758276E-3</v>
      </c>
      <c r="Q206" s="27">
        <v>-0.1035222855571008</v>
      </c>
      <c r="R206" s="29">
        <v>-0.30270617971910485</v>
      </c>
    </row>
    <row r="207" spans="1:18" x14ac:dyDescent="0.35">
      <c r="I207">
        <f>SUM(I198:I206)</f>
        <v>1.9037545661265047</v>
      </c>
      <c r="J207">
        <f>SUM(J198:J206)</f>
        <v>1.295312731256411</v>
      </c>
      <c r="K207">
        <f>SUM(K198:K206)</f>
        <v>2.8541862139051308</v>
      </c>
      <c r="L207">
        <f>SUM(L198:L206)</f>
        <v>0.27303005827274757</v>
      </c>
    </row>
    <row r="208" spans="1:18" x14ac:dyDescent="0.35">
      <c r="A208" s="12" t="s">
        <v>2</v>
      </c>
      <c r="B208">
        <f>COUNT(A198:A206)</f>
        <v>9</v>
      </c>
      <c r="I208" s="12" t="s">
        <v>16</v>
      </c>
      <c r="J208" s="12" t="s">
        <v>258</v>
      </c>
      <c r="K208" s="12" t="s">
        <v>18</v>
      </c>
      <c r="L208" s="12" t="s">
        <v>19</v>
      </c>
      <c r="N208" s="12"/>
    </row>
    <row r="210" spans="1:18" x14ac:dyDescent="0.35">
      <c r="A210">
        <v>1</v>
      </c>
      <c r="B210">
        <v>2</v>
      </c>
      <c r="C210">
        <v>3</v>
      </c>
      <c r="D210">
        <v>4</v>
      </c>
      <c r="F210">
        <v>2</v>
      </c>
      <c r="G210">
        <v>3</v>
      </c>
      <c r="I210" s="12" t="s">
        <v>251</v>
      </c>
      <c r="J210" s="12" t="s">
        <v>252</v>
      </c>
      <c r="K210" s="12" t="s">
        <v>253</v>
      </c>
      <c r="L210" s="12" t="s">
        <v>254</v>
      </c>
      <c r="Q210">
        <f>F210</f>
        <v>2</v>
      </c>
      <c r="R210">
        <f>G210</f>
        <v>3</v>
      </c>
    </row>
    <row r="211" spans="1:18" x14ac:dyDescent="0.35">
      <c r="A211" s="110">
        <f t="array" ref="A211:A219">IF(A210=$Q197,$Q198:$Q206,IF(A210=$R197,$R198:$R206,A198:A206))</f>
        <v>-9.0908371308588851E-2</v>
      </c>
      <c r="B211" s="111">
        <f t="array" ref="B211:B219">IF(B210=$Q197,$Q198:$Q206,IF(B210=$R197,$R198:$R206,B198:B206))</f>
        <v>-0.89053344960548109</v>
      </c>
      <c r="C211" s="111">
        <f t="array" ref="C211:C219">IF(C210=$Q197,$Q198:$Q206,IF(C210=$R197,$R198:$R206,C198:C206))</f>
        <v>-0.34077348035206567</v>
      </c>
      <c r="D211" s="112">
        <f t="array" ref="D211:D219">IF(D210=$Q197,$Q198:$Q206,IF(D210=$R197,$R198:$R206,D198:D206))</f>
        <v>-0.28733130398291556</v>
      </c>
      <c r="F211" s="94">
        <f>INDEX(A211:D219,,F210)</f>
        <v>-0.89053344960548109</v>
      </c>
      <c r="G211" s="96">
        <f>INDEX(A211:D219,,G210)</f>
        <v>-0.34077348035206567</v>
      </c>
      <c r="I211" s="94">
        <f>F211^2-G211^2</f>
        <v>0.67692325995497815</v>
      </c>
      <c r="J211" s="95">
        <f>2*F211*G211</f>
        <v>0.60694036598398138</v>
      </c>
      <c r="K211" s="95">
        <f>I211^2-J211^2</f>
        <v>8.9848492007305658E-2</v>
      </c>
      <c r="L211" s="96">
        <f t="shared" ref="L211:L219" si="72">I211*J211</f>
        <v>0.41085205114014423</v>
      </c>
      <c r="N211" t="s">
        <v>12</v>
      </c>
      <c r="O211" s="51">
        <f>2*L220*B221-2*I220*J220</f>
        <v>-0.21495527122554947</v>
      </c>
      <c r="Q211" s="94">
        <f t="array" ref="Q211:R219">MMULT(F211:G219,N215:O216)</f>
        <v>-0.88964885681874684</v>
      </c>
      <c r="R211" s="96">
        <v>-0.34307623254692915</v>
      </c>
    </row>
    <row r="212" spans="1:18" x14ac:dyDescent="0.35">
      <c r="A212" s="113">
        <v>-0.80918528682237989</v>
      </c>
      <c r="B212" s="114">
        <v>0.58083551543192391</v>
      </c>
      <c r="C212" s="114">
        <v>5.6636087935629804E-2</v>
      </c>
      <c r="D212" s="115">
        <v>6.8129502761006377E-2</v>
      </c>
      <c r="F212" s="30">
        <f>INDEX(A212:D220,,F210)</f>
        <v>0.58083551543192391</v>
      </c>
      <c r="G212" s="26">
        <f>INDEX(A211:D219,,G210)</f>
        <v>5.6636087935629804E-2</v>
      </c>
      <c r="I212" s="30">
        <f t="shared" ref="I212:I219" si="73">F212^2-G212^2</f>
        <v>0.33416224953041634</v>
      </c>
      <c r="J212">
        <f t="shared" ref="J212:J219" si="74">2*F212*G212</f>
        <v>6.5792502656278604E-2</v>
      </c>
      <c r="K212">
        <f t="shared" ref="K212:K219" si="75">I212^2-J212^2</f>
        <v>0.1073357556054518</v>
      </c>
      <c r="L212" s="26">
        <f t="shared" si="72"/>
        <v>2.1985370689857953E-2</v>
      </c>
      <c r="N212" t="s">
        <v>255</v>
      </c>
      <c r="O212" s="52">
        <f>K220*B221-(I220^2-J220^2)</f>
        <v>20.771130147075297</v>
      </c>
      <c r="Q212" s="30">
        <v>0.58068704883773237</v>
      </c>
      <c r="R212" s="26">
        <v>5.8138573734192754E-2</v>
      </c>
    </row>
    <row r="213" spans="1:18" x14ac:dyDescent="0.35">
      <c r="A213" s="113">
        <v>-0.98624638783723761</v>
      </c>
      <c r="B213" s="114">
        <v>-0.14256829065069448</v>
      </c>
      <c r="C213" s="114">
        <v>8.1282971267036597E-2</v>
      </c>
      <c r="D213" s="115">
        <v>-1.9632207235631961E-2</v>
      </c>
      <c r="F213" s="30">
        <f>INDEX(A213:D221,,F210)</f>
        <v>-0.14256829065069448</v>
      </c>
      <c r="G213" s="26">
        <f>INDEX(A211:D219,,G210)</f>
        <v>8.1282971267036597E-2</v>
      </c>
      <c r="I213" s="30">
        <f t="shared" si="73"/>
        <v>1.3718796081063004E-2</v>
      </c>
      <c r="J213">
        <f t="shared" si="74"/>
        <v>-2.3176748545101843E-2</v>
      </c>
      <c r="K213">
        <f t="shared" si="75"/>
        <v>-3.4895630720909072E-4</v>
      </c>
      <c r="L213" s="26">
        <f t="shared" si="72"/>
        <v>-3.1795708711232582E-4</v>
      </c>
      <c r="N213" t="s">
        <v>256</v>
      </c>
      <c r="O213" s="53">
        <f>0.25*ATAN(O211/O212)</f>
        <v>-2.5870956049625516E-3</v>
      </c>
      <c r="Q213" s="30">
        <v>-0.14277810012478348</v>
      </c>
      <c r="R213" s="26">
        <v>8.0913861864430267E-2</v>
      </c>
    </row>
    <row r="214" spans="1:18" x14ac:dyDescent="0.35">
      <c r="A214" s="113">
        <v>-0.10439127324314758</v>
      </c>
      <c r="B214" s="114">
        <v>4.6502630735685783E-3</v>
      </c>
      <c r="C214" s="114">
        <v>9.0981424242711828E-2</v>
      </c>
      <c r="D214" s="115">
        <v>-0.99035509670359589</v>
      </c>
      <c r="F214" s="30">
        <f>INDEX(A214:D222,,F210)</f>
        <v>4.6502630735685783E-3</v>
      </c>
      <c r="G214" s="26">
        <f>INDEX(A211:D219,,G210)</f>
        <v>9.0981424242711828E-2</v>
      </c>
      <c r="I214" s="30">
        <f t="shared" si="73"/>
        <v>-8.2559946105789164E-3</v>
      </c>
      <c r="J214">
        <f t="shared" si="74"/>
        <v>8.4617511507311977E-4</v>
      </c>
      <c r="K214">
        <f t="shared" si="75"/>
        <v>6.7445434684539112E-5</v>
      </c>
      <c r="L214" s="26">
        <f t="shared" si="72"/>
        <v>-6.986017189649671E-6</v>
      </c>
      <c r="Q214" s="30">
        <v>4.4148701310984606E-3</v>
      </c>
      <c r="R214" s="26">
        <v>9.0993150432388273E-2</v>
      </c>
    </row>
    <row r="215" spans="1:18" x14ac:dyDescent="0.35">
      <c r="A215" s="113">
        <v>-0.40020898494739149</v>
      </c>
      <c r="B215" s="114">
        <v>0.10326527470484403</v>
      </c>
      <c r="C215" s="114">
        <v>0.87691735123585535</v>
      </c>
      <c r="D215" s="115">
        <v>-0.24532633472377774</v>
      </c>
      <c r="F215" s="30">
        <f>INDEX(A215:D223,,F210)</f>
        <v>0.10326527470484403</v>
      </c>
      <c r="G215" s="26">
        <f>INDEX(A211:D219,,G210)</f>
        <v>0.87691735123585535</v>
      </c>
      <c r="I215" s="30">
        <f t="shared" si="73"/>
        <v>-0.75832032393864157</v>
      </c>
      <c r="J215">
        <f t="shared" si="74"/>
        <v>0.18111022233762961</v>
      </c>
      <c r="K215">
        <f t="shared" si="75"/>
        <v>0.54224880106322071</v>
      </c>
      <c r="L215" s="26">
        <f t="shared" si="72"/>
        <v>-0.13733956247167067</v>
      </c>
      <c r="N215" s="94">
        <f>COS(O213)</f>
        <v>0.99999665347003197</v>
      </c>
      <c r="O215" s="96">
        <f>-N216</f>
        <v>2.5870927190309169E-3</v>
      </c>
      <c r="Q215" s="30">
        <v>0.10099626262993341</v>
      </c>
      <c r="R215" s="26">
        <v>0.87718157344597758</v>
      </c>
    </row>
    <row r="216" spans="1:18" x14ac:dyDescent="0.35">
      <c r="A216" s="113">
        <v>1.4737647495743492E-3</v>
      </c>
      <c r="B216" s="114">
        <v>-2.1943699801153661E-2</v>
      </c>
      <c r="C216" s="114">
        <v>0.99728942823425992</v>
      </c>
      <c r="D216" s="115">
        <v>7.0214659357452885E-2</v>
      </c>
      <c r="F216" s="30">
        <f>INDEX(A216:D224,,F210)</f>
        <v>-2.1943699801153661E-2</v>
      </c>
      <c r="G216" s="26">
        <f>INDEX(A211:D219,,G210)</f>
        <v>0.99728942823425992</v>
      </c>
      <c r="I216" s="30">
        <f t="shared" si="73"/>
        <v>-0.99410467770685385</v>
      </c>
      <c r="J216">
        <f t="shared" si="74"/>
        <v>-4.3768439656073556E-2</v>
      </c>
      <c r="K216">
        <f t="shared" si="75"/>
        <v>0.98632843392872038</v>
      </c>
      <c r="L216" s="26">
        <f t="shared" si="72"/>
        <v>4.3510410598032886E-2</v>
      </c>
      <c r="N216" s="27">
        <f>SIN(O213)</f>
        <v>-2.5870927190309169E-3</v>
      </c>
      <c r="O216" s="29">
        <f>N215</f>
        <v>0.99999665347003197</v>
      </c>
      <c r="Q216" s="30">
        <v>-2.4523706584456028E-2</v>
      </c>
      <c r="R216" s="26">
        <v>0.99722932038931733</v>
      </c>
    </row>
    <row r="217" spans="1:18" x14ac:dyDescent="0.35">
      <c r="A217" s="113">
        <v>-0.97714529350576684</v>
      </c>
      <c r="B217" s="114">
        <v>-1.6257173129453385E-3</v>
      </c>
      <c r="C217" s="114">
        <v>0.13728746408611794</v>
      </c>
      <c r="D217" s="115">
        <v>-0.16228550344239073</v>
      </c>
      <c r="F217" s="30">
        <f>INDEX(A217:D225,,F210)</f>
        <v>-1.6257173129453385E-3</v>
      </c>
      <c r="G217" s="26">
        <f>INDEX(A211:D219,,G210)</f>
        <v>0.13728746408611794</v>
      </c>
      <c r="I217" s="30">
        <f t="shared" si="73"/>
        <v>-1.8845204838415515E-2</v>
      </c>
      <c r="J217">
        <f t="shared" si="74"/>
        <v>-4.4638121443032667E-4</v>
      </c>
      <c r="K217">
        <f t="shared" si="75"/>
        <v>3.5494248921324323E-4</v>
      </c>
      <c r="L217" s="26">
        <f t="shared" si="72"/>
        <v>8.4121454219601862E-6</v>
      </c>
      <c r="Q217" s="30">
        <v>-1.9808872711850455E-3</v>
      </c>
      <c r="R217" s="26">
        <v>0.13728279876808161</v>
      </c>
    </row>
    <row r="218" spans="1:18" x14ac:dyDescent="0.35">
      <c r="A218" s="113">
        <v>-0.72032309775363834</v>
      </c>
      <c r="B218" s="114">
        <v>0.20467747609658576</v>
      </c>
      <c r="C218" s="114">
        <v>0.55027749837169471</v>
      </c>
      <c r="D218" s="115">
        <v>-0.36937303692489992</v>
      </c>
      <c r="F218" s="30">
        <f>INDEX(A218:D226,,F210)</f>
        <v>0.20467747609658576</v>
      </c>
      <c r="G218" s="26">
        <f>INDEX(A211:D219,,G210)</f>
        <v>0.55027749837169471</v>
      </c>
      <c r="I218" s="30">
        <f t="shared" si="73"/>
        <v>-0.26091245599294205</v>
      </c>
      <c r="J218">
        <f t="shared" si="74"/>
        <v>0.22525881903892311</v>
      </c>
      <c r="K218">
        <f t="shared" si="75"/>
        <v>1.733377413745861E-2</v>
      </c>
      <c r="L218" s="26">
        <f t="shared" si="72"/>
        <v>-5.8772831709515125E-2</v>
      </c>
      <c r="Q218" s="30">
        <v>0.20325317222779427</v>
      </c>
      <c r="R218" s="26">
        <v>0.55080517645971472</v>
      </c>
    </row>
    <row r="219" spans="1:18" x14ac:dyDescent="0.35">
      <c r="A219" s="116">
        <v>-0.1035222855571008</v>
      </c>
      <c r="B219" s="117">
        <v>0.92549459395502476</v>
      </c>
      <c r="C219" s="117">
        <v>-0.20276060197415788</v>
      </c>
      <c r="D219" s="118">
        <v>-0.30270617971910485</v>
      </c>
      <c r="F219" s="27">
        <f>INDEX(A219:D227,,F210)</f>
        <v>0.92549459395502476</v>
      </c>
      <c r="G219" s="29">
        <f>INDEX(A211:D219,,G210)</f>
        <v>-0.20276060197415788</v>
      </c>
      <c r="I219" s="27">
        <f t="shared" si="73"/>
        <v>0.81542838172705323</v>
      </c>
      <c r="J219" s="28">
        <f t="shared" si="74"/>
        <v>-0.37530768198829928</v>
      </c>
      <c r="K219" s="28">
        <f t="shared" si="75"/>
        <v>0.5240675895665704</v>
      </c>
      <c r="L219" s="29">
        <f t="shared" si="72"/>
        <v>-0.30603653577345041</v>
      </c>
      <c r="Q219" s="27">
        <v>0.92601605723670455</v>
      </c>
      <c r="R219" s="29">
        <v>-0.20036558310420352</v>
      </c>
    </row>
    <row r="220" spans="1:18" x14ac:dyDescent="0.35">
      <c r="I220">
        <f>SUM(I211:I219)</f>
        <v>-0.20020596979392125</v>
      </c>
      <c r="J220">
        <f>SUM(J211:J219)</f>
        <v>0.63724883372798091</v>
      </c>
      <c r="K220">
        <f>SUM(K211:K219)</f>
        <v>2.2672362779254165</v>
      </c>
      <c r="L220">
        <f>SUM(L211:L219)</f>
        <v>-2.6117628485481159E-2</v>
      </c>
    </row>
    <row r="221" spans="1:18" x14ac:dyDescent="0.35">
      <c r="A221" s="12" t="s">
        <v>2</v>
      </c>
      <c r="B221">
        <f>COUNT(A211:A219)</f>
        <v>9</v>
      </c>
      <c r="I221" s="12" t="s">
        <v>16</v>
      </c>
      <c r="J221" s="12" t="s">
        <v>258</v>
      </c>
      <c r="K221" s="12" t="s">
        <v>18</v>
      </c>
      <c r="L221" s="12" t="s">
        <v>19</v>
      </c>
      <c r="N221" s="12"/>
    </row>
    <row r="223" spans="1:18" x14ac:dyDescent="0.35">
      <c r="A223">
        <v>1</v>
      </c>
      <c r="B223">
        <v>2</v>
      </c>
      <c r="C223">
        <v>3</v>
      </c>
      <c r="D223">
        <v>4</v>
      </c>
      <c r="F223">
        <v>2</v>
      </c>
      <c r="G223">
        <v>4</v>
      </c>
      <c r="I223" s="12" t="s">
        <v>251</v>
      </c>
      <c r="J223" s="12" t="s">
        <v>252</v>
      </c>
      <c r="K223" s="12" t="s">
        <v>253</v>
      </c>
      <c r="L223" s="12" t="s">
        <v>254</v>
      </c>
      <c r="Q223">
        <f>F223</f>
        <v>2</v>
      </c>
      <c r="R223">
        <f>G223</f>
        <v>4</v>
      </c>
    </row>
    <row r="224" spans="1:18" x14ac:dyDescent="0.35">
      <c r="A224" s="110">
        <f t="array" ref="A224:A232">IF(A223=$Q210,$Q211:$Q219,IF(A223=$R210,$R211:$R219,A211:A219))</f>
        <v>-9.0908371308588851E-2</v>
      </c>
      <c r="B224" s="111">
        <f t="array" ref="B224:B232">IF(B223=$Q210,$Q211:$Q219,IF(B223=$R210,$R211:$R219,B211:B219))</f>
        <v>-0.88964885681874684</v>
      </c>
      <c r="C224" s="111">
        <f t="array" ref="C224:C232">IF(C223=$Q210,$Q211:$Q219,IF(C223=$R210,$R211:$R219,C211:C219))</f>
        <v>-0.34307623254692915</v>
      </c>
      <c r="D224" s="112">
        <f t="array" ref="D224:D232">IF(D223=$Q210,$Q211:$Q219,IF(D223=$R210,$R211:$R219,D211:D219))</f>
        <v>-0.28733130398291556</v>
      </c>
      <c r="F224" s="94">
        <f>INDEX(A224:D232,,F223)</f>
        <v>-0.88964885681874684</v>
      </c>
      <c r="G224" s="96">
        <f>INDEX(A224:D232,,G223)</f>
        <v>-0.28733130398291556</v>
      </c>
      <c r="I224" s="94">
        <f>F224^2-G224^2</f>
        <v>0.70891581019038052</v>
      </c>
      <c r="J224" s="95">
        <f>2*F224*G224</f>
        <v>0.51124793223328135</v>
      </c>
      <c r="K224" s="95">
        <f>I224^2-J224^2</f>
        <v>0.24118717772507781</v>
      </c>
      <c r="L224" s="96">
        <f t="shared" ref="L224:L232" si="76">I224*J224</f>
        <v>0.36243174208731344</v>
      </c>
      <c r="N224" t="s">
        <v>12</v>
      </c>
      <c r="O224" s="51">
        <f>2*L233*B234-2*I233*J233</f>
        <v>-3.7157723623875788E-2</v>
      </c>
      <c r="Q224" s="94">
        <f t="array" ref="Q224:R232">MMULT(F224:G232,N228:O229)</f>
        <v>-0.88945362981753651</v>
      </c>
      <c r="R224" s="96">
        <v>-0.28793507443837829</v>
      </c>
    </row>
    <row r="225" spans="1:18" x14ac:dyDescent="0.35">
      <c r="A225" s="113">
        <v>-0.80918528682237989</v>
      </c>
      <c r="B225" s="114">
        <v>0.58068704883773237</v>
      </c>
      <c r="C225" s="114">
        <v>5.8138573734192754E-2</v>
      </c>
      <c r="D225" s="115">
        <v>6.8129502761006377E-2</v>
      </c>
      <c r="F225" s="30">
        <f>INDEX(A225:D233,,F223)</f>
        <v>0.58068704883773237</v>
      </c>
      <c r="G225" s="26">
        <f>INDEX(A224:D232,,G223)</f>
        <v>6.8129502761006377E-2</v>
      </c>
      <c r="I225" s="30">
        <f t="shared" ref="I225:I232" si="77">F225^2-G225^2</f>
        <v>0.332555819541413</v>
      </c>
      <c r="J225">
        <f t="shared" ref="J225:J232" si="78">2*F225*G225</f>
        <v>7.9123839794141865E-2</v>
      </c>
      <c r="K225">
        <f t="shared" ref="K225:K232" si="79">I225^2-J225^2</f>
        <v>0.10433279108709181</v>
      </c>
      <c r="L225" s="26">
        <f t="shared" si="76"/>
        <v>2.6313093388004315E-2</v>
      </c>
      <c r="N225" t="s">
        <v>255</v>
      </c>
      <c r="O225" s="52">
        <f>K233*B234-(I233^2-J233^2)</f>
        <v>13.686335181800825</v>
      </c>
      <c r="Q225" s="30">
        <v>0.58064067314047607</v>
      </c>
      <c r="R225" s="26">
        <v>6.8523620229171994E-2</v>
      </c>
    </row>
    <row r="226" spans="1:18" x14ac:dyDescent="0.35">
      <c r="A226" s="113">
        <v>-0.98624638783723761</v>
      </c>
      <c r="B226" s="114">
        <v>-0.14277810012478348</v>
      </c>
      <c r="C226" s="114">
        <v>8.0913861864430267E-2</v>
      </c>
      <c r="D226" s="115">
        <v>-1.9632207235631961E-2</v>
      </c>
      <c r="F226" s="30">
        <f>INDEX(A226:D234,,F223)</f>
        <v>-0.14277810012478348</v>
      </c>
      <c r="G226" s="26">
        <f>INDEX(A224:D232,,G223)</f>
        <v>-1.9632207235631961E-2</v>
      </c>
      <c r="I226" s="30">
        <f t="shared" si="77"/>
        <v>2.0000162314299897E-2</v>
      </c>
      <c r="J226">
        <f t="shared" si="78"/>
        <v>5.6060985007191175E-3</v>
      </c>
      <c r="K226">
        <f t="shared" si="79"/>
        <v>3.6857815219857665E-4</v>
      </c>
      <c r="L226" s="26">
        <f t="shared" si="76"/>
        <v>1.1212287996433565E-4</v>
      </c>
      <c r="N226" t="s">
        <v>256</v>
      </c>
      <c r="O226" s="53">
        <f>0.25*ATAN(O224/O225)</f>
        <v>-6.7873597706600316E-4</v>
      </c>
      <c r="Q226" s="30">
        <v>-0.14276474215275986</v>
      </c>
      <c r="R226" s="26">
        <v>-1.9729111339375858E-2</v>
      </c>
    </row>
    <row r="227" spans="1:18" x14ac:dyDescent="0.35">
      <c r="A227" s="113">
        <v>-0.10439127324314758</v>
      </c>
      <c r="B227" s="114">
        <v>4.4148701310984606E-3</v>
      </c>
      <c r="C227" s="114">
        <v>9.0993150432388273E-2</v>
      </c>
      <c r="D227" s="115">
        <v>-0.99035509670359589</v>
      </c>
      <c r="F227" s="30">
        <f>INDEX(A227:D235,,F223)</f>
        <v>4.4148701310984606E-3</v>
      </c>
      <c r="G227" s="26">
        <f>INDEX(A224:D232,,G223)</f>
        <v>-0.99035509670359589</v>
      </c>
      <c r="I227" s="30">
        <f t="shared" si="77"/>
        <v>-0.98078372648851431</v>
      </c>
      <c r="J227">
        <f t="shared" si="78"/>
        <v>-8.744578271235667E-3</v>
      </c>
      <c r="K227">
        <f t="shared" si="79"/>
        <v>0.96186025049555501</v>
      </c>
      <c r="L227" s="26">
        <f t="shared" si="76"/>
        <v>8.5765400634330077E-3</v>
      </c>
      <c r="Q227" s="30">
        <v>5.0870586967641457E-3</v>
      </c>
      <c r="R227" s="26">
        <v>-0.99035187205299857</v>
      </c>
    </row>
    <row r="228" spans="1:18" x14ac:dyDescent="0.35">
      <c r="A228" s="113">
        <v>-0.40020898494739149</v>
      </c>
      <c r="B228" s="114">
        <v>0.10099626262993341</v>
      </c>
      <c r="C228" s="114">
        <v>0.87718157344597758</v>
      </c>
      <c r="D228" s="115">
        <v>-0.24532633472377774</v>
      </c>
      <c r="F228" s="30">
        <f>INDEX(A228:D236,,F223)</f>
        <v>0.10099626262993341</v>
      </c>
      <c r="G228" s="26">
        <f>INDEX(A224:D232,,G223)</f>
        <v>-0.24532633472377774</v>
      </c>
      <c r="I228" s="30">
        <f t="shared" si="77"/>
        <v>-4.9984765443788555E-2</v>
      </c>
      <c r="J228">
        <f t="shared" si="78"/>
        <v>-4.9554085863603221E-2</v>
      </c>
      <c r="K228">
        <f t="shared" si="79"/>
        <v>4.2869350693197639E-5</v>
      </c>
      <c r="L228" s="26">
        <f t="shared" si="76"/>
        <v>2.4769493586735652E-3</v>
      </c>
      <c r="N228" s="94">
        <f>COS(O226)</f>
        <v>0.9999997696587456</v>
      </c>
      <c r="O228" s="96">
        <f>-N229</f>
        <v>6.787359249523702E-4</v>
      </c>
      <c r="Q228" s="30">
        <v>0.10116275116304151</v>
      </c>
      <c r="R228" s="26">
        <v>-0.24525772842326921</v>
      </c>
    </row>
    <row r="229" spans="1:18" x14ac:dyDescent="0.35">
      <c r="A229" s="113">
        <v>1.4737647495743492E-3</v>
      </c>
      <c r="B229" s="114">
        <v>-2.4523706584456028E-2</v>
      </c>
      <c r="C229" s="114">
        <v>0.99722932038931733</v>
      </c>
      <c r="D229" s="115">
        <v>7.0214659357452885E-2</v>
      </c>
      <c r="F229" s="30">
        <f>INDEX(A229:D237,,F223)</f>
        <v>-2.4523706584456028E-2</v>
      </c>
      <c r="G229" s="26">
        <f>INDEX(A224:D232,,G223)</f>
        <v>7.0214659357452885E-2</v>
      </c>
      <c r="I229" s="30">
        <f t="shared" si="77"/>
        <v>-4.3286862040426543E-3</v>
      </c>
      <c r="J229">
        <f t="shared" si="78"/>
        <v>-3.4438474080194089E-3</v>
      </c>
      <c r="K229">
        <f t="shared" si="79"/>
        <v>6.8774392833472012E-6</v>
      </c>
      <c r="L229" s="26">
        <f t="shared" si="76"/>
        <v>1.490733476392167E-5</v>
      </c>
      <c r="N229" s="27">
        <f>SIN(O226)</f>
        <v>-6.787359249523702E-4</v>
      </c>
      <c r="O229" s="29">
        <f>N228</f>
        <v>0.9999997696587456</v>
      </c>
      <c r="Q229" s="30">
        <v>-2.4571358147398886E-2</v>
      </c>
      <c r="R229" s="26">
        <v>7.0197998063448314E-2</v>
      </c>
    </row>
    <row r="230" spans="1:18" x14ac:dyDescent="0.35">
      <c r="A230" s="113">
        <v>-0.97714529350576684</v>
      </c>
      <c r="B230" s="114">
        <v>-1.9808872711850455E-3</v>
      </c>
      <c r="C230" s="114">
        <v>0.13728279876808161</v>
      </c>
      <c r="D230" s="115">
        <v>-0.16228550344239073</v>
      </c>
      <c r="F230" s="30">
        <f>INDEX(A230:D238,,F223)</f>
        <v>-1.9808872711850455E-3</v>
      </c>
      <c r="G230" s="26">
        <f>INDEX(A224:D232,,G223)</f>
        <v>-0.16228550344239073</v>
      </c>
      <c r="I230" s="30">
        <f t="shared" si="77"/>
        <v>-2.633266071316907E-2</v>
      </c>
      <c r="J230">
        <f t="shared" si="78"/>
        <v>6.4293857613377742E-4</v>
      </c>
      <c r="K230">
        <f t="shared" si="79"/>
        <v>6.9299565022219679E-4</v>
      </c>
      <c r="L230" s="26">
        <f t="shared" si="76"/>
        <v>-1.6930283384738783E-5</v>
      </c>
      <c r="Q230" s="30">
        <v>-1.8707378136196544E-3</v>
      </c>
      <c r="R230" s="26">
        <v>-0.16228681056069855</v>
      </c>
    </row>
    <row r="231" spans="1:18" x14ac:dyDescent="0.35">
      <c r="A231" s="113">
        <v>-0.72032309775363834</v>
      </c>
      <c r="B231" s="114">
        <v>0.20325317222779427</v>
      </c>
      <c r="C231" s="114">
        <v>0.55080517645971472</v>
      </c>
      <c r="D231" s="115">
        <v>-0.36937303692489992</v>
      </c>
      <c r="F231" s="30">
        <f>INDEX(A231:D239,,F223)</f>
        <v>0.20325317222779427</v>
      </c>
      <c r="G231" s="26">
        <f>INDEX(A224:D232,,G223)</f>
        <v>-0.36937303692489992</v>
      </c>
      <c r="I231" s="30">
        <f t="shared" si="77"/>
        <v>-9.5124588386462094E-2</v>
      </c>
      <c r="J231">
        <f t="shared" si="78"/>
        <v>-0.15015248298080019</v>
      </c>
      <c r="K231">
        <f t="shared" si="79"/>
        <v>-1.3497080829605653E-2</v>
      </c>
      <c r="L231" s="26">
        <f t="shared" si="76"/>
        <v>1.4283193138753874E-2</v>
      </c>
      <c r="Q231" s="30">
        <v>0.20350383216007328</v>
      </c>
      <c r="R231" s="26">
        <v>-0.3692349966131997</v>
      </c>
    </row>
    <row r="232" spans="1:18" x14ac:dyDescent="0.35">
      <c r="A232" s="116">
        <v>-0.1035222855571008</v>
      </c>
      <c r="B232" s="117">
        <v>0.92601605723670455</v>
      </c>
      <c r="C232" s="117">
        <v>-0.20036558310420352</v>
      </c>
      <c r="D232" s="118">
        <v>-0.30270617971910485</v>
      </c>
      <c r="F232" s="27">
        <f>INDEX(A232:D240,,F223)</f>
        <v>0.92601605723670455</v>
      </c>
      <c r="G232" s="29">
        <f>INDEX(A224:D232,,G223)</f>
        <v>-0.30270617971910485</v>
      </c>
      <c r="I232" s="27">
        <f t="shared" si="77"/>
        <v>0.76587470702007665</v>
      </c>
      <c r="J232" s="28">
        <f t="shared" si="78"/>
        <v>-0.56062156608934155</v>
      </c>
      <c r="K232" s="28">
        <f t="shared" si="79"/>
        <v>0.27226752648862229</v>
      </c>
      <c r="L232" s="29">
        <f t="shared" si="76"/>
        <v>-0.42936587767781098</v>
      </c>
      <c r="Q232" s="27">
        <v>0.92622130149588477</v>
      </c>
      <c r="R232" s="29">
        <v>-0.30207758962825443</v>
      </c>
    </row>
    <row r="233" spans="1:18" x14ac:dyDescent="0.35">
      <c r="I233">
        <f>SUM(I224:I232)</f>
        <v>0.67079207183019318</v>
      </c>
      <c r="J233">
        <f>SUM(J224:J232)</f>
        <v>-0.17589575150872394</v>
      </c>
      <c r="K233">
        <f>SUM(K224:K232)</f>
        <v>1.5672619855591388</v>
      </c>
      <c r="L233">
        <f>SUM(L224:L232)</f>
        <v>-1.5174259710289295E-2</v>
      </c>
    </row>
    <row r="234" spans="1:18" x14ac:dyDescent="0.35">
      <c r="A234" s="12" t="s">
        <v>2</v>
      </c>
      <c r="B234">
        <f>COUNT(A224:A232)</f>
        <v>9</v>
      </c>
      <c r="I234" s="12" t="s">
        <v>16</v>
      </c>
      <c r="J234" s="12" t="s">
        <v>258</v>
      </c>
      <c r="K234" s="12" t="s">
        <v>18</v>
      </c>
      <c r="L234" s="12" t="s">
        <v>19</v>
      </c>
      <c r="N234" s="12"/>
    </row>
    <row r="236" spans="1:18" x14ac:dyDescent="0.35">
      <c r="A236">
        <v>1</v>
      </c>
      <c r="B236">
        <v>2</v>
      </c>
      <c r="C236">
        <v>3</v>
      </c>
      <c r="D236">
        <v>4</v>
      </c>
      <c r="F236">
        <v>3</v>
      </c>
      <c r="G236">
        <v>4</v>
      </c>
      <c r="I236" s="12" t="s">
        <v>251</v>
      </c>
      <c r="J236" s="12" t="s">
        <v>252</v>
      </c>
      <c r="K236" s="12" t="s">
        <v>253</v>
      </c>
      <c r="L236" s="12" t="s">
        <v>254</v>
      </c>
      <c r="Q236">
        <f>F236</f>
        <v>3</v>
      </c>
      <c r="R236">
        <f>G236</f>
        <v>4</v>
      </c>
    </row>
    <row r="237" spans="1:18" x14ac:dyDescent="0.35">
      <c r="A237" s="110">
        <f t="array" ref="A237:A245">IF(A236=$Q223,$Q224:$Q232,IF(A236=$R223,$R224:$R232,A224:A232))</f>
        <v>-9.0908371308588851E-2</v>
      </c>
      <c r="B237" s="111">
        <f t="array" ref="B237:B245">IF(B236=$Q223,$Q224:$Q232,IF(B236=$R223,$R224:$R232,B224:B232))</f>
        <v>-0.88945362981753651</v>
      </c>
      <c r="C237" s="111">
        <f t="array" ref="C237:C245">IF(C236=$Q223,$Q224:$Q232,IF(C236=$R223,$R224:$R232,C224:C232))</f>
        <v>-0.34307623254692915</v>
      </c>
      <c r="D237" s="112">
        <f t="array" ref="D237:D245">IF(D236=$Q223,$Q224:$Q232,IF(D236=$R223,$R224:$R232,D224:D232))</f>
        <v>-0.28793507443837829</v>
      </c>
      <c r="F237" s="94">
        <f>INDEX(A237:D245,,F236)</f>
        <v>-0.34307623254692915</v>
      </c>
      <c r="G237" s="96">
        <f>INDEX(A237:D245,,G236)</f>
        <v>-0.28793507443837829</v>
      </c>
      <c r="I237" s="94">
        <f>F237^2-G237^2</f>
        <v>3.4794694246760155E-2</v>
      </c>
      <c r="J237" s="95">
        <f>2*F237*G237</f>
        <v>0.19756736111287684</v>
      </c>
      <c r="K237" s="95">
        <f>I237^2-J237^2</f>
        <v>-3.7822191429380356E-2</v>
      </c>
      <c r="L237" s="96">
        <f t="shared" ref="L237:L245" si="80">I237*J237</f>
        <v>6.8742959230618022E-3</v>
      </c>
      <c r="N237" t="s">
        <v>12</v>
      </c>
      <c r="O237" s="51">
        <f>2*L246*B247-2*I246*J246</f>
        <v>-3.3758498918383673E-3</v>
      </c>
      <c r="Q237" s="94">
        <f t="array" ref="Q237:R245">MMULT(F237:G245,N241:O242)</f>
        <v>-0.34306243038815359</v>
      </c>
      <c r="R237" s="96">
        <v>-0.28795151898644733</v>
      </c>
    </row>
    <row r="238" spans="1:18" x14ac:dyDescent="0.35">
      <c r="A238" s="113">
        <v>-0.80918528682237989</v>
      </c>
      <c r="B238" s="114">
        <v>0.58064067314047607</v>
      </c>
      <c r="C238" s="114">
        <v>5.8138573734192754E-2</v>
      </c>
      <c r="D238" s="115">
        <v>6.8523620229171994E-2</v>
      </c>
      <c r="F238" s="30">
        <f>INDEX(A238:D246,,F236)</f>
        <v>5.8138573734192754E-2</v>
      </c>
      <c r="G238" s="26">
        <f>INDEX(A237:D245,,G236)</f>
        <v>6.8523620229171994E-2</v>
      </c>
      <c r="I238" s="30">
        <f t="shared" ref="I238:I245" si="81">F238^2-G238^2</f>
        <v>-1.3153927734656217E-3</v>
      </c>
      <c r="J238">
        <f t="shared" ref="J238:J245" si="82">2*F238*G238</f>
        <v>7.9677310944550762E-3</v>
      </c>
      <c r="K238">
        <f t="shared" ref="K238:K245" si="83">I238^2-J238^2</f>
        <v>-6.1754480645060704E-5</v>
      </c>
      <c r="L238" s="26">
        <f t="shared" si="80"/>
        <v>-1.0480695902563535E-5</v>
      </c>
      <c r="N238" t="s">
        <v>255</v>
      </c>
      <c r="O238" s="52">
        <f>K246*B247-(I246^2-J246^2)</f>
        <v>17.606907570463719</v>
      </c>
      <c r="Q238" s="30">
        <v>5.8135289083609105E-2</v>
      </c>
      <c r="R238" s="26">
        <v>6.8526406941580978E-2</v>
      </c>
    </row>
    <row r="239" spans="1:18" x14ac:dyDescent="0.35">
      <c r="A239" s="113">
        <v>-0.98624638783723761</v>
      </c>
      <c r="B239" s="114">
        <v>-0.14276474215275986</v>
      </c>
      <c r="C239" s="114">
        <v>8.0913861864430267E-2</v>
      </c>
      <c r="D239" s="115">
        <v>-1.9729111339375858E-2</v>
      </c>
      <c r="F239" s="30">
        <f>INDEX(A239:D247,,F236)</f>
        <v>8.0913861864430267E-2</v>
      </c>
      <c r="G239" s="26">
        <f>INDEX(A237:D245,,G236)</f>
        <v>-1.9729111339375858E-2</v>
      </c>
      <c r="I239" s="30">
        <f t="shared" si="81"/>
        <v>6.1578152075746134E-3</v>
      </c>
      <c r="J239">
        <f t="shared" si="82"/>
        <v>-3.192717179244446E-3</v>
      </c>
      <c r="K239">
        <f t="shared" si="83"/>
        <v>2.7725245143994571E-5</v>
      </c>
      <c r="L239" s="26">
        <f t="shared" si="80"/>
        <v>-1.9660162399836171E-5</v>
      </c>
      <c r="N239" t="s">
        <v>256</v>
      </c>
      <c r="O239" s="53">
        <f>0.25*ATAN(O237/O238)</f>
        <v>-4.7933599880619208E-5</v>
      </c>
      <c r="Q239" s="30">
        <v>8.0914807458803792E-2</v>
      </c>
      <c r="R239" s="26">
        <v>-1.9725232824032837E-2</v>
      </c>
    </row>
    <row r="240" spans="1:18" x14ac:dyDescent="0.35">
      <c r="A240" s="113">
        <v>-0.10439127324314758</v>
      </c>
      <c r="B240" s="114">
        <v>5.0870586967641457E-3</v>
      </c>
      <c r="C240" s="114">
        <v>9.0993150432388273E-2</v>
      </c>
      <c r="D240" s="115">
        <v>-0.99035187205299857</v>
      </c>
      <c r="F240" s="30">
        <f>INDEX(A240:D248,,F236)</f>
        <v>9.0993150432388273E-2</v>
      </c>
      <c r="G240" s="26">
        <f>INDEX(A237:D245,,G236)</f>
        <v>-0.99035187205299857</v>
      </c>
      <c r="I240" s="30">
        <f t="shared" si="81"/>
        <v>-0.97251707705326762</v>
      </c>
      <c r="J240">
        <f t="shared" si="82"/>
        <v>-0.18023047374943169</v>
      </c>
      <c r="K240">
        <f t="shared" si="83"/>
        <v>0.91330644149228679</v>
      </c>
      <c r="L240" s="26">
        <f t="shared" si="80"/>
        <v>0.17527721352672299</v>
      </c>
      <c r="Q240" s="30">
        <v>9.1040621458211804E-2</v>
      </c>
      <c r="R240" s="26">
        <v>-0.99034750928600446</v>
      </c>
    </row>
    <row r="241" spans="1:18" x14ac:dyDescent="0.35">
      <c r="A241" s="113">
        <v>-0.40020898494739149</v>
      </c>
      <c r="B241" s="114">
        <v>0.10116275116304151</v>
      </c>
      <c r="C241" s="114">
        <v>0.87718157344597758</v>
      </c>
      <c r="D241" s="115">
        <v>-0.24525772842326921</v>
      </c>
      <c r="F241" s="30">
        <f>INDEX(A241:D249,,F236)</f>
        <v>0.87718157344597758</v>
      </c>
      <c r="G241" s="26">
        <f>INDEX(A237:D245,,G236)</f>
        <v>-0.24525772842326921</v>
      </c>
      <c r="I241" s="30">
        <f t="shared" si="81"/>
        <v>0.7092961594418189</v>
      </c>
      <c r="J241">
        <f t="shared" si="82"/>
        <v>-0.43027112023621911</v>
      </c>
      <c r="K241">
        <f t="shared" si="83"/>
        <v>0.31796780488958321</v>
      </c>
      <c r="L241" s="26">
        <f t="shared" si="80"/>
        <v>-0.3051896531022793</v>
      </c>
      <c r="N241" s="94">
        <f>COS(O239)</f>
        <v>0.99999999885118496</v>
      </c>
      <c r="O241" s="96">
        <f>-N242</f>
        <v>4.7933599862263598E-5</v>
      </c>
      <c r="Q241" s="30">
        <v>0.87719332852407561</v>
      </c>
      <c r="R241" s="26">
        <v>-0.24521568167096533</v>
      </c>
    </row>
    <row r="242" spans="1:18" x14ac:dyDescent="0.35">
      <c r="A242" s="113">
        <v>1.4737647495743492E-3</v>
      </c>
      <c r="B242" s="114">
        <v>-2.4571358147398886E-2</v>
      </c>
      <c r="C242" s="114">
        <v>0.99722932038931733</v>
      </c>
      <c r="D242" s="115">
        <v>7.0197998063448314E-2</v>
      </c>
      <c r="F242" s="30">
        <f>INDEX(A242:D250,,F236)</f>
        <v>0.99722932038931733</v>
      </c>
      <c r="G242" s="26">
        <f>INDEX(A237:D245,,G236)</f>
        <v>7.0197998063448314E-2</v>
      </c>
      <c r="I242" s="30">
        <f t="shared" si="81"/>
        <v>0.98953855851202377</v>
      </c>
      <c r="J242">
        <f t="shared" si="82"/>
        <v>0.14000700380300635</v>
      </c>
      <c r="K242">
        <f t="shared" si="83"/>
        <v>0.95958459766815885</v>
      </c>
      <c r="L242" s="26">
        <f t="shared" si="80"/>
        <v>0.13854232872481434</v>
      </c>
      <c r="N242" s="27">
        <f>SIN(O239)</f>
        <v>-4.7933599862263598E-5</v>
      </c>
      <c r="O242" s="29">
        <f>N241</f>
        <v>0.99999999885118496</v>
      </c>
      <c r="Q242" s="30">
        <v>0.99722595440093498</v>
      </c>
      <c r="R242" s="26">
        <v>7.024579877401825E-2</v>
      </c>
    </row>
    <row r="243" spans="1:18" x14ac:dyDescent="0.35">
      <c r="A243" s="113">
        <v>-0.97714529350576684</v>
      </c>
      <c r="B243" s="114">
        <v>-1.8707378136196544E-3</v>
      </c>
      <c r="C243" s="114">
        <v>0.13728279876808161</v>
      </c>
      <c r="D243" s="115">
        <v>-0.16228681056069855</v>
      </c>
      <c r="F243" s="30">
        <f>INDEX(A243:D251,,F236)</f>
        <v>0.13728279876808161</v>
      </c>
      <c r="G243" s="26">
        <f>INDEX(A237:D245,,G236)</f>
        <v>-0.16228681056069855</v>
      </c>
      <c r="I243" s="30">
        <f t="shared" si="81"/>
        <v>-7.4904420443664653E-3</v>
      </c>
      <c r="J243">
        <f t="shared" si="82"/>
        <v>-4.455837511383632E-2</v>
      </c>
      <c r="K243">
        <f t="shared" si="83"/>
        <v>-1.9293420707653349E-3</v>
      </c>
      <c r="L243" s="26">
        <f t="shared" si="80"/>
        <v>3.3376192638133196E-4</v>
      </c>
      <c r="Q243" s="30">
        <v>0.13729057760140942</v>
      </c>
      <c r="R243" s="26">
        <v>-0.16228022991551688</v>
      </c>
    </row>
    <row r="244" spans="1:18" x14ac:dyDescent="0.35">
      <c r="A244" s="113">
        <v>-0.72032309775363834</v>
      </c>
      <c r="B244" s="114">
        <v>0.20350383216007328</v>
      </c>
      <c r="C244" s="114">
        <v>0.55080517645971472</v>
      </c>
      <c r="D244" s="115">
        <v>-0.3692349966131997</v>
      </c>
      <c r="F244" s="30">
        <f>INDEX(A244:D252,,F236)</f>
        <v>0.55080517645971472</v>
      </c>
      <c r="G244" s="26">
        <f>INDEX(A237:D245,,G236)</f>
        <v>-0.3692349966131997</v>
      </c>
      <c r="I244" s="30">
        <f t="shared" si="81"/>
        <v>0.16705185969086789</v>
      </c>
      <c r="J244">
        <f t="shared" si="82"/>
        <v>-0.40675309492927125</v>
      </c>
      <c r="K244">
        <f t="shared" si="83"/>
        <v>-0.13754175640836333</v>
      </c>
      <c r="L244" s="26">
        <f t="shared" si="80"/>
        <v>-6.7948860942950884E-2</v>
      </c>
      <c r="Q244" s="30">
        <v>0.55082287458952428</v>
      </c>
      <c r="R244" s="26">
        <v>-0.36920859411408646</v>
      </c>
    </row>
    <row r="245" spans="1:18" x14ac:dyDescent="0.35">
      <c r="A245" s="116">
        <v>-0.1035222855571008</v>
      </c>
      <c r="B245" s="117">
        <v>0.92622130149588477</v>
      </c>
      <c r="C245" s="117">
        <v>-0.20036558310420352</v>
      </c>
      <c r="D245" s="118">
        <v>-0.30207758962825443</v>
      </c>
      <c r="F245" s="27">
        <f>INDEX(A245:D253,,F236)</f>
        <v>-0.20036558310420352</v>
      </c>
      <c r="G245" s="29">
        <f>INDEX(A237:D245,,G236)</f>
        <v>-0.30207758962825443</v>
      </c>
      <c r="I245" s="27">
        <f t="shared" si="81"/>
        <v>-5.1104503262928598E-2</v>
      </c>
      <c r="J245" s="28">
        <f t="shared" si="82"/>
        <v>0.12105190477715499</v>
      </c>
      <c r="K245" s="28">
        <f t="shared" si="83"/>
        <v>-1.2041893396426721E-2</v>
      </c>
      <c r="L245" s="29">
        <f t="shared" si="80"/>
        <v>-6.1862974626678393E-3</v>
      </c>
      <c r="Q245" s="27">
        <v>-0.20035110320771193</v>
      </c>
      <c r="R245" s="29">
        <v>-0.30208719352490981</v>
      </c>
    </row>
    <row r="246" spans="1:18" x14ac:dyDescent="0.35">
      <c r="I246">
        <f>SUM(I237:I245)</f>
        <v>0.87441167196501701</v>
      </c>
      <c r="J246">
        <f>SUM(J237:J245)</f>
        <v>-0.59841178042050958</v>
      </c>
      <c r="K246">
        <f>SUM(K237:K245)</f>
        <v>2.0014896315095925</v>
      </c>
      <c r="L246">
        <f>SUM(L237:L245)</f>
        <v>-5.8327352265219956E-2</v>
      </c>
    </row>
    <row r="247" spans="1:18" x14ac:dyDescent="0.35">
      <c r="A247" s="12" t="s">
        <v>2</v>
      </c>
      <c r="B247">
        <f>COUNT(A237:A245)</f>
        <v>9</v>
      </c>
      <c r="I247" s="12" t="s">
        <v>16</v>
      </c>
      <c r="J247" s="12" t="s">
        <v>258</v>
      </c>
      <c r="K247" s="12" t="s">
        <v>18</v>
      </c>
      <c r="L247" s="12" t="s">
        <v>19</v>
      </c>
      <c r="N247" s="12"/>
    </row>
    <row r="249" spans="1:18" x14ac:dyDescent="0.35">
      <c r="A249">
        <v>1</v>
      </c>
      <c r="B249">
        <v>2</v>
      </c>
      <c r="C249">
        <v>3</v>
      </c>
      <c r="D249">
        <v>4</v>
      </c>
      <c r="F249">
        <v>1</v>
      </c>
      <c r="G249">
        <v>2</v>
      </c>
      <c r="I249" s="12" t="s">
        <v>251</v>
      </c>
      <c r="J249" s="12" t="s">
        <v>252</v>
      </c>
      <c r="K249" s="12" t="s">
        <v>253</v>
      </c>
      <c r="L249" s="12" t="s">
        <v>254</v>
      </c>
      <c r="Q249">
        <f>F249</f>
        <v>1</v>
      </c>
      <c r="R249">
        <f>G249</f>
        <v>2</v>
      </c>
    </row>
    <row r="250" spans="1:18" x14ac:dyDescent="0.35">
      <c r="A250" s="110">
        <f t="array" ref="A250:A258">IF(A249=$Q236,$Q237:$Q245,IF(A249=$R236,$R237:$R245,A237:A245))</f>
        <v>-9.0908371308588851E-2</v>
      </c>
      <c r="B250" s="111">
        <f t="array" ref="B250:B258">IF(B249=$Q236,$Q237:$Q245,IF(B249=$R236,$R237:$R245,B237:B245))</f>
        <v>-0.88945362981753651</v>
      </c>
      <c r="C250" s="111">
        <f t="array" ref="C250:C258">IF(C249=$Q236,$Q237:$Q245,IF(C249=$R236,$R237:$R245,C237:C245))</f>
        <v>-0.34306243038815359</v>
      </c>
      <c r="D250" s="112">
        <f t="array" ref="D250:D258">IF(D249=$Q236,$Q237:$Q245,IF(D249=$R236,$R237:$R245,D237:D245))</f>
        <v>-0.28795151898644733</v>
      </c>
      <c r="F250" s="94">
        <f>INDEX(A250:D258,,F249)</f>
        <v>-9.0908371308588851E-2</v>
      </c>
      <c r="G250" s="96">
        <f>INDEX(A250:D258,,G249)</f>
        <v>-0.88945362981753651</v>
      </c>
      <c r="I250" s="94">
        <f>F250^2-G250^2</f>
        <v>-0.78286342762161099</v>
      </c>
      <c r="J250" s="95">
        <f>2*F250*G250</f>
        <v>0.1617175616824495</v>
      </c>
      <c r="K250" s="95">
        <f>I250^2-J250^2</f>
        <v>0.58672257655094051</v>
      </c>
      <c r="L250" s="96">
        <f t="shared" ref="L250:L258" si="84">I250*J250</f>
        <v>-0.12660276464533171</v>
      </c>
      <c r="N250" t="s">
        <v>12</v>
      </c>
      <c r="O250" s="51">
        <f>2*L259*B260-2*I259*J259</f>
        <v>3.6396639626612437E-2</v>
      </c>
      <c r="Q250" s="94">
        <f t="array" ref="Q250:R258">MMULT(F250:G258,N254:O255)</f>
        <v>-9.1292851231964581E-2</v>
      </c>
      <c r="R250" s="96">
        <v>-0.88941424931440682</v>
      </c>
    </row>
    <row r="251" spans="1:18" x14ac:dyDescent="0.35">
      <c r="A251" s="113">
        <v>-0.80918528682237989</v>
      </c>
      <c r="B251" s="114">
        <v>0.58064067314047607</v>
      </c>
      <c r="C251" s="114">
        <v>5.8135289083609105E-2</v>
      </c>
      <c r="D251" s="115">
        <v>6.8526406941580978E-2</v>
      </c>
      <c r="F251" s="30">
        <f>INDEX(A251:D259,,F249)</f>
        <v>-0.80918528682237989</v>
      </c>
      <c r="G251" s="26">
        <f>INDEX(A250:D258,,G249)</f>
        <v>0.58064067314047607</v>
      </c>
      <c r="I251" s="30">
        <f t="shared" ref="I251:I258" si="85">F251^2-G251^2</f>
        <v>0.31763723710479203</v>
      </c>
      <c r="J251">
        <f t="shared" ref="J251:J258" si="86">2*F251*G251</f>
        <v>-0.93969177927183167</v>
      </c>
      <c r="K251">
        <f t="shared" ref="K251:K258" si="87">I251^2-J251^2</f>
        <v>-0.78212722563549497</v>
      </c>
      <c r="L251" s="26">
        <f t="shared" si="84"/>
        <v>-0.2984811004979907</v>
      </c>
      <c r="N251" t="s">
        <v>255</v>
      </c>
      <c r="O251" s="52">
        <f>K259*B260-(I259^2-J259^2)</f>
        <v>21.049457230267286</v>
      </c>
      <c r="Q251" s="30">
        <v>-0.80893421487104722</v>
      </c>
      <c r="R251" s="26">
        <v>0.58099040932342827</v>
      </c>
    </row>
    <row r="252" spans="1:18" x14ac:dyDescent="0.35">
      <c r="A252" s="113">
        <v>-0.98624638783723761</v>
      </c>
      <c r="B252" s="114">
        <v>-0.14276474215275986</v>
      </c>
      <c r="C252" s="114">
        <v>8.0914807458803792E-2</v>
      </c>
      <c r="D252" s="115">
        <v>-1.9725232824032837E-2</v>
      </c>
      <c r="F252" s="30">
        <f>INDEX(A252:D260,,F249)</f>
        <v>-0.98624638783723761</v>
      </c>
      <c r="G252" s="26">
        <f>INDEX(A250:D258,,G249)</f>
        <v>-0.14276474215275986</v>
      </c>
      <c r="I252" s="30">
        <f t="shared" si="85"/>
        <v>0.95230016592005495</v>
      </c>
      <c r="J252">
        <f t="shared" si="86"/>
        <v>0.28160242251734807</v>
      </c>
      <c r="K252">
        <f t="shared" si="87"/>
        <v>0.82757568164372519</v>
      </c>
      <c r="L252" s="26">
        <f t="shared" si="84"/>
        <v>0.26817003368676001</v>
      </c>
      <c r="N252" t="s">
        <v>256</v>
      </c>
      <c r="O252" s="53">
        <f>0.25*ATAN(O250/O251)</f>
        <v>4.3227484390387545E-4</v>
      </c>
      <c r="Q252" s="30">
        <v>-0.98630800929618634</v>
      </c>
      <c r="R252" s="26">
        <v>-0.14233839932406456</v>
      </c>
    </row>
    <row r="253" spans="1:18" x14ac:dyDescent="0.35">
      <c r="A253" s="113">
        <v>-0.10439127324314758</v>
      </c>
      <c r="B253" s="114">
        <v>5.0870586967641457E-3</v>
      </c>
      <c r="C253" s="114">
        <v>9.1040621458211804E-2</v>
      </c>
      <c r="D253" s="115">
        <v>-0.99034750928600446</v>
      </c>
      <c r="F253" s="30">
        <f>INDEX(A253:D261,,F249)</f>
        <v>-0.10439127324314758</v>
      </c>
      <c r="G253" s="26">
        <f>INDEX(A250:D258,,G249)</f>
        <v>5.0870586967641457E-3</v>
      </c>
      <c r="I253" s="30">
        <f t="shared" si="85"/>
        <v>1.0871659763141176E-2</v>
      </c>
      <c r="J253">
        <f t="shared" si="86"/>
        <v>-1.0620890688356724E-3</v>
      </c>
      <c r="K253">
        <f t="shared" si="87"/>
        <v>1.1706495281536261E-4</v>
      </c>
      <c r="L253" s="26">
        <f t="shared" si="84"/>
        <v>-1.1546670994532858E-5</v>
      </c>
      <c r="Q253" s="30">
        <v>-0.10438906448235506</v>
      </c>
      <c r="R253" s="26">
        <v>5.1321839414170713E-3</v>
      </c>
    </row>
    <row r="254" spans="1:18" x14ac:dyDescent="0.35">
      <c r="A254" s="113">
        <v>-0.40020898494739149</v>
      </c>
      <c r="B254" s="114">
        <v>0.10116275116304151</v>
      </c>
      <c r="C254" s="114">
        <v>0.87719332852407561</v>
      </c>
      <c r="D254" s="115">
        <v>-0.24521568167096533</v>
      </c>
      <c r="F254" s="30">
        <f>INDEX(A254:D262,,F249)</f>
        <v>-0.40020898494739149</v>
      </c>
      <c r="G254" s="26">
        <f>INDEX(A250:D258,,G249)</f>
        <v>0.10116275116304151</v>
      </c>
      <c r="I254" s="30">
        <f t="shared" si="85"/>
        <v>0.14993332940974596</v>
      </c>
      <c r="J254">
        <f t="shared" si="86"/>
        <v>-8.0972483914892784E-2</v>
      </c>
      <c r="K254">
        <f t="shared" si="87"/>
        <v>1.5923460116543824E-2</v>
      </c>
      <c r="L254" s="26">
        <f t="shared" si="84"/>
        <v>-1.2140474103936977E-2</v>
      </c>
      <c r="N254" s="94">
        <f>COS(O252)</f>
        <v>0.9999999065692311</v>
      </c>
      <c r="O254" s="96">
        <f>-N255</f>
        <v>-4.3227483044128504E-4</v>
      </c>
      <c r="Q254" s="30">
        <v>-0.40016521744445233</v>
      </c>
      <c r="R254" s="26">
        <v>0.1013357419824371</v>
      </c>
    </row>
    <row r="255" spans="1:18" x14ac:dyDescent="0.35">
      <c r="A255" s="113">
        <v>1.4737647495743492E-3</v>
      </c>
      <c r="B255" s="114">
        <v>-2.4571358147398886E-2</v>
      </c>
      <c r="C255" s="114">
        <v>0.99722595440093498</v>
      </c>
      <c r="D255" s="115">
        <v>7.024579877401825E-2</v>
      </c>
      <c r="F255" s="30">
        <f>INDEX(A255:D263,,F249)</f>
        <v>1.4737647495743492E-3</v>
      </c>
      <c r="G255" s="26">
        <f>INDEX(A250:D258,,G249)</f>
        <v>-2.4571358147398886E-2</v>
      </c>
      <c r="I255" s="30">
        <f t="shared" si="85"/>
        <v>-6.0157965867065771E-4</v>
      </c>
      <c r="J255">
        <f t="shared" si="86"/>
        <v>-7.2424802973605925E-5</v>
      </c>
      <c r="K255">
        <f t="shared" si="87"/>
        <v>3.5665273364053941E-7</v>
      </c>
      <c r="L255" s="26">
        <f t="shared" si="84"/>
        <v>4.3569288252151488E-8</v>
      </c>
      <c r="N255" s="27">
        <f>SIN(O252)</f>
        <v>4.3227483044128504E-4</v>
      </c>
      <c r="O255" s="29">
        <f>N254</f>
        <v>0.9999999065692311</v>
      </c>
      <c r="Q255" s="30">
        <v>1.4631430322024966E-3</v>
      </c>
      <c r="R255" s="26">
        <v>-2.4571992923085234E-2</v>
      </c>
    </row>
    <row r="256" spans="1:18" x14ac:dyDescent="0.35">
      <c r="A256" s="113">
        <v>-0.97714529350576684</v>
      </c>
      <c r="B256" s="114">
        <v>-1.8707378136196544E-3</v>
      </c>
      <c r="C256" s="114">
        <v>0.13729057760140942</v>
      </c>
      <c r="D256" s="115">
        <v>-0.16228022991551688</v>
      </c>
      <c r="F256" s="30">
        <f>INDEX(A256:D264,,F249)</f>
        <v>-0.97714529350576684</v>
      </c>
      <c r="G256" s="26">
        <f>INDEX(A250:D258,,G249)</f>
        <v>-1.8707378136196544E-3</v>
      </c>
      <c r="I256" s="30">
        <f t="shared" si="85"/>
        <v>0.95480942496050392</v>
      </c>
      <c r="J256">
        <f t="shared" si="86"/>
        <v>3.6559652999234274E-3</v>
      </c>
      <c r="K256">
        <f t="shared" si="87"/>
        <v>0.91164767191113394</v>
      </c>
      <c r="L256" s="26">
        <f t="shared" si="84"/>
        <v>3.490750125695444E-3</v>
      </c>
      <c r="Q256" s="30">
        <v>-0.97714601088320197</v>
      </c>
      <c r="R256" s="26">
        <v>-1.4483423227684771E-3</v>
      </c>
    </row>
    <row r="257" spans="1:18" x14ac:dyDescent="0.35">
      <c r="A257" s="113">
        <v>-0.72032309775363834</v>
      </c>
      <c r="B257" s="114">
        <v>0.20350383216007328</v>
      </c>
      <c r="C257" s="114">
        <v>0.55082287458952428</v>
      </c>
      <c r="D257" s="115">
        <v>-0.36920859411408646</v>
      </c>
      <c r="F257" s="30">
        <f>INDEX(A257:D265,,F249)</f>
        <v>-0.72032309775363834</v>
      </c>
      <c r="G257" s="26">
        <f>INDEX(A250:D258,,G249)</f>
        <v>0.20350383216007328</v>
      </c>
      <c r="I257" s="30">
        <f t="shared" si="85"/>
        <v>0.47745155545356238</v>
      </c>
      <c r="J257">
        <f t="shared" si="86"/>
        <v>-0.29317702157256098</v>
      </c>
      <c r="K257">
        <f t="shared" si="87"/>
        <v>0.14200722182686826</v>
      </c>
      <c r="L257" s="26">
        <f t="shared" si="84"/>
        <v>-0.13997782497306185</v>
      </c>
      <c r="Q257" s="30">
        <v>-0.72023506086875633</v>
      </c>
      <c r="R257" s="26">
        <v>0.20381519069149817</v>
      </c>
    </row>
    <row r="258" spans="1:18" x14ac:dyDescent="0.35">
      <c r="A258" s="116">
        <v>-0.1035222855571008</v>
      </c>
      <c r="B258" s="117">
        <v>0.92622130149588477</v>
      </c>
      <c r="C258" s="117">
        <v>-0.20035110320771193</v>
      </c>
      <c r="D258" s="118">
        <v>-0.30208719352490981</v>
      </c>
      <c r="F258" s="27">
        <f>INDEX(A258:D266,,F249)</f>
        <v>-0.1035222855571008</v>
      </c>
      <c r="G258" s="29">
        <f>INDEX(A250:D258,,G249)</f>
        <v>0.92622130149588477</v>
      </c>
      <c r="I258" s="27">
        <f t="shared" si="85"/>
        <v>-0.84716903573776481</v>
      </c>
      <c r="J258" s="28">
        <f t="shared" si="86"/>
        <v>-0.19176909212505308</v>
      </c>
      <c r="K258" s="28">
        <f t="shared" si="87"/>
        <v>0.68091999041838713</v>
      </c>
      <c r="L258" s="29">
        <f t="shared" si="84"/>
        <v>0.1624608368598878</v>
      </c>
      <c r="Q258" s="27">
        <v>-0.10312189372887882</v>
      </c>
      <c r="R258" s="29">
        <v>0.92626596503675251</v>
      </c>
    </row>
    <row r="259" spans="1:18" x14ac:dyDescent="0.35">
      <c r="I259">
        <f>SUM(I250:I258)</f>
        <v>1.2323693295937539</v>
      </c>
      <c r="J259">
        <f>SUM(J250:J258)</f>
        <v>-1.0597689412564268</v>
      </c>
      <c r="K259">
        <f>SUM(K250:K258)</f>
        <v>2.3827867984376532</v>
      </c>
      <c r="L259">
        <f>SUM(L250:L258)</f>
        <v>-0.14309204664968431</v>
      </c>
    </row>
    <row r="260" spans="1:18" x14ac:dyDescent="0.35">
      <c r="A260" s="12" t="s">
        <v>2</v>
      </c>
      <c r="B260">
        <f>COUNT(A250:A258)</f>
        <v>9</v>
      </c>
      <c r="I260" s="12" t="s">
        <v>16</v>
      </c>
      <c r="J260" s="12" t="s">
        <v>258</v>
      </c>
      <c r="K260" s="12" t="s">
        <v>18</v>
      </c>
      <c r="L260" s="12" t="s">
        <v>19</v>
      </c>
      <c r="N260" s="12"/>
    </row>
    <row r="262" spans="1:18" x14ac:dyDescent="0.35">
      <c r="A262">
        <v>1</v>
      </c>
      <c r="B262">
        <v>2</v>
      </c>
      <c r="C262">
        <v>3</v>
      </c>
      <c r="D262">
        <v>4</v>
      </c>
      <c r="F262">
        <v>1</v>
      </c>
      <c r="G262">
        <v>3</v>
      </c>
      <c r="I262" s="12" t="s">
        <v>251</v>
      </c>
      <c r="J262" s="12" t="s">
        <v>252</v>
      </c>
      <c r="K262" s="12" t="s">
        <v>253</v>
      </c>
      <c r="L262" s="12" t="s">
        <v>254</v>
      </c>
      <c r="Q262">
        <f>F262</f>
        <v>1</v>
      </c>
      <c r="R262">
        <f>G262</f>
        <v>3</v>
      </c>
    </row>
    <row r="263" spans="1:18" x14ac:dyDescent="0.35">
      <c r="A263" s="110">
        <f t="array" ref="A263:A271">IF(A262=$Q249,$Q250:$Q258,IF(A262=$R249,$R250:$R258,A250:A258))</f>
        <v>-9.1292851231964581E-2</v>
      </c>
      <c r="B263" s="111">
        <f t="array" ref="B263:B271">IF(B262=$Q249,$Q250:$Q258,IF(B262=$R249,$R250:$R258,B250:B258))</f>
        <v>-0.88941424931440682</v>
      </c>
      <c r="C263" s="111">
        <f t="array" ref="C263:C271">IF(C262=$Q249,$Q250:$Q258,IF(C262=$R249,$R250:$R258,C250:C258))</f>
        <v>-0.34306243038815359</v>
      </c>
      <c r="D263" s="112">
        <f t="array" ref="D263:D271">IF(D262=$Q249,$Q250:$Q258,IF(D262=$R249,$R250:$R258,D250:D258))</f>
        <v>-0.28795151898644733</v>
      </c>
      <c r="F263" s="94">
        <f>INDEX(A263:D271,,F262)</f>
        <v>-9.1292851231964581E-2</v>
      </c>
      <c r="G263" s="96">
        <f>INDEX(A263:D271,,G262)</f>
        <v>-0.34306243038815359</v>
      </c>
      <c r="I263" s="94">
        <f>F263^2-G263^2</f>
        <v>-0.1093574464577651</v>
      </c>
      <c r="J263" s="95">
        <f>2*F263*G263</f>
        <v>6.2638294841403819E-2</v>
      </c>
      <c r="K263" s="95">
        <f>I263^2-J263^2</f>
        <v>8.0354951151243234E-3</v>
      </c>
      <c r="L263" s="96">
        <f t="shared" ref="L263:L271" si="88">I263*J263</f>
        <v>-6.8499639743245218E-3</v>
      </c>
      <c r="N263" t="s">
        <v>12</v>
      </c>
      <c r="O263" s="51">
        <f>2*L272*B273-2*I272*J272</f>
        <v>-3.0042769686917659E-3</v>
      </c>
      <c r="Q263" s="94">
        <f t="array" ref="Q263:R271">MMULT(F263:G271,N267:O268)</f>
        <v>-9.1282303822120922E-2</v>
      </c>
      <c r="R263" s="96">
        <v>-0.34306523700138197</v>
      </c>
    </row>
    <row r="264" spans="1:18" x14ac:dyDescent="0.35">
      <c r="A264" s="113">
        <v>-0.80893421487104722</v>
      </c>
      <c r="B264" s="114">
        <v>0.58099040932342827</v>
      </c>
      <c r="C264" s="114">
        <v>5.8135289083609105E-2</v>
      </c>
      <c r="D264" s="115">
        <v>6.8526406941580978E-2</v>
      </c>
      <c r="F264" s="30">
        <f>INDEX(A264:D272,,F262)</f>
        <v>-0.80893421487104722</v>
      </c>
      <c r="G264" s="26">
        <f>INDEX(A263:D271,,G262)</f>
        <v>5.8135289083609105E-2</v>
      </c>
      <c r="I264" s="30">
        <f t="shared" ref="I264:I271" si="89">F264^2-G264^2</f>
        <v>0.65099485215220276</v>
      </c>
      <c r="J264">
        <f t="shared" ref="J264:J271" si="90">2*F264*G264</f>
        <v>-9.4055248862301391E-2</v>
      </c>
      <c r="K264">
        <f t="shared" ref="K264:K271" si="91">I264^2-J264^2</f>
        <v>0.41494790769011886</v>
      </c>
      <c r="L264" s="26">
        <f t="shared" si="88"/>
        <v>-6.1229482827252532E-2</v>
      </c>
      <c r="N264" t="s">
        <v>255</v>
      </c>
      <c r="O264" s="52">
        <f>K272*B273-(I272^2-J272^2)</f>
        <v>24.429191254599427</v>
      </c>
      <c r="Q264" s="30">
        <v>-0.80893600184332604</v>
      </c>
      <c r="R264" s="26">
        <v>5.811041858055177E-2</v>
      </c>
    </row>
    <row r="265" spans="1:18" x14ac:dyDescent="0.35">
      <c r="A265" s="113">
        <v>-0.98630800929618634</v>
      </c>
      <c r="B265" s="114">
        <v>-0.14233839932406456</v>
      </c>
      <c r="C265" s="114">
        <v>8.0914807458803792E-2</v>
      </c>
      <c r="D265" s="115">
        <v>-1.9725232824032837E-2</v>
      </c>
      <c r="F265" s="30">
        <f>INDEX(A265:D273,,F262)</f>
        <v>-0.98630800929618634</v>
      </c>
      <c r="G265" s="26">
        <f>INDEX(A263:D271,,G262)</f>
        <v>8.0914807458803792E-2</v>
      </c>
      <c r="I265" s="30">
        <f t="shared" si="89"/>
        <v>0.96625628313571077</v>
      </c>
      <c r="J265">
        <f t="shared" si="90"/>
        <v>-0.15961384533455394</v>
      </c>
      <c r="K265">
        <f t="shared" si="91"/>
        <v>0.90817462507675595</v>
      </c>
      <c r="L265" s="26">
        <f t="shared" si="88"/>
        <v>-0.15422788092996431</v>
      </c>
      <c r="N265" t="s">
        <v>256</v>
      </c>
      <c r="O265" s="53">
        <f>0.25*ATAN(O263/O264)</f>
        <v>-3.0744744292146215E-5</v>
      </c>
      <c r="Q265" s="30">
        <v>-0.98631049653510228</v>
      </c>
      <c r="R265" s="26">
        <v>8.088448363302754E-2</v>
      </c>
    </row>
    <row r="266" spans="1:18" x14ac:dyDescent="0.35">
      <c r="A266" s="113">
        <v>-0.10438906448235506</v>
      </c>
      <c r="B266" s="114">
        <v>5.1321839414170713E-3</v>
      </c>
      <c r="C266" s="114">
        <v>9.1040621458211804E-2</v>
      </c>
      <c r="D266" s="115">
        <v>-0.99034750928600446</v>
      </c>
      <c r="F266" s="30">
        <f>INDEX(A266:D274,,F262)</f>
        <v>-0.10438906448235506</v>
      </c>
      <c r="G266" s="26">
        <f>INDEX(A263:D271,,G262)</f>
        <v>9.1040621458211804E-2</v>
      </c>
      <c r="I266" s="30">
        <f t="shared" si="89"/>
        <v>2.6086820280038676E-3</v>
      </c>
      <c r="J266">
        <f t="shared" si="90"/>
        <v>-1.9007290607829901E-2</v>
      </c>
      <c r="K266">
        <f t="shared" si="91"/>
        <v>-3.5447187432726838E-4</v>
      </c>
      <c r="L266" s="26">
        <f t="shared" si="88"/>
        <v>-4.9583977409692573E-5</v>
      </c>
      <c r="Q266" s="30">
        <v>-0.10439186345364523</v>
      </c>
      <c r="R266" s="26">
        <v>9.1037412000090329E-2</v>
      </c>
    </row>
    <row r="267" spans="1:18" x14ac:dyDescent="0.35">
      <c r="A267" s="113">
        <v>-0.40016521744445233</v>
      </c>
      <c r="B267" s="114">
        <v>0.1013357419824371</v>
      </c>
      <c r="C267" s="114">
        <v>0.87719332852407561</v>
      </c>
      <c r="D267" s="115">
        <v>-0.24521568167096533</v>
      </c>
      <c r="F267" s="30">
        <f>INDEX(A267:D275,,F262)</f>
        <v>-0.40016521744445233</v>
      </c>
      <c r="G267" s="26">
        <f>INDEX(A263:D271,,G262)</f>
        <v>0.87719332852407561</v>
      </c>
      <c r="I267" s="30">
        <f t="shared" si="89"/>
        <v>-0.60933593435478106</v>
      </c>
      <c r="J267">
        <f t="shared" si="90"/>
        <v>-0.70204451809931923</v>
      </c>
      <c r="K267">
        <f t="shared" si="91"/>
        <v>-0.12157622449729127</v>
      </c>
      <c r="L267" s="26">
        <f t="shared" si="88"/>
        <v>0.42778095239470071</v>
      </c>
      <c r="N267" s="94">
        <f>COS(O265)</f>
        <v>0.99999999952738039</v>
      </c>
      <c r="O267" s="96">
        <f>-N268</f>
        <v>3.0744744287302691E-5</v>
      </c>
      <c r="Q267" s="30">
        <v>-0.40019218633990239</v>
      </c>
      <c r="R267" s="26">
        <v>0.87718102513221374</v>
      </c>
    </row>
    <row r="268" spans="1:18" x14ac:dyDescent="0.35">
      <c r="A268" s="113">
        <v>1.4631430322024966E-3</v>
      </c>
      <c r="B268" s="114">
        <v>-2.4571992923085234E-2</v>
      </c>
      <c r="C268" s="114">
        <v>0.99722595440093498</v>
      </c>
      <c r="D268" s="115">
        <v>7.024579877401825E-2</v>
      </c>
      <c r="F268" s="30">
        <f>INDEX(A268:D276,,F262)</f>
        <v>1.4631430322024966E-3</v>
      </c>
      <c r="G268" s="26">
        <f>INDEX(A263:D271,,G262)</f>
        <v>0.99722595440093498</v>
      </c>
      <c r="I268" s="30">
        <f t="shared" si="89"/>
        <v>-0.99445746334332297</v>
      </c>
      <c r="J268">
        <f t="shared" si="90"/>
        <v>2.9181684134264251E-3</v>
      </c>
      <c r="K268">
        <f t="shared" si="91"/>
        <v>0.98893713069234745</v>
      </c>
      <c r="L268" s="26">
        <f t="shared" si="88"/>
        <v>-2.9019943580246522E-3</v>
      </c>
      <c r="N268" s="27">
        <f>SIN(O265)</f>
        <v>-3.0744744287302691E-5</v>
      </c>
      <c r="O268" s="29">
        <f>N267</f>
        <v>0.99999999952738039</v>
      </c>
      <c r="Q268" s="30">
        <v>1.4324835745462684E-3</v>
      </c>
      <c r="R268" s="26">
        <v>0.99722599891358477</v>
      </c>
    </row>
    <row r="269" spans="1:18" x14ac:dyDescent="0.35">
      <c r="A269" s="113">
        <v>-0.97714601088320197</v>
      </c>
      <c r="B269" s="114">
        <v>-1.4483423227684771E-3</v>
      </c>
      <c r="C269" s="114">
        <v>0.13729057760140942</v>
      </c>
      <c r="D269" s="115">
        <v>-0.16228022991551688</v>
      </c>
      <c r="F269" s="30">
        <f>INDEX(A269:D277,,F262)</f>
        <v>-0.97714601088320197</v>
      </c>
      <c r="G269" s="26">
        <f>INDEX(A263:D271,,G262)</f>
        <v>0.13729057760140942</v>
      </c>
      <c r="I269" s="30">
        <f t="shared" si="89"/>
        <v>0.93596562388682603</v>
      </c>
      <c r="J269">
        <f t="shared" si="90"/>
        <v>-0.26830588047013576</v>
      </c>
      <c r="K269">
        <f t="shared" si="91"/>
        <v>0.80404360360300065</v>
      </c>
      <c r="L269" s="26">
        <f t="shared" si="88"/>
        <v>-0.25112508080673479</v>
      </c>
      <c r="Q269" s="30">
        <v>-0.97715023138508506</v>
      </c>
      <c r="R269" s="26">
        <v>0.13726053543228725</v>
      </c>
    </row>
    <row r="270" spans="1:18" x14ac:dyDescent="0.35">
      <c r="A270" s="113">
        <v>-0.72023506086875633</v>
      </c>
      <c r="B270" s="114">
        <v>0.20381519069149817</v>
      </c>
      <c r="C270" s="114">
        <v>0.55082287458952428</v>
      </c>
      <c r="D270" s="115">
        <v>-0.36920859411408646</v>
      </c>
      <c r="F270" s="30">
        <f>INDEX(A270:D278,,F262)</f>
        <v>-0.72023506086875633</v>
      </c>
      <c r="G270" s="26">
        <f>INDEX(A263:D271,,G262)</f>
        <v>0.55082287458952428</v>
      </c>
      <c r="I270" s="30">
        <f t="shared" si="89"/>
        <v>0.2153327037335544</v>
      </c>
      <c r="J270">
        <f t="shared" si="90"/>
        <v>-0.79344389321577868</v>
      </c>
      <c r="K270">
        <f t="shared" si="91"/>
        <v>-0.58318503838420932</v>
      </c>
      <c r="L270" s="26">
        <f t="shared" si="88"/>
        <v>-0.17085441878703125</v>
      </c>
      <c r="Q270" s="30">
        <v>-0.72025199543678586</v>
      </c>
      <c r="R270" s="26">
        <v>0.55080073088642145</v>
      </c>
    </row>
    <row r="271" spans="1:18" x14ac:dyDescent="0.35">
      <c r="A271" s="116">
        <v>-0.10312189372887882</v>
      </c>
      <c r="B271" s="117">
        <v>0.92626596503675251</v>
      </c>
      <c r="C271" s="117">
        <v>-0.20035110320771193</v>
      </c>
      <c r="D271" s="118">
        <v>-0.30208719352490981</v>
      </c>
      <c r="F271" s="27">
        <f>INDEX(A271:D279,,F262)</f>
        <v>-0.10312189372887882</v>
      </c>
      <c r="G271" s="29">
        <f>INDEX(A263:D271,,G262)</f>
        <v>-0.20035110320771193</v>
      </c>
      <c r="I271" s="27">
        <f t="shared" si="89"/>
        <v>-2.9506439590317065E-2</v>
      </c>
      <c r="J271" s="28">
        <f t="shared" si="90"/>
        <v>4.1321170346898604E-2</v>
      </c>
      <c r="K271" s="28">
        <f t="shared" si="91"/>
        <v>-8.3680914154038238E-4</v>
      </c>
      <c r="L271" s="29">
        <f t="shared" si="88"/>
        <v>-1.2192406166419646E-3</v>
      </c>
      <c r="Q271" s="27">
        <v>-0.10311573393670559</v>
      </c>
      <c r="R271" s="29">
        <v>-0.20035427356927518</v>
      </c>
    </row>
    <row r="272" spans="1:18" x14ac:dyDescent="0.35">
      <c r="I272">
        <f>SUM(I263:I271)</f>
        <v>1.0285008611901114</v>
      </c>
      <c r="J272">
        <f>SUM(J263:J271)</f>
        <v>-1.9295930429881902</v>
      </c>
      <c r="K272">
        <f>SUM(K263:K271)</f>
        <v>2.4181862182799785</v>
      </c>
      <c r="L272">
        <f>SUM(L263:L271)</f>
        <v>-0.22067669388268304</v>
      </c>
    </row>
    <row r="273" spans="1:18" x14ac:dyDescent="0.35">
      <c r="A273" s="12" t="s">
        <v>2</v>
      </c>
      <c r="B273">
        <f>COUNT(A263:A271)</f>
        <v>9</v>
      </c>
      <c r="I273" s="12" t="s">
        <v>16</v>
      </c>
      <c r="J273" s="12" t="s">
        <v>258</v>
      </c>
      <c r="K273" s="12" t="s">
        <v>18</v>
      </c>
      <c r="L273" s="12" t="s">
        <v>19</v>
      </c>
      <c r="N273" s="12"/>
    </row>
    <row r="275" spans="1:18" x14ac:dyDescent="0.35">
      <c r="A275">
        <v>1</v>
      </c>
      <c r="B275">
        <v>2</v>
      </c>
      <c r="C275">
        <v>3</v>
      </c>
      <c r="D275">
        <v>4</v>
      </c>
      <c r="F275">
        <v>1</v>
      </c>
      <c r="G275">
        <v>4</v>
      </c>
      <c r="I275" s="12" t="s">
        <v>251</v>
      </c>
      <c r="J275" s="12" t="s">
        <v>252</v>
      </c>
      <c r="K275" s="12" t="s">
        <v>253</v>
      </c>
      <c r="L275" s="12" t="s">
        <v>254</v>
      </c>
      <c r="Q275">
        <f>F275</f>
        <v>1</v>
      </c>
      <c r="R275">
        <f>G275</f>
        <v>4</v>
      </c>
    </row>
    <row r="276" spans="1:18" x14ac:dyDescent="0.35">
      <c r="A276" s="110">
        <f t="array" ref="A276:A284">IF(A275=$Q262,$Q263:$Q271,IF(A275=$R262,$R263:$R271,A263:A271))</f>
        <v>-9.1282303822120922E-2</v>
      </c>
      <c r="B276" s="111">
        <f t="array" ref="B276:B284">IF(B275=$Q262,$Q263:$Q271,IF(B275=$R262,$R263:$R271,B263:B271))</f>
        <v>-0.88941424931440682</v>
      </c>
      <c r="C276" s="111">
        <f t="array" ref="C276:C284">IF(C275=$Q262,$Q263:$Q271,IF(C275=$R262,$R263:$R271,C263:C271))</f>
        <v>-0.34306523700138197</v>
      </c>
      <c r="D276" s="112">
        <f t="array" ref="D276:D284">IF(D275=$Q262,$Q263:$Q271,IF(D275=$R262,$R263:$R271,D263:D271))</f>
        <v>-0.28795151898644733</v>
      </c>
      <c r="F276" s="94">
        <f>INDEX(A276:D284,,F275)</f>
        <v>-9.1282303822120922E-2</v>
      </c>
      <c r="G276" s="96">
        <f>INDEX(A276:D284,,G275)</f>
        <v>-0.28795151898644733</v>
      </c>
      <c r="I276" s="94">
        <f>F276^2-G276^2</f>
        <v>-7.4583618295528356E-2</v>
      </c>
      <c r="J276" s="95">
        <f>2*F276*G276</f>
        <v>5.256975608432421E-2</v>
      </c>
      <c r="K276" s="95">
        <f>I276^2-J276^2</f>
        <v>2.7991368632877297E-3</v>
      </c>
      <c r="L276" s="96">
        <f t="shared" ref="L276:L284" si="92">I276*J276</f>
        <v>-3.9208426216822663E-3</v>
      </c>
      <c r="N276" t="s">
        <v>12</v>
      </c>
      <c r="O276" s="51">
        <f>2*L285*B286-2*I285*J285</f>
        <v>-6.0252504758739889E-4</v>
      </c>
      <c r="Q276" s="94">
        <f t="array" ref="Q276:R284">MMULT(F276:G284,N280:O281)</f>
        <v>-9.1280476661328908E-2</v>
      </c>
      <c r="R276" s="96">
        <v>-0.28795209820065021</v>
      </c>
    </row>
    <row r="277" spans="1:18" x14ac:dyDescent="0.35">
      <c r="A277" s="113">
        <v>-0.80893600184332604</v>
      </c>
      <c r="B277" s="114">
        <v>0.58099040932342827</v>
      </c>
      <c r="C277" s="114">
        <v>5.811041858055177E-2</v>
      </c>
      <c r="D277" s="115">
        <v>6.8526406941580978E-2</v>
      </c>
      <c r="F277" s="30">
        <f>INDEX(A277:D285,,F275)</f>
        <v>-0.80893600184332604</v>
      </c>
      <c r="G277" s="26">
        <f>INDEX(A276:D284,,G275)</f>
        <v>6.8526406941580978E-2</v>
      </c>
      <c r="I277" s="30">
        <f t="shared" ref="I277:I284" si="93">F277^2-G277^2</f>
        <v>0.64968158662994246</v>
      </c>
      <c r="J277">
        <f t="shared" ref="J277:J284" si="94">2*F277*G277</f>
        <v>-0.11086695530402252</v>
      </c>
      <c r="K277">
        <f t="shared" ref="K277:K284" si="95">I277^2-J277^2</f>
        <v>0.40979468222761528</v>
      </c>
      <c r="L277" s="26">
        <f t="shared" si="92"/>
        <v>-7.2028219426748266E-2</v>
      </c>
      <c r="N277" t="s">
        <v>255</v>
      </c>
      <c r="O277" s="52">
        <f>K285*B286-(I285^2-J285^2)</f>
        <v>23.738766984476182</v>
      </c>
      <c r="Q277" s="30">
        <v>-0.80893643665245318</v>
      </c>
      <c r="R277" s="26">
        <v>6.8521273941895139E-2</v>
      </c>
    </row>
    <row r="278" spans="1:18" x14ac:dyDescent="0.35">
      <c r="A278" s="113">
        <v>-0.98631049653510228</v>
      </c>
      <c r="B278" s="114">
        <v>-0.14233839932406456</v>
      </c>
      <c r="C278" s="114">
        <v>8.088448363302754E-2</v>
      </c>
      <c r="D278" s="115">
        <v>-1.9725232824032837E-2</v>
      </c>
      <c r="F278" s="30">
        <f>INDEX(A278:D286,,F275)</f>
        <v>-0.98631049653510228</v>
      </c>
      <c r="G278" s="26">
        <f>INDEX(A276:D284,,G275)</f>
        <v>-1.9725232824032837E-2</v>
      </c>
      <c r="I278" s="30">
        <f t="shared" si="93"/>
        <v>0.9724193107653577</v>
      </c>
      <c r="J278">
        <f t="shared" si="94"/>
        <v>3.8910408361884648E-2</v>
      </c>
      <c r="K278">
        <f t="shared" si="95"/>
        <v>0.94408529607048464</v>
      </c>
      <c r="L278" s="26">
        <f t="shared" si="92"/>
        <v>3.783723248086248E-2</v>
      </c>
      <c r="N278" t="s">
        <v>256</v>
      </c>
      <c r="O278" s="53">
        <f>0.25*ATAN(O276/O277)</f>
        <v>-6.3453700844280394E-6</v>
      </c>
      <c r="Q278" s="30">
        <v>-0.9863103713513437</v>
      </c>
      <c r="R278" s="26">
        <v>-1.9731491328754361E-2</v>
      </c>
    </row>
    <row r="279" spans="1:18" x14ac:dyDescent="0.35">
      <c r="A279" s="113">
        <v>-0.10439186345364523</v>
      </c>
      <c r="B279" s="114">
        <v>5.1321839414170713E-3</v>
      </c>
      <c r="C279" s="114">
        <v>9.1037412000090329E-2</v>
      </c>
      <c r="D279" s="115">
        <v>-0.99034750928600446</v>
      </c>
      <c r="F279" s="30">
        <f>INDEX(A279:D287,,F275)</f>
        <v>-0.10439186345364523</v>
      </c>
      <c r="G279" s="26">
        <f>INDEX(A276:D284,,G275)</f>
        <v>-0.99034750928600446</v>
      </c>
      <c r="I279" s="30">
        <f t="shared" si="93"/>
        <v>-0.96989052799366815</v>
      </c>
      <c r="J279">
        <f t="shared" si="94"/>
        <v>0.20676844392208446</v>
      </c>
      <c r="K279">
        <f t="shared" si="95"/>
        <v>0.89793444688987623</v>
      </c>
      <c r="L279" s="26">
        <f t="shared" si="92"/>
        <v>-0.20054275524801965</v>
      </c>
      <c r="Q279" s="30">
        <v>-0.10438557933008505</v>
      </c>
      <c r="R279" s="26">
        <v>-0.99034817167107425</v>
      </c>
    </row>
    <row r="280" spans="1:18" x14ac:dyDescent="0.35">
      <c r="A280" s="113">
        <v>-0.40019218633990239</v>
      </c>
      <c r="B280" s="114">
        <v>0.1013357419824371</v>
      </c>
      <c r="C280" s="114">
        <v>0.87718102513221374</v>
      </c>
      <c r="D280" s="115">
        <v>-0.24521568167096533</v>
      </c>
      <c r="F280" s="30">
        <f>INDEX(A280:D288,,F275)</f>
        <v>-0.40019218633990239</v>
      </c>
      <c r="G280" s="26">
        <f>INDEX(A276:D284,,G275)</f>
        <v>-0.24521568167096533</v>
      </c>
      <c r="I280" s="30">
        <f t="shared" si="93"/>
        <v>0.10002305547015494</v>
      </c>
      <c r="J280">
        <f t="shared" si="94"/>
        <v>0.19626679954546628</v>
      </c>
      <c r="K280">
        <f t="shared" si="95"/>
        <v>-2.8516044978234553E-2</v>
      </c>
      <c r="L280" s="26">
        <f t="shared" si="92"/>
        <v>1.9631204977885956E-2</v>
      </c>
      <c r="N280" s="94">
        <f>COS(O278)</f>
        <v>0.9999999999798681</v>
      </c>
      <c r="O280" s="96">
        <f>-N281</f>
        <v>6.3453700843854582E-6</v>
      </c>
      <c r="Q280" s="30">
        <v>-0.40019063034759506</v>
      </c>
      <c r="R280" s="26">
        <v>-0.24521822103355587</v>
      </c>
    </row>
    <row r="281" spans="1:18" x14ac:dyDescent="0.35">
      <c r="A281" s="113">
        <v>1.4324835745462684E-3</v>
      </c>
      <c r="B281" s="114">
        <v>-2.4571992923085234E-2</v>
      </c>
      <c r="C281" s="114">
        <v>0.99722599891358477</v>
      </c>
      <c r="D281" s="115">
        <v>7.024579877401825E-2</v>
      </c>
      <c r="F281" s="30">
        <f>INDEX(A281:D289,,F275)</f>
        <v>1.4324835745462684E-3</v>
      </c>
      <c r="G281" s="26">
        <f>INDEX(A276:D284,,G275)</f>
        <v>7.024579877401825E-2</v>
      </c>
      <c r="I281" s="30">
        <f t="shared" si="93"/>
        <v>-4.9324202362085196E-3</v>
      </c>
      <c r="J281">
        <f t="shared" si="94"/>
        <v>2.0125190584932708E-4</v>
      </c>
      <c r="K281">
        <f t="shared" si="95"/>
        <v>2.4288267056951323E-5</v>
      </c>
      <c r="L281" s="26">
        <f t="shared" si="92"/>
        <v>-9.9265897298675259E-7</v>
      </c>
      <c r="N281" s="27">
        <f>SIN(O278)</f>
        <v>-6.3453700843854582E-6</v>
      </c>
      <c r="O281" s="29">
        <f>N280</f>
        <v>0.9999999999798681</v>
      </c>
      <c r="Q281" s="30">
        <v>1.4320378389273353E-3</v>
      </c>
      <c r="R281" s="26">
        <v>7.0245807862242493E-2</v>
      </c>
    </row>
    <row r="282" spans="1:18" x14ac:dyDescent="0.35">
      <c r="A282" s="113">
        <v>-0.97715023138508506</v>
      </c>
      <c r="B282" s="114">
        <v>-1.4483423227684771E-3</v>
      </c>
      <c r="C282" s="114">
        <v>0.13726053543228725</v>
      </c>
      <c r="D282" s="115">
        <v>-0.16228022991551688</v>
      </c>
      <c r="F282" s="30">
        <f>INDEX(A282:D290,,F275)</f>
        <v>-0.97715023138508506</v>
      </c>
      <c r="G282" s="26">
        <f>INDEX(A276:D284,,G275)</f>
        <v>-0.16228022991551688</v>
      </c>
      <c r="I282" s="30">
        <f t="shared" si="93"/>
        <v>0.92848770167449224</v>
      </c>
      <c r="J282">
        <f t="shared" si="94"/>
        <v>0.31714432842234425</v>
      </c>
      <c r="K282">
        <f t="shared" si="95"/>
        <v>0.76150888711032116</v>
      </c>
      <c r="L282" s="26">
        <f t="shared" si="92"/>
        <v>0.29446460859596274</v>
      </c>
      <c r="Q282" s="30">
        <v>-0.9771492016372969</v>
      </c>
      <c r="R282" s="26">
        <v>-0.16228643029209608</v>
      </c>
    </row>
    <row r="283" spans="1:18" x14ac:dyDescent="0.35">
      <c r="A283" s="113">
        <v>-0.72025199543678586</v>
      </c>
      <c r="B283" s="114">
        <v>0.20381519069149817</v>
      </c>
      <c r="C283" s="114">
        <v>0.55080073088642145</v>
      </c>
      <c r="D283" s="115">
        <v>-0.36920859411408646</v>
      </c>
      <c r="F283" s="30">
        <f>INDEX(A283:D291,,F275)</f>
        <v>-0.72025199543678586</v>
      </c>
      <c r="G283" s="26">
        <f>INDEX(A276:D284,,G275)</f>
        <v>-0.36920859411408646</v>
      </c>
      <c r="I283" s="30">
        <f t="shared" si="93"/>
        <v>0.38244795096297152</v>
      </c>
      <c r="J283">
        <f t="shared" si="94"/>
        <v>0.5318464532861622</v>
      </c>
      <c r="K283">
        <f t="shared" si="95"/>
        <v>-0.13659421467729443</v>
      </c>
      <c r="L283" s="26">
        <f t="shared" si="92"/>
        <v>0.20340358628621649</v>
      </c>
      <c r="Q283" s="30">
        <v>-0.72024965265711782</v>
      </c>
      <c r="R283" s="26">
        <v>-0.36921316437211865</v>
      </c>
    </row>
    <row r="284" spans="1:18" x14ac:dyDescent="0.35">
      <c r="A284" s="116">
        <v>-0.10311573393670559</v>
      </c>
      <c r="B284" s="117">
        <v>0.92626596503675251</v>
      </c>
      <c r="C284" s="117">
        <v>-0.20035427356927518</v>
      </c>
      <c r="D284" s="118">
        <v>-0.30208719352490981</v>
      </c>
      <c r="F284" s="27">
        <f>INDEX(A284:D292,,F275)</f>
        <v>-0.10311573393670559</v>
      </c>
      <c r="G284" s="29">
        <f>INDEX(A276:D284,,G275)</f>
        <v>-0.30208719352490981</v>
      </c>
      <c r="I284" s="27">
        <f t="shared" si="93"/>
        <v>-8.0623817906450859E-2</v>
      </c>
      <c r="J284" s="28">
        <f t="shared" si="94"/>
        <v>6.2299885346401386E-2</v>
      </c>
      <c r="K284" s="28">
        <f t="shared" si="95"/>
        <v>2.618924299637788E-3</v>
      </c>
      <c r="L284" s="29">
        <f t="shared" si="92"/>
        <v>-5.0228546117610318E-3</v>
      </c>
      <c r="Q284" s="27">
        <v>-0.10311381707958901</v>
      </c>
      <c r="R284" s="29">
        <v>-0.30208784782632159</v>
      </c>
    </row>
    <row r="285" spans="1:18" x14ac:dyDescent="0.35">
      <c r="I285">
        <f>SUM(I276:I284)</f>
        <v>1.9030292210710629</v>
      </c>
      <c r="J285">
        <f>SUM(J276:J284)</f>
        <v>1.2951403715704943</v>
      </c>
      <c r="K285">
        <f>SUM(K276:K284)</f>
        <v>2.8536554020727514</v>
      </c>
      <c r="L285">
        <f>SUM(L276:L284)</f>
        <v>0.27382096777374343</v>
      </c>
    </row>
    <row r="286" spans="1:18" x14ac:dyDescent="0.35">
      <c r="A286" s="12" t="s">
        <v>2</v>
      </c>
      <c r="B286">
        <f>COUNT(A276:A284)</f>
        <v>9</v>
      </c>
      <c r="I286" s="12" t="s">
        <v>16</v>
      </c>
      <c r="J286" s="12" t="s">
        <v>258</v>
      </c>
      <c r="K286" s="12" t="s">
        <v>18</v>
      </c>
      <c r="L286" s="12" t="s">
        <v>19</v>
      </c>
      <c r="N286" s="12"/>
    </row>
    <row r="288" spans="1:18" x14ac:dyDescent="0.35">
      <c r="A288">
        <v>1</v>
      </c>
      <c r="B288">
        <v>2</v>
      </c>
      <c r="C288">
        <v>3</v>
      </c>
      <c r="D288">
        <v>4</v>
      </c>
      <c r="F288">
        <v>2</v>
      </c>
      <c r="G288">
        <v>3</v>
      </c>
      <c r="I288" s="12" t="s">
        <v>251</v>
      </c>
      <c r="J288" s="12" t="s">
        <v>252</v>
      </c>
      <c r="K288" s="12" t="s">
        <v>253</v>
      </c>
      <c r="L288" s="12" t="s">
        <v>254</v>
      </c>
      <c r="Q288">
        <f>F288</f>
        <v>2</v>
      </c>
      <c r="R288">
        <f>G288</f>
        <v>3</v>
      </c>
    </row>
    <row r="289" spans="1:18" x14ac:dyDescent="0.35">
      <c r="A289" s="110">
        <f t="array" ref="A289:A297">IF(A288=$Q275,$Q276:$Q284,IF(A288=$R275,$R276:$R284,A276:A284))</f>
        <v>-9.1280476661328908E-2</v>
      </c>
      <c r="B289" s="111">
        <f t="array" ref="B289:B297">IF(B288=$Q275,$Q276:$Q284,IF(B288=$R275,$R276:$R284,B276:B284))</f>
        <v>-0.88941424931440682</v>
      </c>
      <c r="C289" s="111">
        <f t="array" ref="C289:C297">IF(C288=$Q275,$Q276:$Q284,IF(C288=$R275,$R276:$R284,C276:C284))</f>
        <v>-0.34306523700138197</v>
      </c>
      <c r="D289" s="112">
        <f t="array" ref="D289:D297">IF(D288=$Q275,$Q276:$Q284,IF(D288=$R275,$R276:$R284,D276:D284))</f>
        <v>-0.28795209820065021</v>
      </c>
      <c r="F289" s="94">
        <f>INDEX(A289:D297,,F288)</f>
        <v>-0.88941424931440682</v>
      </c>
      <c r="G289" s="96">
        <f>INDEX(A289:D297,,G288)</f>
        <v>-0.34306523700138197</v>
      </c>
      <c r="I289" s="94">
        <f>F289^2-G289^2</f>
        <v>0.67336395004469551</v>
      </c>
      <c r="J289" s="95">
        <f>2*F289*G289</f>
        <v>0.61025422046690647</v>
      </c>
      <c r="K289" s="95">
        <f>I289^2-J289^2</f>
        <v>8.1008795622123542E-2</v>
      </c>
      <c r="L289" s="96">
        <f t="shared" ref="L289:L297" si="96">I289*J289</f>
        <v>0.4109231924250426</v>
      </c>
      <c r="N289" t="s">
        <v>12</v>
      </c>
      <c r="O289" s="51">
        <f>2*L298*B299-2*I298*J298</f>
        <v>-1.8981891832584641E-2</v>
      </c>
      <c r="Q289" s="94">
        <f t="array" ref="Q289:R297">MMULT(F289:G297,N293:O294)</f>
        <v>-0.88933585425865158</v>
      </c>
      <c r="R289" s="96">
        <v>-0.34326841109015349</v>
      </c>
    </row>
    <row r="290" spans="1:18" x14ac:dyDescent="0.35">
      <c r="A290" s="113">
        <v>-0.80893643665245318</v>
      </c>
      <c r="B290" s="114">
        <v>0.58099040932342827</v>
      </c>
      <c r="C290" s="114">
        <v>5.811041858055177E-2</v>
      </c>
      <c r="D290" s="115">
        <v>6.8521273941895139E-2</v>
      </c>
      <c r="F290" s="30">
        <f>INDEX(A290:D298,,F288)</f>
        <v>0.58099040932342827</v>
      </c>
      <c r="G290" s="26">
        <f>INDEX(A289:D297,,G288)</f>
        <v>5.811041858055177E-2</v>
      </c>
      <c r="I290" s="30">
        <f t="shared" ref="I290:I297" si="97">F290^2-G290^2</f>
        <v>0.33417303497819778</v>
      </c>
      <c r="J290">
        <f t="shared" ref="J290:J297" si="98">2*F290*G290</f>
        <v>6.7523191754141051E-2</v>
      </c>
      <c r="K290">
        <f t="shared" ref="K290:K297" si="99">I290^2-J290^2</f>
        <v>0.1071122358818733</v>
      </c>
      <c r="L290" s="26">
        <f t="shared" si="96"/>
        <v>2.2564429919896132E-2</v>
      </c>
      <c r="N290" t="s">
        <v>255</v>
      </c>
      <c r="O290" s="52">
        <f>K298*B299-(I298^2-J298^2)</f>
        <v>20.772846218080026</v>
      </c>
      <c r="Q290" s="30">
        <v>0.58097711907619953</v>
      </c>
      <c r="R290" s="26">
        <v>5.8243141942473424E-2</v>
      </c>
    </row>
    <row r="291" spans="1:18" x14ac:dyDescent="0.35">
      <c r="A291" s="113">
        <v>-0.9863103713513437</v>
      </c>
      <c r="B291" s="114">
        <v>-0.14233839932406456</v>
      </c>
      <c r="C291" s="114">
        <v>8.088448363302754E-2</v>
      </c>
      <c r="D291" s="115">
        <v>-1.9731491328754361E-2</v>
      </c>
      <c r="F291" s="30">
        <f>INDEX(A291:D299,,F288)</f>
        <v>-0.14233839932406456</v>
      </c>
      <c r="G291" s="26">
        <f>INDEX(A289:D297,,G288)</f>
        <v>8.088448363302754E-2</v>
      </c>
      <c r="I291" s="30">
        <f t="shared" si="97"/>
        <v>1.3717920229555362E-2</v>
      </c>
      <c r="J291">
        <f t="shared" si="98"/>
        <v>-2.3025935860957275E-2</v>
      </c>
      <c r="K291">
        <f t="shared" si="99"/>
        <v>-3.4201238684847398E-4</v>
      </c>
      <c r="L291" s="26">
        <f t="shared" si="96"/>
        <v>-3.158679513514701E-4</v>
      </c>
      <c r="N291" t="s">
        <v>256</v>
      </c>
      <c r="O291" s="53">
        <f>0.25*ATAN(O289/O290)</f>
        <v>-2.2844590421083864E-4</v>
      </c>
      <c r="Q291" s="30">
        <v>-0.14235687333875921</v>
      </c>
      <c r="R291" s="26">
        <v>8.0851964898392109E-2</v>
      </c>
    </row>
    <row r="292" spans="1:18" x14ac:dyDescent="0.35">
      <c r="A292" s="113">
        <v>-0.10438557933008505</v>
      </c>
      <c r="B292" s="114">
        <v>5.1321839414170713E-3</v>
      </c>
      <c r="C292" s="114">
        <v>9.1037412000090329E-2</v>
      </c>
      <c r="D292" s="115">
        <v>-0.99034817167107425</v>
      </c>
      <c r="F292" s="30">
        <f>INDEX(A292:D300,,F288)</f>
        <v>5.1321839414170713E-3</v>
      </c>
      <c r="G292" s="26">
        <f>INDEX(A289:D297,,G288)</f>
        <v>9.1037412000090329E-2</v>
      </c>
      <c r="I292" s="30">
        <f t="shared" si="97"/>
        <v>-8.261471071665652E-3</v>
      </c>
      <c r="J292">
        <f t="shared" si="98"/>
        <v>9.3444148787006677E-4</v>
      </c>
      <c r="K292">
        <f t="shared" si="99"/>
        <v>6.7378723373715587E-5</v>
      </c>
      <c r="L292" s="26">
        <f t="shared" si="96"/>
        <v>-7.719861320202766E-6</v>
      </c>
      <c r="Q292" s="30">
        <v>5.1113866837785831E-3</v>
      </c>
      <c r="R292" s="26">
        <v>9.103858205097233E-2</v>
      </c>
    </row>
    <row r="293" spans="1:18" x14ac:dyDescent="0.35">
      <c r="A293" s="113">
        <v>-0.40019063034759506</v>
      </c>
      <c r="B293" s="114">
        <v>0.1013357419824371</v>
      </c>
      <c r="C293" s="114">
        <v>0.87718102513221374</v>
      </c>
      <c r="D293" s="115">
        <v>-0.24521822103355587</v>
      </c>
      <c r="F293" s="30">
        <f>INDEX(A293:D301,,F288)</f>
        <v>0.1013357419824371</v>
      </c>
      <c r="G293" s="26">
        <f>INDEX(A289:D297,,G288)</f>
        <v>0.87718102513221374</v>
      </c>
      <c r="I293" s="30">
        <f t="shared" si="97"/>
        <v>-0.75917761824887031</v>
      </c>
      <c r="J293">
        <f t="shared" si="98"/>
        <v>0.17777958006937536</v>
      </c>
      <c r="K293">
        <f t="shared" si="99"/>
        <v>0.54474507696038399</v>
      </c>
      <c r="L293" s="26">
        <f t="shared" si="96"/>
        <v>-0.13496627817035273</v>
      </c>
      <c r="N293" s="94">
        <f>COS(O291)</f>
        <v>0.99999997390623452</v>
      </c>
      <c r="O293" s="96">
        <f>-N294</f>
        <v>2.2844590222383403E-4</v>
      </c>
      <c r="Q293" s="30">
        <v>0.10113535092750606</v>
      </c>
      <c r="R293" s="26">
        <v>0.87720415197826251</v>
      </c>
    </row>
    <row r="294" spans="1:18" x14ac:dyDescent="0.35">
      <c r="A294" s="113">
        <v>1.4320378389273353E-3</v>
      </c>
      <c r="B294" s="114">
        <v>-2.4571992923085234E-2</v>
      </c>
      <c r="C294" s="114">
        <v>0.99722599891358477</v>
      </c>
      <c r="D294" s="115">
        <v>7.0245807862242493E-2</v>
      </c>
      <c r="F294" s="30">
        <f>INDEX(A294:D302,,F288)</f>
        <v>-2.4571992923085234E-2</v>
      </c>
      <c r="G294" s="26">
        <f>INDEX(A289:D297,,G288)</f>
        <v>0.99722599891358477</v>
      </c>
      <c r="I294" s="30">
        <f t="shared" si="97"/>
        <v>-0.9938559100729849</v>
      </c>
      <c r="J294">
        <f t="shared" si="98"/>
        <v>-4.9007660376042414E-2</v>
      </c>
      <c r="K294">
        <f t="shared" si="99"/>
        <v>0.98534781921146752</v>
      </c>
      <c r="L294" s="26">
        <f t="shared" si="96"/>
        <v>4.8706552903579392E-2</v>
      </c>
      <c r="N294" s="27">
        <f>SIN(O291)</f>
        <v>-2.2844590222383403E-4</v>
      </c>
      <c r="O294" s="29">
        <f>N293</f>
        <v>0.99999997390623452</v>
      </c>
      <c r="Q294" s="30">
        <v>-2.4799804474952291E-2</v>
      </c>
      <c r="R294" s="26">
        <v>0.99722035952111066</v>
      </c>
    </row>
    <row r="295" spans="1:18" x14ac:dyDescent="0.35">
      <c r="A295" s="113">
        <v>-0.9771492016372969</v>
      </c>
      <c r="B295" s="114">
        <v>-1.4483423227684771E-3</v>
      </c>
      <c r="C295" s="114">
        <v>0.13726053543228725</v>
      </c>
      <c r="D295" s="115">
        <v>-0.16228643029209608</v>
      </c>
      <c r="F295" s="30">
        <f>INDEX(A295:D303,,F288)</f>
        <v>-1.4483423227684771E-3</v>
      </c>
      <c r="G295" s="26">
        <f>INDEX(A289:D297,,G288)</f>
        <v>0.13726053543228725</v>
      </c>
      <c r="I295" s="30">
        <f t="shared" si="97"/>
        <v>-1.8838356891674259E-2</v>
      </c>
      <c r="J295">
        <f t="shared" si="98"/>
        <v>-3.9760048542488753E-4</v>
      </c>
      <c r="K295">
        <f t="shared" si="99"/>
        <v>3.5472560423208094E-4</v>
      </c>
      <c r="L295" s="26">
        <f t="shared" si="96"/>
        <v>7.4901398447369608E-6</v>
      </c>
      <c r="Q295" s="30">
        <v>-1.4796988918323276E-3</v>
      </c>
      <c r="R295" s="26">
        <v>0.13726020098277436</v>
      </c>
    </row>
    <row r="296" spans="1:18" x14ac:dyDescent="0.35">
      <c r="A296" s="113">
        <v>-0.72024965265711782</v>
      </c>
      <c r="B296" s="114">
        <v>0.20381519069149817</v>
      </c>
      <c r="C296" s="114">
        <v>0.55080073088642145</v>
      </c>
      <c r="D296" s="115">
        <v>-0.36921316437211865</v>
      </c>
      <c r="F296" s="30">
        <f>INDEX(A296:D304,,F288)</f>
        <v>0.20381519069149817</v>
      </c>
      <c r="G296" s="26">
        <f>INDEX(A289:D297,,G288)</f>
        <v>0.55080073088642145</v>
      </c>
      <c r="I296" s="30">
        <f t="shared" si="97"/>
        <v>-0.2618408131884043</v>
      </c>
      <c r="J296">
        <f t="shared" si="98"/>
        <v>0.2245231119972651</v>
      </c>
      <c r="K296">
        <f t="shared" si="99"/>
        <v>1.8149983630228385E-2</v>
      </c>
      <c r="L296" s="26">
        <f t="shared" si="96"/>
        <v>-5.8789314224955064E-2</v>
      </c>
      <c r="Q296" s="30">
        <v>0.20368935720327949</v>
      </c>
      <c r="R296" s="26">
        <v>0.55084727725908078</v>
      </c>
    </row>
    <row r="297" spans="1:18" x14ac:dyDescent="0.35">
      <c r="A297" s="116">
        <v>-0.10311381707958901</v>
      </c>
      <c r="B297" s="117">
        <v>0.92626596503675251</v>
      </c>
      <c r="C297" s="117">
        <v>-0.20035427356927518</v>
      </c>
      <c r="D297" s="118">
        <v>-0.30208784782632159</v>
      </c>
      <c r="F297" s="27">
        <f>INDEX(A297:D305,,F288)</f>
        <v>0.92626596503675251</v>
      </c>
      <c r="G297" s="29">
        <f>INDEX(A289:D297,,G288)</f>
        <v>-0.20035427356927518</v>
      </c>
      <c r="I297" s="27">
        <f t="shared" si="97"/>
        <v>0.81782680304799449</v>
      </c>
      <c r="J297" s="28">
        <f t="shared" si="98"/>
        <v>-0.37116268911376438</v>
      </c>
      <c r="K297" s="28">
        <f t="shared" si="99"/>
        <v>0.53107893799354233</v>
      </c>
      <c r="L297" s="29">
        <f t="shared" si="96"/>
        <v>-0.30354679544860658</v>
      </c>
      <c r="Q297" s="27">
        <v>0.9263117109797756</v>
      </c>
      <c r="R297" s="29">
        <v>-0.20014266667719571</v>
      </c>
    </row>
    <row r="298" spans="1:18" x14ac:dyDescent="0.35">
      <c r="I298">
        <f>SUM(I289:I297)</f>
        <v>-0.2028924611731564</v>
      </c>
      <c r="J298">
        <f>SUM(J289:J297)</f>
        <v>0.63742065993936892</v>
      </c>
      <c r="K298">
        <f>SUM(K289:K297)</f>
        <v>2.2675229412403763</v>
      </c>
      <c r="L298">
        <f>SUM(L289:L297)</f>
        <v>-1.5424310268223163E-2</v>
      </c>
    </row>
    <row r="299" spans="1:18" x14ac:dyDescent="0.35">
      <c r="A299" s="12" t="s">
        <v>2</v>
      </c>
      <c r="B299">
        <f>COUNT(A289:A297)</f>
        <v>9</v>
      </c>
      <c r="I299" s="12" t="s">
        <v>16</v>
      </c>
      <c r="J299" s="12" t="s">
        <v>258</v>
      </c>
      <c r="K299" s="12" t="s">
        <v>18</v>
      </c>
      <c r="L299" s="12" t="s">
        <v>19</v>
      </c>
      <c r="N299" s="12"/>
    </row>
    <row r="301" spans="1:18" x14ac:dyDescent="0.35">
      <c r="A301">
        <v>1</v>
      </c>
      <c r="B301">
        <v>2</v>
      </c>
      <c r="C301">
        <v>3</v>
      </c>
      <c r="D301">
        <v>4</v>
      </c>
      <c r="F301">
        <v>2</v>
      </c>
      <c r="G301">
        <v>4</v>
      </c>
      <c r="I301" s="12" t="s">
        <v>251</v>
      </c>
      <c r="J301" s="12" t="s">
        <v>252</v>
      </c>
      <c r="K301" s="12" t="s">
        <v>253</v>
      </c>
      <c r="L301" s="12" t="s">
        <v>254</v>
      </c>
      <c r="Q301">
        <f>F301</f>
        <v>2</v>
      </c>
      <c r="R301">
        <f>G301</f>
        <v>4</v>
      </c>
    </row>
    <row r="302" spans="1:18" x14ac:dyDescent="0.35">
      <c r="A302" s="110">
        <f t="array" ref="A302:A310">IF(A301=$Q288,$Q289:$Q297,IF(A301=$R288,$R289:$R297,A289:A297))</f>
        <v>-9.1280476661328908E-2</v>
      </c>
      <c r="B302" s="111">
        <f t="array" ref="B302:B310">IF(B301=$Q288,$Q289:$Q297,IF(B301=$R288,$R289:$R297,B289:B297))</f>
        <v>-0.88933585425865158</v>
      </c>
      <c r="C302" s="111">
        <f t="array" ref="C302:C310">IF(C301=$Q288,$Q289:$Q297,IF(C301=$R288,$R289:$R297,C289:C297))</f>
        <v>-0.34326841109015349</v>
      </c>
      <c r="D302" s="112">
        <f t="array" ref="D302:D310">IF(D301=$Q288,$Q289:$Q297,IF(D301=$R288,$R289:$R297,D289:D297))</f>
        <v>-0.28795209820065021</v>
      </c>
      <c r="F302" s="94">
        <f>INDEX(A302:D310,,F301)</f>
        <v>-0.88933585425865158</v>
      </c>
      <c r="G302" s="96">
        <f>INDEX(A302:D310,,G301)</f>
        <v>-0.28795209820065021</v>
      </c>
      <c r="I302" s="94">
        <f>F302^2-G302^2</f>
        <v>0.70800185081180866</v>
      </c>
      <c r="J302" s="95">
        <f>2*F302*G302</f>
        <v>0.51217225047769277</v>
      </c>
      <c r="K302" s="95">
        <f>I302^2-J302^2</f>
        <v>0.23894620659356214</v>
      </c>
      <c r="L302" s="96">
        <f t="shared" ref="L302:L310" si="100">I302*J302</f>
        <v>0.36261890127265572</v>
      </c>
      <c r="N302" t="s">
        <v>12</v>
      </c>
      <c r="O302" s="51">
        <f>2*L311*B312-2*I311*J311</f>
        <v>-2.8351379711419322E-3</v>
      </c>
      <c r="Q302" s="94">
        <f t="array" ref="Q302:R310">MMULT(F302:G310,N306:O307)</f>
        <v>-0.88932094108737936</v>
      </c>
      <c r="R302" s="96">
        <v>-0.2879981532433506</v>
      </c>
    </row>
    <row r="303" spans="1:18" x14ac:dyDescent="0.35">
      <c r="A303" s="113">
        <v>-0.80893643665245318</v>
      </c>
      <c r="B303" s="114">
        <v>0.58097711907619953</v>
      </c>
      <c r="C303" s="114">
        <v>5.8243141942473424E-2</v>
      </c>
      <c r="D303" s="115">
        <v>6.8521273941895139E-2</v>
      </c>
      <c r="F303" s="30">
        <f>INDEX(A303:D311,,F301)</f>
        <v>0.58097711907619953</v>
      </c>
      <c r="G303" s="26">
        <f>INDEX(A302:D310,,G301)</f>
        <v>6.8521273941895139E-2</v>
      </c>
      <c r="I303" s="30">
        <f t="shared" ref="I303:I310" si="101">F303^2-G303^2</f>
        <v>0.33283924790746028</v>
      </c>
      <c r="J303">
        <f t="shared" ref="J303:J310" si="102">2*F303*G303</f>
        <v>7.9618584660386599E-2</v>
      </c>
      <c r="K303">
        <f t="shared" ref="K303:K310" si="103">I303^2-J303^2</f>
        <v>0.10444284592428064</v>
      </c>
      <c r="L303" s="26">
        <f t="shared" si="100"/>
        <v>2.6500189837819529E-2</v>
      </c>
      <c r="N303" t="s">
        <v>255</v>
      </c>
      <c r="O303" s="52">
        <f>K311*B312-(I311^2-J311^2)</f>
        <v>13.68671336361149</v>
      </c>
      <c r="Q303" s="30">
        <v>0.58097356983272008</v>
      </c>
      <c r="R303" s="26">
        <v>6.8551360515501397E-2</v>
      </c>
    </row>
    <row r="304" spans="1:18" x14ac:dyDescent="0.35">
      <c r="A304" s="113">
        <v>-0.9863103713513437</v>
      </c>
      <c r="B304" s="114">
        <v>-0.14235687333875921</v>
      </c>
      <c r="C304" s="114">
        <v>8.0851964898392109E-2</v>
      </c>
      <c r="D304" s="115">
        <v>-1.9731491328754361E-2</v>
      </c>
      <c r="F304" s="30">
        <f>INDEX(A304:D312,,F301)</f>
        <v>-0.14235687333875921</v>
      </c>
      <c r="G304" s="26">
        <f>INDEX(A302:D310,,G301)</f>
        <v>-1.9731491328754361E-2</v>
      </c>
      <c r="I304" s="30">
        <f t="shared" si="101"/>
        <v>1.9876147636730825E-2</v>
      </c>
      <c r="J304">
        <f t="shared" si="102"/>
        <v>5.6178268237446205E-3</v>
      </c>
      <c r="K304">
        <f t="shared" si="103"/>
        <v>3.6350126665553577E-4</v>
      </c>
      <c r="L304" s="26">
        <f t="shared" si="100"/>
        <v>1.1166075534633467E-4</v>
      </c>
      <c r="N304" t="s">
        <v>256</v>
      </c>
      <c r="O304" s="53">
        <f>0.25*ATAN(O302/O303)</f>
        <v>-5.1786317417308294E-5</v>
      </c>
      <c r="Q304" s="30">
        <v>-0.14235585132659864</v>
      </c>
      <c r="R304" s="26">
        <v>-1.9738863440522138E-2</v>
      </c>
    </row>
    <row r="305" spans="1:18" x14ac:dyDescent="0.35">
      <c r="A305" s="113">
        <v>-0.10438557933008505</v>
      </c>
      <c r="B305" s="114">
        <v>5.1113866837785831E-3</v>
      </c>
      <c r="C305" s="114">
        <v>9.103858205097233E-2</v>
      </c>
      <c r="D305" s="115">
        <v>-0.99034817167107425</v>
      </c>
      <c r="F305" s="30">
        <f>INDEX(A305:D313,,F301)</f>
        <v>5.1113866837785831E-3</v>
      </c>
      <c r="G305" s="26">
        <f>INDEX(A302:D310,,G301)</f>
        <v>-0.99034817167107425</v>
      </c>
      <c r="I305" s="30">
        <f t="shared" si="101"/>
        <v>-0.98076337485840837</v>
      </c>
      <c r="J305">
        <f t="shared" si="102"/>
        <v>-1.012410491396799E-2</v>
      </c>
      <c r="K305">
        <f t="shared" si="103"/>
        <v>0.96179429996334587</v>
      </c>
      <c r="L305" s="26">
        <f t="shared" si="100"/>
        <v>9.9293513028438415E-3</v>
      </c>
      <c r="Q305" s="30">
        <v>5.1626731616735517E-3</v>
      </c>
      <c r="R305" s="26">
        <v>-0.99034790564321196</v>
      </c>
    </row>
    <row r="306" spans="1:18" x14ac:dyDescent="0.35">
      <c r="A306" s="113">
        <v>-0.40019063034759506</v>
      </c>
      <c r="B306" s="114">
        <v>0.10113535092750606</v>
      </c>
      <c r="C306" s="114">
        <v>0.87720415197826251</v>
      </c>
      <c r="D306" s="115">
        <v>-0.24521822103355587</v>
      </c>
      <c r="F306" s="30">
        <f>INDEX(A306:D314,,F301)</f>
        <v>0.10113535092750606</v>
      </c>
      <c r="G306" s="26">
        <f>INDEX(A302:D310,,G301)</f>
        <v>-0.24521822103355587</v>
      </c>
      <c r="I306" s="30">
        <f t="shared" si="101"/>
        <v>-4.990361671963206E-2</v>
      </c>
      <c r="J306">
        <f t="shared" si="102"/>
        <v>-4.9600461676094838E-2</v>
      </c>
      <c r="K306">
        <f t="shared" si="103"/>
        <v>3.0165163218187629E-5</v>
      </c>
      <c r="L306" s="26">
        <f t="shared" si="100"/>
        <v>2.4752424286006358E-3</v>
      </c>
      <c r="N306" s="94">
        <f>COS(O304)</f>
        <v>0.99999999865908862</v>
      </c>
      <c r="O306" s="96">
        <f>-N307</f>
        <v>5.1786317394161343E-5</v>
      </c>
      <c r="Q306" s="30">
        <v>0.10114804974051779</v>
      </c>
      <c r="R306" s="26">
        <v>-0.24521298327735708</v>
      </c>
    </row>
    <row r="307" spans="1:18" x14ac:dyDescent="0.35">
      <c r="A307" s="113">
        <v>1.4320378389273353E-3</v>
      </c>
      <c r="B307" s="114">
        <v>-2.4799804474952291E-2</v>
      </c>
      <c r="C307" s="114">
        <v>0.99722035952111066</v>
      </c>
      <c r="D307" s="115">
        <v>7.0245807862242493E-2</v>
      </c>
      <c r="F307" s="30">
        <f>INDEX(A307:D315,,F301)</f>
        <v>-2.4799804474952291E-2</v>
      </c>
      <c r="G307" s="26">
        <f>INDEX(A302:D310,,G301)</f>
        <v>7.0245807862242493E-2</v>
      </c>
      <c r="I307" s="30">
        <f t="shared" si="101"/>
        <v>-4.3194432202232251E-3</v>
      </c>
      <c r="J307">
        <f t="shared" si="102"/>
        <v>-3.4841646003373602E-3</v>
      </c>
      <c r="K307">
        <f t="shared" si="103"/>
        <v>6.5181867704883888E-6</v>
      </c>
      <c r="L307" s="26">
        <f t="shared" si="100"/>
        <v>1.5049651161068973E-5</v>
      </c>
      <c r="N307" s="27">
        <f>SIN(O304)</f>
        <v>-5.1786317394161343E-5</v>
      </c>
      <c r="O307" s="29">
        <f>N306</f>
        <v>0.99999999865908862</v>
      </c>
      <c r="Q307" s="30">
        <v>-2.4803442213399515E-2</v>
      </c>
      <c r="R307" s="26">
        <v>7.0244523477503235E-2</v>
      </c>
    </row>
    <row r="308" spans="1:18" x14ac:dyDescent="0.35">
      <c r="A308" s="113">
        <v>-0.9771492016372969</v>
      </c>
      <c r="B308" s="114">
        <v>-1.4796988918323276E-3</v>
      </c>
      <c r="C308" s="114">
        <v>0.13726020098277436</v>
      </c>
      <c r="D308" s="115">
        <v>-0.16228643029209608</v>
      </c>
      <c r="F308" s="30">
        <f>INDEX(A308:D316,,F301)</f>
        <v>-1.4796988918323276E-3</v>
      </c>
      <c r="G308" s="26">
        <f>INDEX(A302:D310,,G301)</f>
        <v>-0.16228643029209608</v>
      </c>
      <c r="I308" s="30">
        <f t="shared" si="101"/>
        <v>-2.633469594814087E-2</v>
      </c>
      <c r="J308">
        <f t="shared" si="102"/>
        <v>4.8027010212527772E-4</v>
      </c>
      <c r="K308">
        <f t="shared" si="103"/>
        <v>6.9328555131003167E-4</v>
      </c>
      <c r="L308" s="26">
        <f t="shared" si="100"/>
        <v>-1.2647767112451753E-5</v>
      </c>
      <c r="Q308" s="30">
        <v>-1.4712946732603105E-3</v>
      </c>
      <c r="R308" s="26">
        <v>-0.1622865067026408</v>
      </c>
    </row>
    <row r="309" spans="1:18" x14ac:dyDescent="0.35">
      <c r="A309" s="113">
        <v>-0.72024965265711782</v>
      </c>
      <c r="B309" s="114">
        <v>0.20368935720327949</v>
      </c>
      <c r="C309" s="114">
        <v>0.55084727725908078</v>
      </c>
      <c r="D309" s="115">
        <v>-0.36921316437211865</v>
      </c>
      <c r="F309" s="30">
        <f>INDEX(A309:D317,,F301)</f>
        <v>0.20368935720327949</v>
      </c>
      <c r="G309" s="26">
        <f>INDEX(A302:D310,,G301)</f>
        <v>-0.36921316437211865</v>
      </c>
      <c r="I309" s="30">
        <f t="shared" si="101"/>
        <v>-9.4829006507787916E-2</v>
      </c>
      <c r="J309">
        <f t="shared" si="102"/>
        <v>-0.15040958424389125</v>
      </c>
      <c r="K309">
        <f t="shared" si="103"/>
        <v>-1.3630502557166139E-2</v>
      </c>
      <c r="L309" s="26">
        <f t="shared" si="100"/>
        <v>1.4263191443097638E-2</v>
      </c>
      <c r="Q309" s="30">
        <v>0.20370847712026638</v>
      </c>
      <c r="R309" s="26">
        <v>-0.36920261555533457</v>
      </c>
    </row>
    <row r="310" spans="1:18" x14ac:dyDescent="0.35">
      <c r="A310" s="116">
        <v>-0.10311381707958901</v>
      </c>
      <c r="B310" s="117">
        <v>0.9263117109797756</v>
      </c>
      <c r="C310" s="117">
        <v>-0.20014266667719571</v>
      </c>
      <c r="D310" s="118">
        <v>-0.30208784782632159</v>
      </c>
      <c r="F310" s="27">
        <f>INDEX(A310:D318,,F301)</f>
        <v>0.9263117109797756</v>
      </c>
      <c r="G310" s="29">
        <f>INDEX(A302:D310,,G301)</f>
        <v>-0.30208784782632159</v>
      </c>
      <c r="I310" s="27">
        <f t="shared" si="101"/>
        <v>0.76679631809394044</v>
      </c>
      <c r="J310" s="28">
        <f t="shared" si="102"/>
        <v>-0.55965502237239606</v>
      </c>
      <c r="K310" s="28">
        <f t="shared" si="103"/>
        <v>0.27476284937577633</v>
      </c>
      <c r="L310" s="29">
        <f t="shared" si="100"/>
        <v>-0.42914141055793514</v>
      </c>
      <c r="Q310" s="27">
        <v>0.92632735375484221</v>
      </c>
      <c r="R310" s="29">
        <v>-0.30203987714897784</v>
      </c>
    </row>
    <row r="311" spans="1:18" x14ac:dyDescent="0.35">
      <c r="I311">
        <f>SUM(I302:I310)</f>
        <v>0.67136342719574771</v>
      </c>
      <c r="J311">
        <f>SUM(J302:J310)</f>
        <v>-0.17538440574273839</v>
      </c>
      <c r="K311">
        <f>SUM(K302:K310)</f>
        <v>1.567409169467753</v>
      </c>
      <c r="L311">
        <f>SUM(L302:L310)</f>
        <v>-1.3240471633522821E-2</v>
      </c>
    </row>
    <row r="312" spans="1:18" x14ac:dyDescent="0.35">
      <c r="A312" s="12" t="s">
        <v>2</v>
      </c>
      <c r="B312">
        <f>COUNT(A302:A310)</f>
        <v>9</v>
      </c>
      <c r="I312" s="12" t="s">
        <v>16</v>
      </c>
      <c r="J312" s="12" t="s">
        <v>258</v>
      </c>
      <c r="K312" s="12" t="s">
        <v>18</v>
      </c>
      <c r="L312" s="12" t="s">
        <v>19</v>
      </c>
      <c r="N312" s="12"/>
    </row>
    <row r="314" spans="1:18" x14ac:dyDescent="0.35">
      <c r="A314">
        <v>1</v>
      </c>
      <c r="B314">
        <v>2</v>
      </c>
      <c r="C314">
        <v>3</v>
      </c>
      <c r="D314">
        <v>4</v>
      </c>
      <c r="F314">
        <v>3</v>
      </c>
      <c r="G314">
        <v>4</v>
      </c>
      <c r="I314" s="12" t="s">
        <v>251</v>
      </c>
      <c r="J314" s="12" t="s">
        <v>252</v>
      </c>
      <c r="K314" s="12" t="s">
        <v>253</v>
      </c>
      <c r="L314" s="12" t="s">
        <v>254</v>
      </c>
      <c r="Q314">
        <f>F314</f>
        <v>3</v>
      </c>
      <c r="R314">
        <f>G314</f>
        <v>4</v>
      </c>
    </row>
    <row r="315" spans="1:18" x14ac:dyDescent="0.35">
      <c r="A315" s="110">
        <f t="array" ref="A315:A323">IF(A314=$Q301,$Q302:$Q310,IF(A314=$R301,$R302:$R310,A302:A310))</f>
        <v>-9.1280476661328908E-2</v>
      </c>
      <c r="B315" s="111">
        <f t="array" ref="B315:B323">IF(B314=$Q301,$Q302:$Q310,IF(B314=$R301,$R302:$R310,B302:B310))</f>
        <v>-0.88932094108737936</v>
      </c>
      <c r="C315" s="111">
        <f t="array" ref="C315:C323">IF(C314=$Q301,$Q302:$Q310,IF(C314=$R301,$R302:$R310,C302:C310))</f>
        <v>-0.34326841109015349</v>
      </c>
      <c r="D315" s="112">
        <f t="array" ref="D315:D323">IF(D314=$Q301,$Q302:$Q310,IF(D314=$R301,$R302:$R310,D302:D310))</f>
        <v>-0.2879981532433506</v>
      </c>
      <c r="F315" s="94">
        <f>INDEX(A315:D323,,F314)</f>
        <v>-0.34326841109015349</v>
      </c>
      <c r="G315" s="96">
        <f>INDEX(A315:D323,,G314)</f>
        <v>-0.2879981532433506</v>
      </c>
      <c r="I315" s="94">
        <f>F315^2-G315^2</f>
        <v>3.4890265780778168E-2</v>
      </c>
      <c r="J315" s="95">
        <f>2*F315*G315</f>
        <v>0.197721336921487</v>
      </c>
      <c r="K315" s="95">
        <f>I315^2-J315^2</f>
        <v>-3.7876396427766836E-2</v>
      </c>
      <c r="L315" s="96">
        <f t="shared" ref="L315:L323" si="104">I315*J315</f>
        <v>6.8985499957214683E-3</v>
      </c>
      <c r="N315" t="s">
        <v>12</v>
      </c>
      <c r="O315" s="51">
        <f>2*L324*B325-2*I324*J324</f>
        <v>1.2028337531111433E-5</v>
      </c>
      <c r="Q315" s="94">
        <f t="array" ref="Q315:R323">MMULT(F315:G323,N319:O320)</f>
        <v>-0.343268460277809</v>
      </c>
      <c r="R315" s="96">
        <v>-0.28799809461599107</v>
      </c>
    </row>
    <row r="316" spans="1:18" x14ac:dyDescent="0.35">
      <c r="A316" s="113">
        <v>-0.80893643665245318</v>
      </c>
      <c r="B316" s="114">
        <v>0.58097356983272008</v>
      </c>
      <c r="C316" s="114">
        <v>5.8243141942473424E-2</v>
      </c>
      <c r="D316" s="115">
        <v>6.8551360515501397E-2</v>
      </c>
      <c r="F316" s="30">
        <f>INDEX(A316:D324,,F314)</f>
        <v>5.8243141942473424E-2</v>
      </c>
      <c r="G316" s="26">
        <f>INDEX(A315:D323,,G314)</f>
        <v>6.8551360515501397E-2</v>
      </c>
      <c r="I316" s="30">
        <f t="shared" ref="I316:I323" si="105">F316^2-G316^2</f>
        <v>-1.3070254451951367E-3</v>
      </c>
      <c r="J316">
        <f t="shared" ref="J316:J323" si="106">2*F316*G316</f>
        <v>7.9852932417080313E-3</v>
      </c>
      <c r="K316">
        <f t="shared" ref="K316:K323" si="107">I316^2-J316^2</f>
        <v>-6.2056592641680417E-5</v>
      </c>
      <c r="L316" s="26">
        <f t="shared" si="104"/>
        <v>-1.0436981454257156E-5</v>
      </c>
      <c r="N316" t="s">
        <v>255</v>
      </c>
      <c r="O316" s="52">
        <f>K324*B325-(I324^2-J324^2)</f>
        <v>17.606748116264026</v>
      </c>
      <c r="Q316" s="30">
        <v>5.8243153650467956E-2</v>
      </c>
      <c r="R316" s="26">
        <v>6.8551350568061983E-2</v>
      </c>
    </row>
    <row r="317" spans="1:18" x14ac:dyDescent="0.35">
      <c r="A317" s="113">
        <v>-0.9863103713513437</v>
      </c>
      <c r="B317" s="114">
        <v>-0.14235585132659864</v>
      </c>
      <c r="C317" s="114">
        <v>8.0851964898392109E-2</v>
      </c>
      <c r="D317" s="115">
        <v>-1.9738863440522138E-2</v>
      </c>
      <c r="F317" s="30">
        <f>INDEX(A317:D325,,F314)</f>
        <v>8.0851964898392109E-2</v>
      </c>
      <c r="G317" s="26">
        <f>INDEX(A315:D323,,G314)</f>
        <v>-1.9738863440522138E-2</v>
      </c>
      <c r="I317" s="30">
        <f t="shared" si="105"/>
        <v>6.1474174980072479E-3</v>
      </c>
      <c r="J317">
        <f t="shared" si="106"/>
        <v>-3.1918517880545026E-3</v>
      </c>
      <c r="K317">
        <f t="shared" si="107"/>
        <v>2.7602824057898963E-5</v>
      </c>
      <c r="L317" s="26">
        <f t="shared" si="104"/>
        <v>-1.962164553293197E-5</v>
      </c>
      <c r="N317" t="s">
        <v>256</v>
      </c>
      <c r="O317" s="53">
        <f>0.25*ATAN(O315/O316)</f>
        <v>1.7079158302944263E-7</v>
      </c>
      <c r="Q317" s="30">
        <v>8.0851961527159191E-2</v>
      </c>
      <c r="R317" s="26">
        <v>-1.9738877249356926E-2</v>
      </c>
    </row>
    <row r="318" spans="1:18" x14ac:dyDescent="0.35">
      <c r="A318" s="113">
        <v>-0.10438557933008505</v>
      </c>
      <c r="B318" s="114">
        <v>5.1626731616735517E-3</v>
      </c>
      <c r="C318" s="114">
        <v>9.103858205097233E-2</v>
      </c>
      <c r="D318" s="115">
        <v>-0.99034790564321196</v>
      </c>
      <c r="F318" s="30">
        <f>INDEX(A318:D326,,F314)</f>
        <v>9.103858205097233E-2</v>
      </c>
      <c r="G318" s="26">
        <f>INDEX(A315:D323,,G314)</f>
        <v>-0.99034790564321196</v>
      </c>
      <c r="I318" s="30">
        <f t="shared" si="105"/>
        <v>-0.97250095079004462</v>
      </c>
      <c r="J318">
        <f t="shared" si="106"/>
        <v>-0.1803197381338163</v>
      </c>
      <c r="K318">
        <f t="shared" si="107"/>
        <v>0.91324289132689263</v>
      </c>
      <c r="L318" s="26">
        <f t="shared" si="104"/>
        <v>0.17536111678134822</v>
      </c>
      <c r="Q318" s="30">
        <v>9.1038412907884461E-2</v>
      </c>
      <c r="R318" s="26">
        <v>-0.99034792119182102</v>
      </c>
    </row>
    <row r="319" spans="1:18" x14ac:dyDescent="0.35">
      <c r="A319" s="113">
        <v>-0.40019063034759506</v>
      </c>
      <c r="B319" s="114">
        <v>0.10114804974051779</v>
      </c>
      <c r="C319" s="114">
        <v>0.87720415197826251</v>
      </c>
      <c r="D319" s="115">
        <v>-0.24521298327735708</v>
      </c>
      <c r="F319" s="30">
        <f>INDEX(A319:D327,,F314)</f>
        <v>0.87720415197826251</v>
      </c>
      <c r="G319" s="26">
        <f>INDEX(A315:D323,,G314)</f>
        <v>-0.24521298327735708</v>
      </c>
      <c r="I319" s="30">
        <f t="shared" si="105"/>
        <v>0.7093577170801213</v>
      </c>
      <c r="J319">
        <f t="shared" si="106"/>
        <v>-0.43020369409974779</v>
      </c>
      <c r="K319">
        <f t="shared" si="107"/>
        <v>0.31811315236405208</v>
      </c>
      <c r="L319" s="26">
        <f t="shared" si="104"/>
        <v>-0.30516831032603192</v>
      </c>
      <c r="N319" s="94">
        <f>COS(O317)</f>
        <v>0.99999999999998546</v>
      </c>
      <c r="O319" s="96">
        <f>-N320</f>
        <v>-1.7079158302944181E-7</v>
      </c>
      <c r="Q319" s="30">
        <v>0.8772041100979362</v>
      </c>
      <c r="R319" s="26">
        <v>-0.24521313309643927</v>
      </c>
    </row>
    <row r="320" spans="1:18" x14ac:dyDescent="0.35">
      <c r="A320" s="113">
        <v>1.4320378389273353E-3</v>
      </c>
      <c r="B320" s="114">
        <v>-2.4803442213399515E-2</v>
      </c>
      <c r="C320" s="114">
        <v>0.99722035952111066</v>
      </c>
      <c r="D320" s="115">
        <v>7.0244523477503235E-2</v>
      </c>
      <c r="F320" s="30">
        <f>INDEX(A320:D328,,F314)</f>
        <v>0.99722035952111066</v>
      </c>
      <c r="G320" s="26">
        <f>INDEX(A315:D323,,G314)</f>
        <v>7.0244523477503235E-2</v>
      </c>
      <c r="I320" s="30">
        <f t="shared" si="105"/>
        <v>0.98951415236483165</v>
      </c>
      <c r="J320">
        <f t="shared" si="106"/>
        <v>0.14009853791324975</v>
      </c>
      <c r="K320">
        <f t="shared" si="107"/>
        <v>0.95951065740486097</v>
      </c>
      <c r="L320" s="26">
        <f t="shared" si="104"/>
        <v>0.13862948599078156</v>
      </c>
      <c r="N320" s="27">
        <f>SIN(O317)</f>
        <v>1.7079158302944181E-7</v>
      </c>
      <c r="O320" s="29">
        <f>N319</f>
        <v>0.99999999999998546</v>
      </c>
      <c r="Q320" s="30">
        <v>0.99722037151826948</v>
      </c>
      <c r="R320" s="26">
        <v>7.0244353160658371E-2</v>
      </c>
    </row>
    <row r="321" spans="1:18" x14ac:dyDescent="0.35">
      <c r="A321" s="113">
        <v>-0.9771492016372969</v>
      </c>
      <c r="B321" s="114">
        <v>-1.4712946732603105E-3</v>
      </c>
      <c r="C321" s="114">
        <v>0.13726020098277436</v>
      </c>
      <c r="D321" s="115">
        <v>-0.1622865067026408</v>
      </c>
      <c r="F321" s="30">
        <f>INDEX(A321:D329,,F314)</f>
        <v>0.13726020098277436</v>
      </c>
      <c r="G321" s="26">
        <f>INDEX(A315:D323,,G314)</f>
        <v>-0.1622865067026408</v>
      </c>
      <c r="I321" s="30">
        <f t="shared" si="105"/>
        <v>-7.4965474839146645E-3</v>
      </c>
      <c r="J321">
        <f t="shared" si="106"/>
        <v>-4.4550957053593673E-2</v>
      </c>
      <c r="K321">
        <f t="shared" si="107"/>
        <v>-1.9285895502125607E-3</v>
      </c>
      <c r="L321" s="26">
        <f t="shared" si="104"/>
        <v>3.3397836500610793E-4</v>
      </c>
      <c r="Q321" s="30">
        <v>0.13726017326560297</v>
      </c>
      <c r="R321" s="26">
        <v>-0.16228653014552546</v>
      </c>
    </row>
    <row r="322" spans="1:18" x14ac:dyDescent="0.35">
      <c r="A322" s="113">
        <v>-0.72024965265711782</v>
      </c>
      <c r="B322" s="114">
        <v>0.20370847712026638</v>
      </c>
      <c r="C322" s="114">
        <v>0.55084727725908078</v>
      </c>
      <c r="D322" s="115">
        <v>-0.36920261555533457</v>
      </c>
      <c r="F322" s="30">
        <f>INDEX(A322:D330,,F314)</f>
        <v>0.55084727725908078</v>
      </c>
      <c r="G322" s="26">
        <f>INDEX(A315:D323,,G314)</f>
        <v>-0.36920261555533457</v>
      </c>
      <c r="I322" s="30">
        <f t="shared" si="105"/>
        <v>0.16712215153084245</v>
      </c>
      <c r="J322">
        <f t="shared" si="106"/>
        <v>-0.40674851107117438</v>
      </c>
      <c r="K322">
        <f t="shared" si="107"/>
        <v>-0.13751453772631939</v>
      </c>
      <c r="L322" s="26">
        <f t="shared" si="104"/>
        <v>-6.7976686302181358E-2</v>
      </c>
      <c r="Q322" s="30">
        <v>0.55084721420237359</v>
      </c>
      <c r="R322" s="26">
        <v>-0.36920270963540769</v>
      </c>
    </row>
    <row r="323" spans="1:18" x14ac:dyDescent="0.35">
      <c r="A323" s="116">
        <v>-0.10311381707958901</v>
      </c>
      <c r="B323" s="117">
        <v>0.92632735375484221</v>
      </c>
      <c r="C323" s="117">
        <v>-0.20014266667719571</v>
      </c>
      <c r="D323" s="118">
        <v>-0.30203987714897784</v>
      </c>
      <c r="F323" s="27">
        <f>INDEX(A323:D331,,F314)</f>
        <v>-0.20014266667719571</v>
      </c>
      <c r="G323" s="29">
        <f>INDEX(A315:D323,,G314)</f>
        <v>-0.30203987714897784</v>
      </c>
      <c r="I323" s="27">
        <f t="shared" si="105"/>
        <v>-5.1171000363510556E-2</v>
      </c>
      <c r="J323" s="28">
        <f t="shared" si="106"/>
        <v>0.12090213291089803</v>
      </c>
      <c r="K323" s="28">
        <f t="shared" si="107"/>
        <v>-1.1998854464202055E-2</v>
      </c>
      <c r="L323" s="29">
        <f t="shared" si="104"/>
        <v>-6.1866830871327647E-3</v>
      </c>
      <c r="Q323" s="27">
        <v>-0.20014271826306154</v>
      </c>
      <c r="R323" s="29">
        <v>-0.30203984296629061</v>
      </c>
    </row>
    <row r="324" spans="1:18" x14ac:dyDescent="0.35">
      <c r="I324">
        <f>SUM(I315:I323)</f>
        <v>0.87455618017191583</v>
      </c>
      <c r="J324">
        <f>SUM(J315:J323)</f>
        <v>-0.59830745115904382</v>
      </c>
      <c r="K324">
        <f>SUM(K315:K323)</f>
        <v>2.0015138691587206</v>
      </c>
      <c r="L324">
        <f>SUM(L315:L323)</f>
        <v>-5.8138607209475883E-2</v>
      </c>
    </row>
    <row r="325" spans="1:18" x14ac:dyDescent="0.35">
      <c r="A325" s="12" t="s">
        <v>2</v>
      </c>
      <c r="B325">
        <f>COUNT(A315:A323)</f>
        <v>9</v>
      </c>
      <c r="I325" s="12" t="s">
        <v>16</v>
      </c>
      <c r="J325" s="12" t="s">
        <v>258</v>
      </c>
      <c r="K325" s="12" t="s">
        <v>18</v>
      </c>
      <c r="L325" s="12" t="s">
        <v>19</v>
      </c>
      <c r="N325" s="12"/>
    </row>
    <row r="327" spans="1:18" x14ac:dyDescent="0.35">
      <c r="A327">
        <v>1</v>
      </c>
      <c r="B327">
        <v>2</v>
      </c>
      <c r="C327">
        <v>3</v>
      </c>
      <c r="D327">
        <v>4</v>
      </c>
      <c r="F327">
        <v>1</v>
      </c>
      <c r="G327">
        <v>2</v>
      </c>
      <c r="I327" s="12" t="s">
        <v>251</v>
      </c>
      <c r="J327" s="12" t="s">
        <v>252</v>
      </c>
      <c r="K327" s="12" t="s">
        <v>253</v>
      </c>
      <c r="L327" s="12" t="s">
        <v>254</v>
      </c>
      <c r="Q327">
        <f>F327</f>
        <v>1</v>
      </c>
      <c r="R327">
        <f>G327</f>
        <v>2</v>
      </c>
    </row>
    <row r="328" spans="1:18" x14ac:dyDescent="0.35">
      <c r="A328" s="110">
        <f t="array" ref="A328:A336">IF(A327=$Q314,$Q315:$Q323,IF(A327=$R314,$R315:$R323,A315:A323))</f>
        <v>-9.1280476661328908E-2</v>
      </c>
      <c r="B328" s="111">
        <f t="array" ref="B328:B336">IF(B327=$Q314,$Q315:$Q323,IF(B327=$R314,$R315:$R323,B315:B323))</f>
        <v>-0.88932094108737936</v>
      </c>
      <c r="C328" s="111">
        <f t="array" ref="C328:C336">IF(C327=$Q314,$Q315:$Q323,IF(C327=$R314,$R315:$R323,C315:C323))</f>
        <v>-0.343268460277809</v>
      </c>
      <c r="D328" s="112">
        <f t="array" ref="D328:D336">IF(D327=$Q314,$Q315:$Q323,IF(D327=$R314,$R315:$R323,D315:D323))</f>
        <v>-0.28799809461599107</v>
      </c>
      <c r="F328" s="94">
        <f>INDEX(A328:D336,,F327)</f>
        <v>-9.1280476661328908E-2</v>
      </c>
      <c r="G328" s="96">
        <f>INDEX(A328:D336,,G327)</f>
        <v>-0.88932094108737936</v>
      </c>
      <c r="I328" s="94">
        <f>F328^2-G328^2</f>
        <v>-0.78255961083702263</v>
      </c>
      <c r="J328" s="95">
        <f>2*F328*G328</f>
        <v>0.16235527881471518</v>
      </c>
      <c r="K328" s="95">
        <f>I328^2-J328^2</f>
        <v>0.58604030795438844</v>
      </c>
      <c r="L328" s="96">
        <f t="shared" ref="L328:L336" si="108">I328*J328</f>
        <v>-0.1270526838065798</v>
      </c>
      <c r="N328" t="s">
        <v>12</v>
      </c>
      <c r="O328" s="51">
        <f>2*L337*B338-2*I337*J337</f>
        <v>3.2673083261718361E-3</v>
      </c>
      <c r="Q328" s="94">
        <f t="array" ref="Q328:R336">MMULT(F328:G336,N332:O333)</f>
        <v>-9.1314985886446362E-2</v>
      </c>
      <c r="R328" s="96">
        <v>-0.88931739836158585</v>
      </c>
    </row>
    <row r="329" spans="1:18" x14ac:dyDescent="0.35">
      <c r="A329" s="113">
        <v>-0.80893643665245318</v>
      </c>
      <c r="B329" s="114">
        <v>0.58097356983272008</v>
      </c>
      <c r="C329" s="114">
        <v>5.8243153650467956E-2</v>
      </c>
      <c r="D329" s="115">
        <v>6.8551350568061983E-2</v>
      </c>
      <c r="F329" s="30">
        <f>INDEX(A329:D337,,F327)</f>
        <v>-0.80893643665245318</v>
      </c>
      <c r="G329" s="26">
        <f>INDEX(A328:D336,,G327)</f>
        <v>0.58097356983272008</v>
      </c>
      <c r="I329" s="30">
        <f t="shared" ref="I329:I336" si="109">F329^2-G329^2</f>
        <v>0.31684786969979395</v>
      </c>
      <c r="J329">
        <f t="shared" ref="J329:J336" si="110">2*F329*G329</f>
        <v>-0.93994137873947148</v>
      </c>
      <c r="K329">
        <f t="shared" ref="K329:K336" si="111">I329^2-J329^2</f>
        <v>-0.78309722293336093</v>
      </c>
      <c r="L329" s="26">
        <f t="shared" si="108"/>
        <v>-0.29781842349628873</v>
      </c>
      <c r="N329" t="s">
        <v>255</v>
      </c>
      <c r="O329" s="52">
        <f>K337*B338-(I337^2-J337^2)</f>
        <v>21.050022820030222</v>
      </c>
      <c r="Q329" s="30">
        <v>-0.80891389189011509</v>
      </c>
      <c r="R329" s="26">
        <v>0.58100495944125141</v>
      </c>
    </row>
    <row r="330" spans="1:18" x14ac:dyDescent="0.35">
      <c r="A330" s="113">
        <v>-0.9863103713513437</v>
      </c>
      <c r="B330" s="114">
        <v>-0.14235585132659864</v>
      </c>
      <c r="C330" s="114">
        <v>8.0851961527159191E-2</v>
      </c>
      <c r="D330" s="115">
        <v>-1.9738877249356926E-2</v>
      </c>
      <c r="F330" s="30">
        <f>INDEX(A330:D338,,F327)</f>
        <v>-0.9863103713513437</v>
      </c>
      <c r="G330" s="26">
        <f>INDEX(A328:D336,,G327)</f>
        <v>-0.14235585132659864</v>
      </c>
      <c r="I330" s="30">
        <f t="shared" si="109"/>
        <v>0.95254296022830476</v>
      </c>
      <c r="J330">
        <f t="shared" si="110"/>
        <v>0.28081410517194838</v>
      </c>
      <c r="K330">
        <f t="shared" si="111"/>
        <v>0.82848152941697972</v>
      </c>
      <c r="L330" s="26">
        <f t="shared" si="108"/>
        <v>0.26748749901435021</v>
      </c>
      <c r="N330" t="s">
        <v>256</v>
      </c>
      <c r="O330" s="53">
        <f>0.25*ATAN(O328/O329)</f>
        <v>3.8804094511764832E-5</v>
      </c>
      <c r="Q330" s="30">
        <v>-0.9863158945986793</v>
      </c>
      <c r="R330" s="26">
        <v>-0.14231757833856368</v>
      </c>
    </row>
    <row r="331" spans="1:18" x14ac:dyDescent="0.35">
      <c r="A331" s="113">
        <v>-0.10438557933008505</v>
      </c>
      <c r="B331" s="114">
        <v>5.1626731616735517E-3</v>
      </c>
      <c r="C331" s="114">
        <v>9.1038412907884461E-2</v>
      </c>
      <c r="D331" s="115">
        <v>-0.99034792119182102</v>
      </c>
      <c r="F331" s="30">
        <f>INDEX(A331:D339,,F327)</f>
        <v>-0.10438557933008505</v>
      </c>
      <c r="G331" s="26">
        <f>INDEX(A328:D336,,G327)</f>
        <v>5.1626731616735517E-3</v>
      </c>
      <c r="I331" s="30">
        <f t="shared" si="109"/>
        <v>1.0869695977903214E-2</v>
      </c>
      <c r="J331">
        <f t="shared" si="110"/>
        <v>-1.077817257746351E-3</v>
      </c>
      <c r="K331">
        <f t="shared" si="111"/>
        <v>1.1698860061094944E-4</v>
      </c>
      <c r="L331" s="26">
        <f t="shared" si="108"/>
        <v>-1.1715545911440182E-5</v>
      </c>
      <c r="Q331" s="30">
        <v>-0.10438537891863811</v>
      </c>
      <c r="R331" s="26">
        <v>5.1667237456716579E-3</v>
      </c>
    </row>
    <row r="332" spans="1:18" x14ac:dyDescent="0.35">
      <c r="A332" s="113">
        <v>-0.40019063034759506</v>
      </c>
      <c r="B332" s="114">
        <v>0.10114804974051779</v>
      </c>
      <c r="C332" s="114">
        <v>0.8772041100979362</v>
      </c>
      <c r="D332" s="115">
        <v>-0.24521313309643927</v>
      </c>
      <c r="F332" s="30">
        <f>INDEX(A332:D340,,F327)</f>
        <v>-0.40019063034759506</v>
      </c>
      <c r="G332" s="26">
        <f>INDEX(A328:D336,,G327)</f>
        <v>0.10114804974051779</v>
      </c>
      <c r="I332" s="30">
        <f t="shared" si="109"/>
        <v>0.14992161265169521</v>
      </c>
      <c r="J332">
        <f t="shared" si="110"/>
        <v>-8.0957003568175423E-2</v>
      </c>
      <c r="K332">
        <f t="shared" si="111"/>
        <v>1.5922453513347368E-2</v>
      </c>
      <c r="L332" s="26">
        <f t="shared" si="108"/>
        <v>-1.2137204530389903E-2</v>
      </c>
      <c r="N332" s="94">
        <f>COS(O330)</f>
        <v>0.99999999924712113</v>
      </c>
      <c r="O332" s="96">
        <f>-N333</f>
        <v>-3.8804094502026569E-5</v>
      </c>
      <c r="Q332" s="30">
        <v>-0.40018670508781917</v>
      </c>
      <c r="R332" s="26">
        <v>0.1011635786994044</v>
      </c>
    </row>
    <row r="333" spans="1:18" x14ac:dyDescent="0.35">
      <c r="A333" s="113">
        <v>1.4320378389273353E-3</v>
      </c>
      <c r="B333" s="114">
        <v>-2.4803442213399515E-2</v>
      </c>
      <c r="C333" s="114">
        <v>0.99722037151826948</v>
      </c>
      <c r="D333" s="115">
        <v>7.0244353160658371E-2</v>
      </c>
      <c r="F333" s="30">
        <f>INDEX(A333:D341,,F327)</f>
        <v>1.4320378389273353E-3</v>
      </c>
      <c r="G333" s="26">
        <f>INDEX(A328:D336,,G327)</f>
        <v>-2.4803442213399515E-2</v>
      </c>
      <c r="I333" s="30">
        <f t="shared" si="109"/>
        <v>-6.1316001326132939E-4</v>
      </c>
      <c r="J333">
        <f t="shared" si="110"/>
        <v>-7.1038935570471375E-5</v>
      </c>
      <c r="K333">
        <f t="shared" si="111"/>
        <v>3.7091867149564809E-7</v>
      </c>
      <c r="L333" s="26">
        <f t="shared" si="108"/>
        <v>4.3558234676460953E-8</v>
      </c>
      <c r="N333" s="27">
        <f>SIN(O330)</f>
        <v>3.8804094502026569E-5</v>
      </c>
      <c r="O333" s="29">
        <f>N332</f>
        <v>0.99999999924712113</v>
      </c>
      <c r="Q333" s="30">
        <v>1.43107536273356E-3</v>
      </c>
      <c r="R333" s="26">
        <v>-2.4803497763657163E-2</v>
      </c>
    </row>
    <row r="334" spans="1:18" x14ac:dyDescent="0.35">
      <c r="A334" s="113">
        <v>-0.9771492016372969</v>
      </c>
      <c r="B334" s="114">
        <v>-1.4712946732603105E-3</v>
      </c>
      <c r="C334" s="114">
        <v>0.13726017326560297</v>
      </c>
      <c r="D334" s="115">
        <v>-0.16228653014552546</v>
      </c>
      <c r="F334" s="30">
        <f>INDEX(A334:D342,,F327)</f>
        <v>-0.9771492016372969</v>
      </c>
      <c r="G334" s="26">
        <f>INDEX(A328:D336,,G327)</f>
        <v>-1.4712946732603105E-3</v>
      </c>
      <c r="I334" s="30">
        <f t="shared" si="109"/>
        <v>0.95481839755239106</v>
      </c>
      <c r="J334">
        <f t="shared" si="110"/>
        <v>2.8753488306990402E-3</v>
      </c>
      <c r="K334">
        <f t="shared" si="111"/>
        <v>0.91166990467361764</v>
      </c>
      <c r="L334" s="26">
        <f t="shared" si="108"/>
        <v>2.7454359629321989E-3</v>
      </c>
      <c r="Q334" s="30">
        <v>-0.97714925799387953</v>
      </c>
      <c r="R334" s="26">
        <v>-1.4333772821896905E-3</v>
      </c>
    </row>
    <row r="335" spans="1:18" x14ac:dyDescent="0.35">
      <c r="A335" s="113">
        <v>-0.72024965265711782</v>
      </c>
      <c r="B335" s="114">
        <v>0.20370847712026638</v>
      </c>
      <c r="C335" s="114">
        <v>0.55084721420237359</v>
      </c>
      <c r="D335" s="115">
        <v>-0.36920270963540769</v>
      </c>
      <c r="F335" s="30">
        <f>INDEX(A335:D343,,F327)</f>
        <v>-0.72024965265711782</v>
      </c>
      <c r="G335" s="26">
        <f>INDEX(A328:D336,,G327)</f>
        <v>0.20370847712026638</v>
      </c>
      <c r="I335" s="30">
        <f t="shared" si="109"/>
        <v>0.47726241850204082</v>
      </c>
      <c r="J335">
        <f t="shared" si="110"/>
        <v>-0.29344191977836459</v>
      </c>
      <c r="K335">
        <f t="shared" si="111"/>
        <v>0.14167125583120499</v>
      </c>
      <c r="L335" s="26">
        <f t="shared" si="108"/>
        <v>-0.14004880032330413</v>
      </c>
      <c r="Q335" s="30">
        <v>-0.72024174739185998</v>
      </c>
      <c r="R335" s="26">
        <v>0.20373642560248531</v>
      </c>
    </row>
    <row r="336" spans="1:18" x14ac:dyDescent="0.35">
      <c r="A336" s="116">
        <v>-0.10311381707958901</v>
      </c>
      <c r="B336" s="117">
        <v>0.92632735375484221</v>
      </c>
      <c r="C336" s="117">
        <v>-0.20014271826306154</v>
      </c>
      <c r="D336" s="118">
        <v>-0.30203984296629061</v>
      </c>
      <c r="F336" s="27">
        <f>INDEX(A336:D344,,F327)</f>
        <v>-0.10311381707958901</v>
      </c>
      <c r="G336" s="29">
        <f>INDEX(A328:D336,,G327)</f>
        <v>0.92632735375484221</v>
      </c>
      <c r="I336" s="27">
        <f t="shared" si="109"/>
        <v>-0.84744990704172563</v>
      </c>
      <c r="J336" s="28">
        <f t="shared" si="110"/>
        <v>-0.19103429862179308</v>
      </c>
      <c r="K336" s="28">
        <f t="shared" si="111"/>
        <v>0.68167724169510902</v>
      </c>
      <c r="L336" s="29">
        <f t="shared" si="108"/>
        <v>0.16189199860881981</v>
      </c>
      <c r="Q336" s="27">
        <v>-0.10307787170778188</v>
      </c>
      <c r="R336" s="29">
        <v>0.92633135429573243</v>
      </c>
    </row>
    <row r="337" spans="1:18" x14ac:dyDescent="0.35">
      <c r="I337">
        <f>SUM(I328:I336)</f>
        <v>1.2316402767201196</v>
      </c>
      <c r="J337">
        <f>SUM(J328:J336)</f>
        <v>-1.0604787240837588</v>
      </c>
      <c r="K337">
        <f>SUM(K328:K336)</f>
        <v>2.3824828296705687</v>
      </c>
      <c r="L337">
        <f>SUM(L328:L336)</f>
        <v>-0.14494385055813713</v>
      </c>
    </row>
    <row r="338" spans="1:18" x14ac:dyDescent="0.35">
      <c r="A338" s="12" t="s">
        <v>2</v>
      </c>
      <c r="B338">
        <f>COUNT(A328:A336)</f>
        <v>9</v>
      </c>
      <c r="I338" s="12" t="s">
        <v>16</v>
      </c>
      <c r="J338" s="12" t="s">
        <v>258</v>
      </c>
      <c r="K338" s="12" t="s">
        <v>18</v>
      </c>
      <c r="L338" s="12" t="s">
        <v>19</v>
      </c>
      <c r="N338" s="12"/>
    </row>
    <row r="340" spans="1:18" x14ac:dyDescent="0.35">
      <c r="A340">
        <v>1</v>
      </c>
      <c r="B340">
        <v>2</v>
      </c>
      <c r="C340">
        <v>3</v>
      </c>
      <c r="D340">
        <v>4</v>
      </c>
      <c r="F340">
        <v>1</v>
      </c>
      <c r="G340">
        <v>3</v>
      </c>
      <c r="I340" s="12" t="s">
        <v>251</v>
      </c>
      <c r="J340" s="12" t="s">
        <v>252</v>
      </c>
      <c r="K340" s="12" t="s">
        <v>253</v>
      </c>
      <c r="L340" s="12" t="s">
        <v>254</v>
      </c>
      <c r="Q340">
        <f>F340</f>
        <v>1</v>
      </c>
      <c r="R340">
        <f>G340</f>
        <v>3</v>
      </c>
    </row>
    <row r="341" spans="1:18" x14ac:dyDescent="0.35">
      <c r="A341" s="110">
        <f t="array" ref="A341:A349">IF(A340=$Q327,$Q328:$Q336,IF(A340=$R327,$R328:$R336,A328:A336))</f>
        <v>-9.1314985886446362E-2</v>
      </c>
      <c r="B341" s="111">
        <f t="array" ref="B341:B349">IF(B340=$Q327,$Q328:$Q336,IF(B340=$R327,$R328:$R336,B328:B336))</f>
        <v>-0.88931739836158585</v>
      </c>
      <c r="C341" s="111">
        <f t="array" ref="C341:C349">IF(C340=$Q327,$Q328:$Q336,IF(C340=$R327,$R328:$R336,C328:C336))</f>
        <v>-0.343268460277809</v>
      </c>
      <c r="D341" s="112">
        <f t="array" ref="D341:D349">IF(D340=$Q327,$Q328:$Q336,IF(D340=$R327,$R328:$R336,D328:D336))</f>
        <v>-0.28799809461599107</v>
      </c>
      <c r="F341" s="94">
        <f>INDEX(A341:D349,,F340)</f>
        <v>-9.1314985886446362E-2</v>
      </c>
      <c r="G341" s="96">
        <f>INDEX(A341:D349,,G340)</f>
        <v>-0.343268460277809</v>
      </c>
      <c r="I341" s="94">
        <f>F341^2-G341^2</f>
        <v>-0.10949480917405582</v>
      </c>
      <c r="J341" s="95">
        <f>2*F341*G341</f>
        <v>6.2691109211060608E-2</v>
      </c>
      <c r="K341" s="95">
        <f>I341^2-J341^2</f>
        <v>8.0589380619497698E-3</v>
      </c>
      <c r="L341" s="96">
        <f t="shared" ref="L341:L349" si="112">I341*J341</f>
        <v>-6.864351039974975E-3</v>
      </c>
      <c r="N341" t="s">
        <v>12</v>
      </c>
      <c r="O341" s="51">
        <f>L350*B351-2*I350*J350</f>
        <v>1.9844110796079408</v>
      </c>
      <c r="Q341" s="94">
        <f t="array" ref="Q341:R349">MMULT(F341:G349,N345:O346)</f>
        <v>-9.8251505976345702E-2</v>
      </c>
      <c r="R341" s="96">
        <v>-0.34134777579811437</v>
      </c>
    </row>
    <row r="342" spans="1:18" x14ac:dyDescent="0.35">
      <c r="A342" s="113">
        <v>-0.80891389189011509</v>
      </c>
      <c r="B342" s="114">
        <v>0.58100495944125141</v>
      </c>
      <c r="C342" s="114">
        <v>5.8243153650467956E-2</v>
      </c>
      <c r="D342" s="115">
        <v>6.8551350568061983E-2</v>
      </c>
      <c r="F342" s="30">
        <f>INDEX(A342:D350,,F340)</f>
        <v>-0.80891389189011509</v>
      </c>
      <c r="G342" s="26">
        <f>INDEX(A341:D349,,G340)</f>
        <v>5.8243153650467956E-2</v>
      </c>
      <c r="I342" s="30">
        <f t="shared" ref="I342:I349" si="113">F342^2-G342^2</f>
        <v>0.65094941954566077</v>
      </c>
      <c r="J342">
        <f t="shared" ref="J342:J349" si="114">2*F342*G342</f>
        <v>-9.4227392190707998E-2</v>
      </c>
      <c r="K342">
        <f t="shared" ref="K342:K349" si="115">I342^2-J342^2</f>
        <v>0.41485634536777116</v>
      </c>
      <c r="L342" s="26">
        <f t="shared" si="112"/>
        <v>-6.1337266251842701E-2</v>
      </c>
      <c r="N342" t="s">
        <v>255</v>
      </c>
      <c r="O342" s="52">
        <f>K350*B351-(I350^2-J350^2)</f>
        <v>24.429217411856001</v>
      </c>
      <c r="Q342" s="30">
        <v>-0.80756771131900762</v>
      </c>
      <c r="R342" s="26">
        <v>7.4621317831735326E-2</v>
      </c>
    </row>
    <row r="343" spans="1:18" x14ac:dyDescent="0.35">
      <c r="A343" s="113">
        <v>-0.9863158945986793</v>
      </c>
      <c r="B343" s="114">
        <v>-0.14231757833856368</v>
      </c>
      <c r="C343" s="114">
        <v>8.0851961527159191E-2</v>
      </c>
      <c r="D343" s="115">
        <v>-1.9738877249356926E-2</v>
      </c>
      <c r="F343" s="30">
        <f>INDEX(A343:D351,,F340)</f>
        <v>-0.9863158945986793</v>
      </c>
      <c r="G343" s="26">
        <f>INDEX(A341:D349,,G340)</f>
        <v>8.0851961527159191E-2</v>
      </c>
      <c r="I343" s="30">
        <f t="shared" si="113"/>
        <v>0.96628200425520383</v>
      </c>
      <c r="J343">
        <f t="shared" si="114"/>
        <v>-0.15949114952743604</v>
      </c>
      <c r="K343">
        <f t="shared" si="115"/>
        <v>0.90826348496987075</v>
      </c>
      <c r="L343" s="26">
        <f t="shared" si="112"/>
        <v>-0.15411342762633731</v>
      </c>
      <c r="N343" t="s">
        <v>256</v>
      </c>
      <c r="O343" s="53">
        <f>0.25*ATAN(O341/O342)</f>
        <v>2.0263272700949016E-2</v>
      </c>
      <c r="Q343" s="30">
        <v>-0.98447519753420998</v>
      </c>
      <c r="R343" s="26">
        <v>0.10081998343959658</v>
      </c>
    </row>
    <row r="344" spans="1:18" x14ac:dyDescent="0.35">
      <c r="A344" s="113">
        <v>-0.10438537891863811</v>
      </c>
      <c r="B344" s="114">
        <v>5.1667237456716579E-3</v>
      </c>
      <c r="C344" s="114">
        <v>9.1038412907884461E-2</v>
      </c>
      <c r="D344" s="115">
        <v>-0.99034792119182102</v>
      </c>
      <c r="F344" s="30">
        <f>INDEX(A344:D352,,F340)</f>
        <v>-0.10438537891863811</v>
      </c>
      <c r="G344" s="26">
        <f>INDEX(A341:D349,,G340)</f>
        <v>9.1038412907884461E-2</v>
      </c>
      <c r="I344" s="30">
        <f t="shared" si="113"/>
        <v>2.6083147072011922E-3</v>
      </c>
      <c r="J344">
        <f t="shared" si="114"/>
        <v>-1.9006158455081908E-2</v>
      </c>
      <c r="K344">
        <f t="shared" si="115"/>
        <v>-3.5443075360787948E-4</v>
      </c>
      <c r="L344" s="26">
        <f t="shared" si="112"/>
        <v>-4.9574042625786429E-5</v>
      </c>
      <c r="Q344" s="30">
        <v>-0.10251933937400812</v>
      </c>
      <c r="R344" s="26">
        <v>9.3134768003635862E-2</v>
      </c>
    </row>
    <row r="345" spans="1:18" x14ac:dyDescent="0.35">
      <c r="A345" s="113">
        <v>-0.40018670508781917</v>
      </c>
      <c r="B345" s="114">
        <v>0.1011635786994044</v>
      </c>
      <c r="C345" s="114">
        <v>0.8772041100979362</v>
      </c>
      <c r="D345" s="115">
        <v>-0.24521313309643927</v>
      </c>
      <c r="F345" s="30">
        <f>INDEX(A345:D353,,F340)</f>
        <v>-0.40018670508781917</v>
      </c>
      <c r="G345" s="26">
        <f>INDEX(A341:D349,,G340)</f>
        <v>0.8772041100979362</v>
      </c>
      <c r="I345" s="30">
        <f t="shared" si="113"/>
        <v>-0.60933765184366706</v>
      </c>
      <c r="J345">
        <f t="shared" si="114"/>
        <v>-0.70209084501917129</v>
      </c>
      <c r="K345">
        <f t="shared" si="115"/>
        <v>-0.12163918070537999</v>
      </c>
      <c r="L345" s="26">
        <f t="shared" si="112"/>
        <v>0.42781038688491779</v>
      </c>
      <c r="N345" s="94">
        <f>COS(O343)</f>
        <v>0.9997947069143166</v>
      </c>
      <c r="O345" s="96">
        <f>-N346</f>
        <v>-2.0261886045377354E-2</v>
      </c>
      <c r="Q345" s="30">
        <v>-0.38233073980694116</v>
      </c>
      <c r="R345" s="26">
        <v>0.88513256357476444</v>
      </c>
    </row>
    <row r="346" spans="1:18" x14ac:dyDescent="0.35">
      <c r="A346" s="113">
        <v>1.43107536273356E-3</v>
      </c>
      <c r="B346" s="114">
        <v>-2.4803497763657163E-2</v>
      </c>
      <c r="C346" s="114">
        <v>0.99722037151826948</v>
      </c>
      <c r="D346" s="115">
        <v>7.0244353160658371E-2</v>
      </c>
      <c r="F346" s="30">
        <f>INDEX(A346:D354,,F340)</f>
        <v>1.43107536273356E-3</v>
      </c>
      <c r="G346" s="26">
        <f>INDEX(A341:D349,,G340)</f>
        <v>0.99722037151826948</v>
      </c>
      <c r="I346" s="30">
        <f t="shared" si="113"/>
        <v>-0.99444642139434158</v>
      </c>
      <c r="J346">
        <f t="shared" si="114"/>
        <v>2.8541950097916058E-3</v>
      </c>
      <c r="K346">
        <f t="shared" si="115"/>
        <v>0.98891553859485848</v>
      </c>
      <c r="L346" s="26">
        <f t="shared" si="112"/>
        <v>-2.8383440134488501E-3</v>
      </c>
      <c r="N346" s="27">
        <f>SIN(O343)</f>
        <v>2.0261886045377354E-2</v>
      </c>
      <c r="O346" s="29">
        <f>N345</f>
        <v>0.9997947069143166</v>
      </c>
      <c r="Q346" s="30">
        <v>2.1636347102688542E-2</v>
      </c>
      <c r="R346" s="26">
        <v>0.99698665278517218</v>
      </c>
    </row>
    <row r="347" spans="1:18" x14ac:dyDescent="0.35">
      <c r="A347" s="113">
        <v>-0.97714925799387953</v>
      </c>
      <c r="B347" s="114">
        <v>-1.4333772821896905E-3</v>
      </c>
      <c r="C347" s="114">
        <v>0.13726017326560297</v>
      </c>
      <c r="D347" s="115">
        <v>-0.16228653014552546</v>
      </c>
      <c r="F347" s="30">
        <f>INDEX(A347:D355,,F340)</f>
        <v>-0.97714925799387953</v>
      </c>
      <c r="G347" s="26">
        <f>INDEX(A341:D349,,G340)</f>
        <v>0.13726017326560297</v>
      </c>
      <c r="I347" s="30">
        <f t="shared" si="113"/>
        <v>0.93598031723308595</v>
      </c>
      <c r="J347">
        <f t="shared" si="114"/>
        <v>-0.26824735291719054</v>
      </c>
      <c r="K347">
        <f t="shared" si="115"/>
        <v>0.80410251190066839</v>
      </c>
      <c r="L347" s="26">
        <f t="shared" si="112"/>
        <v>-0.25107424248036758</v>
      </c>
      <c r="Q347" s="30">
        <v>-0.9741675060182563</v>
      </c>
      <c r="R347" s="26">
        <v>0.15703088161588888</v>
      </c>
    </row>
    <row r="348" spans="1:18" x14ac:dyDescent="0.35">
      <c r="A348" s="113">
        <v>-0.72024174739185998</v>
      </c>
      <c r="B348" s="114">
        <v>0.20373642560248531</v>
      </c>
      <c r="C348" s="114">
        <v>0.55084721420237359</v>
      </c>
      <c r="D348" s="115">
        <v>-0.36920270963540769</v>
      </c>
      <c r="F348" s="30">
        <f>INDEX(A348:D356,,F340)</f>
        <v>-0.72024174739185998</v>
      </c>
      <c r="G348" s="26">
        <f>INDEX(A341:D349,,G340)</f>
        <v>0.55084721420237359</v>
      </c>
      <c r="I348" s="30">
        <f t="shared" si="113"/>
        <v>0.21531552129156417</v>
      </c>
      <c r="J348">
        <f t="shared" si="114"/>
        <v>-0.79348632020611154</v>
      </c>
      <c r="K348">
        <f t="shared" si="115"/>
        <v>-0.58325976664517776</v>
      </c>
      <c r="L348" s="26">
        <f t="shared" si="112"/>
        <v>-0.17084992067290392</v>
      </c>
      <c r="Q348" s="30">
        <v>-0.70893268325851777</v>
      </c>
      <c r="R348" s="26">
        <v>0.56532758528880722</v>
      </c>
    </row>
    <row r="349" spans="1:18" x14ac:dyDescent="0.35">
      <c r="A349" s="116">
        <v>-0.10307787170778188</v>
      </c>
      <c r="B349" s="117">
        <v>0.92633135429573243</v>
      </c>
      <c r="C349" s="117">
        <v>-0.20014271826306154</v>
      </c>
      <c r="D349" s="118">
        <v>-0.30203984296629061</v>
      </c>
      <c r="F349" s="27">
        <f>INDEX(A349:D357,,F340)</f>
        <v>-0.10307787170778188</v>
      </c>
      <c r="G349" s="29">
        <f>INDEX(A341:D349,,G340)</f>
        <v>-0.20014271826306154</v>
      </c>
      <c r="I349" s="27">
        <f t="shared" si="113"/>
        <v>-2.9432060037921287E-2</v>
      </c>
      <c r="J349" s="28">
        <f t="shared" si="114"/>
        <v>4.1260570872733181E-2</v>
      </c>
      <c r="K349" s="28">
        <f t="shared" si="115"/>
        <v>-8.3618855066803458E-4</v>
      </c>
      <c r="L349" s="29">
        <f t="shared" si="112"/>
        <v>-1.2143835991251892E-3</v>
      </c>
      <c r="Q349" s="27">
        <v>-0.10711197948369153</v>
      </c>
      <c r="R349" s="29">
        <v>-0.19801307825650913</v>
      </c>
    </row>
    <row r="350" spans="1:18" x14ac:dyDescent="0.35">
      <c r="I350">
        <f>SUM(I341:I349)</f>
        <v>1.0284246345827301</v>
      </c>
      <c r="J350">
        <f>SUM(J341:J349)</f>
        <v>-1.929743343222114</v>
      </c>
      <c r="K350">
        <f>SUM(K341:K349)</f>
        <v>2.4181072522402847</v>
      </c>
      <c r="L350">
        <f>SUM(L341:L349)</f>
        <v>-0.2205311228417085</v>
      </c>
    </row>
    <row r="351" spans="1:18" x14ac:dyDescent="0.35">
      <c r="A351" s="12" t="s">
        <v>2</v>
      </c>
      <c r="B351">
        <f>COUNT(A341:A349)</f>
        <v>9</v>
      </c>
      <c r="I351" s="12" t="s">
        <v>16</v>
      </c>
      <c r="J351" s="12" t="s">
        <v>258</v>
      </c>
      <c r="K351" s="12" t="s">
        <v>18</v>
      </c>
      <c r="L351" s="12" t="s">
        <v>19</v>
      </c>
      <c r="N351" s="12"/>
    </row>
    <row r="353" spans="1:18" x14ac:dyDescent="0.35">
      <c r="A353">
        <v>1</v>
      </c>
      <c r="B353">
        <v>2</v>
      </c>
      <c r="C353">
        <v>3</v>
      </c>
      <c r="D353">
        <v>4</v>
      </c>
      <c r="F353">
        <v>1</v>
      </c>
      <c r="G353">
        <v>4</v>
      </c>
      <c r="I353" s="12" t="s">
        <v>251</v>
      </c>
      <c r="J353" s="12" t="s">
        <v>252</v>
      </c>
      <c r="K353" s="12" t="s">
        <v>253</v>
      </c>
      <c r="L353" s="12" t="s">
        <v>254</v>
      </c>
      <c r="Q353">
        <f>F353</f>
        <v>1</v>
      </c>
      <c r="R353">
        <f>G353</f>
        <v>4</v>
      </c>
    </row>
    <row r="354" spans="1:18" x14ac:dyDescent="0.35">
      <c r="A354" s="110">
        <f t="array" ref="A354:A362">IF(A353=$Q340,$Q341:$Q349,IF(A353=$R340,$R341:$R349,A341:A349))</f>
        <v>-9.8251505976345702E-2</v>
      </c>
      <c r="B354" s="111">
        <f t="array" ref="B354:B362">IF(B353=$Q340,$Q341:$Q349,IF(B353=$R340,$R341:$R349,B341:B349))</f>
        <v>-0.88931739836158585</v>
      </c>
      <c r="C354" s="111">
        <f t="array" ref="C354:C362">IF(C353=$Q340,$Q341:$Q349,IF(C353=$R340,$R341:$R349,C341:C349))</f>
        <v>-0.34134777579811437</v>
      </c>
      <c r="D354" s="112">
        <f t="array" ref="D354:D362">IF(D353=$Q340,$Q341:$Q349,IF(D353=$R340,$R341:$R349,D341:D349))</f>
        <v>-0.28799809461599107</v>
      </c>
      <c r="F354" s="94">
        <f>INDEX(A354:D362,,F353)</f>
        <v>-9.8251505976345702E-2</v>
      </c>
      <c r="G354" s="96">
        <f>INDEX(A354:D362,,G353)</f>
        <v>-0.28799809461599107</v>
      </c>
      <c r="I354" s="94">
        <f>F354^2-G354^2</f>
        <v>-7.3289544075821458E-2</v>
      </c>
      <c r="J354" s="95">
        <f>2*F354*G354</f>
        <v>5.6592493028678442E-2</v>
      </c>
      <c r="K354" s="95">
        <f>I354^2-J354^2</f>
        <v>2.1686470036407584E-3</v>
      </c>
      <c r="L354" s="96">
        <f t="shared" ref="L354:L362" si="116">I354*J354</f>
        <v>-4.1476380121859471E-3</v>
      </c>
      <c r="N354" t="s">
        <v>12</v>
      </c>
      <c r="O354" s="51">
        <f>L363*B364-2*I363*J363</f>
        <v>-2.4475474593874971</v>
      </c>
      <c r="Q354" s="94">
        <f t="array" ref="Q354:R362">MMULT(F354:G362,N358:O359)</f>
        <v>-9.0799081975438262E-2</v>
      </c>
      <c r="R354" s="96">
        <v>-0.29043379218245058</v>
      </c>
    </row>
    <row r="355" spans="1:18" x14ac:dyDescent="0.35">
      <c r="A355" s="113">
        <v>-0.80756771131900762</v>
      </c>
      <c r="B355" s="114">
        <v>0.58100495944125141</v>
      </c>
      <c r="C355" s="114">
        <v>7.4621317831735326E-2</v>
      </c>
      <c r="D355" s="115">
        <v>6.8551350568061983E-2</v>
      </c>
      <c r="F355" s="30">
        <f>INDEX(A355:D363,,F353)</f>
        <v>-0.80756771131900762</v>
      </c>
      <c r="G355" s="26">
        <f>INDEX(A354:D362,,G353)</f>
        <v>6.8551350568061983E-2</v>
      </c>
      <c r="I355" s="30">
        <f t="shared" ref="I355:I362" si="117">F355^2-G355^2</f>
        <v>0.64746632070031473</v>
      </c>
      <c r="J355">
        <f t="shared" ref="J355:J362" si="118">2*F355*G355</f>
        <v>-0.11071971457215354</v>
      </c>
      <c r="K355">
        <f t="shared" ref="K355:K362" si="119">I355^2-J355^2</f>
        <v>0.40695378124626369</v>
      </c>
      <c r="L355" s="26">
        <f t="shared" si="116"/>
        <v>-7.1687286223021271E-2</v>
      </c>
      <c r="N355" t="s">
        <v>255</v>
      </c>
      <c r="O355" s="52">
        <f>K363*B364-(I363^2-J363^2)</f>
        <v>23.663460794305831</v>
      </c>
      <c r="Q355" s="30">
        <v>-0.80906577022382031</v>
      </c>
      <c r="R355" s="26">
        <v>4.772290311644619E-2</v>
      </c>
    </row>
    <row r="356" spans="1:18" x14ac:dyDescent="0.35">
      <c r="A356" s="113">
        <v>-0.98447519753420998</v>
      </c>
      <c r="B356" s="114">
        <v>-0.14231757833856368</v>
      </c>
      <c r="C356" s="114">
        <v>0.10081998343959658</v>
      </c>
      <c r="D356" s="115">
        <v>-1.9738877249356926E-2</v>
      </c>
      <c r="F356" s="30">
        <f>INDEX(A356:D364,,F353)</f>
        <v>-0.98447519753420998</v>
      </c>
      <c r="G356" s="26">
        <f>INDEX(A354:D362,,G353)</f>
        <v>-1.9738877249356926E-2</v>
      </c>
      <c r="I356" s="30">
        <f t="shared" si="117"/>
        <v>0.96880179128495658</v>
      </c>
      <c r="J356">
        <f t="shared" si="118"/>
        <v>3.8864870158328367E-2</v>
      </c>
      <c r="K356">
        <f t="shared" si="119"/>
        <v>0.93706643266451684</v>
      </c>
      <c r="L356" s="26">
        <f t="shared" si="116"/>
        <v>3.7652355827445777E-2</v>
      </c>
      <c r="N356" t="s">
        <v>256</v>
      </c>
      <c r="O356" s="53">
        <f>0.25*ATAN(O354/O355)</f>
        <v>-2.5766254804187375E-2</v>
      </c>
      <c r="Q356" s="30">
        <v>-0.98363987846142198</v>
      </c>
      <c r="R356" s="26">
        <v>-4.5095757400067729E-2</v>
      </c>
    </row>
    <row r="357" spans="1:18" x14ac:dyDescent="0.35">
      <c r="A357" s="113">
        <v>-0.10251933937400812</v>
      </c>
      <c r="B357" s="114">
        <v>5.1667237456716579E-3</v>
      </c>
      <c r="C357" s="114">
        <v>9.3134768003635862E-2</v>
      </c>
      <c r="D357" s="115">
        <v>-0.99034792119182102</v>
      </c>
      <c r="F357" s="30">
        <f>INDEX(A357:D365,,F353)</f>
        <v>-0.10251933937400812</v>
      </c>
      <c r="G357" s="26">
        <f>INDEX(A354:D362,,G353)</f>
        <v>-0.99034792119182102</v>
      </c>
      <c r="I357" s="30">
        <f t="shared" si="117"/>
        <v>-0.97027879006327833</v>
      </c>
      <c r="J357">
        <f t="shared" si="118"/>
        <v>0.20305962926201548</v>
      </c>
      <c r="K357">
        <f t="shared" si="119"/>
        <v>0.90020771741063221</v>
      </c>
      <c r="L357" s="26">
        <f t="shared" si="116"/>
        <v>-0.19702445139104624</v>
      </c>
      <c r="Q357" s="30">
        <v>-7.6970576509089061E-2</v>
      </c>
      <c r="R357" s="26">
        <v>-0.99266044058706338</v>
      </c>
    </row>
    <row r="358" spans="1:18" x14ac:dyDescent="0.35">
      <c r="A358" s="113">
        <v>-0.38233073980694116</v>
      </c>
      <c r="B358" s="114">
        <v>0.1011635786994044</v>
      </c>
      <c r="C358" s="114">
        <v>0.88513256357476444</v>
      </c>
      <c r="D358" s="115">
        <v>-0.24521313309643927</v>
      </c>
      <c r="F358" s="30">
        <f>INDEX(A358:D366,,F353)</f>
        <v>-0.38233073980694116</v>
      </c>
      <c r="G358" s="26">
        <f>INDEX(A354:D362,,G353)</f>
        <v>-0.24521313309643927</v>
      </c>
      <c r="I358" s="30">
        <f t="shared" si="117"/>
        <v>8.6047313958350885E-2</v>
      </c>
      <c r="J358">
        <f t="shared" si="118"/>
        <v>0.1875050371742791</v>
      </c>
      <c r="K358">
        <f t="shared" si="119"/>
        <v>-2.7753998726280781E-2</v>
      </c>
      <c r="L358" s="26">
        <f t="shared" si="116"/>
        <v>1.6134304802507448E-2</v>
      </c>
      <c r="N358" s="94">
        <f>COS(O356)</f>
        <v>0.99966806842140388</v>
      </c>
      <c r="O358" s="96">
        <f>-N359</f>
        <v>2.576340386321874E-2</v>
      </c>
      <c r="Q358" s="30">
        <v>-0.37588630718040245</v>
      </c>
      <c r="R358" s="26">
        <v>-0.25498188037304748</v>
      </c>
    </row>
    <row r="359" spans="1:18" x14ac:dyDescent="0.35">
      <c r="A359" s="113">
        <v>2.1636347102688542E-2</v>
      </c>
      <c r="B359" s="114">
        <v>-2.4803497763657163E-2</v>
      </c>
      <c r="C359" s="114">
        <v>0.99698665278517218</v>
      </c>
      <c r="D359" s="115">
        <v>7.0244353160658371E-2</v>
      </c>
      <c r="F359" s="30">
        <f>INDEX(A359:D367,,F353)</f>
        <v>2.1636347102688542E-2</v>
      </c>
      <c r="G359" s="26">
        <f>INDEX(A354:D362,,G353)</f>
        <v>7.0244353160658371E-2</v>
      </c>
      <c r="I359" s="30">
        <f t="shared" si="117"/>
        <v>-4.4661376350112773E-3</v>
      </c>
      <c r="J359">
        <f t="shared" si="118"/>
        <v>3.039662413975683E-3</v>
      </c>
      <c r="K359">
        <f t="shared" si="119"/>
        <v>1.0706837783927649E-5</v>
      </c>
      <c r="L359" s="26">
        <f t="shared" si="116"/>
        <v>-1.3575550704786026E-5</v>
      </c>
      <c r="N359" s="27">
        <f>SIN(O356)</f>
        <v>-2.576340386321874E-2</v>
      </c>
      <c r="O359" s="29">
        <f>N358</f>
        <v>0.99966806842140388</v>
      </c>
      <c r="Q359" s="30">
        <v>1.9819431676251085E-2</v>
      </c>
      <c r="R359" s="26">
        <v>7.0778462790157648E-2</v>
      </c>
    </row>
    <row r="360" spans="1:18" x14ac:dyDescent="0.35">
      <c r="A360" s="113">
        <v>-0.9741675060182563</v>
      </c>
      <c r="B360" s="114">
        <v>-1.4333772821896905E-3</v>
      </c>
      <c r="C360" s="114">
        <v>0.15703088161588888</v>
      </c>
      <c r="D360" s="115">
        <v>-0.16228653014552546</v>
      </c>
      <c r="F360" s="30">
        <f>INDEX(A360:D368,,F353)</f>
        <v>-0.9741675060182563</v>
      </c>
      <c r="G360" s="26">
        <f>INDEX(A354:D362,,G353)</f>
        <v>-0.16228653014552546</v>
      </c>
      <c r="I360" s="30">
        <f t="shared" si="117"/>
        <v>0.92266541191515483</v>
      </c>
      <c r="J360">
        <f t="shared" si="118"/>
        <v>0.31618852866444624</v>
      </c>
      <c r="K360">
        <f t="shared" si="119"/>
        <v>0.75133627668557501</v>
      </c>
      <c r="L360" s="26">
        <f t="shared" si="116"/>
        <v>0.29173621904302804</v>
      </c>
      <c r="Q360" s="30">
        <v>-0.969663095642467</v>
      </c>
      <c r="R360" s="26">
        <v>-0.18733053300936228</v>
      </c>
    </row>
    <row r="361" spans="1:18" x14ac:dyDescent="0.35">
      <c r="A361" s="113">
        <v>-0.70893268325851777</v>
      </c>
      <c r="B361" s="114">
        <v>0.20373642560248531</v>
      </c>
      <c r="C361" s="114">
        <v>0.56532758528880722</v>
      </c>
      <c r="D361" s="115">
        <v>-0.36920270963540769</v>
      </c>
      <c r="F361" s="30">
        <f>INDEX(A361:D369,,F353)</f>
        <v>-0.70893268325851777</v>
      </c>
      <c r="G361" s="26">
        <f>INDEX(A354:D362,,G353)</f>
        <v>-0.36920270963540769</v>
      </c>
      <c r="I361" s="30">
        <f t="shared" si="117"/>
        <v>0.36627490858999467</v>
      </c>
      <c r="J361">
        <f t="shared" si="118"/>
        <v>0.52347973521628999</v>
      </c>
      <c r="K361">
        <f t="shared" si="119"/>
        <v>-0.13987372451950814</v>
      </c>
      <c r="L361" s="26">
        <f t="shared" si="116"/>
        <v>0.19173749216506122</v>
      </c>
      <c r="Q361" s="30">
        <v>-0.69918544759811363</v>
      </c>
      <c r="R361" s="26">
        <v>-0.38734467862780098</v>
      </c>
    </row>
    <row r="362" spans="1:18" x14ac:dyDescent="0.35">
      <c r="A362" s="116">
        <v>-0.10711197948369153</v>
      </c>
      <c r="B362" s="117">
        <v>0.92633135429573243</v>
      </c>
      <c r="C362" s="117">
        <v>-0.19801307825650913</v>
      </c>
      <c r="D362" s="118">
        <v>-0.30203984296629061</v>
      </c>
      <c r="F362" s="27">
        <f>INDEX(A362:D370,,F353)</f>
        <v>-0.10711197948369153</v>
      </c>
      <c r="G362" s="29">
        <f>INDEX(A354:D362,,G353)</f>
        <v>-0.30203984296629061</v>
      </c>
      <c r="I362" s="27">
        <f t="shared" si="117"/>
        <v>-7.9755090590186734E-2</v>
      </c>
      <c r="J362" s="28">
        <f t="shared" si="118"/>
        <v>6.4704170926125459E-2</v>
      </c>
      <c r="K362" s="28">
        <f t="shared" si="119"/>
        <v>2.1742447398116335E-3</v>
      </c>
      <c r="L362" s="29">
        <f t="shared" si="116"/>
        <v>-5.1604870137760628E-3</v>
      </c>
      <c r="Q362" s="27">
        <v>-9.9294851178131235E-2</v>
      </c>
      <c r="R362" s="29">
        <v>-0.30469915559044303</v>
      </c>
    </row>
    <row r="363" spans="1:18" x14ac:dyDescent="0.35">
      <c r="I363">
        <f>SUM(I354:I362)</f>
        <v>1.863466184084474</v>
      </c>
      <c r="J363">
        <f>SUM(J354:J362)</f>
        <v>1.2827144122719853</v>
      </c>
      <c r="K363">
        <f>SUM(K354:K362)</f>
        <v>2.8322900833424351</v>
      </c>
      <c r="L363">
        <f>SUM(L354:L362)</f>
        <v>0.25922693364730814</v>
      </c>
    </row>
    <row r="364" spans="1:18" x14ac:dyDescent="0.35">
      <c r="A364" s="12" t="s">
        <v>2</v>
      </c>
      <c r="B364">
        <f>COUNT(A354:A362)</f>
        <v>9</v>
      </c>
      <c r="I364" s="12" t="s">
        <v>16</v>
      </c>
      <c r="J364" s="12" t="s">
        <v>258</v>
      </c>
      <c r="K364" s="12" t="s">
        <v>18</v>
      </c>
      <c r="L364" s="12" t="s">
        <v>19</v>
      </c>
      <c r="N364" s="12"/>
    </row>
    <row r="366" spans="1:18" x14ac:dyDescent="0.35">
      <c r="A366">
        <v>1</v>
      </c>
      <c r="B366">
        <v>2</v>
      </c>
      <c r="C366">
        <v>3</v>
      </c>
      <c r="D366">
        <v>4</v>
      </c>
      <c r="F366">
        <v>2</v>
      </c>
      <c r="G366">
        <v>3</v>
      </c>
      <c r="I366" s="12" t="s">
        <v>251</v>
      </c>
      <c r="J366" s="12" t="s">
        <v>252</v>
      </c>
      <c r="K366" s="12" t="s">
        <v>253</v>
      </c>
      <c r="L366" s="12" t="s">
        <v>254</v>
      </c>
      <c r="Q366">
        <f>F366</f>
        <v>2</v>
      </c>
      <c r="R366">
        <f>G366</f>
        <v>3</v>
      </c>
    </row>
    <row r="367" spans="1:18" x14ac:dyDescent="0.35">
      <c r="A367" s="110">
        <f t="array" ref="A367:A375">IF(A366=$Q353,$Q354:$Q362,IF(A366=$R353,$R354:$R362,A354:A362))</f>
        <v>-9.0799081975438262E-2</v>
      </c>
      <c r="B367" s="111">
        <f t="array" ref="B367:B375">IF(B366=$Q353,$Q354:$Q362,IF(B366=$R353,$R354:$R362,B354:B362))</f>
        <v>-0.88931739836158585</v>
      </c>
      <c r="C367" s="111">
        <f t="array" ref="C367:C375">IF(C366=$Q353,$Q354:$Q362,IF(C366=$R353,$R354:$R362,C354:C362))</f>
        <v>-0.34134777579811437</v>
      </c>
      <c r="D367" s="112">
        <f t="array" ref="D367:D375">IF(D366=$Q353,$Q354:$Q362,IF(D366=$R353,$R354:$R362,D354:D362))</f>
        <v>-0.29043379218245058</v>
      </c>
      <c r="F367" s="94">
        <f>INDEX(A367:D375,,F366)</f>
        <v>-0.88931739836158585</v>
      </c>
      <c r="G367" s="96">
        <f>INDEX(A367:D375,,G366)</f>
        <v>-0.34134777579811437</v>
      </c>
      <c r="I367" s="94">
        <f>F367^2-G367^2</f>
        <v>0.67436713098629986</v>
      </c>
      <c r="J367" s="95">
        <f>2*F367*G367</f>
        <v>0.60713303181858591</v>
      </c>
      <c r="K367" s="95">
        <f>I367^2-J367^2</f>
        <v>8.616050902946526E-2</v>
      </c>
      <c r="L367" s="96">
        <f t="shared" ref="L367:L375" si="120">I367*J367</f>
        <v>0.40943056079451368</v>
      </c>
      <c r="N367" t="s">
        <v>12</v>
      </c>
      <c r="O367" s="51">
        <f>L376*B377-2*I376*J376</f>
        <v>0.17679381533883842</v>
      </c>
      <c r="Q367" s="94">
        <f t="array" ref="Q367:R375">MMULT(F367:G375,N371:O372)</f>
        <v>-0.89003153323099948</v>
      </c>
      <c r="R367" s="96">
        <v>-0.33948138229572411</v>
      </c>
    </row>
    <row r="368" spans="1:18" x14ac:dyDescent="0.35">
      <c r="A368" s="113">
        <v>-0.80906577022382031</v>
      </c>
      <c r="B368" s="114">
        <v>0.58100495944125141</v>
      </c>
      <c r="C368" s="114">
        <v>7.4621317831735326E-2</v>
      </c>
      <c r="D368" s="115">
        <v>4.772290311644619E-2</v>
      </c>
      <c r="F368" s="30">
        <f>INDEX(A368:D376,,F366)</f>
        <v>0.58100495944125141</v>
      </c>
      <c r="G368" s="26">
        <f>INDEX(A367:D375,,G366)</f>
        <v>7.4621317831735326E-2</v>
      </c>
      <c r="I368" s="30">
        <f t="shared" ref="I368:I375" si="121">F368^2-G368^2</f>
        <v>0.33199842182038536</v>
      </c>
      <c r="J368">
        <f t="shared" ref="J368:J375" si="122">2*F368*G368</f>
        <v>8.6710711480560226E-2</v>
      </c>
      <c r="K368">
        <f t="shared" ref="K368:K375" si="123">I368^2-J368^2</f>
        <v>0.10270420460576157</v>
      </c>
      <c r="L368" s="26">
        <f t="shared" si="120"/>
        <v>2.8787819366468764E-2</v>
      </c>
      <c r="N368" t="s">
        <v>255</v>
      </c>
      <c r="O368" s="52">
        <f>K376*B377-(I376^2-J376^2)</f>
        <v>21.068079810082907</v>
      </c>
      <c r="Q368" s="30">
        <v>0.58116022427670389</v>
      </c>
      <c r="R368" s="26">
        <v>7.3402300297240847E-2</v>
      </c>
    </row>
    <row r="369" spans="1:18" x14ac:dyDescent="0.35">
      <c r="A369" s="113">
        <v>-0.98363987846142198</v>
      </c>
      <c r="B369" s="114">
        <v>-0.14231757833856368</v>
      </c>
      <c r="C369" s="114">
        <v>0.10081998343959658</v>
      </c>
      <c r="D369" s="115">
        <v>-4.5095757400067729E-2</v>
      </c>
      <c r="F369" s="30">
        <f>INDEX(A369:D377,,F366)</f>
        <v>-0.14231757833856368</v>
      </c>
      <c r="G369" s="26">
        <f>INDEX(A367:D375,,G366)</f>
        <v>0.10081998343959658</v>
      </c>
      <c r="I369" s="30">
        <f t="shared" si="121"/>
        <v>1.008962404339268E-2</v>
      </c>
      <c r="J369">
        <f t="shared" si="122"/>
        <v>-2.8696911782514958E-2</v>
      </c>
      <c r="K369">
        <f t="shared" si="123"/>
        <v>-7.2171223251643818E-4</v>
      </c>
      <c r="L369" s="26">
        <f t="shared" si="120"/>
        <v>-2.895410510919816E-4</v>
      </c>
      <c r="N369" t="s">
        <v>256</v>
      </c>
      <c r="O369" s="53">
        <f>0.25*ATAN(O367/O368)</f>
        <v>2.0978379054992407E-3</v>
      </c>
      <c r="Q369" s="30">
        <v>-0.14210576134650821</v>
      </c>
      <c r="R369" s="26">
        <v>0.10111832058060986</v>
      </c>
    </row>
    <row r="370" spans="1:18" x14ac:dyDescent="0.35">
      <c r="A370" s="113">
        <v>-7.6970576509089061E-2</v>
      </c>
      <c r="B370" s="114">
        <v>5.1667237456716579E-3</v>
      </c>
      <c r="C370" s="114">
        <v>9.3134768003635862E-2</v>
      </c>
      <c r="D370" s="115">
        <v>-0.99266044058706338</v>
      </c>
      <c r="F370" s="30">
        <f>INDEX(A370:D378,,F366)</f>
        <v>5.1667237456716579E-3</v>
      </c>
      <c r="G370" s="26">
        <f>INDEX(A367:D375,,G366)</f>
        <v>9.3134768003635862E-2</v>
      </c>
      <c r="I370" s="30">
        <f t="shared" si="121"/>
        <v>-8.6473899768269875E-3</v>
      </c>
      <c r="J370">
        <f t="shared" si="122"/>
        <v>9.6240323478401267E-4</v>
      </c>
      <c r="K370">
        <f t="shared" si="123"/>
        <v>7.3851133425005116E-5</v>
      </c>
      <c r="L370" s="26">
        <f t="shared" si="120"/>
        <v>-8.3222760861371412E-6</v>
      </c>
      <c r="Q370" s="30">
        <v>5.3620938798248545E-3</v>
      </c>
      <c r="R370" s="26">
        <v>9.3123724123228155E-2</v>
      </c>
    </row>
    <row r="371" spans="1:18" x14ac:dyDescent="0.35">
      <c r="A371" s="113">
        <v>-0.37588630718040245</v>
      </c>
      <c r="B371" s="114">
        <v>0.1011635786994044</v>
      </c>
      <c r="C371" s="114">
        <v>0.88513256357476444</v>
      </c>
      <c r="D371" s="115">
        <v>-0.25498188037304748</v>
      </c>
      <c r="F371" s="30">
        <f>INDEX(A371:D379,,F366)</f>
        <v>0.1011635786994044</v>
      </c>
      <c r="G371" s="26">
        <f>INDEX(A367:D375,,G366)</f>
        <v>0.88513256357476444</v>
      </c>
      <c r="I371" s="30">
        <f t="shared" si="121"/>
        <v>-0.77322558544516384</v>
      </c>
      <c r="J371">
        <f t="shared" si="122"/>
        <v>0.17908635550920249</v>
      </c>
      <c r="K371">
        <f t="shared" si="123"/>
        <v>0.56580588325744785</v>
      </c>
      <c r="L371" s="26">
        <f t="shared" si="120"/>
        <v>-0.13847415208384384</v>
      </c>
      <c r="N371" s="94">
        <f>COS(O369)</f>
        <v>0.99999779953886814</v>
      </c>
      <c r="O371" s="96">
        <f>-N372</f>
        <v>-2.0978363667620908E-3</v>
      </c>
      <c r="Q371" s="30">
        <v>0.10302021937415402</v>
      </c>
      <c r="R371" s="26">
        <v>0.88491839124057436</v>
      </c>
    </row>
    <row r="372" spans="1:18" x14ac:dyDescent="0.35">
      <c r="A372" s="113">
        <v>1.9819431676251085E-2</v>
      </c>
      <c r="B372" s="114">
        <v>-2.4803497763657163E-2</v>
      </c>
      <c r="C372" s="114">
        <v>0.99698665278517218</v>
      </c>
      <c r="D372" s="115">
        <v>7.0778462790157648E-2</v>
      </c>
      <c r="F372" s="30">
        <f>INDEX(A372:D380,,F366)</f>
        <v>-2.4803497763657163E-2</v>
      </c>
      <c r="G372" s="26">
        <f>INDEX(A367:D375,,G366)</f>
        <v>0.99698665278517218</v>
      </c>
      <c r="I372" s="30">
        <f t="shared" si="121"/>
        <v>-0.99336717233046967</v>
      </c>
      <c r="J372">
        <f t="shared" si="122"/>
        <v>-4.9457512425506119E-2</v>
      </c>
      <c r="K372">
        <f t="shared" si="123"/>
        <v>0.98433229352851392</v>
      </c>
      <c r="L372" s="26">
        <f t="shared" si="120"/>
        <v>4.9129469268624083E-2</v>
      </c>
      <c r="N372" s="27">
        <f>SIN(O369)</f>
        <v>2.0978363667620908E-3</v>
      </c>
      <c r="O372" s="29">
        <f>N371</f>
        <v>0.99999779953886814</v>
      </c>
      <c r="Q372" s="30">
        <v>-2.2711928327135256E-2</v>
      </c>
      <c r="R372" s="26">
        <v>0.99703649263442518</v>
      </c>
    </row>
    <row r="373" spans="1:18" x14ac:dyDescent="0.35">
      <c r="A373" s="113">
        <v>-0.969663095642467</v>
      </c>
      <c r="B373" s="114">
        <v>-1.4333772821896905E-3</v>
      </c>
      <c r="C373" s="114">
        <v>0.15703088161588888</v>
      </c>
      <c r="D373" s="115">
        <v>-0.18733053300936228</v>
      </c>
      <c r="F373" s="30">
        <f>INDEX(A373:D381,,F366)</f>
        <v>-1.4333772821896905E-3</v>
      </c>
      <c r="G373" s="26">
        <f>INDEX(A367:D375,,G366)</f>
        <v>0.15703088161588888</v>
      </c>
      <c r="I373" s="30">
        <f t="shared" si="121"/>
        <v>-2.465664321063021E-2</v>
      </c>
      <c r="J373">
        <f t="shared" si="122"/>
        <v>-4.5016899662086768E-4</v>
      </c>
      <c r="K373">
        <f t="shared" si="123"/>
        <v>6.0774740229079817E-4</v>
      </c>
      <c r="L373" s="26">
        <f t="shared" si="120"/>
        <v>1.1099656334168131E-5</v>
      </c>
      <c r="Q373" s="30">
        <v>-1.1039490339401692E-3</v>
      </c>
      <c r="R373" s="26">
        <v>0.15703354306652725</v>
      </c>
    </row>
    <row r="374" spans="1:18" x14ac:dyDescent="0.35">
      <c r="A374" s="113">
        <v>-0.69918544759811363</v>
      </c>
      <c r="B374" s="114">
        <v>0.20373642560248531</v>
      </c>
      <c r="C374" s="114">
        <v>0.56532758528880722</v>
      </c>
      <c r="D374" s="115">
        <v>-0.38734467862780098</v>
      </c>
      <c r="F374" s="30">
        <f>INDEX(A374:D382,,F366)</f>
        <v>0.20373642560248531</v>
      </c>
      <c r="G374" s="26">
        <f>INDEX(A367:D375,,G366)</f>
        <v>0.56532758528880722</v>
      </c>
      <c r="I374" s="30">
        <f t="shared" si="121"/>
        <v>-0.27808674757119656</v>
      </c>
      <c r="J374">
        <f t="shared" si="122"/>
        <v>0.23035564304245149</v>
      </c>
      <c r="K374">
        <f t="shared" si="123"/>
        <v>2.4268516893225067E-2</v>
      </c>
      <c r="L374" s="26">
        <f t="shared" si="120"/>
        <v>-6.4058851558346869E-2</v>
      </c>
      <c r="Q374" s="30">
        <v>0.20492194205595227</v>
      </c>
      <c r="R374" s="26">
        <v>0.56489893562456595</v>
      </c>
    </row>
    <row r="375" spans="1:18" x14ac:dyDescent="0.35">
      <c r="A375" s="116">
        <v>-9.9294851178131235E-2</v>
      </c>
      <c r="B375" s="117">
        <v>0.92633135429573243</v>
      </c>
      <c r="C375" s="117">
        <v>-0.19801307825650913</v>
      </c>
      <c r="D375" s="118">
        <v>-0.30469915559044303</v>
      </c>
      <c r="F375" s="27">
        <f>INDEX(A375:D383,,F366)</f>
        <v>0.92633135429573243</v>
      </c>
      <c r="G375" s="29">
        <f>INDEX(A367:D375,,G366)</f>
        <v>-0.19801307825650913</v>
      </c>
      <c r="I375" s="27">
        <f t="shared" si="121"/>
        <v>0.81888059879074737</v>
      </c>
      <c r="J375" s="28">
        <f t="shared" si="122"/>
        <v>-0.3668514458992379</v>
      </c>
      <c r="K375" s="28">
        <f t="shared" si="123"/>
        <v>0.53598545171753154</v>
      </c>
      <c r="L375" s="29">
        <f t="shared" si="120"/>
        <v>-0.30040753168521939</v>
      </c>
      <c r="Q375" s="27">
        <v>0.92591391690293112</v>
      </c>
      <c r="R375" s="29">
        <v>-0.1999559341391404</v>
      </c>
    </row>
    <row r="376" spans="1:18" x14ac:dyDescent="0.35">
      <c r="I376">
        <f>SUM(I367:I375)</f>
        <v>-0.2426477628934619</v>
      </c>
      <c r="J376">
        <f>SUM(J367:J375)</f>
        <v>0.65879210598170423</v>
      </c>
      <c r="K376">
        <f>SUM(K367:K375)</f>
        <v>2.2992167453351442</v>
      </c>
      <c r="L376">
        <f>SUM(L367:L375)</f>
        <v>-1.5879449568647508E-2</v>
      </c>
    </row>
    <row r="377" spans="1:18" x14ac:dyDescent="0.35">
      <c r="A377" s="12" t="s">
        <v>2</v>
      </c>
      <c r="B377">
        <f>COUNT(A367:A375)</f>
        <v>9</v>
      </c>
      <c r="I377" s="12" t="s">
        <v>16</v>
      </c>
      <c r="J377" s="12" t="s">
        <v>258</v>
      </c>
      <c r="K377" s="12" t="s">
        <v>18</v>
      </c>
      <c r="L377" s="12" t="s">
        <v>19</v>
      </c>
      <c r="N377" s="12"/>
    </row>
    <row r="379" spans="1:18" x14ac:dyDescent="0.35">
      <c r="A379">
        <v>1</v>
      </c>
      <c r="B379">
        <v>2</v>
      </c>
      <c r="C379">
        <v>3</v>
      </c>
      <c r="D379">
        <v>4</v>
      </c>
      <c r="F379">
        <v>2</v>
      </c>
      <c r="G379">
        <v>4</v>
      </c>
      <c r="I379" s="12" t="s">
        <v>251</v>
      </c>
      <c r="J379" s="12" t="s">
        <v>252</v>
      </c>
      <c r="K379" s="12" t="s">
        <v>253</v>
      </c>
      <c r="L379" s="12" t="s">
        <v>254</v>
      </c>
      <c r="Q379">
        <f>F379</f>
        <v>2</v>
      </c>
      <c r="R379">
        <f>G379</f>
        <v>4</v>
      </c>
    </row>
    <row r="380" spans="1:18" x14ac:dyDescent="0.35">
      <c r="A380" s="110">
        <f t="array" ref="A380:A388">IF(A379=$Q366,$Q367:$Q375,IF(A379=$R366,$R367:$R375,A367:A375))</f>
        <v>-9.0799081975438262E-2</v>
      </c>
      <c r="B380" s="111">
        <f t="array" ref="B380:B388">IF(B379=$Q366,$Q367:$Q375,IF(B379=$R366,$R367:$R375,B367:B375))</f>
        <v>-0.89003153323099948</v>
      </c>
      <c r="C380" s="111">
        <f t="array" ref="C380:C388">IF(C379=$Q366,$Q367:$Q375,IF(C379=$R366,$R367:$R375,C367:C375))</f>
        <v>-0.33948138229572411</v>
      </c>
      <c r="D380" s="112">
        <f t="array" ref="D380:D388">IF(D379=$Q366,$Q367:$Q375,IF(D379=$R366,$R367:$R375,D367:D375))</f>
        <v>-0.29043379218245058</v>
      </c>
      <c r="F380" s="94">
        <f>INDEX(A380:D388,,F379)</f>
        <v>-0.89003153323099948</v>
      </c>
      <c r="G380" s="96">
        <f>INDEX(A380:D388,,G379)</f>
        <v>-0.29043379218245058</v>
      </c>
      <c r="I380" s="94">
        <f>F380^2-G380^2</f>
        <v>0.70780434250404489</v>
      </c>
      <c r="J380" s="95">
        <f>2*F380*G380</f>
        <v>0.51699046671647997</v>
      </c>
      <c r="K380" s="95">
        <f>I380^2-J380^2</f>
        <v>0.2337078445918595</v>
      </c>
      <c r="L380" s="96">
        <f t="shared" ref="L380:L388" si="124">I380*J380</f>
        <v>0.36592809737511739</v>
      </c>
      <c r="N380" t="s">
        <v>12</v>
      </c>
      <c r="O380" s="51">
        <f>L389*B390-2*I389*J389</f>
        <v>0.11536801661235641</v>
      </c>
      <c r="Q380" s="94">
        <f t="array" ref="Q380:R388">MMULT(F380:G388,N384:O385)</f>
        <v>-0.89063892678163392</v>
      </c>
      <c r="R380" s="96">
        <v>-0.28856579819559691</v>
      </c>
    </row>
    <row r="381" spans="1:18" x14ac:dyDescent="0.35">
      <c r="A381" s="113">
        <v>-0.80906577022382031</v>
      </c>
      <c r="B381" s="114">
        <v>0.58116022427670389</v>
      </c>
      <c r="C381" s="114">
        <v>7.3402300297240847E-2</v>
      </c>
      <c r="D381" s="115">
        <v>4.772290311644619E-2</v>
      </c>
      <c r="F381" s="30">
        <f>INDEX(A381:D389,,F379)</f>
        <v>0.58116022427670389</v>
      </c>
      <c r="G381" s="26">
        <f>INDEX(A380:D388,,G379)</f>
        <v>4.772290311644619E-2</v>
      </c>
      <c r="I381" s="30">
        <f t="shared" ref="I381:I388" si="125">F381^2-G381^2</f>
        <v>0.33546973079948705</v>
      </c>
      <c r="J381">
        <f t="shared" ref="J381:J388" si="126">2*F381*G381</f>
        <v>5.5469306156578559E-2</v>
      </c>
      <c r="K381">
        <f t="shared" ref="K381:K388" si="127">I381^2-J381^2</f>
        <v>0.10946309635718807</v>
      </c>
      <c r="L381" s="26">
        <f t="shared" si="124"/>
        <v>1.8608273203981739E-2</v>
      </c>
      <c r="N381" t="s">
        <v>255</v>
      </c>
      <c r="O381" s="52">
        <f>K389*B390-(I389^2-J389^2)</f>
        <v>13.746542618621767</v>
      </c>
      <c r="Q381" s="30">
        <v>0.58125907149150813</v>
      </c>
      <c r="R381" s="26">
        <v>4.6503479139096512E-2</v>
      </c>
    </row>
    <row r="382" spans="1:18" x14ac:dyDescent="0.35">
      <c r="A382" s="113">
        <v>-0.98363987846142198</v>
      </c>
      <c r="B382" s="114">
        <v>-0.14210576134650821</v>
      </c>
      <c r="C382" s="114">
        <v>0.10111832058060986</v>
      </c>
      <c r="D382" s="115">
        <v>-4.5095757400067729E-2</v>
      </c>
      <c r="F382" s="30">
        <f>INDEX(A382:D390,,F379)</f>
        <v>-0.14210576134650821</v>
      </c>
      <c r="G382" s="26">
        <f>INDEX(A380:D388,,G379)</f>
        <v>-4.5095757400067729E-2</v>
      </c>
      <c r="I382" s="30">
        <f t="shared" si="125"/>
        <v>1.8160420072384983E-2</v>
      </c>
      <c r="J382">
        <f t="shared" si="126"/>
        <v>1.2816733877668112E-2</v>
      </c>
      <c r="K382">
        <f t="shared" si="127"/>
        <v>1.6553218991451792E-4</v>
      </c>
      <c r="L382" s="26">
        <f t="shared" si="124"/>
        <v>2.3275727117442061E-4</v>
      </c>
      <c r="N382" t="s">
        <v>256</v>
      </c>
      <c r="O382" s="53">
        <f>0.25*ATAN(O380/O381)</f>
        <v>2.0980786097930765E-3</v>
      </c>
      <c r="Q382" s="30">
        <v>-0.14220006295112125</v>
      </c>
      <c r="R382" s="26">
        <v>-4.4797509306362802E-2</v>
      </c>
    </row>
    <row r="383" spans="1:18" x14ac:dyDescent="0.35">
      <c r="A383" s="113">
        <v>-7.6970576509089061E-2</v>
      </c>
      <c r="B383" s="114">
        <v>5.3620938798248545E-3</v>
      </c>
      <c r="C383" s="114">
        <v>9.3123724123228155E-2</v>
      </c>
      <c r="D383" s="115">
        <v>-0.99266044058706338</v>
      </c>
      <c r="F383" s="30">
        <f>INDEX(A383:D391,,F379)</f>
        <v>5.3620938798248545E-3</v>
      </c>
      <c r="G383" s="26">
        <f>INDEX(A380:D388,,G379)</f>
        <v>-0.99266044058706338</v>
      </c>
      <c r="I383" s="30">
        <f t="shared" si="125"/>
        <v>-0.98534599825572677</v>
      </c>
      <c r="J383">
        <f t="shared" si="126"/>
        <v>-1.0645476946432272E-2</v>
      </c>
      <c r="K383">
        <f t="shared" si="127"/>
        <v>0.97079341009915765</v>
      </c>
      <c r="L383" s="26">
        <f t="shared" si="124"/>
        <v>1.0489478108690633E-2</v>
      </c>
      <c r="Q383" s="30">
        <v>3.2794039688237397E-3</v>
      </c>
      <c r="R383" s="26">
        <v>-0.99266950586128522</v>
      </c>
    </row>
    <row r="384" spans="1:18" x14ac:dyDescent="0.35">
      <c r="A384" s="113">
        <v>-0.37588630718040245</v>
      </c>
      <c r="B384" s="114">
        <v>0.10302021937415402</v>
      </c>
      <c r="C384" s="114">
        <v>0.88491839124057436</v>
      </c>
      <c r="D384" s="115">
        <v>-0.25498188037304748</v>
      </c>
      <c r="F384" s="30">
        <f>INDEX(A384:D392,,F379)</f>
        <v>0.10302021937415402</v>
      </c>
      <c r="G384" s="26">
        <f>INDEX(A380:D388,,G379)</f>
        <v>-0.25498188037304748</v>
      </c>
      <c r="I384" s="30">
        <f t="shared" si="125"/>
        <v>-5.440259371867627E-2</v>
      </c>
      <c r="J384">
        <f t="shared" si="126"/>
        <v>-5.2536578504931299E-2</v>
      </c>
      <c r="K384">
        <f t="shared" si="127"/>
        <v>1.9955012231454537E-4</v>
      </c>
      <c r="L384" s="26">
        <f t="shared" si="124"/>
        <v>2.8581261357731183E-3</v>
      </c>
      <c r="N384" s="94">
        <f>COS(O382)</f>
        <v>0.99999779903388097</v>
      </c>
      <c r="O384" s="96">
        <f>-N385</f>
        <v>-2.0980770705262054E-3</v>
      </c>
      <c r="Q384" s="30">
        <v>0.10248502099353127</v>
      </c>
      <c r="R384" s="26">
        <v>-0.2551974635266373</v>
      </c>
    </row>
    <row r="385" spans="1:18" x14ac:dyDescent="0.35">
      <c r="A385" s="113">
        <v>1.9819431676251085E-2</v>
      </c>
      <c r="B385" s="114">
        <v>-2.2711928327135256E-2</v>
      </c>
      <c r="C385" s="114">
        <v>0.99703649263442518</v>
      </c>
      <c r="D385" s="115">
        <v>7.0778462790157648E-2</v>
      </c>
      <c r="F385" s="30">
        <f>INDEX(A385:D393,,F379)</f>
        <v>-2.2711928327135256E-2</v>
      </c>
      <c r="G385" s="26">
        <f>INDEX(A380:D388,,G379)</f>
        <v>7.0778462790157648E-2</v>
      </c>
      <c r="I385" s="30">
        <f t="shared" si="125"/>
        <v>-4.4937591066008019E-3</v>
      </c>
      <c r="J385">
        <f t="shared" si="126"/>
        <v>-3.2150307479897403E-3</v>
      </c>
      <c r="K385">
        <f t="shared" si="127"/>
        <v>9.8574481976381683E-6</v>
      </c>
      <c r="L385" s="26">
        <f t="shared" si="124"/>
        <v>1.4447573701780483E-5</v>
      </c>
      <c r="N385" s="27">
        <f>SIN(O382)</f>
        <v>2.0980770705262054E-3</v>
      </c>
      <c r="O385" s="29">
        <f>N384</f>
        <v>0.99999779903388097</v>
      </c>
      <c r="Q385" s="30">
        <v>-2.2563379669083391E-2</v>
      </c>
      <c r="R385" s="26">
        <v>7.0825958385209692E-2</v>
      </c>
    </row>
    <row r="386" spans="1:18" x14ac:dyDescent="0.35">
      <c r="A386" s="113">
        <v>-0.969663095642467</v>
      </c>
      <c r="B386" s="114">
        <v>-1.1039490339401692E-3</v>
      </c>
      <c r="C386" s="114">
        <v>0.15703354306652725</v>
      </c>
      <c r="D386" s="115">
        <v>-0.18733053300936228</v>
      </c>
      <c r="F386" s="30">
        <f>INDEX(A386:D394,,F379)</f>
        <v>-1.1039490339401692E-3</v>
      </c>
      <c r="G386" s="26">
        <f>INDEX(A380:D388,,G379)</f>
        <v>-0.18733053300936228</v>
      </c>
      <c r="I386" s="30">
        <f t="shared" si="125"/>
        <v>-3.5091509894102237E-2</v>
      </c>
      <c r="J386">
        <f t="shared" si="126"/>
        <v>4.1360672188636493E-4</v>
      </c>
      <c r="K386">
        <f t="shared" si="127"/>
        <v>1.2312429961274854E-3</v>
      </c>
      <c r="L386" s="26">
        <f t="shared" si="124"/>
        <v>-1.4514084373342567E-5</v>
      </c>
      <c r="Q386" s="30">
        <v>-1.4969805001021437E-3</v>
      </c>
      <c r="R386" s="26">
        <v>-0.18732780453105094</v>
      </c>
    </row>
    <row r="387" spans="1:18" x14ac:dyDescent="0.35">
      <c r="A387" s="113">
        <v>-0.69918544759811363</v>
      </c>
      <c r="B387" s="114">
        <v>0.20492194205595227</v>
      </c>
      <c r="C387" s="114">
        <v>0.56489893562456595</v>
      </c>
      <c r="D387" s="115">
        <v>-0.38734467862780098</v>
      </c>
      <c r="F387" s="30">
        <f>INDEX(A387:D395,,F379)</f>
        <v>0.20492194205595227</v>
      </c>
      <c r="G387" s="26">
        <f>INDEX(A380:D388,,G379)</f>
        <v>-0.38734467862780098</v>
      </c>
      <c r="I387" s="30">
        <f t="shared" si="125"/>
        <v>-0.10804289772529138</v>
      </c>
      <c r="J387">
        <f t="shared" si="126"/>
        <v>-0.15875084757889538</v>
      </c>
      <c r="K387">
        <f t="shared" si="127"/>
        <v>-1.35285638581399E-2</v>
      </c>
      <c r="L387" s="26">
        <f t="shared" si="124"/>
        <v>1.7151901588769915E-2</v>
      </c>
      <c r="Q387" s="30">
        <v>0.20410881204108142</v>
      </c>
      <c r="R387" s="26">
        <v>-0.38777376812316222</v>
      </c>
    </row>
    <row r="388" spans="1:18" x14ac:dyDescent="0.35">
      <c r="A388" s="116">
        <v>-9.9294851178131235E-2</v>
      </c>
      <c r="B388" s="117">
        <v>0.92591391690293112</v>
      </c>
      <c r="C388" s="117">
        <v>-0.1999559341391404</v>
      </c>
      <c r="D388" s="118">
        <v>-0.30469915559044303</v>
      </c>
      <c r="F388" s="27">
        <f>INDEX(A388:D396,,F379)</f>
        <v>0.92591391690293112</v>
      </c>
      <c r="G388" s="29">
        <f>INDEX(A380:D388,,G379)</f>
        <v>-0.30469915559044303</v>
      </c>
      <c r="I388" s="27">
        <f t="shared" si="125"/>
        <v>0.76447500609699903</v>
      </c>
      <c r="J388" s="28">
        <f t="shared" si="126"/>
        <v>-0.56425037725952554</v>
      </c>
      <c r="K388" s="28">
        <f t="shared" si="127"/>
        <v>0.26604354670948982</v>
      </c>
      <c r="L388" s="29">
        <f t="shared" si="124"/>
        <v>-0.43135531059570981</v>
      </c>
      <c r="Q388" s="27">
        <v>0.9252725966860178</v>
      </c>
      <c r="R388" s="29">
        <v>-0.30664112371626023</v>
      </c>
    </row>
    <row r="389" spans="1:18" x14ac:dyDescent="0.35">
      <c r="I389">
        <f>SUM(I380:I388)</f>
        <v>0.63853274077251854</v>
      </c>
      <c r="J389">
        <f>SUM(J380:J388)</f>
        <v>-0.20370819756516123</v>
      </c>
      <c r="K389">
        <f>SUM(K380:K388)</f>
        <v>1.5680855166561094</v>
      </c>
      <c r="L389">
        <f>SUM(L380:L388)</f>
        <v>-1.6086743422874195E-2</v>
      </c>
    </row>
    <row r="390" spans="1:18" x14ac:dyDescent="0.35">
      <c r="A390" s="12" t="s">
        <v>2</v>
      </c>
      <c r="B390">
        <f>COUNT(A380:A388)</f>
        <v>9</v>
      </c>
      <c r="I390" s="12" t="s">
        <v>16</v>
      </c>
      <c r="J390" s="12" t="s">
        <v>258</v>
      </c>
      <c r="K390" s="12" t="s">
        <v>18</v>
      </c>
      <c r="L390" s="12" t="s">
        <v>19</v>
      </c>
      <c r="N390" s="12"/>
    </row>
    <row r="392" spans="1:18" x14ac:dyDescent="0.35">
      <c r="A392">
        <v>1</v>
      </c>
      <c r="B392">
        <v>2</v>
      </c>
      <c r="C392">
        <v>3</v>
      </c>
      <c r="D392">
        <v>4</v>
      </c>
      <c r="F392">
        <v>3</v>
      </c>
      <c r="G392">
        <v>4</v>
      </c>
      <c r="I392" s="12" t="s">
        <v>251</v>
      </c>
      <c r="J392" s="12" t="s">
        <v>252</v>
      </c>
      <c r="K392" s="12" t="s">
        <v>253</v>
      </c>
      <c r="L392" s="12" t="s">
        <v>254</v>
      </c>
      <c r="Q392">
        <f>F392</f>
        <v>3</v>
      </c>
      <c r="R392">
        <f>G392</f>
        <v>4</v>
      </c>
    </row>
    <row r="393" spans="1:18" x14ac:dyDescent="0.35">
      <c r="A393" s="110">
        <f t="array" ref="A393:A401">IF(A392=$Q379,$Q380:$Q388,IF(A392=$R379,$R380:$R388,A380:A388))</f>
        <v>-9.0799081975438262E-2</v>
      </c>
      <c r="B393" s="111">
        <f t="array" ref="B393:B401">IF(B392=$Q379,$Q380:$Q388,IF(B392=$R379,$R380:$R388,B380:B388))</f>
        <v>-0.89063892678163392</v>
      </c>
      <c r="C393" s="111">
        <f t="array" ref="C393:C401">IF(C392=$Q379,$Q380:$Q388,IF(C392=$R379,$R380:$R388,C380:C388))</f>
        <v>-0.33948138229572411</v>
      </c>
      <c r="D393" s="112">
        <f t="array" ref="D393:D401">IF(D392=$Q379,$Q380:$Q388,IF(D392=$R379,$R380:$R388,D380:D388))</f>
        <v>-0.28856579819559691</v>
      </c>
      <c r="F393" s="94">
        <f>INDEX(A393:D401,,F392)</f>
        <v>-0.33948138229572411</v>
      </c>
      <c r="G393" s="96">
        <f>INDEX(A393:D401,,G392)</f>
        <v>-0.28856579819559691</v>
      </c>
      <c r="I393" s="94">
        <f>F393^2-G393^2</f>
        <v>3.1977389037153622E-2</v>
      </c>
      <c r="J393" s="95">
        <f>2*F393*G393</f>
        <v>0.19592543210942043</v>
      </c>
      <c r="K393" s="95">
        <f>I393^2-J393^2</f>
        <v>-3.7364221537629638E-2</v>
      </c>
      <c r="L393" s="96">
        <f t="shared" ref="L393:L401" si="128">I393*J393</f>
        <v>6.2651837648353675E-3</v>
      </c>
      <c r="N393" t="s">
        <v>12</v>
      </c>
      <c r="O393" s="51">
        <f>L402*B403-2*I402*J402</f>
        <v>0.48731476654505912</v>
      </c>
      <c r="Q393" s="94">
        <f t="array" ref="Q393:R401">MMULT(F393:G401,N397:O398)</f>
        <v>-0.34148778982164235</v>
      </c>
      <c r="R393" s="96">
        <v>-0.28618860602128687</v>
      </c>
    </row>
    <row r="394" spans="1:18" x14ac:dyDescent="0.35">
      <c r="A394" s="113">
        <v>-0.80906577022382031</v>
      </c>
      <c r="B394" s="114">
        <v>0.58125907149150813</v>
      </c>
      <c r="C394" s="114">
        <v>7.3402300297240847E-2</v>
      </c>
      <c r="D394" s="115">
        <v>4.6503479139096512E-2</v>
      </c>
      <c r="F394" s="30">
        <f>INDEX(A394:D402,,F392)</f>
        <v>7.3402300297240847E-2</v>
      </c>
      <c r="G394" s="26">
        <f>INDEX(A393:D401,,G392)</f>
        <v>4.6503479139096512E-2</v>
      </c>
      <c r="I394" s="30">
        <f t="shared" ref="I394:I401" si="129">F394^2-G394^2</f>
        <v>3.2253241168859396E-3</v>
      </c>
      <c r="J394">
        <f t="shared" ref="J394:J401" si="130">2*F394*G394</f>
        <v>6.8269246812688745E-3</v>
      </c>
      <c r="K394">
        <f t="shared" ref="K394:K401" si="131">I394^2-J394^2</f>
        <v>-3.6204184944752053E-5</v>
      </c>
      <c r="L394" s="26">
        <f t="shared" si="128"/>
        <v>2.2019044818660356E-5</v>
      </c>
      <c r="N394" t="s">
        <v>255</v>
      </c>
      <c r="O394" s="52">
        <f>K402*B403-(I402^2-J402^2)</f>
        <v>17.445024463460978</v>
      </c>
      <c r="Q394" s="30">
        <v>7.3725184916148601E-2</v>
      </c>
      <c r="R394" s="26">
        <v>4.5989872472604269E-2</v>
      </c>
    </row>
    <row r="395" spans="1:18" x14ac:dyDescent="0.35">
      <c r="A395" s="113">
        <v>-0.98363987846142198</v>
      </c>
      <c r="B395" s="114">
        <v>-0.14220006295112125</v>
      </c>
      <c r="C395" s="114">
        <v>0.10111832058060986</v>
      </c>
      <c r="D395" s="115">
        <v>-4.4797509306362802E-2</v>
      </c>
      <c r="F395" s="30">
        <f>INDEX(A395:D403,,F392)</f>
        <v>0.10111832058060986</v>
      </c>
      <c r="G395" s="26">
        <f>INDEX(A393:D401,,G392)</f>
        <v>-4.4797509306362802E-2</v>
      </c>
      <c r="I395" s="30">
        <f t="shared" si="129"/>
        <v>8.2180979169893271E-3</v>
      </c>
      <c r="J395">
        <f t="shared" si="130"/>
        <v>-9.0596978145072952E-3</v>
      </c>
      <c r="K395">
        <f t="shared" si="131"/>
        <v>-1.4540991116963938E-5</v>
      </c>
      <c r="L395" s="26">
        <f t="shared" si="128"/>
        <v>-7.4453483737955156E-5</v>
      </c>
      <c r="N395" t="s">
        <v>256</v>
      </c>
      <c r="O395" s="53">
        <f>0.25*ATAN(O393/O394)</f>
        <v>6.9817625093261081E-3</v>
      </c>
      <c r="Q395" s="30">
        <v>0.10080309305392886</v>
      </c>
      <c r="R395" s="26">
        <v>-4.550239584744533E-2</v>
      </c>
    </row>
    <row r="396" spans="1:18" x14ac:dyDescent="0.35">
      <c r="A396" s="113">
        <v>-7.6970576509089061E-2</v>
      </c>
      <c r="B396" s="114">
        <v>3.2794039688237397E-3</v>
      </c>
      <c r="C396" s="114">
        <v>9.3123724123228155E-2</v>
      </c>
      <c r="D396" s="115">
        <v>-0.99266950586128522</v>
      </c>
      <c r="F396" s="30">
        <f>INDEX(A396:D404,,F392)</f>
        <v>9.3123724123228155E-2</v>
      </c>
      <c r="G396" s="26">
        <f>INDEX(A393:D401,,G392)</f>
        <v>-0.99266950586128522</v>
      </c>
      <c r="I396" s="30">
        <f t="shared" si="129"/>
        <v>-0.97672071987230902</v>
      </c>
      <c r="J396">
        <f t="shared" si="130"/>
        <v>-0.18488216241873506</v>
      </c>
      <c r="K396">
        <f t="shared" si="131"/>
        <v>0.91980195064725401</v>
      </c>
      <c r="L396" s="26">
        <f t="shared" si="128"/>
        <v>0.18057823876917606</v>
      </c>
      <c r="Q396" s="30">
        <v>8.6190928039028655E-2</v>
      </c>
      <c r="R396" s="26">
        <v>-0.99329547456194445</v>
      </c>
    </row>
    <row r="397" spans="1:18" x14ac:dyDescent="0.35">
      <c r="A397" s="113">
        <v>-0.37588630718040245</v>
      </c>
      <c r="B397" s="114">
        <v>0.10248502099353127</v>
      </c>
      <c r="C397" s="114">
        <v>0.88491839124057436</v>
      </c>
      <c r="D397" s="115">
        <v>-0.2551974635266373</v>
      </c>
      <c r="F397" s="30">
        <f>INDEX(A397:D405,,F392)</f>
        <v>0.88491839124057436</v>
      </c>
      <c r="G397" s="26">
        <f>INDEX(A393:D401,,G392)</f>
        <v>-0.2551974635266373</v>
      </c>
      <c r="I397" s="30">
        <f t="shared" si="129"/>
        <v>0.71795481376537684</v>
      </c>
      <c r="J397">
        <f t="shared" si="130"/>
        <v>-0.45165785774533407</v>
      </c>
      <c r="K397">
        <f t="shared" si="131"/>
        <v>0.31146429414577248</v>
      </c>
      <c r="L397" s="26">
        <f t="shared" si="128"/>
        <v>-0.32426993314322039</v>
      </c>
      <c r="N397" s="94">
        <f>COS(O395)</f>
        <v>0.9999756275951347</v>
      </c>
      <c r="O397" s="96">
        <f>-N398</f>
        <v>-6.9817057884530957E-3</v>
      </c>
      <c r="Q397" s="30">
        <v>0.88311511004296783</v>
      </c>
      <c r="R397" s="26">
        <v>-0.2613694836051686</v>
      </c>
    </row>
    <row r="398" spans="1:18" x14ac:dyDescent="0.35">
      <c r="A398" s="113">
        <v>1.9819431676251085E-2</v>
      </c>
      <c r="B398" s="114">
        <v>-2.2563379669083391E-2</v>
      </c>
      <c r="C398" s="114">
        <v>0.99703649263442518</v>
      </c>
      <c r="D398" s="115">
        <v>7.0825958385209692E-2</v>
      </c>
      <c r="F398" s="30">
        <f>INDEX(A398:D406,,F392)</f>
        <v>0.99703649263442518</v>
      </c>
      <c r="G398" s="26">
        <f>INDEX(A393:D401,,G392)</f>
        <v>7.0825958385209692E-2</v>
      </c>
      <c r="I398" s="30">
        <f t="shared" si="129"/>
        <v>0.9890654512635727</v>
      </c>
      <c r="J398">
        <f t="shared" si="130"/>
        <v>0.14123213027172246</v>
      </c>
      <c r="K398">
        <f t="shared" si="131"/>
        <v>0.95830395226212595</v>
      </c>
      <c r="L398" s="26">
        <f t="shared" si="128"/>
        <v>0.13968782066011687</v>
      </c>
      <c r="N398" s="27">
        <f>SIN(O395)</f>
        <v>6.9817057884530957E-3</v>
      </c>
      <c r="O398" s="29">
        <f>N397</f>
        <v>0.9999756275951347</v>
      </c>
      <c r="Q398" s="30">
        <v>0.99750667846099195</v>
      </c>
      <c r="R398" s="26">
        <v>6.3863216734352218E-2</v>
      </c>
    </row>
    <row r="399" spans="1:18" x14ac:dyDescent="0.35">
      <c r="A399" s="113">
        <v>-0.969663095642467</v>
      </c>
      <c r="B399" s="114">
        <v>-1.4969805001021437E-3</v>
      </c>
      <c r="C399" s="114">
        <v>0.15703354306652725</v>
      </c>
      <c r="D399" s="115">
        <v>-0.18732780453105094</v>
      </c>
      <c r="F399" s="30">
        <f>INDEX(A399:D407,,F392)</f>
        <v>0.15703354306652725</v>
      </c>
      <c r="G399" s="26">
        <f>INDEX(A393:D401,,G392)</f>
        <v>-0.18732780453105094</v>
      </c>
      <c r="I399" s="30">
        <f t="shared" si="129"/>
        <v>-1.0432172702396759E-2</v>
      </c>
      <c r="J399">
        <f t="shared" si="130"/>
        <v>-5.8833497720769574E-2</v>
      </c>
      <c r="K399">
        <f t="shared" si="131"/>
        <v>-3.3525502267671668E-3</v>
      </c>
      <c r="L399" s="26">
        <f t="shared" si="128"/>
        <v>6.1376120890913423E-4</v>
      </c>
      <c r="Q399" s="30">
        <v>0.15572184816420556</v>
      </c>
      <c r="R399" s="26">
        <v>-0.18841960089856524</v>
      </c>
    </row>
    <row r="400" spans="1:18" x14ac:dyDescent="0.35">
      <c r="A400" s="113">
        <v>-0.69918544759811363</v>
      </c>
      <c r="B400" s="114">
        <v>0.20410881204108142</v>
      </c>
      <c r="C400" s="114">
        <v>0.56489893562456595</v>
      </c>
      <c r="D400" s="115">
        <v>-0.38777376812316222</v>
      </c>
      <c r="F400" s="30">
        <f>INDEX(A400:D408,,F392)</f>
        <v>0.56489893562456595</v>
      </c>
      <c r="G400" s="26">
        <f>INDEX(A393:D401,,G392)</f>
        <v>-0.38777376812316222</v>
      </c>
      <c r="I400" s="30">
        <f t="shared" si="129"/>
        <v>0.16874231222533151</v>
      </c>
      <c r="J400">
        <f t="shared" si="130"/>
        <v>-0.43810597775180316</v>
      </c>
      <c r="K400">
        <f t="shared" si="131"/>
        <v>-0.1634628798067122</v>
      </c>
      <c r="L400" s="26">
        <f t="shared" si="128"/>
        <v>-7.3927015685578912E-2</v>
      </c>
      <c r="Q400" s="30">
        <v>0.56217784531748316</v>
      </c>
      <c r="R400" s="26">
        <v>-0.39170827531263042</v>
      </c>
    </row>
    <row r="401" spans="1:18" x14ac:dyDescent="0.35">
      <c r="A401" s="116">
        <v>-9.9294851178131235E-2</v>
      </c>
      <c r="B401" s="117">
        <v>0.9252725966860178</v>
      </c>
      <c r="C401" s="117">
        <v>-0.1999559341391404</v>
      </c>
      <c r="D401" s="118">
        <v>-0.30664112371626023</v>
      </c>
      <c r="F401" s="27">
        <f>INDEX(A401:D409,,F392)</f>
        <v>-0.1999559341391404</v>
      </c>
      <c r="G401" s="29">
        <f>INDEX(A393:D401,,G392)</f>
        <v>-0.30664112371626023</v>
      </c>
      <c r="I401" s="27">
        <f t="shared" si="129"/>
        <v>-5.4046403156514558E-2</v>
      </c>
      <c r="J401" s="28">
        <f t="shared" si="130"/>
        <v>0.12262942467632107</v>
      </c>
      <c r="K401" s="28">
        <f t="shared" si="131"/>
        <v>-1.2116962102288997E-2</v>
      </c>
      <c r="L401" s="29">
        <f t="shared" si="128"/>
        <v>-6.6276793249078836E-3</v>
      </c>
      <c r="Q401" s="27">
        <v>-0.20209193884058593</v>
      </c>
      <c r="R401" s="29">
        <v>-0.30523761663182986</v>
      </c>
    </row>
    <row r="402" spans="1:18" x14ac:dyDescent="0.35">
      <c r="I402">
        <f>SUM(I393:I401)</f>
        <v>0.87798409259408972</v>
      </c>
      <c r="J402">
        <f>SUM(J393:J401)</f>
        <v>-0.67592528171241639</v>
      </c>
      <c r="K402">
        <f>SUM(K393:K401)</f>
        <v>1.9732228382056927</v>
      </c>
      <c r="L402">
        <f>SUM(L393:L401)</f>
        <v>-7.7732058189589073E-2</v>
      </c>
    </row>
    <row r="403" spans="1:18" x14ac:dyDescent="0.35">
      <c r="A403" s="12" t="s">
        <v>2</v>
      </c>
      <c r="B403">
        <f>COUNT(A393:A401)</f>
        <v>9</v>
      </c>
      <c r="I403" s="12" t="s">
        <v>16</v>
      </c>
      <c r="J403" s="12" t="s">
        <v>258</v>
      </c>
      <c r="K403" s="12" t="s">
        <v>18</v>
      </c>
      <c r="L403" s="12" t="s">
        <v>19</v>
      </c>
      <c r="N403" s="12"/>
    </row>
    <row r="405" spans="1:18" x14ac:dyDescent="0.35">
      <c r="A405">
        <v>1</v>
      </c>
      <c r="B405">
        <v>2</v>
      </c>
      <c r="C405">
        <v>3</v>
      </c>
      <c r="D405">
        <v>4</v>
      </c>
      <c r="F405">
        <v>1</v>
      </c>
      <c r="G405">
        <v>2</v>
      </c>
      <c r="I405" s="12" t="s">
        <v>251</v>
      </c>
      <c r="J405" s="12" t="s">
        <v>252</v>
      </c>
      <c r="K405" s="12" t="s">
        <v>253</v>
      </c>
      <c r="L405" s="12" t="s">
        <v>254</v>
      </c>
      <c r="Q405">
        <f>F405</f>
        <v>1</v>
      </c>
      <c r="R405">
        <f>G405</f>
        <v>2</v>
      </c>
    </row>
    <row r="406" spans="1:18" x14ac:dyDescent="0.35">
      <c r="A406" s="110">
        <f t="array" ref="A406:A414">IF(A405=$Q392,$Q393:$Q401,IF(A405=$R392,$R393:$R401,A393:A401))</f>
        <v>-9.0799081975438262E-2</v>
      </c>
      <c r="B406" s="111">
        <f t="array" ref="B406:B414">IF(B405=$Q392,$Q393:$Q401,IF(B405=$R392,$R393:$R401,B393:B401))</f>
        <v>-0.89063892678163392</v>
      </c>
      <c r="C406" s="111">
        <f t="array" ref="C406:C414">IF(C405=$Q392,$Q393:$Q401,IF(C405=$R392,$R393:$R401,C393:C401))</f>
        <v>-0.34148778982164235</v>
      </c>
      <c r="D406" s="112">
        <f t="array" ref="D406:D414">IF(D405=$Q392,$Q393:$Q401,IF(D405=$R392,$R393:$R401,D393:D401))</f>
        <v>-0.28618860602128687</v>
      </c>
      <c r="F406" s="94">
        <f>INDEX(A406:D414,,F405)</f>
        <v>-9.0799081975438262E-2</v>
      </c>
      <c r="G406" s="96">
        <f>INDEX(A406:D414,,G405)</f>
        <v>-0.89063892678163392</v>
      </c>
      <c r="I406" s="94">
        <f>F406^2-G406^2</f>
        <v>-0.78499322461115828</v>
      </c>
      <c r="J406" s="95">
        <f>2*F406*G406</f>
        <v>0.16173839384672387</v>
      </c>
      <c r="K406" s="95">
        <f>I406^2-J406^2</f>
        <v>0.59005505464130648</v>
      </c>
      <c r="L406" s="96">
        <f t="shared" ref="L406:L414" si="132">I406*J406</f>
        <v>-0.12696354332916929</v>
      </c>
      <c r="N406" t="s">
        <v>12</v>
      </c>
      <c r="O406" s="51">
        <f>L415*B416-2*I415*J415</f>
        <v>1.1608962890182923</v>
      </c>
      <c r="Q406" s="94">
        <f t="array" ref="Q406:R414">MMULT(F406:G414,N410:O411)</f>
        <v>-0.1032994168849298</v>
      </c>
      <c r="R406" s="96">
        <v>-0.88927577368190824</v>
      </c>
    </row>
    <row r="407" spans="1:18" x14ac:dyDescent="0.35">
      <c r="A407" s="113">
        <v>-0.80906577022382031</v>
      </c>
      <c r="B407" s="114">
        <v>0.58125907149150813</v>
      </c>
      <c r="C407" s="114">
        <v>7.3725184916148601E-2</v>
      </c>
      <c r="D407" s="115">
        <v>4.5989872472604269E-2</v>
      </c>
      <c r="F407" s="30">
        <f>INDEX(A407:D415,,F405)</f>
        <v>-0.80906577022382031</v>
      </c>
      <c r="G407" s="26">
        <f>INDEX(A406:D414,,G405)</f>
        <v>0.58125907149150813</v>
      </c>
      <c r="I407" s="30">
        <f t="shared" ref="I407:I414" si="133">F407^2-G407^2</f>
        <v>0.31672531235669343</v>
      </c>
      <c r="J407">
        <f t="shared" ref="J407:J414" si="134">2*F407*G407</f>
        <v>-0.94055363675171932</v>
      </c>
      <c r="K407">
        <f t="shared" ref="K407:K414" si="135">I407^2-J407^2</f>
        <v>-0.78432622011944009</v>
      </c>
      <c r="L407" s="26">
        <f t="shared" si="132"/>
        <v>-0.29789714438841225</v>
      </c>
      <c r="N407" t="s">
        <v>255</v>
      </c>
      <c r="O407" s="52">
        <f>K415*B416-(I415^2-J415^2)</f>
        <v>20.641004330823808</v>
      </c>
      <c r="Q407" s="30">
        <v>-0.80082200558537142</v>
      </c>
      <c r="R407" s="26">
        <v>0.59256530788534789</v>
      </c>
    </row>
    <row r="408" spans="1:18" x14ac:dyDescent="0.35">
      <c r="A408" s="113">
        <v>-0.98363987846142198</v>
      </c>
      <c r="B408" s="114">
        <v>-0.14220006295112125</v>
      </c>
      <c r="C408" s="114">
        <v>0.10080309305392886</v>
      </c>
      <c r="D408" s="115">
        <v>-4.550239584744533E-2</v>
      </c>
      <c r="F408" s="30">
        <f>INDEX(A408:D416,,F405)</f>
        <v>-0.98363987846142198</v>
      </c>
      <c r="G408" s="26">
        <f>INDEX(A406:D414,,G405)</f>
        <v>-0.14220006295112125</v>
      </c>
      <c r="I408" s="30">
        <f t="shared" si="133"/>
        <v>0.94732655259629817</v>
      </c>
      <c r="J408">
        <f t="shared" si="134"/>
        <v>0.27974730527689495</v>
      </c>
      <c r="K408">
        <f t="shared" si="135"/>
        <v>0.81916904244430266</v>
      </c>
      <c r="L408" s="26">
        <f t="shared" si="132"/>
        <v>0.26501205030606512</v>
      </c>
      <c r="N408" t="s">
        <v>256</v>
      </c>
      <c r="O408" s="53">
        <f>0.25*ATAN(O406/O407)</f>
        <v>1.404576230138726E-2</v>
      </c>
      <c r="Q408" s="30">
        <v>-0.9855400947392422</v>
      </c>
      <c r="R408" s="26">
        <v>-0.1283705186725885</v>
      </c>
    </row>
    <row r="409" spans="1:18" x14ac:dyDescent="0.35">
      <c r="A409" s="113">
        <v>-7.6970576509089061E-2</v>
      </c>
      <c r="B409" s="114">
        <v>3.2794039688237397E-3</v>
      </c>
      <c r="C409" s="114">
        <v>8.6190928039028655E-2</v>
      </c>
      <c r="D409" s="115">
        <v>-0.99329547456194445</v>
      </c>
      <c r="F409" s="30">
        <f>INDEX(A409:D417,,F405)</f>
        <v>-7.6970576509089061E-2</v>
      </c>
      <c r="G409" s="26">
        <f>INDEX(A406:D414,,G405)</f>
        <v>3.2794039688237397E-3</v>
      </c>
      <c r="I409" s="30">
        <f t="shared" si="133"/>
        <v>5.9137151577507959E-3</v>
      </c>
      <c r="J409">
        <f t="shared" si="134"/>
        <v>-5.0483522817311595E-4</v>
      </c>
      <c r="K409">
        <f t="shared" si="135"/>
        <v>3.4717168359406921E-5</v>
      </c>
      <c r="L409" s="26">
        <f t="shared" si="132"/>
        <v>-2.9854517410139373E-6</v>
      </c>
      <c r="Q409" s="30">
        <v>-7.6916923909792642E-2</v>
      </c>
      <c r="R409" s="26">
        <v>4.3601553627638928E-3</v>
      </c>
    </row>
    <row r="410" spans="1:18" x14ac:dyDescent="0.35">
      <c r="A410" s="113">
        <v>-0.37588630718040245</v>
      </c>
      <c r="B410" s="114">
        <v>0.10248502099353127</v>
      </c>
      <c r="C410" s="114">
        <v>0.88311511004296783</v>
      </c>
      <c r="D410" s="115">
        <v>-0.2613694836051686</v>
      </c>
      <c r="F410" s="30">
        <f>INDEX(A410:D418,,F405)</f>
        <v>-0.37588630718040245</v>
      </c>
      <c r="G410" s="26">
        <f>INDEX(A406:D414,,G405)</f>
        <v>0.10248502099353127</v>
      </c>
      <c r="I410" s="30">
        <f t="shared" si="133"/>
        <v>0.13078733639767531</v>
      </c>
      <c r="J410">
        <f t="shared" si="134"/>
        <v>-7.7045432165128977E-2</v>
      </c>
      <c r="K410">
        <f t="shared" si="135"/>
        <v>1.1169328744487193E-2</v>
      </c>
      <c r="L410" s="26">
        <f t="shared" si="132"/>
        <v>-1.0076566854484997E-2</v>
      </c>
      <c r="N410" s="94">
        <f>COS(O408)</f>
        <v>0.99990135990237394</v>
      </c>
      <c r="O410" s="96">
        <f>-N411</f>
        <v>-1.4045300473228677E-2</v>
      </c>
      <c r="Q410" s="30">
        <v>-0.37440979680450659</v>
      </c>
      <c r="R410" s="26">
        <v>0.10775434798917634</v>
      </c>
    </row>
    <row r="411" spans="1:18" x14ac:dyDescent="0.35">
      <c r="A411" s="113">
        <v>1.9819431676251085E-2</v>
      </c>
      <c r="B411" s="114">
        <v>-2.2563379669083391E-2</v>
      </c>
      <c r="C411" s="114">
        <v>0.99750667846099195</v>
      </c>
      <c r="D411" s="115">
        <v>6.3863216734352218E-2</v>
      </c>
      <c r="F411" s="30">
        <f>INDEX(A411:D419,,F405)</f>
        <v>1.9819431676251085E-2</v>
      </c>
      <c r="G411" s="26">
        <f>INDEX(A406:D414,,G405)</f>
        <v>-2.2563379669083391E-2</v>
      </c>
      <c r="I411" s="30">
        <f t="shared" si="133"/>
        <v>-1.1629623012162076E-4</v>
      </c>
      <c r="J411">
        <f t="shared" si="134"/>
        <v>-8.9438672347342217E-4</v>
      </c>
      <c r="K411">
        <f t="shared" si="135"/>
        <v>-7.8640279798502286E-7</v>
      </c>
      <c r="L411" s="26">
        <f t="shared" si="132"/>
        <v>1.040138042107875E-7</v>
      </c>
      <c r="N411" s="27">
        <f>SIN(O408)</f>
        <v>1.4045300473228677E-2</v>
      </c>
      <c r="O411" s="29">
        <f>N410</f>
        <v>0.99990135990237394</v>
      </c>
      <c r="Q411" s="30">
        <v>1.950056723843183E-2</v>
      </c>
      <c r="R411" s="26">
        <v>-2.2839523888211633E-2</v>
      </c>
    </row>
    <row r="412" spans="1:18" x14ac:dyDescent="0.35">
      <c r="A412" s="113">
        <v>-0.969663095642467</v>
      </c>
      <c r="B412" s="114">
        <v>-1.4969805001021437E-3</v>
      </c>
      <c r="C412" s="114">
        <v>0.15572184816420556</v>
      </c>
      <c r="D412" s="115">
        <v>-0.18841960089856524</v>
      </c>
      <c r="F412" s="30">
        <f>INDEX(A412:D420,,F405)</f>
        <v>-0.969663095642467</v>
      </c>
      <c r="G412" s="26">
        <f>INDEX(A406:D414,,G405)</f>
        <v>-1.4969805001021437E-3</v>
      </c>
      <c r="I412" s="30">
        <f t="shared" si="133"/>
        <v>0.94024427810031441</v>
      </c>
      <c r="J412">
        <f t="shared" si="134"/>
        <v>2.9031334916909059E-3</v>
      </c>
      <c r="K412">
        <f t="shared" si="135"/>
        <v>0.8840508743163108</v>
      </c>
      <c r="L412" s="26">
        <f t="shared" si="132"/>
        <v>2.729654654123761E-3</v>
      </c>
      <c r="Q412" s="30">
        <v>-0.96958847352097499</v>
      </c>
      <c r="R412" s="26">
        <v>1.2122376698300057E-2</v>
      </c>
    </row>
    <row r="413" spans="1:18" x14ac:dyDescent="0.35">
      <c r="A413" s="113">
        <v>-0.69918544759811363</v>
      </c>
      <c r="B413" s="114">
        <v>0.20410881204108142</v>
      </c>
      <c r="C413" s="114">
        <v>0.56217784531748316</v>
      </c>
      <c r="D413" s="115">
        <v>-0.39170827531263042</v>
      </c>
      <c r="F413" s="30">
        <f>INDEX(A413:D421,,F405)</f>
        <v>-0.69918544759811363</v>
      </c>
      <c r="G413" s="26">
        <f>INDEX(A406:D414,,G405)</f>
        <v>0.20410881204108142</v>
      </c>
      <c r="I413" s="30">
        <f t="shared" si="133"/>
        <v>0.44719988298015301</v>
      </c>
      <c r="J413">
        <f t="shared" si="134"/>
        <v>-0.2854198222113255</v>
      </c>
      <c r="K413">
        <f t="shared" si="135"/>
        <v>0.11852326042631788</v>
      </c>
      <c r="L413" s="26">
        <f t="shared" si="132"/>
        <v>-0.12763971109312083</v>
      </c>
      <c r="Q413" s="30">
        <v>-0.69624971028295313</v>
      </c>
      <c r="R413" s="26">
        <v>0.21390894842595973</v>
      </c>
    </row>
    <row r="414" spans="1:18" x14ac:dyDescent="0.35">
      <c r="A414" s="116">
        <v>-9.9294851178131235E-2</v>
      </c>
      <c r="B414" s="117">
        <v>0.9252725966860178</v>
      </c>
      <c r="C414" s="117">
        <v>-0.20209193884058593</v>
      </c>
      <c r="D414" s="118">
        <v>-0.30523761663182986</v>
      </c>
      <c r="F414" s="27">
        <f>INDEX(A414:D422,,F405)</f>
        <v>-9.9294851178131235E-2</v>
      </c>
      <c r="G414" s="29">
        <f>INDEX(A406:D414,,G405)</f>
        <v>0.9252725966860178</v>
      </c>
      <c r="I414" s="27">
        <f t="shared" si="133"/>
        <v>-0.84626991070759894</v>
      </c>
      <c r="J414" s="28">
        <f t="shared" si="134"/>
        <v>-0.18374960957428235</v>
      </c>
      <c r="K414" s="28">
        <f t="shared" si="135"/>
        <v>0.68240884275034619</v>
      </c>
      <c r="L414" s="29">
        <f t="shared" si="132"/>
        <v>0.15550176568698409</v>
      </c>
      <c r="Q414" s="27">
        <v>-8.6289325084217605E-2</v>
      </c>
      <c r="R414" s="29">
        <v>0.92657595372699142</v>
      </c>
    </row>
    <row r="415" spans="1:18" x14ac:dyDescent="0.35">
      <c r="I415">
        <f>SUM(I406:I414)</f>
        <v>1.1568176460400061</v>
      </c>
      <c r="J415">
        <f>SUM(J406:J414)</f>
        <v>-1.043778890038793</v>
      </c>
      <c r="K415">
        <f>SUM(K406:K414)</f>
        <v>2.3210841139691927</v>
      </c>
      <c r="L415">
        <f>SUM(L406:L414)</f>
        <v>-0.13933637645595126</v>
      </c>
    </row>
    <row r="416" spans="1:18" x14ac:dyDescent="0.35">
      <c r="A416" s="12" t="s">
        <v>2</v>
      </c>
      <c r="B416">
        <f>COUNT(A406:A414)</f>
        <v>9</v>
      </c>
      <c r="I416" s="12" t="s">
        <v>16</v>
      </c>
      <c r="J416" s="12" t="s">
        <v>258</v>
      </c>
      <c r="K416" s="12" t="s">
        <v>18</v>
      </c>
      <c r="L416" s="12" t="s">
        <v>19</v>
      </c>
      <c r="N416" s="12"/>
    </row>
    <row r="418" spans="1:18" x14ac:dyDescent="0.35">
      <c r="A418">
        <v>1</v>
      </c>
      <c r="B418">
        <v>2</v>
      </c>
      <c r="C418">
        <v>3</v>
      </c>
      <c r="D418">
        <v>4</v>
      </c>
      <c r="F418">
        <v>1</v>
      </c>
      <c r="G418">
        <v>3</v>
      </c>
      <c r="I418" s="12" t="s">
        <v>251</v>
      </c>
      <c r="J418" s="12" t="s">
        <v>252</v>
      </c>
      <c r="K418" s="12" t="s">
        <v>253</v>
      </c>
      <c r="L418" s="12" t="s">
        <v>254</v>
      </c>
      <c r="Q418">
        <f>F418</f>
        <v>1</v>
      </c>
      <c r="R418">
        <f>G418</f>
        <v>3</v>
      </c>
    </row>
    <row r="419" spans="1:18" x14ac:dyDescent="0.35">
      <c r="A419" s="110">
        <f t="array" ref="A419:A427">IF(A418=$Q405,$Q406:$Q414,IF(A418=$R405,$R406:$R414,A406:A414))</f>
        <v>-0.1032994168849298</v>
      </c>
      <c r="B419" s="111">
        <f t="array" ref="B419:B427">IF(B418=$Q405,$Q406:$Q414,IF(B418=$R405,$R406:$R414,B406:B414))</f>
        <v>-0.88927577368190824</v>
      </c>
      <c r="C419" s="111">
        <f t="array" ref="C419:C427">IF(C418=$Q405,$Q406:$Q414,IF(C418=$R405,$R406:$R414,C406:C414))</f>
        <v>-0.34148778982164235</v>
      </c>
      <c r="D419" s="112">
        <f t="array" ref="D419:D427">IF(D418=$Q405,$Q406:$Q414,IF(D418=$R405,$R406:$R414,D406:D414))</f>
        <v>-0.28618860602128687</v>
      </c>
      <c r="F419" s="94">
        <f>INDEX(A419:D427,,F418)</f>
        <v>-0.1032994168849298</v>
      </c>
      <c r="G419" s="96">
        <f>INDEX(A419:D427,,G418)</f>
        <v>-0.34148778982164235</v>
      </c>
      <c r="I419" s="94">
        <f>F419^2-G419^2</f>
        <v>-0.10594314106850367</v>
      </c>
      <c r="J419" s="95">
        <f>2*F419*G419</f>
        <v>7.0550979123798235E-2</v>
      </c>
      <c r="K419" s="95">
        <f>I419^2-J419^2</f>
        <v>6.246508484134254E-3</v>
      </c>
      <c r="L419" s="96">
        <f t="shared" ref="L419:L427" si="136">I419*J419</f>
        <v>-7.4743923338336134E-3</v>
      </c>
      <c r="N419" t="s">
        <v>12</v>
      </c>
      <c r="O419" s="51">
        <f>L428*B429-2*I428*J428</f>
        <v>0.81113443043450184</v>
      </c>
      <c r="Q419" s="94">
        <f t="array" ref="Q419:R427">MMULT(F419:G427,N423:O424)</f>
        <v>-0.10611635608481411</v>
      </c>
      <c r="R419" s="96">
        <v>-0.34062295738443354</v>
      </c>
    </row>
    <row r="420" spans="1:18" x14ac:dyDescent="0.35">
      <c r="A420" s="113">
        <v>-0.80082200558537142</v>
      </c>
      <c r="B420" s="114">
        <v>0.59256530788534789</v>
      </c>
      <c r="C420" s="114">
        <v>7.3725184916148601E-2</v>
      </c>
      <c r="D420" s="115">
        <v>4.5989872472604269E-2</v>
      </c>
      <c r="F420" s="30">
        <f>INDEX(A420:D428,,F418)</f>
        <v>-0.80082200558537142</v>
      </c>
      <c r="G420" s="26">
        <f>INDEX(A419:D427,,G418)</f>
        <v>7.3725184916148601E-2</v>
      </c>
      <c r="I420" s="30">
        <f t="shared" ref="I420:I427" si="137">F420^2-G420^2</f>
        <v>0.63588048173885636</v>
      </c>
      <c r="J420">
        <f t="shared" ref="J420:J427" si="138">2*F420*G420</f>
        <v>-0.11808150089340499</v>
      </c>
      <c r="K420">
        <f t="shared" ref="K420:K427" si="139">I420^2-J420^2</f>
        <v>0.39040074620320081</v>
      </c>
      <c r="L420" s="26">
        <f t="shared" si="136"/>
        <v>-7.5085721672545569E-2</v>
      </c>
      <c r="N420" t="s">
        <v>255</v>
      </c>
      <c r="O420" s="52">
        <f>K428*B429-(I428^2-J428^2)</f>
        <v>24.542832725543178</v>
      </c>
      <c r="Q420" s="30">
        <v>-0.80018576930098595</v>
      </c>
      <c r="R420" s="26">
        <v>8.0336928799190521E-2</v>
      </c>
    </row>
    <row r="421" spans="1:18" x14ac:dyDescent="0.35">
      <c r="A421" s="113">
        <v>-0.9855400947392422</v>
      </c>
      <c r="B421" s="114">
        <v>-0.1283705186725885</v>
      </c>
      <c r="C421" s="114">
        <v>0.10080309305392886</v>
      </c>
      <c r="D421" s="115">
        <v>-4.550239584744533E-2</v>
      </c>
      <c r="F421" s="30">
        <f>INDEX(A421:D429,,F418)</f>
        <v>-0.9855400947392422</v>
      </c>
      <c r="G421" s="26">
        <f>INDEX(A419:D427,,G418)</f>
        <v>0.10080309305392886</v>
      </c>
      <c r="I421" s="30">
        <f t="shared" si="137"/>
        <v>0.96112801476939547</v>
      </c>
      <c r="J421">
        <f t="shared" si="138"/>
        <v>-0.1986909797567554</v>
      </c>
      <c r="K421">
        <f t="shared" si="139"/>
        <v>0.88428895533785989</v>
      </c>
      <c r="L421" s="26">
        <f t="shared" si="136"/>
        <v>-0.19096746692619646</v>
      </c>
      <c r="N421" t="s">
        <v>256</v>
      </c>
      <c r="O421" s="53">
        <f>0.25*ATAN(O419/O420)</f>
        <v>8.2594305910847435E-3</v>
      </c>
      <c r="Q421" s="30">
        <v>-0.98467391236346968</v>
      </c>
      <c r="R421" s="26">
        <v>0.10893956222920785</v>
      </c>
    </row>
    <row r="422" spans="1:18" x14ac:dyDescent="0.35">
      <c r="A422" s="113">
        <v>-7.6916923909792642E-2</v>
      </c>
      <c r="B422" s="114">
        <v>4.3601553627638928E-3</v>
      </c>
      <c r="C422" s="114">
        <v>8.6190928039028655E-2</v>
      </c>
      <c r="D422" s="115">
        <v>-0.99329547456194445</v>
      </c>
      <c r="F422" s="30">
        <f>INDEX(A422:D430,,F418)</f>
        <v>-7.6916923909792642E-2</v>
      </c>
      <c r="G422" s="26">
        <f>INDEX(A419:D427,,G418)</f>
        <v>8.6190928039028655E-2</v>
      </c>
      <c r="I422" s="30">
        <f t="shared" si="137"/>
        <v>-1.5126628924841852E-3</v>
      </c>
      <c r="J422">
        <f t="shared" si="138"/>
        <v>-1.3259082107384761E-2</v>
      </c>
      <c r="K422">
        <f t="shared" si="139"/>
        <v>-1.735151093040721E-4</v>
      </c>
      <c r="L422" s="26">
        <f t="shared" si="136"/>
        <v>2.0056521492241939E-5</v>
      </c>
      <c r="Q422" s="30">
        <v>-7.6202420464105539E-2</v>
      </c>
      <c r="R422" s="26">
        <v>8.6823270932311208E-2</v>
      </c>
    </row>
    <row r="423" spans="1:18" x14ac:dyDescent="0.35">
      <c r="A423" s="113">
        <v>-0.37440979680450659</v>
      </c>
      <c r="B423" s="114">
        <v>0.10775434798917634</v>
      </c>
      <c r="C423" s="114">
        <v>0.88311511004296783</v>
      </c>
      <c r="D423" s="115">
        <v>-0.2613694836051686</v>
      </c>
      <c r="F423" s="30">
        <f>INDEX(A423:D431,,F418)</f>
        <v>-0.37440979680450659</v>
      </c>
      <c r="G423" s="26">
        <f>INDEX(A419:D427,,G418)</f>
        <v>0.88311511004296783</v>
      </c>
      <c r="I423" s="30">
        <f t="shared" si="137"/>
        <v>-0.63970960164301127</v>
      </c>
      <c r="J423">
        <f t="shared" si="138"/>
        <v>-0.66129389781235415</v>
      </c>
      <c r="K423">
        <f t="shared" si="139"/>
        <v>-2.8081244849596121E-2</v>
      </c>
      <c r="L423" s="26">
        <f t="shared" si="136"/>
        <v>0.42303605593849525</v>
      </c>
      <c r="N423" s="94">
        <f>COS(O421)</f>
        <v>0.99996589109706013</v>
      </c>
      <c r="O423" s="96">
        <f>-N424</f>
        <v>-8.2593366841657492E-3</v>
      </c>
      <c r="Q423" s="30">
        <v>-0.36710308107236866</v>
      </c>
      <c r="R423" s="26">
        <v>0.88617736452505325</v>
      </c>
    </row>
    <row r="424" spans="1:18" x14ac:dyDescent="0.35">
      <c r="A424" s="113">
        <v>1.950056723843183E-2</v>
      </c>
      <c r="B424" s="114">
        <v>-2.2839523888211633E-2</v>
      </c>
      <c r="C424" s="114">
        <v>0.99750667846099195</v>
      </c>
      <c r="D424" s="115">
        <v>6.3863216734352218E-2</v>
      </c>
      <c r="F424" s="30">
        <f>INDEX(A424:D432,,F418)</f>
        <v>1.950056723843183E-2</v>
      </c>
      <c r="G424" s="26">
        <f>INDEX(A419:D427,,G418)</f>
        <v>0.99750667846099195</v>
      </c>
      <c r="I424" s="30">
        <f t="shared" si="137"/>
        <v>-0.99463930145166013</v>
      </c>
      <c r="J424">
        <f t="shared" si="138"/>
        <v>3.8903892108226742E-2</v>
      </c>
      <c r="K424">
        <f t="shared" si="139"/>
        <v>0.98779382717107789</v>
      </c>
      <c r="L424" s="26">
        <f t="shared" si="136"/>
        <v>-3.8695340070277404E-2</v>
      </c>
      <c r="N424" s="27">
        <f>SIN(O421)</f>
        <v>8.2593366841657492E-3</v>
      </c>
      <c r="O424" s="29">
        <f>N423</f>
        <v>0.99996589109706013</v>
      </c>
      <c r="Q424" s="30">
        <v>2.7738645597589824E-2</v>
      </c>
      <c r="R424" s="26">
        <v>0.99731159285215998</v>
      </c>
    </row>
    <row r="425" spans="1:18" x14ac:dyDescent="0.35">
      <c r="A425" s="113">
        <v>-0.96958847352097499</v>
      </c>
      <c r="B425" s="114">
        <v>1.2122376698300057E-2</v>
      </c>
      <c r="C425" s="114">
        <v>0.15572184816420556</v>
      </c>
      <c r="D425" s="115">
        <v>-0.18841960089856524</v>
      </c>
      <c r="F425" s="30">
        <f>INDEX(A425:D433,,F418)</f>
        <v>-0.96958847352097499</v>
      </c>
      <c r="G425" s="26">
        <f>INDEX(A419:D427,,G418)</f>
        <v>0.15572184816420556</v>
      </c>
      <c r="I425" s="30">
        <f t="shared" si="137"/>
        <v>0.91585251398905854</v>
      </c>
      <c r="J425">
        <f t="shared" si="138"/>
        <v>-0.30197221811079422</v>
      </c>
      <c r="K425">
        <f t="shared" si="139"/>
        <v>0.74759860686932555</v>
      </c>
      <c r="L425" s="26">
        <f t="shared" si="136"/>
        <v>-0.27656201511162321</v>
      </c>
      <c r="Q425" s="30">
        <v>-0.96826924274877135</v>
      </c>
      <c r="R425" s="26">
        <v>0.16372469431069697</v>
      </c>
    </row>
    <row r="426" spans="1:18" x14ac:dyDescent="0.35">
      <c r="A426" s="113">
        <v>-0.69624971028295313</v>
      </c>
      <c r="B426" s="114">
        <v>0.21390894842595973</v>
      </c>
      <c r="C426" s="114">
        <v>0.56217784531748316</v>
      </c>
      <c r="D426" s="115">
        <v>-0.39170827531263042</v>
      </c>
      <c r="F426" s="30">
        <f>INDEX(A426:D434,,F418)</f>
        <v>-0.69624971028295313</v>
      </c>
      <c r="G426" s="26">
        <f>INDEX(A419:D427,,G418)</f>
        <v>0.56217784531748316</v>
      </c>
      <c r="I426" s="30">
        <f t="shared" si="137"/>
        <v>0.16871972930328816</v>
      </c>
      <c r="J426">
        <f t="shared" si="138"/>
        <v>-0.78283232385958501</v>
      </c>
      <c r="K426">
        <f t="shared" si="139"/>
        <v>-0.58436010022322338</v>
      </c>
      <c r="L426" s="26">
        <f t="shared" si="136"/>
        <v>-0.13207925777145318</v>
      </c>
      <c r="Q426" s="30">
        <v>-0.69158274586830726</v>
      </c>
      <c r="R426" s="26">
        <v>0.5679092308214021</v>
      </c>
    </row>
    <row r="427" spans="1:18" x14ac:dyDescent="0.35">
      <c r="A427" s="116">
        <v>-8.6289325084217605E-2</v>
      </c>
      <c r="B427" s="117">
        <v>0.92657595372699142</v>
      </c>
      <c r="C427" s="117">
        <v>-0.20209193884058593</v>
      </c>
      <c r="D427" s="118">
        <v>-0.30523761663182986</v>
      </c>
      <c r="F427" s="27">
        <f>INDEX(A427:D435,,F418)</f>
        <v>-8.6289325084217605E-2</v>
      </c>
      <c r="G427" s="29">
        <f>INDEX(A419:D427,,G418)</f>
        <v>-0.20209193884058593</v>
      </c>
      <c r="I427" s="27">
        <f t="shared" si="137"/>
        <v>-3.3395304120857339E-2</v>
      </c>
      <c r="J427" s="28">
        <f t="shared" si="138"/>
        <v>3.4876754015030285E-2</v>
      </c>
      <c r="K427" s="28">
        <f t="shared" si="139"/>
        <v>-1.0114163330037992E-4</v>
      </c>
      <c r="L427" s="29">
        <f t="shared" si="136"/>
        <v>-1.1647198070802685E-3</v>
      </c>
      <c r="Q427" s="27">
        <v>-8.7955527214043788E-2</v>
      </c>
      <c r="R427" s="29">
        <v>-0.20137235311813911</v>
      </c>
    </row>
    <row r="428" spans="1:18" x14ac:dyDescent="0.35">
      <c r="I428">
        <f>SUM(I419:I427)</f>
        <v>0.90638072862408192</v>
      </c>
      <c r="J428">
        <f>SUM(J419:J427)</f>
        <v>-1.9317983772932232</v>
      </c>
      <c r="K428">
        <f>SUM(K419:K427)</f>
        <v>2.4036126422501742</v>
      </c>
      <c r="L428">
        <f>SUM(L419:L427)</f>
        <v>-0.29897280123302222</v>
      </c>
    </row>
    <row r="429" spans="1:18" x14ac:dyDescent="0.35">
      <c r="A429" s="12" t="s">
        <v>2</v>
      </c>
      <c r="B429">
        <f>COUNT(A419:A427)</f>
        <v>9</v>
      </c>
      <c r="I429" s="12" t="s">
        <v>16</v>
      </c>
      <c r="J429" s="12" t="s">
        <v>258</v>
      </c>
      <c r="K429" s="12" t="s">
        <v>18</v>
      </c>
      <c r="L429" s="12" t="s">
        <v>19</v>
      </c>
      <c r="N429" s="12"/>
    </row>
    <row r="431" spans="1:18" x14ac:dyDescent="0.35">
      <c r="A431">
        <v>1</v>
      </c>
      <c r="B431">
        <v>2</v>
      </c>
      <c r="C431">
        <v>3</v>
      </c>
      <c r="D431">
        <v>4</v>
      </c>
      <c r="F431">
        <v>1</v>
      </c>
      <c r="G431">
        <v>4</v>
      </c>
      <c r="I431" s="12" t="s">
        <v>251</v>
      </c>
      <c r="J431" s="12" t="s">
        <v>252</v>
      </c>
      <c r="K431" s="12" t="s">
        <v>253</v>
      </c>
      <c r="L431" s="12" t="s">
        <v>254</v>
      </c>
      <c r="Q431">
        <f>F431</f>
        <v>1</v>
      </c>
      <c r="R431">
        <f>G431</f>
        <v>4</v>
      </c>
    </row>
    <row r="432" spans="1:18" x14ac:dyDescent="0.35">
      <c r="A432" s="110">
        <f t="array" ref="A432:A440">IF(A431=$Q418,$Q419:$Q427,IF(A431=$R418,$R419:$R427,A419:A427))</f>
        <v>-0.10611635608481411</v>
      </c>
      <c r="B432" s="111">
        <f t="array" ref="B432:B440">IF(B431=$Q418,$Q419:$Q427,IF(B431=$R418,$R419:$R427,B419:B427))</f>
        <v>-0.88927577368190824</v>
      </c>
      <c r="C432" s="111">
        <f t="array" ref="C432:C440">IF(C431=$Q418,$Q419:$Q427,IF(C431=$R418,$R419:$R427,C419:C427))</f>
        <v>-0.34062295738443354</v>
      </c>
      <c r="D432" s="112">
        <f t="array" ref="D432:D440">IF(D431=$Q418,$Q419:$Q427,IF(D431=$R418,$R419:$R427,D419:D427))</f>
        <v>-0.28618860602128687</v>
      </c>
      <c r="F432" s="94">
        <f>INDEX(A432:D440,,F431)</f>
        <v>-0.10611635608481411</v>
      </c>
      <c r="G432" s="96">
        <f>INDEX(A432:D440,,G431)</f>
        <v>-0.28618860602128687</v>
      </c>
      <c r="I432" s="94">
        <f>F432^2-G432^2</f>
        <v>-7.0643237187688293E-2</v>
      </c>
      <c r="J432" s="95">
        <f>2*F432*G432</f>
        <v>6.0738584047942905E-2</v>
      </c>
      <c r="K432" s="95">
        <f>I432^2-J432^2</f>
        <v>1.3012913682069623E-3</v>
      </c>
      <c r="L432" s="96">
        <f t="shared" ref="L432:L440" si="140">I432*J432</f>
        <v>-4.2907701993431715E-3</v>
      </c>
      <c r="N432" t="s">
        <v>12</v>
      </c>
      <c r="O432" s="51">
        <f>L441*B442-2*I441*J441</f>
        <v>-1.2659712892692472</v>
      </c>
      <c r="Q432" s="94">
        <f t="array" ref="Q432:R440">MMULT(F432:G440,N436:O437)</f>
        <v>-0.10224563680250605</v>
      </c>
      <c r="R432" s="96">
        <v>-0.28759420891244741</v>
      </c>
    </row>
    <row r="433" spans="1:18" x14ac:dyDescent="0.35">
      <c r="A433" s="113">
        <v>-0.80018576930098595</v>
      </c>
      <c r="B433" s="114">
        <v>0.59256530788534789</v>
      </c>
      <c r="C433" s="114">
        <v>8.0336928799190521E-2</v>
      </c>
      <c r="D433" s="115">
        <v>4.5989872472604269E-2</v>
      </c>
      <c r="F433" s="30">
        <f>INDEX(A433:D441,,F431)</f>
        <v>-0.80018576930098595</v>
      </c>
      <c r="G433" s="26">
        <f>INDEX(A432:D440,,G431)</f>
        <v>4.5989872472604269E-2</v>
      </c>
      <c r="I433" s="30">
        <f t="shared" ref="I433:I440" si="141">F433^2-G433^2</f>
        <v>0.63818219702176437</v>
      </c>
      <c r="J433">
        <f t="shared" ref="J433:J440" si="142">2*F433*G433</f>
        <v>-7.3600882969090162E-2</v>
      </c>
      <c r="K433">
        <f t="shared" ref="K433:K440" si="143">I433^2-J433^2</f>
        <v>0.40185942662169638</v>
      </c>
      <c r="L433" s="26">
        <f t="shared" si="140"/>
        <v>-4.6970773195955717E-2</v>
      </c>
      <c r="N433" t="s">
        <v>255</v>
      </c>
      <c r="O433" s="52">
        <f>K441*B442-(I441^2-J441^2)</f>
        <v>23.435510291393097</v>
      </c>
      <c r="Q433" s="30">
        <v>-0.80073340680187577</v>
      </c>
      <c r="R433" s="26">
        <v>3.5190126361222845E-2</v>
      </c>
    </row>
    <row r="434" spans="1:18" x14ac:dyDescent="0.35">
      <c r="A434" s="113">
        <v>-0.98467391236346968</v>
      </c>
      <c r="B434" s="114">
        <v>-0.1283705186725885</v>
      </c>
      <c r="C434" s="114">
        <v>0.10893956222920785</v>
      </c>
      <c r="D434" s="115">
        <v>-4.550239584744533E-2</v>
      </c>
      <c r="F434" s="30">
        <f>INDEX(A434:D442,,F431)</f>
        <v>-0.98467391236346968</v>
      </c>
      <c r="G434" s="26">
        <f>INDEX(A432:D440,,G431)</f>
        <v>-4.550239584744533E-2</v>
      </c>
      <c r="I434" s="30">
        <f t="shared" si="141"/>
        <v>0.96751224566132432</v>
      </c>
      <c r="J434">
        <f t="shared" si="142"/>
        <v>8.9610044282030579E-2</v>
      </c>
      <c r="K434">
        <f t="shared" si="143"/>
        <v>0.92804998546839135</v>
      </c>
      <c r="L434" s="26">
        <f t="shared" si="140"/>
        <v>8.6698815177118124E-2</v>
      </c>
      <c r="N434" t="s">
        <v>256</v>
      </c>
      <c r="O434" s="53">
        <f>0.25*ATAN(O432/O433)</f>
        <v>-1.3491727067691027E-2</v>
      </c>
      <c r="Q434" s="30">
        <v>-0.9839704079704874</v>
      </c>
      <c r="R434" s="26">
        <v>-5.8782803228769456E-2</v>
      </c>
    </row>
    <row r="435" spans="1:18" x14ac:dyDescent="0.35">
      <c r="A435" s="113">
        <v>-7.6202420464105539E-2</v>
      </c>
      <c r="B435" s="114">
        <v>4.3601553627638928E-3</v>
      </c>
      <c r="C435" s="114">
        <v>8.6823270932311208E-2</v>
      </c>
      <c r="D435" s="115">
        <v>-0.99329547456194445</v>
      </c>
      <c r="F435" s="30">
        <f>INDEX(A435:D443,,F431)</f>
        <v>-7.6202420464105539E-2</v>
      </c>
      <c r="G435" s="26">
        <f>INDEX(A432:D440,,G431)</f>
        <v>-0.99329547456194445</v>
      </c>
      <c r="I435" s="30">
        <f t="shared" si="141"/>
        <v>-0.98082909090065018</v>
      </c>
      <c r="J435">
        <f t="shared" si="142"/>
        <v>0.15138303879532508</v>
      </c>
      <c r="K435">
        <f t="shared" si="143"/>
        <v>0.9391088811220889</v>
      </c>
      <c r="L435" s="26">
        <f t="shared" si="140"/>
        <v>-0.14848088831939657</v>
      </c>
      <c r="Q435" s="30">
        <v>-6.2794620252576164E-2</v>
      </c>
      <c r="R435" s="26">
        <v>-0.99423314385367456</v>
      </c>
    </row>
    <row r="436" spans="1:18" x14ac:dyDescent="0.35">
      <c r="A436" s="113">
        <v>-0.36710308107236866</v>
      </c>
      <c r="B436" s="114">
        <v>0.10775434798917634</v>
      </c>
      <c r="C436" s="114">
        <v>0.88617736452505325</v>
      </c>
      <c r="D436" s="115">
        <v>-0.2613694836051686</v>
      </c>
      <c r="F436" s="30">
        <f>INDEX(A436:D444,,F431)</f>
        <v>-0.36710308107236866</v>
      </c>
      <c r="G436" s="26">
        <f>INDEX(A432:D440,,G431)</f>
        <v>-0.2613694836051686</v>
      </c>
      <c r="I436" s="30">
        <f t="shared" si="141"/>
        <v>6.6450665172793591E-2</v>
      </c>
      <c r="J436">
        <f t="shared" si="142"/>
        <v>0.19189908545950268</v>
      </c>
      <c r="K436">
        <f t="shared" si="143"/>
        <v>-3.2409568098286788E-2</v>
      </c>
      <c r="L436" s="26">
        <f t="shared" si="140"/>
        <v>1.2751821874834715E-2</v>
      </c>
      <c r="N436" s="94">
        <f>COS(O434)</f>
        <v>0.99990898803092876</v>
      </c>
      <c r="O436" s="96">
        <f>-N437</f>
        <v>1.3491317762325341E-2</v>
      </c>
      <c r="Q436" s="30">
        <v>-0.36354345154141593</v>
      </c>
      <c r="R436" s="26">
        <v>-0.26629840017208656</v>
      </c>
    </row>
    <row r="437" spans="1:18" x14ac:dyDescent="0.35">
      <c r="A437" s="113">
        <v>2.7738645597589824E-2</v>
      </c>
      <c r="B437" s="114">
        <v>-2.2839523888211633E-2</v>
      </c>
      <c r="C437" s="114">
        <v>0.99731159285215998</v>
      </c>
      <c r="D437" s="115">
        <v>6.3863216734352218E-2</v>
      </c>
      <c r="F437" s="30">
        <f>INDEX(A437:D445,,F431)</f>
        <v>2.7738645597589824E-2</v>
      </c>
      <c r="G437" s="26">
        <f>INDEX(A432:D440,,G431)</f>
        <v>6.3863216734352218E-2</v>
      </c>
      <c r="I437" s="30">
        <f t="shared" si="141"/>
        <v>-3.3090779920701562E-3</v>
      </c>
      <c r="J437">
        <f t="shared" si="142"/>
        <v>3.5429582714325281E-3</v>
      </c>
      <c r="K437">
        <f t="shared" si="143"/>
        <v>-1.60255615550911E-6</v>
      </c>
      <c r="L437" s="26">
        <f t="shared" si="140"/>
        <v>-1.1723925242820302E-5</v>
      </c>
      <c r="N437" s="27">
        <f>SIN(O434)</f>
        <v>-1.3491317762325341E-2</v>
      </c>
      <c r="O437" s="29">
        <f>N436</f>
        <v>0.99990898803092876</v>
      </c>
      <c r="Q437" s="30">
        <v>2.687452209854722E-2</v>
      </c>
      <c r="R437" s="26">
        <v>6.4231635299299622E-2</v>
      </c>
    </row>
    <row r="438" spans="1:18" x14ac:dyDescent="0.35">
      <c r="A438" s="113">
        <v>-0.96826924274877135</v>
      </c>
      <c r="B438" s="114">
        <v>1.2122376698300057E-2</v>
      </c>
      <c r="C438" s="114">
        <v>0.16372469431069697</v>
      </c>
      <c r="D438" s="115">
        <v>-0.18841960089856524</v>
      </c>
      <c r="F438" s="30">
        <f>INDEX(A438:D446,,F431)</f>
        <v>-0.96826924274877135</v>
      </c>
      <c r="G438" s="26">
        <f>INDEX(A432:D440,,G431)</f>
        <v>-0.18841960089856524</v>
      </c>
      <c r="I438" s="30">
        <f t="shared" si="141"/>
        <v>0.90204338045050458</v>
      </c>
      <c r="J438">
        <f t="shared" si="142"/>
        <v>0.36488180856215896</v>
      </c>
      <c r="K438">
        <f t="shared" si="143"/>
        <v>0.6805435259949818</v>
      </c>
      <c r="L438" s="26">
        <f t="shared" si="140"/>
        <v>0.32913922006030372</v>
      </c>
      <c r="Q438" s="30">
        <v>-0.96563908995002457</v>
      </c>
      <c r="R438" s="26">
        <v>-0.20146568049308566</v>
      </c>
    </row>
    <row r="439" spans="1:18" x14ac:dyDescent="0.35">
      <c r="A439" s="113">
        <v>-0.69158274586830726</v>
      </c>
      <c r="B439" s="114">
        <v>0.21390894842595973</v>
      </c>
      <c r="C439" s="114">
        <v>0.5679092308214021</v>
      </c>
      <c r="D439" s="115">
        <v>-0.39170827531263042</v>
      </c>
      <c r="F439" s="30">
        <f>INDEX(A439:D447,,F431)</f>
        <v>-0.69158274586830726</v>
      </c>
      <c r="G439" s="26">
        <f>INDEX(A432:D440,,G431)</f>
        <v>-0.39170827531263042</v>
      </c>
      <c r="I439" s="30">
        <f t="shared" si="141"/>
        <v>0.32485132143435225</v>
      </c>
      <c r="J439">
        <f t="shared" si="142"/>
        <v>0.54179736924009558</v>
      </c>
      <c r="K439">
        <f t="shared" si="143"/>
        <v>-0.18801600827784365</v>
      </c>
      <c r="L439" s="26">
        <f t="shared" si="140"/>
        <v>0.17600359134730073</v>
      </c>
      <c r="Q439" s="30">
        <v>-0.68623514274845498</v>
      </c>
      <c r="R439" s="26">
        <v>-0.40100298775464355</v>
      </c>
    </row>
    <row r="440" spans="1:18" x14ac:dyDescent="0.35">
      <c r="A440" s="116">
        <v>-8.7955527214043788E-2</v>
      </c>
      <c r="B440" s="117">
        <v>0.92657595372699142</v>
      </c>
      <c r="C440" s="117">
        <v>-0.20137235311813911</v>
      </c>
      <c r="D440" s="118">
        <v>-0.30523761663182986</v>
      </c>
      <c r="F440" s="27">
        <f>INDEX(A440:D448,,F431)</f>
        <v>-8.7955527214043788E-2</v>
      </c>
      <c r="G440" s="29">
        <f>INDEX(A432:D440,,G431)</f>
        <v>-0.30523761663182986</v>
      </c>
      <c r="I440" s="27">
        <f t="shared" si="141"/>
        <v>-8.5433827839579535E-2</v>
      </c>
      <c r="J440" s="28">
        <f t="shared" si="142"/>
        <v>5.3694670992821554E-2</v>
      </c>
      <c r="K440" s="28">
        <f t="shared" si="143"/>
        <v>4.4158212462955624E-3</v>
      </c>
      <c r="L440" s="29">
        <f t="shared" si="140"/>
        <v>-4.5873412775035817E-3</v>
      </c>
      <c r="Q440" s="27">
        <v>-8.3829464529326478E-2</v>
      </c>
      <c r="R440" s="29">
        <v>-0.30639647232190309</v>
      </c>
    </row>
    <row r="441" spans="1:18" x14ac:dyDescent="0.35">
      <c r="I441">
        <f>SUM(I432:I440)</f>
        <v>1.7588245758207508</v>
      </c>
      <c r="J441">
        <f>SUM(J432:J440)</f>
        <v>1.3839466766822197</v>
      </c>
      <c r="K441">
        <f>SUM(K432:K440)</f>
        <v>2.7348517528893757</v>
      </c>
      <c r="L441">
        <f>SUM(L432:L440)</f>
        <v>0.40025195154211546</v>
      </c>
    </row>
    <row r="442" spans="1:18" x14ac:dyDescent="0.35">
      <c r="A442" s="12" t="s">
        <v>2</v>
      </c>
      <c r="B442">
        <f>COUNT(A432:A440)</f>
        <v>9</v>
      </c>
      <c r="I442" s="12" t="s">
        <v>16</v>
      </c>
      <c r="J442" s="12" t="s">
        <v>258</v>
      </c>
      <c r="K442" s="12" t="s">
        <v>18</v>
      </c>
      <c r="L442" s="12" t="s">
        <v>19</v>
      </c>
      <c r="N442" s="12"/>
    </row>
    <row r="444" spans="1:18" x14ac:dyDescent="0.35">
      <c r="A444">
        <v>1</v>
      </c>
      <c r="B444">
        <v>2</v>
      </c>
      <c r="C444">
        <v>3</v>
      </c>
      <c r="D444">
        <v>4</v>
      </c>
      <c r="F444">
        <v>2</v>
      </c>
      <c r="G444">
        <v>3</v>
      </c>
      <c r="I444" s="12" t="s">
        <v>251</v>
      </c>
      <c r="J444" s="12" t="s">
        <v>252</v>
      </c>
      <c r="K444" s="12" t="s">
        <v>253</v>
      </c>
      <c r="L444" s="12" t="s">
        <v>254</v>
      </c>
      <c r="Q444">
        <f>F444</f>
        <v>2</v>
      </c>
      <c r="R444">
        <f>G444</f>
        <v>3</v>
      </c>
    </row>
    <row r="445" spans="1:18" x14ac:dyDescent="0.35">
      <c r="A445" s="110">
        <f t="array" ref="A445:A453">IF(A444=$Q431,$Q432:$Q440,IF(A444=$R431,$R432:$R440,A432:A440))</f>
        <v>-0.10224563680250605</v>
      </c>
      <c r="B445" s="111">
        <f t="array" ref="B445:B453">IF(B444=$Q431,$Q432:$Q440,IF(B444=$R431,$R432:$R440,B432:B440))</f>
        <v>-0.88927577368190824</v>
      </c>
      <c r="C445" s="111">
        <f t="array" ref="C445:C453">IF(C444=$Q431,$Q432:$Q440,IF(C444=$R431,$R432:$R440,C432:C440))</f>
        <v>-0.34062295738443354</v>
      </c>
      <c r="D445" s="112">
        <f t="array" ref="D445:D453">IF(D444=$Q431,$Q432:$Q440,IF(D444=$R431,$R432:$R440,D432:D440))</f>
        <v>-0.28759420891244741</v>
      </c>
      <c r="F445" s="94">
        <f>INDEX(A445:D453,,F444)</f>
        <v>-0.88927577368190824</v>
      </c>
      <c r="G445" s="96">
        <f>INDEX(A445:D453,,G444)</f>
        <v>-0.34062295738443354</v>
      </c>
      <c r="I445" s="94">
        <f>F445^2-G445^2</f>
        <v>0.67478740256023884</v>
      </c>
      <c r="J445" s="95">
        <f>2*F445*G445</f>
        <v>0.60581548792372364</v>
      </c>
      <c r="K445" s="95">
        <f>I445^2-J445^2</f>
        <v>8.8325633245734447E-2</v>
      </c>
      <c r="L445" s="96">
        <f t="shared" ref="L445:L453" si="144">I445*J445</f>
        <v>0.40879665952681321</v>
      </c>
      <c r="N445" t="s">
        <v>12</v>
      </c>
      <c r="O445" s="51">
        <f>L454*B455-2*I454*J454</f>
        <v>2.5675906044515473E-2</v>
      </c>
      <c r="Q445" s="94">
        <f t="array" ref="Q445:R453">MMULT(F445:G453,N449:O450)</f>
        <v>-0.88937951137898241</v>
      </c>
      <c r="R445" s="96">
        <v>-0.3403520023360474</v>
      </c>
    </row>
    <row r="446" spans="1:18" x14ac:dyDescent="0.35">
      <c r="A446" s="113">
        <v>-0.80073340680187577</v>
      </c>
      <c r="B446" s="114">
        <v>0.59256530788534789</v>
      </c>
      <c r="C446" s="114">
        <v>8.0336928799190521E-2</v>
      </c>
      <c r="D446" s="115">
        <v>3.5190126361222845E-2</v>
      </c>
      <c r="F446" s="30">
        <f>INDEX(A446:D454,,F444)</f>
        <v>0.59256530788534789</v>
      </c>
      <c r="G446" s="26">
        <f>INDEX(A445:D453,,G444)</f>
        <v>8.0336928799190521E-2</v>
      </c>
      <c r="I446" s="30">
        <f t="shared" ref="I446:I453" si="145">F446^2-G446^2</f>
        <v>0.34467962198037094</v>
      </c>
      <c r="J446">
        <f t="shared" ref="J446:J453" si="146">2*F446*G446</f>
        <v>9.5209753896911206E-2</v>
      </c>
      <c r="K446">
        <f t="shared" ref="K446:K453" si="147">I446^2-J446^2</f>
        <v>0.109739144571421</v>
      </c>
      <c r="L446" s="26">
        <f t="shared" si="144"/>
        <v>3.2816861982031501E-2</v>
      </c>
      <c r="N446" t="s">
        <v>255</v>
      </c>
      <c r="O446" s="52">
        <f>K454*B455-(I454^2-J454^2)</f>
        <v>21.068330337806049</v>
      </c>
      <c r="Q446" s="30">
        <v>0.59258975695886429</v>
      </c>
      <c r="R446" s="26">
        <v>8.0156385806606667E-2</v>
      </c>
    </row>
    <row r="447" spans="1:18" x14ac:dyDescent="0.35">
      <c r="A447" s="113">
        <v>-0.9839704079704874</v>
      </c>
      <c r="B447" s="114">
        <v>-0.1283705186725885</v>
      </c>
      <c r="C447" s="114">
        <v>0.10893956222920785</v>
      </c>
      <c r="D447" s="115">
        <v>-5.8782803228769456E-2</v>
      </c>
      <c r="F447" s="30">
        <f>INDEX(A447:D455,,F444)</f>
        <v>-0.1283705186725885</v>
      </c>
      <c r="G447" s="26">
        <f>INDEX(A445:D453,,G444)</f>
        <v>0.10893956222920785</v>
      </c>
      <c r="I447" s="30">
        <f t="shared" si="145"/>
        <v>4.6111618455779452E-3</v>
      </c>
      <c r="J447">
        <f t="shared" si="146"/>
        <v>-2.7969256214656287E-2</v>
      </c>
      <c r="K447">
        <f t="shared" si="147"/>
        <v>-7.6101647963497561E-4</v>
      </c>
      <c r="L447" s="26">
        <f t="shared" si="144"/>
        <v>-1.2897076710621691E-4</v>
      </c>
      <c r="N447" t="s">
        <v>256</v>
      </c>
      <c r="O447" s="53">
        <f>0.25*ATAN(O445/O446)</f>
        <v>3.0467404062604875E-4</v>
      </c>
      <c r="Q447" s="30">
        <v>-0.12833732165841538</v>
      </c>
      <c r="R447" s="26">
        <v>0.10897866833699738</v>
      </c>
    </row>
    <row r="448" spans="1:18" x14ac:dyDescent="0.35">
      <c r="A448" s="113">
        <v>-6.2794620252576164E-2</v>
      </c>
      <c r="B448" s="114">
        <v>4.3601553627638928E-3</v>
      </c>
      <c r="C448" s="114">
        <v>8.6823270932311208E-2</v>
      </c>
      <c r="D448" s="115">
        <v>-0.99423314385367456</v>
      </c>
      <c r="F448" s="30">
        <f>INDEX(A448:D456,,F444)</f>
        <v>4.3601553627638928E-3</v>
      </c>
      <c r="G448" s="26">
        <f>INDEX(A445:D453,,G444)</f>
        <v>8.6823270932311208E-2</v>
      </c>
      <c r="I448" s="30">
        <f t="shared" si="145"/>
        <v>-7.5192694205980775E-3</v>
      </c>
      <c r="J448">
        <f t="shared" si="146"/>
        <v>7.5712590073643822E-4</v>
      </c>
      <c r="K448">
        <f t="shared" si="147"/>
        <v>5.5966172989975384E-5</v>
      </c>
      <c r="L448" s="26">
        <f t="shared" si="144"/>
        <v>-5.6930336329502757E-6</v>
      </c>
      <c r="Q448" s="30">
        <v>4.386607956761478E-3</v>
      </c>
      <c r="R448" s="26">
        <v>8.6821938476439417E-2</v>
      </c>
    </row>
    <row r="449" spans="1:18" x14ac:dyDescent="0.35">
      <c r="A449" s="113">
        <v>-0.36354345154141593</v>
      </c>
      <c r="B449" s="114">
        <v>0.10775434798917634</v>
      </c>
      <c r="C449" s="114">
        <v>0.88617736452505325</v>
      </c>
      <c r="D449" s="115">
        <v>-0.26629840017208656</v>
      </c>
      <c r="F449" s="30">
        <f>INDEX(A449:D457,,F444)</f>
        <v>0.10775434798917634</v>
      </c>
      <c r="G449" s="26">
        <f>INDEX(A445:D453,,G444)</f>
        <v>0.88617736452505325</v>
      </c>
      <c r="I449" s="30">
        <f t="shared" si="145"/>
        <v>-0.77369932188599655</v>
      </c>
      <c r="J449">
        <f t="shared" si="146"/>
        <v>0.19097892823432752</v>
      </c>
      <c r="K449">
        <f t="shared" si="147"/>
        <v>0.56213768965731847</v>
      </c>
      <c r="L449" s="26">
        <f t="shared" si="144"/>
        <v>-0.1477602672694136</v>
      </c>
      <c r="N449" s="94">
        <f>COS(O447)</f>
        <v>0.99999995358686489</v>
      </c>
      <c r="O449" s="96">
        <f>-N450</f>
        <v>-3.0467403591242294E-4</v>
      </c>
      <c r="Q449" s="30">
        <v>0.10802433822214332</v>
      </c>
      <c r="R449" s="26">
        <v>0.88614449344269453</v>
      </c>
    </row>
    <row r="450" spans="1:18" x14ac:dyDescent="0.35">
      <c r="A450" s="113">
        <v>2.687452209854722E-2</v>
      </c>
      <c r="B450" s="114">
        <v>-2.2839523888211633E-2</v>
      </c>
      <c r="C450" s="114">
        <v>0.99731159285215998</v>
      </c>
      <c r="D450" s="115">
        <v>6.4231635299299622E-2</v>
      </c>
      <c r="F450" s="30">
        <f>INDEX(A450:D458,,F444)</f>
        <v>-2.2839523888211633E-2</v>
      </c>
      <c r="G450" s="26">
        <f>INDEX(A445:D453,,G444)</f>
        <v>0.99731159285215998</v>
      </c>
      <c r="I450" s="30">
        <f t="shared" si="145"/>
        <v>-0.99410876938587234</v>
      </c>
      <c r="J450">
        <f t="shared" si="146"/>
        <v>-4.5556243897874604E-2</v>
      </c>
      <c r="K450">
        <f t="shared" si="147"/>
        <v>0.98617687401181087</v>
      </c>
      <c r="L450" s="26">
        <f t="shared" si="144"/>
        <v>4.528786155915878E-2</v>
      </c>
      <c r="N450" s="27">
        <f>SIN(O447)</f>
        <v>3.0467403591242294E-4</v>
      </c>
      <c r="O450" s="29">
        <f>N449</f>
        <v>0.99999995358686489</v>
      </c>
      <c r="Q450" s="30">
        <v>-2.2535667880101209E-2</v>
      </c>
      <c r="R450" s="26">
        <v>0.99731850517372367</v>
      </c>
    </row>
    <row r="451" spans="1:18" x14ac:dyDescent="0.35">
      <c r="A451" s="113">
        <v>-0.96563908995002457</v>
      </c>
      <c r="B451" s="114">
        <v>1.2122376698300057E-2</v>
      </c>
      <c r="C451" s="114">
        <v>0.16372469431069697</v>
      </c>
      <c r="D451" s="115">
        <v>-0.20146568049308566</v>
      </c>
      <c r="F451" s="30">
        <f>INDEX(A451:D459,,F444)</f>
        <v>1.2122376698300057E-2</v>
      </c>
      <c r="G451" s="26">
        <f>INDEX(A445:D453,,G444)</f>
        <v>0.16372469431069697</v>
      </c>
      <c r="I451" s="30">
        <f t="shared" si="145"/>
        <v>-2.665882351031568E-2</v>
      </c>
      <c r="J451">
        <f t="shared" si="146"/>
        <v>3.9694648384965862E-3</v>
      </c>
      <c r="K451">
        <f t="shared" si="147"/>
        <v>6.9493621985009923E-4</v>
      </c>
      <c r="L451" s="26">
        <f t="shared" si="144"/>
        <v>-1.0582126255988422E-4</v>
      </c>
      <c r="Q451" s="30">
        <v>1.2172258799056717E-2</v>
      </c>
      <c r="R451" s="26">
        <v>0.16372099333828707</v>
      </c>
    </row>
    <row r="452" spans="1:18" x14ac:dyDescent="0.35">
      <c r="A452" s="113">
        <v>-0.68623514274845498</v>
      </c>
      <c r="B452" s="114">
        <v>0.21390894842595973</v>
      </c>
      <c r="C452" s="114">
        <v>0.5679092308214021</v>
      </c>
      <c r="D452" s="115">
        <v>-0.40100298775464355</v>
      </c>
      <c r="F452" s="30">
        <f>INDEX(A452:D460,,F444)</f>
        <v>0.21390894842595973</v>
      </c>
      <c r="G452" s="26">
        <f>INDEX(A445:D453,,G444)</f>
        <v>0.5679092308214021</v>
      </c>
      <c r="I452" s="30">
        <f t="shared" si="145"/>
        <v>-0.27676385623545668</v>
      </c>
      <c r="J452">
        <f t="shared" si="146"/>
        <v>0.24296173273280353</v>
      </c>
      <c r="K452">
        <f t="shared" si="147"/>
        <v>1.7567828545794285E-2</v>
      </c>
      <c r="L452" s="26">
        <f t="shared" si="144"/>
        <v>-6.7243026068779091E-2</v>
      </c>
      <c r="Q452" s="30">
        <v>0.21408196569516108</v>
      </c>
      <c r="R452" s="26">
        <v>0.56784403196031952</v>
      </c>
    </row>
    <row r="453" spans="1:18" x14ac:dyDescent="0.35">
      <c r="A453" s="116">
        <v>-8.3829464529326478E-2</v>
      </c>
      <c r="B453" s="117">
        <v>0.92657595372699142</v>
      </c>
      <c r="C453" s="117">
        <v>-0.20137235311813911</v>
      </c>
      <c r="D453" s="118">
        <v>-0.30639647232190309</v>
      </c>
      <c r="F453" s="27">
        <f>INDEX(A453:D461,,F444)</f>
        <v>0.92657595372699142</v>
      </c>
      <c r="G453" s="29">
        <f>INDEX(A445:D453,,G444)</f>
        <v>-0.20137235311813911</v>
      </c>
      <c r="I453" s="27">
        <f t="shared" si="145"/>
        <v>0.81799217342474717</v>
      </c>
      <c r="J453" s="28">
        <f t="shared" si="146"/>
        <v>-0.37317356028937648</v>
      </c>
      <c r="K453" s="28">
        <f t="shared" si="147"/>
        <v>0.5298526896850928</v>
      </c>
      <c r="L453" s="29">
        <f t="shared" si="144"/>
        <v>-0.305253051645758</v>
      </c>
      <c r="Q453" s="27">
        <v>0.92651455779415082</v>
      </c>
      <c r="R453" s="29">
        <v>-0.20165464740721828</v>
      </c>
    </row>
    <row r="454" spans="1:18" x14ac:dyDescent="0.35">
      <c r="I454">
        <f>SUM(I445:I453)</f>
        <v>-0.23667968062730449</v>
      </c>
      <c r="J454">
        <f>SUM(J445:J453)</f>
        <v>0.69299343312509154</v>
      </c>
      <c r="K454">
        <f>SUM(K445:K453)</f>
        <v>2.2937897456303769</v>
      </c>
      <c r="L454">
        <f>SUM(L445:L453)</f>
        <v>-3.3595446979246268E-2</v>
      </c>
    </row>
    <row r="455" spans="1:18" x14ac:dyDescent="0.35">
      <c r="A455" s="12" t="s">
        <v>2</v>
      </c>
      <c r="B455">
        <f>COUNT(A445:A453)</f>
        <v>9</v>
      </c>
      <c r="I455" s="12" t="s">
        <v>16</v>
      </c>
      <c r="J455" s="12" t="s">
        <v>258</v>
      </c>
      <c r="K455" s="12" t="s">
        <v>18</v>
      </c>
      <c r="L455" s="12" t="s">
        <v>19</v>
      </c>
      <c r="N455" s="12"/>
    </row>
    <row r="457" spans="1:18" x14ac:dyDescent="0.35">
      <c r="A457">
        <v>1</v>
      </c>
      <c r="B457">
        <v>2</v>
      </c>
      <c r="C457">
        <v>3</v>
      </c>
      <c r="D457">
        <v>4</v>
      </c>
      <c r="F457">
        <v>2</v>
      </c>
      <c r="G457">
        <v>4</v>
      </c>
      <c r="I457" s="12" t="s">
        <v>251</v>
      </c>
      <c r="J457" s="12" t="s">
        <v>252</v>
      </c>
      <c r="K457" s="12" t="s">
        <v>253</v>
      </c>
      <c r="L457" s="12" t="s">
        <v>254</v>
      </c>
      <c r="Q457">
        <f>F457</f>
        <v>2</v>
      </c>
      <c r="R457">
        <f>G457</f>
        <v>4</v>
      </c>
    </row>
    <row r="458" spans="1:18" x14ac:dyDescent="0.35">
      <c r="A458" s="110">
        <f t="array" ref="A458:A466">IF(A457=$Q444,$Q445:$Q453,IF(A457=$R444,$R445:$R453,A445:A453))</f>
        <v>-0.10224563680250605</v>
      </c>
      <c r="B458" s="111">
        <f t="array" ref="B458:B466">IF(B457=$Q444,$Q445:$Q453,IF(B457=$R444,$R445:$R453,B445:B453))</f>
        <v>-0.88937951137898241</v>
      </c>
      <c r="C458" s="111">
        <f t="array" ref="C458:C466">IF(C457=$Q444,$Q445:$Q453,IF(C457=$R444,$R445:$R453,C445:C453))</f>
        <v>-0.3403520023360474</v>
      </c>
      <c r="D458" s="112">
        <f t="array" ref="D458:D466">IF(D457=$Q444,$Q445:$Q453,IF(D457=$R444,$R445:$R453,D445:D453))</f>
        <v>-0.28759420891244741</v>
      </c>
      <c r="F458" s="94">
        <f>INDEX(A458:D466,,F457)</f>
        <v>-0.88937951137898241</v>
      </c>
      <c r="G458" s="96">
        <f>INDEX(A458:D466,,G457)</f>
        <v>-0.28759420891244741</v>
      </c>
      <c r="I458" s="94">
        <f>F458^2-G458^2</f>
        <v>0.70828548626074106</v>
      </c>
      <c r="J458" s="95">
        <f>2*F458*G458</f>
        <v>0.51156079399595489</v>
      </c>
      <c r="K458" s="95">
        <f>I458^2-J458^2</f>
        <v>0.23997388409384268</v>
      </c>
      <c r="L458" s="96">
        <f t="shared" ref="L458:L466" si="148">I458*J458</f>
        <v>0.36233108572735567</v>
      </c>
      <c r="N458" t="s">
        <v>12</v>
      </c>
      <c r="O458" s="51">
        <f>L467*B468-2*I467*J467</f>
        <v>8.3587341247156721E-2</v>
      </c>
      <c r="Q458" s="94">
        <f t="array" ref="Q458:R466">MMULT(F458:G466,N462:O463)</f>
        <v>-0.88980984648413153</v>
      </c>
      <c r="R458" s="96">
        <v>-0.2862599891018307</v>
      </c>
    </row>
    <row r="459" spans="1:18" x14ac:dyDescent="0.35">
      <c r="A459" s="113">
        <v>-0.80073340680187577</v>
      </c>
      <c r="B459" s="114">
        <v>0.59258975695886429</v>
      </c>
      <c r="C459" s="114">
        <v>8.0156385806606667E-2</v>
      </c>
      <c r="D459" s="115">
        <v>3.5190126361222845E-2</v>
      </c>
      <c r="F459" s="30">
        <f>INDEX(A459:D467,,F457)</f>
        <v>0.59258975695886429</v>
      </c>
      <c r="G459" s="26">
        <f>INDEX(A458:D466,,G457)</f>
        <v>3.5190126361222845E-2</v>
      </c>
      <c r="I459" s="30">
        <f t="shared" ref="I459:I466" si="149">F459^2-G459^2</f>
        <v>0.349924275059247</v>
      </c>
      <c r="J459">
        <f t="shared" ref="J459:J466" si="150">2*F459*G459</f>
        <v>4.1706616855497536E-2</v>
      </c>
      <c r="K459">
        <f t="shared" ref="K459:K466" si="151">I459^2-J459^2</f>
        <v>0.12070755638620828</v>
      </c>
      <c r="L459" s="26">
        <f t="shared" si="148"/>
        <v>1.4594157668333748E-2</v>
      </c>
      <c r="N459" t="s">
        <v>255</v>
      </c>
      <c r="O459" s="52">
        <f>K467*B468-(I467^2-J467^2)</f>
        <v>13.932857102814607</v>
      </c>
      <c r="Q459" s="30">
        <v>0.59264186881557701</v>
      </c>
      <c r="R459" s="26">
        <v>3.4301317360489532E-2</v>
      </c>
    </row>
    <row r="460" spans="1:18" x14ac:dyDescent="0.35">
      <c r="A460" s="113">
        <v>-0.9839704079704874</v>
      </c>
      <c r="B460" s="114">
        <v>-0.12833732165841538</v>
      </c>
      <c r="C460" s="114">
        <v>0.10897866833699738</v>
      </c>
      <c r="D460" s="115">
        <v>-5.8782803228769456E-2</v>
      </c>
      <c r="F460" s="30">
        <f>INDEX(A460:D468,,F457)</f>
        <v>-0.12833732165841538</v>
      </c>
      <c r="G460" s="26">
        <f>INDEX(A458:D466,,G457)</f>
        <v>-5.8782803228769456E-2</v>
      </c>
      <c r="I460" s="30">
        <f t="shared" si="149"/>
        <v>1.3015050175023347E-2</v>
      </c>
      <c r="J460">
        <f t="shared" si="150"/>
        <v>1.5088055051907847E-2</v>
      </c>
      <c r="K460">
        <f t="shared" si="151"/>
        <v>-5.8257874191026677E-5</v>
      </c>
      <c r="L460" s="26">
        <f t="shared" si="148"/>
        <v>1.9637179354409511E-4</v>
      </c>
      <c r="N460" t="s">
        <v>256</v>
      </c>
      <c r="O460" s="53">
        <f>0.25*ATAN(O458/O459)</f>
        <v>1.4998061388109499E-3</v>
      </c>
      <c r="Q460" s="30">
        <v>-0.12842534009235915</v>
      </c>
      <c r="R460" s="26">
        <v>-5.8590256084520571E-2</v>
      </c>
    </row>
    <row r="461" spans="1:18" x14ac:dyDescent="0.35">
      <c r="A461" s="113">
        <v>-6.2794620252576164E-2</v>
      </c>
      <c r="B461" s="114">
        <v>4.386607956761478E-3</v>
      </c>
      <c r="C461" s="114">
        <v>8.6821938476439417E-2</v>
      </c>
      <c r="D461" s="115">
        <v>-0.99423314385367456</v>
      </c>
      <c r="F461" s="30">
        <f>INDEX(A461:D469,,F457)</f>
        <v>4.386607956761478E-3</v>
      </c>
      <c r="G461" s="26">
        <f>INDEX(A458:D466,,G457)</f>
        <v>-0.99423314385367456</v>
      </c>
      <c r="I461" s="30">
        <f t="shared" si="149"/>
        <v>-0.98848030200779524</v>
      </c>
      <c r="J461">
        <f t="shared" si="150"/>
        <v>-8.7226220394090153E-3</v>
      </c>
      <c r="K461">
        <f t="shared" si="151"/>
        <v>0.97701722332217966</v>
      </c>
      <c r="L461" s="26">
        <f t="shared" si="148"/>
        <v>8.6221400678148739E-3</v>
      </c>
      <c r="Q461" s="30">
        <v>2.8954466095821802E-3</v>
      </c>
      <c r="R461" s="26">
        <v>-0.99423860468976921</v>
      </c>
    </row>
    <row r="462" spans="1:18" x14ac:dyDescent="0.35">
      <c r="A462" s="113">
        <v>-0.36354345154141593</v>
      </c>
      <c r="B462" s="114">
        <v>0.10802433822214332</v>
      </c>
      <c r="C462" s="114">
        <v>0.88614449344269453</v>
      </c>
      <c r="D462" s="115">
        <v>-0.26629840017208656</v>
      </c>
      <c r="F462" s="30">
        <f>INDEX(A462:D470,,F457)</f>
        <v>0.10802433822214332</v>
      </c>
      <c r="G462" s="26">
        <f>INDEX(A458:D466,,G457)</f>
        <v>-0.26629840017208656</v>
      </c>
      <c r="I462" s="30">
        <f t="shared" si="149"/>
        <v>-5.9245580285880728E-2</v>
      </c>
      <c r="J462">
        <f t="shared" si="150"/>
        <v>-5.753341689641029E-2</v>
      </c>
      <c r="K462">
        <f t="shared" si="151"/>
        <v>1.9994472363458983E-4</v>
      </c>
      <c r="L462" s="26">
        <f t="shared" si="148"/>
        <v>3.4086006698573227E-3</v>
      </c>
      <c r="N462" s="94">
        <f>COS(O460)</f>
        <v>0.99999887529098386</v>
      </c>
      <c r="O462" s="96">
        <f>-N463</f>
        <v>-1.4998055765290789E-3</v>
      </c>
      <c r="Q462" s="30">
        <v>0.10762482090059729</v>
      </c>
      <c r="R462" s="26">
        <v>-0.26646011616874132</v>
      </c>
    </row>
    <row r="463" spans="1:18" x14ac:dyDescent="0.35">
      <c r="A463" s="113">
        <v>2.687452209854722E-2</v>
      </c>
      <c r="B463" s="114">
        <v>-2.2535667880101209E-2</v>
      </c>
      <c r="C463" s="114">
        <v>0.99731850517372367</v>
      </c>
      <c r="D463" s="115">
        <v>6.4231635299299622E-2</v>
      </c>
      <c r="F463" s="30">
        <f>INDEX(A463:D471,,F457)</f>
        <v>-2.2535667880101209E-2</v>
      </c>
      <c r="G463" s="26">
        <f>INDEX(A458:D466,,G457)</f>
        <v>6.4231635299299622E-2</v>
      </c>
      <c r="I463" s="30">
        <f t="shared" si="149"/>
        <v>-3.6178466464200079E-3</v>
      </c>
      <c r="J463">
        <f t="shared" si="150"/>
        <v>-2.8950056010016031E-3</v>
      </c>
      <c r="K463">
        <f t="shared" si="151"/>
        <v>4.7077569271818446E-6</v>
      </c>
      <c r="L463" s="26">
        <f t="shared" si="148"/>
        <v>1.0473686304950788E-5</v>
      </c>
      <c r="N463" s="27">
        <f>SIN(O460)</f>
        <v>1.4998055765290789E-3</v>
      </c>
      <c r="O463" s="29">
        <f>N462</f>
        <v>0.99999887529098386</v>
      </c>
      <c r="Q463" s="30">
        <v>-2.2439307569220891E-2</v>
      </c>
      <c r="R463" s="26">
        <v>6.4265362177757662E-2</v>
      </c>
    </row>
    <row r="464" spans="1:18" x14ac:dyDescent="0.35">
      <c r="A464" s="113">
        <v>-0.96563908995002457</v>
      </c>
      <c r="B464" s="114">
        <v>1.2172258799056717E-2</v>
      </c>
      <c r="C464" s="114">
        <v>0.16372099333828707</v>
      </c>
      <c r="D464" s="115">
        <v>-0.20146568049308566</v>
      </c>
      <c r="F464" s="30">
        <f>INDEX(A464:D472,,F457)</f>
        <v>1.2172258799056717E-2</v>
      </c>
      <c r="G464" s="26">
        <f>INDEX(A458:D466,,G457)</f>
        <v>-0.20146568049308566</v>
      </c>
      <c r="I464" s="30">
        <f t="shared" si="149"/>
        <v>-4.0440256532270867E-2</v>
      </c>
      <c r="J464">
        <f t="shared" si="150"/>
        <v>-4.9045848041798226E-3</v>
      </c>
      <c r="K464">
        <f t="shared" si="151"/>
        <v>1.611359396294485E-3</v>
      </c>
      <c r="L464" s="26">
        <f t="shared" si="148"/>
        <v>1.9834266766530949E-4</v>
      </c>
      <c r="Q464" s="30">
        <v>1.1870085757724743E-2</v>
      </c>
      <c r="R464" s="26">
        <v>-0.20148370992444414</v>
      </c>
    </row>
    <row r="465" spans="1:18" x14ac:dyDescent="0.35">
      <c r="A465" s="113">
        <v>-0.68623514274845498</v>
      </c>
      <c r="B465" s="114">
        <v>0.21408196569516108</v>
      </c>
      <c r="C465" s="114">
        <v>0.56784403196031952</v>
      </c>
      <c r="D465" s="115">
        <v>-0.40100298775464355</v>
      </c>
      <c r="F465" s="30">
        <f>INDEX(A465:D473,,F457)</f>
        <v>0.21408196569516108</v>
      </c>
      <c r="G465" s="26">
        <f>INDEX(A458:D466,,G457)</f>
        <v>-0.40100298775464355</v>
      </c>
      <c r="I465" s="30">
        <f t="shared" si="149"/>
        <v>-0.11497230815224668</v>
      </c>
      <c r="J465">
        <f t="shared" si="150"/>
        <v>-0.17169501573629339</v>
      </c>
      <c r="K465">
        <f t="shared" si="151"/>
        <v>-1.6260546786830865E-2</v>
      </c>
      <c r="L465" s="26">
        <f t="shared" si="148"/>
        <v>1.9740172257437967E-2</v>
      </c>
      <c r="Q465" s="30">
        <v>0.21348029839800484</v>
      </c>
      <c r="R465" s="26">
        <v>-0.40132361806895162</v>
      </c>
    </row>
    <row r="466" spans="1:18" x14ac:dyDescent="0.35">
      <c r="A466" s="116">
        <v>-8.3829464529326478E-2</v>
      </c>
      <c r="B466" s="117">
        <v>0.92651455779415082</v>
      </c>
      <c r="C466" s="117">
        <v>-0.20165464740721828</v>
      </c>
      <c r="D466" s="118">
        <v>-0.30639647232190309</v>
      </c>
      <c r="F466" s="27">
        <f>INDEX(A466:D474,,F457)</f>
        <v>0.92651455779415082</v>
      </c>
      <c r="G466" s="29">
        <f>INDEX(A458:D466,,G457)</f>
        <v>-0.30639647232190309</v>
      </c>
      <c r="I466" s="27">
        <f t="shared" si="149"/>
        <v>0.76455042755318414</v>
      </c>
      <c r="J466" s="28">
        <f t="shared" si="150"/>
        <v>-0.56776158412603162</v>
      </c>
      <c r="K466" s="28">
        <f t="shared" si="151"/>
        <v>0.26218413986245576</v>
      </c>
      <c r="L466" s="29">
        <f t="shared" si="148"/>
        <v>-0.43408236189183058</v>
      </c>
      <c r="Q466" s="27">
        <v>0.92605398059705679</v>
      </c>
      <c r="R466" s="29">
        <v>-0.30778571941554322</v>
      </c>
    </row>
    <row r="467" spans="1:18" x14ac:dyDescent="0.35">
      <c r="I467">
        <f>SUM(I458:I466)</f>
        <v>0.62901894542358194</v>
      </c>
      <c r="J467">
        <f>SUM(J458:J466)</f>
        <v>-0.24515676329996561</v>
      </c>
      <c r="K467">
        <f>SUM(K458:K466)</f>
        <v>1.5853800108805207</v>
      </c>
      <c r="L467">
        <f>SUM(L458:L466)</f>
        <v>-2.4981017353516599E-2</v>
      </c>
    </row>
    <row r="468" spans="1:18" x14ac:dyDescent="0.35">
      <c r="A468" s="12" t="s">
        <v>2</v>
      </c>
      <c r="B468">
        <f>COUNT(A458:A466)</f>
        <v>9</v>
      </c>
      <c r="I468" s="12" t="s">
        <v>16</v>
      </c>
      <c r="J468" s="12" t="s">
        <v>258</v>
      </c>
      <c r="K468" s="12" t="s">
        <v>18</v>
      </c>
      <c r="L468" s="12" t="s">
        <v>19</v>
      </c>
      <c r="N468" s="12"/>
    </row>
    <row r="470" spans="1:18" x14ac:dyDescent="0.35">
      <c r="A470">
        <v>1</v>
      </c>
      <c r="B470">
        <v>2</v>
      </c>
      <c r="C470">
        <v>3</v>
      </c>
      <c r="D470">
        <v>4</v>
      </c>
      <c r="F470">
        <v>3</v>
      </c>
      <c r="G470">
        <v>4</v>
      </c>
      <c r="I470" s="12" t="s">
        <v>251</v>
      </c>
      <c r="J470" s="12" t="s">
        <v>252</v>
      </c>
      <c r="K470" s="12" t="s">
        <v>253</v>
      </c>
      <c r="L470" s="12" t="s">
        <v>254</v>
      </c>
      <c r="Q470">
        <f>F470</f>
        <v>3</v>
      </c>
      <c r="R470">
        <f>G470</f>
        <v>4</v>
      </c>
    </row>
    <row r="471" spans="1:18" x14ac:dyDescent="0.35">
      <c r="A471" s="110">
        <f t="array" ref="A471:A479">IF(A470=$Q457,$Q458:$Q466,IF(A470=$R457,$R458:$R466,A458:A466))</f>
        <v>-0.10224563680250605</v>
      </c>
      <c r="B471" s="111">
        <f t="array" ref="B471:B479">IF(B470=$Q457,$Q458:$Q466,IF(B470=$R457,$R458:$R466,B458:B466))</f>
        <v>-0.88980984648413153</v>
      </c>
      <c r="C471" s="111">
        <f t="array" ref="C471:C479">IF(C470=$Q457,$Q458:$Q466,IF(C470=$R457,$R458:$R466,C458:C466))</f>
        <v>-0.3403520023360474</v>
      </c>
      <c r="D471" s="112">
        <f t="array" ref="D471:D479">IF(D470=$Q457,$Q458:$Q466,IF(D470=$R457,$R458:$R466,D458:D466))</f>
        <v>-0.2862599891018307</v>
      </c>
      <c r="F471" s="94">
        <f>INDEX(A471:D479,,F470)</f>
        <v>-0.3403520023360474</v>
      </c>
      <c r="G471" s="96">
        <f>INDEX(A471:D479,,G470)</f>
        <v>-0.2862599891018307</v>
      </c>
      <c r="I471" s="94">
        <f>F471^2-G471^2</f>
        <v>3.3894704133576592E-2</v>
      </c>
      <c r="J471" s="95">
        <f>2*F471*G471</f>
        <v>0.19485832095900638</v>
      </c>
      <c r="K471" s="95">
        <f>I471^2-J471^2</f>
        <v>-3.6820914278660452E-2</v>
      </c>
      <c r="L471" s="96">
        <f t="shared" ref="L471:L479" si="152">I471*J471</f>
        <v>6.6046651368710275E-3</v>
      </c>
      <c r="N471" t="s">
        <v>12</v>
      </c>
      <c r="O471" s="51">
        <f>L480*B481-2*I480*J480</f>
        <v>0.23287262005941711</v>
      </c>
      <c r="Q471" s="94">
        <f t="array" ref="Q471:R479">MMULT(F471:G479,N475:O476)</f>
        <v>-0.34131213572153923</v>
      </c>
      <c r="R471" s="96">
        <v>-0.2851145258732683</v>
      </c>
    </row>
    <row r="472" spans="1:18" x14ac:dyDescent="0.35">
      <c r="A472" s="113">
        <v>-0.80073340680187577</v>
      </c>
      <c r="B472" s="114">
        <v>0.59264186881557701</v>
      </c>
      <c r="C472" s="114">
        <v>8.0156385806606667E-2</v>
      </c>
      <c r="D472" s="115">
        <v>3.4301317360489532E-2</v>
      </c>
      <c r="F472" s="30">
        <f>INDEX(A472:D480,,F470)</f>
        <v>8.0156385806606667E-2</v>
      </c>
      <c r="G472" s="26">
        <f>INDEX(A471:D479,,G470)</f>
        <v>3.4301317360489532E-2</v>
      </c>
      <c r="I472" s="30">
        <f t="shared" ref="I472:I479" si="153">F472^2-G472^2</f>
        <v>5.248465812912554E-3</v>
      </c>
      <c r="J472">
        <f t="shared" ref="J472:J479" si="154">2*F472*G472</f>
        <v>5.4989392560445081E-3</v>
      </c>
      <c r="K472">
        <f t="shared" ref="K472:K479" si="155">I472^2-J472^2</f>
        <v>-2.6919395523554946E-6</v>
      </c>
      <c r="L472" s="26">
        <f t="shared" si="152"/>
        <v>2.8860994692632394E-5</v>
      </c>
      <c r="N472" t="s">
        <v>255</v>
      </c>
      <c r="O472" s="52">
        <f>K480*B481-(I480^2-J480^2)</f>
        <v>17.321758648889556</v>
      </c>
      <c r="Q472" s="30">
        <v>8.0271212149379642E-2</v>
      </c>
      <c r="R472" s="26">
        <v>3.403173604610675E-2</v>
      </c>
    </row>
    <row r="473" spans="1:18" x14ac:dyDescent="0.35">
      <c r="A473" s="113">
        <v>-0.9839704079704874</v>
      </c>
      <c r="B473" s="114">
        <v>-0.12842534009235915</v>
      </c>
      <c r="C473" s="114">
        <v>0.10897866833699738</v>
      </c>
      <c r="D473" s="115">
        <v>-5.8590256084520571E-2</v>
      </c>
      <c r="F473" s="30">
        <f>INDEX(A473:D481,,F470)</f>
        <v>0.10897866833699738</v>
      </c>
      <c r="G473" s="26">
        <f>INDEX(A471:D479,,G470)</f>
        <v>-5.8590256084520571E-2</v>
      </c>
      <c r="I473" s="30">
        <f t="shared" si="153"/>
        <v>8.4435320444555748E-3</v>
      </c>
      <c r="J473">
        <f t="shared" si="154"/>
        <v>-1.2770176171229419E-2</v>
      </c>
      <c r="K473">
        <f t="shared" si="155"/>
        <v>-9.1784166058487518E-5</v>
      </c>
      <c r="L473" s="26">
        <f t="shared" si="152"/>
        <v>-1.078253917151186E-4</v>
      </c>
      <c r="N473" t="s">
        <v>256</v>
      </c>
      <c r="O473" s="53">
        <f>0.25*ATAN(O471/O472)</f>
        <v>3.3607816121086942E-3</v>
      </c>
      <c r="Q473" s="30">
        <v>0.10878114420393342</v>
      </c>
      <c r="R473" s="26">
        <v>-5.8956178015862074E-2</v>
      </c>
    </row>
    <row r="474" spans="1:18" x14ac:dyDescent="0.35">
      <c r="A474" s="113">
        <v>-6.2794620252576164E-2</v>
      </c>
      <c r="B474" s="114">
        <v>2.8954466095821802E-3</v>
      </c>
      <c r="C474" s="114">
        <v>8.6821938476439417E-2</v>
      </c>
      <c r="D474" s="115">
        <v>-0.99423860468976921</v>
      </c>
      <c r="F474" s="30">
        <f>INDEX(A474:D482,,F470)</f>
        <v>8.6821938476439417E-2</v>
      </c>
      <c r="G474" s="26">
        <f>INDEX(A471:D479,,G470)</f>
        <v>-0.99423860468976921</v>
      </c>
      <c r="I474" s="30">
        <f t="shared" si="153"/>
        <v>-0.98097235405465244</v>
      </c>
      <c r="J474">
        <f t="shared" si="154"/>
        <v>-0.17264344593455222</v>
      </c>
      <c r="K474">
        <f t="shared" si="155"/>
        <v>0.93250099999536973</v>
      </c>
      <c r="L474" s="26">
        <f t="shared" si="152"/>
        <v>0.16935844757052482</v>
      </c>
      <c r="Q474" s="30">
        <v>8.3480035625828425E-2</v>
      </c>
      <c r="R474" s="26">
        <v>-0.99452477883066159</v>
      </c>
    </row>
    <row r="475" spans="1:18" x14ac:dyDescent="0.35">
      <c r="A475" s="113">
        <v>-0.36354345154141593</v>
      </c>
      <c r="B475" s="114">
        <v>0.10762482090059729</v>
      </c>
      <c r="C475" s="114">
        <v>0.88614449344269453</v>
      </c>
      <c r="D475" s="115">
        <v>-0.26646011616874132</v>
      </c>
      <c r="F475" s="30">
        <f>INDEX(A475:D483,,F470)</f>
        <v>0.88614449344269453</v>
      </c>
      <c r="G475" s="26">
        <f>INDEX(A471:D479,,G470)</f>
        <v>-0.26646011616874132</v>
      </c>
      <c r="I475" s="30">
        <f t="shared" si="153"/>
        <v>0.71425106975015051</v>
      </c>
      <c r="J475">
        <f t="shared" si="154"/>
        <v>-0.47224432933006161</v>
      </c>
      <c r="K475">
        <f t="shared" si="155"/>
        <v>0.2871398840548347</v>
      </c>
      <c r="L475" s="26">
        <f t="shared" si="152"/>
        <v>-0.3373010174074389</v>
      </c>
      <c r="N475" s="94">
        <f>COS(O473)</f>
        <v>0.99999435257879343</v>
      </c>
      <c r="O475" s="96">
        <f>-N476</f>
        <v>-3.3607752855231965E-3</v>
      </c>
      <c r="Q475" s="30">
        <v>0.88524397643849262</v>
      </c>
      <c r="R475" s="26">
        <v>-0.26943674386919525</v>
      </c>
    </row>
    <row r="476" spans="1:18" x14ac:dyDescent="0.35">
      <c r="A476" s="113">
        <v>2.687452209854722E-2</v>
      </c>
      <c r="B476" s="114">
        <v>-2.2439307569220891E-2</v>
      </c>
      <c r="C476" s="114">
        <v>0.99731850517372367</v>
      </c>
      <c r="D476" s="115">
        <v>6.4265362177757662E-2</v>
      </c>
      <c r="F476" s="30">
        <f>INDEX(A476:D484,,F470)</f>
        <v>0.99731850517372367</v>
      </c>
      <c r="G476" s="26">
        <f>INDEX(A471:D479,,G470)</f>
        <v>6.4265362177757662E-2</v>
      </c>
      <c r="I476" s="30">
        <f t="shared" si="153"/>
        <v>0.99051416398611236</v>
      </c>
      <c r="J476">
        <f t="shared" si="154"/>
        <v>0.12818606988313846</v>
      </c>
      <c r="K476">
        <f t="shared" si="155"/>
        <v>0.96468664054502218</v>
      </c>
      <c r="L476" s="26">
        <f t="shared" si="152"/>
        <v>0.12697011784496226</v>
      </c>
      <c r="N476" s="27">
        <f>SIN(O473)</f>
        <v>3.3607752855231965E-3</v>
      </c>
      <c r="O476" s="29">
        <f>N475</f>
        <v>0.99999435257879343</v>
      </c>
      <c r="Q476" s="30">
        <v>0.99752885433697003</v>
      </c>
      <c r="R476" s="26">
        <v>6.091323586020566E-2</v>
      </c>
    </row>
    <row r="477" spans="1:18" x14ac:dyDescent="0.35">
      <c r="A477" s="113">
        <v>-0.96563908995002457</v>
      </c>
      <c r="B477" s="114">
        <v>1.1870085757724743E-2</v>
      </c>
      <c r="C477" s="114">
        <v>0.16372099333828707</v>
      </c>
      <c r="D477" s="115">
        <v>-0.20148370992444414</v>
      </c>
      <c r="F477" s="30">
        <f>INDEX(A477:D485,,F470)</f>
        <v>0.16372099333828707</v>
      </c>
      <c r="G477" s="26">
        <f>INDEX(A471:D479,,G470)</f>
        <v>-0.20148370992444414</v>
      </c>
      <c r="I477" s="30">
        <f t="shared" si="153"/>
        <v>-1.3791121705242115E-2</v>
      </c>
      <c r="J477">
        <f t="shared" si="154"/>
        <v>-6.5974226260626573E-2</v>
      </c>
      <c r="K477">
        <f t="shared" si="155"/>
        <v>-4.1624034927995488E-3</v>
      </c>
      <c r="L477" s="26">
        <f t="shared" si="152"/>
        <v>9.0985858376948147E-4</v>
      </c>
      <c r="Q477" s="30">
        <v>0.16304292726412772</v>
      </c>
      <c r="R477" s="26">
        <v>-0.20203280152920056</v>
      </c>
    </row>
    <row r="478" spans="1:18" x14ac:dyDescent="0.35">
      <c r="A478" s="113">
        <v>-0.68623514274845498</v>
      </c>
      <c r="B478" s="114">
        <v>0.21348029839800484</v>
      </c>
      <c r="C478" s="114">
        <v>0.56784403196031952</v>
      </c>
      <c r="D478" s="115">
        <v>-0.40132361806895162</v>
      </c>
      <c r="F478" s="30">
        <f>INDEX(A478:D486,,F470)</f>
        <v>0.56784403196031952</v>
      </c>
      <c r="G478" s="26">
        <f>INDEX(A471:D479,,G470)</f>
        <v>-0.40132361806895162</v>
      </c>
      <c r="I478" s="30">
        <f t="shared" si="153"/>
        <v>0.16138619821299863</v>
      </c>
      <c r="J478">
        <f t="shared" si="154"/>
        <v>-0.45577844281035362</v>
      </c>
      <c r="K478">
        <f t="shared" si="155"/>
        <v>-0.1816884839569855</v>
      </c>
      <c r="L478" s="26">
        <f t="shared" si="152"/>
        <v>-7.3556350112603586E-2</v>
      </c>
      <c r="Q478" s="30">
        <v>0.56649206660878848</v>
      </c>
      <c r="R478" s="26">
        <v>-0.40322974781408433</v>
      </c>
    </row>
    <row r="479" spans="1:18" x14ac:dyDescent="0.35">
      <c r="A479" s="116">
        <v>-8.3829464529326478E-2</v>
      </c>
      <c r="B479" s="117">
        <v>0.92605398059705679</v>
      </c>
      <c r="C479" s="117">
        <v>-0.20165464740721828</v>
      </c>
      <c r="D479" s="118">
        <v>-0.30778571941554322</v>
      </c>
      <c r="F479" s="27">
        <f>INDEX(A479:D487,,F470)</f>
        <v>-0.20165464740721828</v>
      </c>
      <c r="G479" s="29">
        <f>INDEX(A471:D479,,G470)</f>
        <v>-0.30778571941554322</v>
      </c>
      <c r="I479" s="27">
        <f t="shared" si="153"/>
        <v>-5.4067452255213984E-2</v>
      </c>
      <c r="J479" s="28">
        <f t="shared" si="154"/>
        <v>0.12413284145143677</v>
      </c>
      <c r="K479" s="28">
        <f t="shared" si="155"/>
        <v>-1.2485672933437695E-2</v>
      </c>
      <c r="L479" s="29">
        <f t="shared" si="152"/>
        <v>-6.7115464784796046E-3</v>
      </c>
      <c r="Q479" s="27">
        <v>-0.20268790721753482</v>
      </c>
      <c r="R479" s="29">
        <v>-0.30710626526472723</v>
      </c>
    </row>
    <row r="480" spans="1:18" x14ac:dyDescent="0.35">
      <c r="I480">
        <f>SUM(I471:I479)</f>
        <v>0.86490720592509762</v>
      </c>
      <c r="J480">
        <f>SUM(J471:J479)</f>
        <v>-0.7267344489571973</v>
      </c>
      <c r="K480">
        <f>SUM(K471:K479)</f>
        <v>1.9490755738277326</v>
      </c>
      <c r="L480">
        <f>SUM(L471:L479)</f>
        <v>-0.11380478925941698</v>
      </c>
    </row>
    <row r="481" spans="1:18" x14ac:dyDescent="0.35">
      <c r="A481" s="12" t="s">
        <v>2</v>
      </c>
      <c r="B481">
        <f>COUNT(A471:A479)</f>
        <v>9</v>
      </c>
      <c r="I481" s="12" t="s">
        <v>16</v>
      </c>
      <c r="J481" s="12" t="s">
        <v>258</v>
      </c>
      <c r="K481" s="12" t="s">
        <v>18</v>
      </c>
      <c r="L481" s="12" t="s">
        <v>19</v>
      </c>
      <c r="N481" s="12"/>
    </row>
    <row r="483" spans="1:18" x14ac:dyDescent="0.35">
      <c r="A483">
        <v>1</v>
      </c>
      <c r="B483">
        <v>2</v>
      </c>
      <c r="C483">
        <v>3</v>
      </c>
      <c r="D483">
        <v>4</v>
      </c>
      <c r="F483">
        <v>1</v>
      </c>
      <c r="G483">
        <v>2</v>
      </c>
      <c r="I483" s="12" t="s">
        <v>251</v>
      </c>
      <c r="J483" s="12" t="s">
        <v>252</v>
      </c>
      <c r="K483" s="12" t="s">
        <v>253</v>
      </c>
      <c r="L483" s="12" t="s">
        <v>254</v>
      </c>
      <c r="Q483">
        <f>F483</f>
        <v>1</v>
      </c>
      <c r="R483">
        <f>G483</f>
        <v>2</v>
      </c>
    </row>
    <row r="484" spans="1:18" x14ac:dyDescent="0.35">
      <c r="A484" s="110">
        <f t="array" ref="A484:A492">IF(A483=$Q470,$Q471:$Q479,IF(A483=$R470,$R471:$R479,A471:A479))</f>
        <v>-0.10224563680250605</v>
      </c>
      <c r="B484" s="111">
        <f t="array" ref="B484:B492">IF(B483=$Q470,$Q471:$Q479,IF(B483=$R470,$R471:$R479,B471:B479))</f>
        <v>-0.88980984648413153</v>
      </c>
      <c r="C484" s="111">
        <f t="array" ref="C484:C492">IF(C483=$Q470,$Q471:$Q479,IF(C483=$R470,$R471:$R479,C471:C479))</f>
        <v>-0.34131213572153923</v>
      </c>
      <c r="D484" s="112">
        <f t="array" ref="D484:D492">IF(D483=$Q470,$Q471:$Q479,IF(D483=$R470,$R471:$R479,D471:D479))</f>
        <v>-0.2851145258732683</v>
      </c>
      <c r="F484" s="94">
        <f>INDEX(A484:D492,,F483)</f>
        <v>-0.10224563680250605</v>
      </c>
      <c r="G484" s="96">
        <f>INDEX(A484:D492,,G483)</f>
        <v>-0.88980984648413153</v>
      </c>
      <c r="I484" s="94">
        <f>F484^2-G484^2</f>
        <v>-0.78130739265496374</v>
      </c>
      <c r="J484" s="95">
        <f>2*F484*G484</f>
        <v>0.18195834877382036</v>
      </c>
      <c r="K484" s="95">
        <f>I484^2-J484^2</f>
        <v>0.57733240112880235</v>
      </c>
      <c r="L484" s="96">
        <f t="shared" ref="L484:L492" si="156">I484*J484</f>
        <v>-0.1421654030522761</v>
      </c>
      <c r="N484" t="s">
        <v>12</v>
      </c>
      <c r="O484" s="51">
        <f>L493*B494-2*I493*J493</f>
        <v>0.52542157416858704</v>
      </c>
      <c r="Q484" s="94">
        <f t="array" ref="Q484:R492">MMULT(F484:G492,N488:O489)</f>
        <v>-0.10796937072572997</v>
      </c>
      <c r="R484" s="96">
        <v>-0.88913348161586714</v>
      </c>
    </row>
    <row r="485" spans="1:18" x14ac:dyDescent="0.35">
      <c r="A485" s="113">
        <v>-0.80073340680187577</v>
      </c>
      <c r="B485" s="114">
        <v>0.59264186881557701</v>
      </c>
      <c r="C485" s="114">
        <v>8.0271212149379642E-2</v>
      </c>
      <c r="D485" s="115">
        <v>3.403173604610675E-2</v>
      </c>
      <c r="F485" s="30">
        <f>INDEX(A485:D493,,F483)</f>
        <v>-0.80073340680187577</v>
      </c>
      <c r="G485" s="26">
        <f>INDEX(A484:D492,,G483)</f>
        <v>0.59264186881557701</v>
      </c>
      <c r="I485" s="30">
        <f t="shared" ref="I485:I492" si="157">F485^2-G485^2</f>
        <v>0.28994960409531867</v>
      </c>
      <c r="J485">
        <f t="shared" ref="J485:J492" si="158">2*F485*G485</f>
        <v>-0.94909628526025469</v>
      </c>
      <c r="K485">
        <f t="shared" ref="K485:K492" si="159">I485^2-J485^2</f>
        <v>-0.81671298577978269</v>
      </c>
      <c r="L485" s="26">
        <f t="shared" si="156"/>
        <v>-0.27519009215954848</v>
      </c>
      <c r="N485" t="s">
        <v>255</v>
      </c>
      <c r="O485" s="52">
        <f>K493*B494-(I493^2-J493^2)</f>
        <v>20.408268619070707</v>
      </c>
      <c r="Q485" s="30">
        <v>-0.7969032280632512</v>
      </c>
      <c r="R485" s="26">
        <v>0.59778225010795327</v>
      </c>
    </row>
    <row r="486" spans="1:18" x14ac:dyDescent="0.35">
      <c r="A486" s="113">
        <v>-0.9839704079704874</v>
      </c>
      <c r="B486" s="114">
        <v>-0.12842534009235915</v>
      </c>
      <c r="C486" s="114">
        <v>0.10878114420393342</v>
      </c>
      <c r="D486" s="115">
        <v>-5.8956178015862074E-2</v>
      </c>
      <c r="F486" s="30">
        <f>INDEX(A486:D494,,F483)</f>
        <v>-0.9839704079704874</v>
      </c>
      <c r="G486" s="26">
        <f>INDEX(A484:D492,,G483)</f>
        <v>-0.12842534009235915</v>
      </c>
      <c r="I486" s="30">
        <f t="shared" si="157"/>
        <v>0.95170469578376926</v>
      </c>
      <c r="J486">
        <f t="shared" si="158"/>
        <v>0.25273346856885442</v>
      </c>
      <c r="K486">
        <f t="shared" si="159"/>
        <v>0.84186762184203268</v>
      </c>
      <c r="L486" s="26">
        <f t="shared" si="156"/>
        <v>0.24052762881869841</v>
      </c>
      <c r="N486" t="s">
        <v>256</v>
      </c>
      <c r="O486" s="53">
        <f>0.25*ATAN(O484/O485)</f>
        <v>6.4349595422915577E-3</v>
      </c>
      <c r="Q486" s="30">
        <v>-0.98477644173522039</v>
      </c>
      <c r="R486" s="26">
        <v>-0.12209091507054792</v>
      </c>
    </row>
    <row r="487" spans="1:18" x14ac:dyDescent="0.35">
      <c r="A487" s="113">
        <v>-6.2794620252576164E-2</v>
      </c>
      <c r="B487" s="114">
        <v>2.8954466095821802E-3</v>
      </c>
      <c r="C487" s="114">
        <v>8.3480035625828425E-2</v>
      </c>
      <c r="D487" s="115">
        <v>-0.99452477883066159</v>
      </c>
      <c r="F487" s="30">
        <f>INDEX(A487:D495,,F483)</f>
        <v>-6.2794620252576164E-2</v>
      </c>
      <c r="G487" s="26">
        <f>INDEX(A484:D492,,G483)</f>
        <v>2.8954466095821802E-3</v>
      </c>
      <c r="I487" s="30">
        <f t="shared" si="157"/>
        <v>3.9347807215963076E-3</v>
      </c>
      <c r="J487">
        <f t="shared" si="158"/>
        <v>-3.6363694062064433E-4</v>
      </c>
      <c r="K487">
        <f t="shared" si="159"/>
        <v>1.5350267502462019E-5</v>
      </c>
      <c r="L487" s="26">
        <f t="shared" si="156"/>
        <v>-1.4308316236143727E-6</v>
      </c>
      <c r="Q487" s="30">
        <v>-6.2774688181929938E-2</v>
      </c>
      <c r="R487" s="26">
        <v>3.2994647135034475E-3</v>
      </c>
    </row>
    <row r="488" spans="1:18" x14ac:dyDescent="0.35">
      <c r="A488" s="113">
        <v>-0.36354345154141593</v>
      </c>
      <c r="B488" s="114">
        <v>0.10762482090059729</v>
      </c>
      <c r="C488" s="114">
        <v>0.88524397643849262</v>
      </c>
      <c r="D488" s="115">
        <v>-0.26943674386919525</v>
      </c>
      <c r="F488" s="30">
        <f>INDEX(A488:D496,,F483)</f>
        <v>-0.36354345154141593</v>
      </c>
      <c r="G488" s="26">
        <f>INDEX(A484:D492,,G483)</f>
        <v>0.10762482090059729</v>
      </c>
      <c r="I488" s="30">
        <f t="shared" si="157"/>
        <v>0.12058073908476018</v>
      </c>
      <c r="J488">
        <f t="shared" si="158"/>
        <v>-7.8252597723459716E-2</v>
      </c>
      <c r="K488">
        <f t="shared" si="159"/>
        <v>8.4162455877573976E-3</v>
      </c>
      <c r="L488" s="26">
        <f t="shared" si="156"/>
        <v>-9.4357560687971936E-3</v>
      </c>
      <c r="N488" s="94">
        <f>COS(O486)</f>
        <v>0.99997929571928945</v>
      </c>
      <c r="O488" s="96">
        <f>-N489</f>
        <v>-6.4349151318273505E-3</v>
      </c>
      <c r="Q488" s="30">
        <v>-0.36284336804717127</v>
      </c>
      <c r="R488" s="26">
        <v>0.10996196386349455</v>
      </c>
    </row>
    <row r="489" spans="1:18" x14ac:dyDescent="0.35">
      <c r="A489" s="113">
        <v>2.687452209854722E-2</v>
      </c>
      <c r="B489" s="114">
        <v>-2.2439307569220891E-2</v>
      </c>
      <c r="C489" s="114">
        <v>0.99752885433697003</v>
      </c>
      <c r="D489" s="115">
        <v>6.091323586020566E-2</v>
      </c>
      <c r="F489" s="30">
        <f>INDEX(A489:D497,,F483)</f>
        <v>2.687452209854722E-2</v>
      </c>
      <c r="G489" s="26">
        <f>INDEX(A484:D492,,G483)</f>
        <v>-2.2439307569220891E-2</v>
      </c>
      <c r="I489" s="30">
        <f t="shared" si="157"/>
        <v>2.1871741383920889E-4</v>
      </c>
      <c r="J489">
        <f t="shared" si="158"/>
        <v>-1.2060913342902494E-3</v>
      </c>
      <c r="K489">
        <f t="shared" si="159"/>
        <v>-1.4068189995335224E-6</v>
      </c>
      <c r="L489" s="26">
        <f t="shared" si="156"/>
        <v>-2.6379317748984412E-7</v>
      </c>
      <c r="N489" s="27">
        <f>SIN(O486)</f>
        <v>6.4349151318273505E-3</v>
      </c>
      <c r="O489" s="29">
        <f>N488</f>
        <v>0.99997929571928945</v>
      </c>
      <c r="Q489" s="30">
        <v>2.6729570641072824E-2</v>
      </c>
      <c r="R489" s="26">
        <v>-2.2611778248410597E-2</v>
      </c>
    </row>
    <row r="490" spans="1:18" x14ac:dyDescent="0.35">
      <c r="A490" s="113">
        <v>-0.96563908995002457</v>
      </c>
      <c r="B490" s="114">
        <v>1.1870085757724743E-2</v>
      </c>
      <c r="C490" s="114">
        <v>0.16304292726412772</v>
      </c>
      <c r="D490" s="115">
        <v>-0.20203280152920056</v>
      </c>
      <c r="F490" s="30">
        <f>INDEX(A490:D498,,F483)</f>
        <v>-0.96563908995002457</v>
      </c>
      <c r="G490" s="26">
        <f>INDEX(A484:D492,,G483)</f>
        <v>1.1870085757724743E-2</v>
      </c>
      <c r="I490" s="30">
        <f t="shared" si="157"/>
        <v>0.93231795310361587</v>
      </c>
      <c r="J490">
        <f t="shared" si="158"/>
        <v>-2.2924437617436136E-2</v>
      </c>
      <c r="K490">
        <f t="shared" si="159"/>
        <v>0.86869123583924035</v>
      </c>
      <c r="L490" s="26">
        <f t="shared" si="156"/>
        <v>-2.1372864755539591E-2</v>
      </c>
      <c r="Q490" s="30">
        <v>-0.96554271409278269</v>
      </c>
      <c r="R490" s="26">
        <v>1.8083645587940563E-2</v>
      </c>
    </row>
    <row r="491" spans="1:18" x14ac:dyDescent="0.35">
      <c r="A491" s="113">
        <v>-0.68623514274845498</v>
      </c>
      <c r="B491" s="114">
        <v>0.21348029839800484</v>
      </c>
      <c r="C491" s="114">
        <v>0.56649206660878848</v>
      </c>
      <c r="D491" s="115">
        <v>-0.40322974781408433</v>
      </c>
      <c r="F491" s="30">
        <f>INDEX(A491:D499,,F483)</f>
        <v>-0.68623514274845498</v>
      </c>
      <c r="G491" s="26">
        <f>INDEX(A484:D492,,G483)</f>
        <v>0.21348029839800484</v>
      </c>
      <c r="I491" s="30">
        <f t="shared" si="157"/>
        <v>0.42534483333889123</v>
      </c>
      <c r="J491">
        <f t="shared" si="158"/>
        <v>-0.29299536609027521</v>
      </c>
      <c r="K491">
        <f t="shared" si="159"/>
        <v>9.5071942697714754E-2</v>
      </c>
      <c r="L491" s="26">
        <f t="shared" si="156"/>
        <v>-0.12462406515873553</v>
      </c>
      <c r="Q491" s="30">
        <v>-0.68484720714091774</v>
      </c>
      <c r="R491" s="26">
        <v>0.21789174334604436</v>
      </c>
    </row>
    <row r="492" spans="1:18" x14ac:dyDescent="0.35">
      <c r="A492" s="116">
        <v>-8.3829464529326478E-2</v>
      </c>
      <c r="B492" s="117">
        <v>0.92605398059705679</v>
      </c>
      <c r="C492" s="117">
        <v>-0.20268790721753482</v>
      </c>
      <c r="D492" s="118">
        <v>-0.30710626526472723</v>
      </c>
      <c r="F492" s="27">
        <f>INDEX(A492:D500,,F483)</f>
        <v>-8.3829464529326478E-2</v>
      </c>
      <c r="G492" s="29">
        <f>INDEX(A484:D492,,G483)</f>
        <v>0.92605398059705679</v>
      </c>
      <c r="I492" s="27">
        <f t="shared" si="157"/>
        <v>-0.85054859585638043</v>
      </c>
      <c r="J492" s="28">
        <f t="shared" si="158"/>
        <v>-0.15526121863740514</v>
      </c>
      <c r="K492" s="28">
        <f t="shared" si="159"/>
        <v>0.69932686790048826</v>
      </c>
      <c r="L492" s="29">
        <f t="shared" si="156"/>
        <v>0.13205721150299543</v>
      </c>
      <c r="Q492" s="27">
        <v>-7.7868650127928096E-2</v>
      </c>
      <c r="R492" s="29">
        <v>0.92657424280528211</v>
      </c>
    </row>
    <row r="493" spans="1:18" x14ac:dyDescent="0.35">
      <c r="I493">
        <f>SUM(I484:I492)</f>
        <v>1.0921953350304463</v>
      </c>
      <c r="J493">
        <f>SUM(J484:J492)</f>
        <v>-1.065407816261067</v>
      </c>
      <c r="K493">
        <f>SUM(K484:K492)</f>
        <v>2.2740072726647558</v>
      </c>
      <c r="L493">
        <f>SUM(L484:L492)</f>
        <v>-0.20020503549800417</v>
      </c>
    </row>
    <row r="494" spans="1:18" x14ac:dyDescent="0.35">
      <c r="A494" s="12" t="s">
        <v>2</v>
      </c>
      <c r="B494">
        <f>COUNT(A484:A492)</f>
        <v>9</v>
      </c>
      <c r="I494" s="12" t="s">
        <v>16</v>
      </c>
      <c r="J494" s="12" t="s">
        <v>258</v>
      </c>
      <c r="K494" s="12" t="s">
        <v>18</v>
      </c>
      <c r="L494" s="12" t="s">
        <v>19</v>
      </c>
      <c r="N494" s="12"/>
    </row>
    <row r="496" spans="1:18" x14ac:dyDescent="0.35">
      <c r="A496">
        <v>1</v>
      </c>
      <c r="B496">
        <v>2</v>
      </c>
      <c r="C496">
        <v>3</v>
      </c>
      <c r="D496">
        <v>4</v>
      </c>
      <c r="F496">
        <v>1</v>
      </c>
      <c r="G496">
        <v>3</v>
      </c>
      <c r="I496" s="12" t="s">
        <v>251</v>
      </c>
      <c r="J496" s="12" t="s">
        <v>252</v>
      </c>
      <c r="K496" s="12" t="s">
        <v>253</v>
      </c>
      <c r="L496" s="12" t="s">
        <v>254</v>
      </c>
      <c r="Q496">
        <f>F496</f>
        <v>1</v>
      </c>
      <c r="R496">
        <f>G496</f>
        <v>3</v>
      </c>
    </row>
    <row r="497" spans="1:18" x14ac:dyDescent="0.35">
      <c r="A497" s="110">
        <f t="array" ref="A497:A505">IF(A496=$Q483,$Q484:$Q492,IF(A496=$R483,$R484:$R492,A484:A492))</f>
        <v>-0.10796937072572997</v>
      </c>
      <c r="B497" s="111">
        <f t="array" ref="B497:B505">IF(B496=$Q483,$Q484:$Q492,IF(B496=$R483,$R484:$R492,B484:B492))</f>
        <v>-0.88913348161586714</v>
      </c>
      <c r="C497" s="111">
        <f t="array" ref="C497:C505">IF(C496=$Q483,$Q484:$Q492,IF(C496=$R483,$R484:$R492,C484:C492))</f>
        <v>-0.34131213572153923</v>
      </c>
      <c r="D497" s="112">
        <f t="array" ref="D497:D505">IF(D496=$Q483,$Q484:$Q492,IF(D496=$R483,$R484:$R492,D484:D492))</f>
        <v>-0.2851145258732683</v>
      </c>
      <c r="F497" s="94">
        <f>INDEX(A497:D505,,F496)</f>
        <v>-0.10796937072572997</v>
      </c>
      <c r="G497" s="96">
        <f>INDEX(A497:D505,,G496)</f>
        <v>-0.34131213572153923</v>
      </c>
      <c r="I497" s="94">
        <f>F497^2-G497^2</f>
        <v>-0.1048365889758883</v>
      </c>
      <c r="J497" s="95">
        <f>2*F497*G497</f>
        <v>7.3702513029819061E-2</v>
      </c>
      <c r="K497" s="95">
        <f>I497^2-J497^2</f>
        <v>5.5586499611886952E-3</v>
      </c>
      <c r="L497" s="96">
        <f t="shared" ref="L497:L505" si="160">I497*J497</f>
        <v>-7.7267200649971928E-3</v>
      </c>
      <c r="N497" t="s">
        <v>12</v>
      </c>
      <c r="O497" s="51">
        <f>L506*B507-2*I506*J506</f>
        <v>0.32226019649090532</v>
      </c>
      <c r="Q497" s="94">
        <f t="array" ref="Q497:R505">MMULT(F497:G505,N501:O502)</f>
        <v>-0.10908879764304247</v>
      </c>
      <c r="R497" s="96">
        <v>-0.34095599897128054</v>
      </c>
    </row>
    <row r="498" spans="1:18" x14ac:dyDescent="0.35">
      <c r="A498" s="113">
        <v>-0.7969032280632512</v>
      </c>
      <c r="B498" s="114">
        <v>0.59778225010795327</v>
      </c>
      <c r="C498" s="114">
        <v>8.0271212149379642E-2</v>
      </c>
      <c r="D498" s="115">
        <v>3.403173604610675E-2</v>
      </c>
      <c r="F498" s="30">
        <f>INDEX(A498:D506,,F496)</f>
        <v>-0.7969032280632512</v>
      </c>
      <c r="G498" s="26">
        <f>INDEX(A497:D505,,G496)</f>
        <v>8.0271212149379642E-2</v>
      </c>
      <c r="I498" s="30">
        <f t="shared" ref="I498:I505" si="161">F498^2-G498^2</f>
        <v>0.62861128739769945</v>
      </c>
      <c r="J498">
        <f t="shared" ref="J498:J505" si="162">2*F498*G498</f>
        <v>-0.12793677616478141</v>
      </c>
      <c r="K498">
        <f t="shared" ref="K498:K505" si="163">I498^2-J498^2</f>
        <v>0.3787843319483557</v>
      </c>
      <c r="L498" s="26">
        <f t="shared" si="160"/>
        <v>-8.0422501570454552E-2</v>
      </c>
      <c r="N498" t="s">
        <v>255</v>
      </c>
      <c r="O498" s="52">
        <f>K506*B507-(I506^2-J506^2)</f>
        <v>24.549998515130994</v>
      </c>
      <c r="Q498" s="30">
        <v>-0.79663552927710823</v>
      </c>
      <c r="R498" s="26">
        <v>8.2885800297411286E-2</v>
      </c>
    </row>
    <row r="499" spans="1:18" x14ac:dyDescent="0.35">
      <c r="A499" s="113">
        <v>-0.98477644173522039</v>
      </c>
      <c r="B499" s="114">
        <v>-0.12209091507054792</v>
      </c>
      <c r="C499" s="114">
        <v>0.10878114420393342</v>
      </c>
      <c r="D499" s="115">
        <v>-5.8956178015862074E-2</v>
      </c>
      <c r="F499" s="30">
        <f>INDEX(A499:D507,,F496)</f>
        <v>-0.98477644173522039</v>
      </c>
      <c r="G499" s="26">
        <f>INDEX(A497:D505,,G496)</f>
        <v>0.10878114420393342</v>
      </c>
      <c r="I499" s="30">
        <f t="shared" si="161"/>
        <v>0.95795130286236496</v>
      </c>
      <c r="J499">
        <f t="shared" si="162"/>
        <v>-0.21425021623407089</v>
      </c>
      <c r="K499">
        <f t="shared" si="163"/>
        <v>0.87176754349935637</v>
      </c>
      <c r="L499" s="26">
        <f t="shared" si="160"/>
        <v>-0.20524127377997162</v>
      </c>
      <c r="N499" t="s">
        <v>256</v>
      </c>
      <c r="O499" s="53">
        <f>0.25*ATAN(O497/O498)</f>
        <v>3.2814837917193845E-3</v>
      </c>
      <c r="Q499" s="30">
        <v>-0.98441417671580089</v>
      </c>
      <c r="R499" s="26">
        <v>0.11201208065182393</v>
      </c>
    </row>
    <row r="500" spans="1:18" x14ac:dyDescent="0.35">
      <c r="A500" s="113">
        <v>-6.2774688181929938E-2</v>
      </c>
      <c r="B500" s="114">
        <v>3.2994647135034475E-3</v>
      </c>
      <c r="C500" s="114">
        <v>8.3480035625828425E-2</v>
      </c>
      <c r="D500" s="115">
        <v>-0.99452477883066159</v>
      </c>
      <c r="F500" s="30">
        <f>INDEX(A500:D508,,F496)</f>
        <v>-6.2774688181929938E-2</v>
      </c>
      <c r="G500" s="26">
        <f>INDEX(A497:D505,,G496)</f>
        <v>8.3480035625828425E-2</v>
      </c>
      <c r="I500" s="30">
        <f t="shared" si="161"/>
        <v>-3.0282548717510483E-3</v>
      </c>
      <c r="J500">
        <f t="shared" si="162"/>
        <v>-1.0480866411655564E-2</v>
      </c>
      <c r="K500">
        <f t="shared" si="163"/>
        <v>-1.0067823317068582E-4</v>
      </c>
      <c r="L500" s="26">
        <f t="shared" si="160"/>
        <v>3.1738734771267891E-5</v>
      </c>
      <c r="Q500" s="30">
        <v>-6.2500412306843001E-2</v>
      </c>
      <c r="R500" s="26">
        <v>8.3685579916152483E-2</v>
      </c>
    </row>
    <row r="501" spans="1:18" x14ac:dyDescent="0.35">
      <c r="A501" s="113">
        <v>-0.36284336804717127</v>
      </c>
      <c r="B501" s="114">
        <v>0.10996196386349455</v>
      </c>
      <c r="C501" s="114">
        <v>0.88524397643849262</v>
      </c>
      <c r="D501" s="115">
        <v>-0.26943674386919525</v>
      </c>
      <c r="F501" s="30">
        <f>INDEX(A501:D509,,F496)</f>
        <v>-0.36284336804717127</v>
      </c>
      <c r="G501" s="26">
        <f>INDEX(A497:D505,,G496)</f>
        <v>0.88524397643849262</v>
      </c>
      <c r="I501" s="30">
        <f t="shared" si="161"/>
        <v>-0.65200158808481956</v>
      </c>
      <c r="J501">
        <f t="shared" si="162"/>
        <v>-0.64240981190882673</v>
      </c>
      <c r="K501">
        <f t="shared" si="163"/>
        <v>1.2415704428392571E-2</v>
      </c>
      <c r="L501" s="26">
        <f t="shared" si="160"/>
        <v>0.41885221756582525</v>
      </c>
      <c r="N501" s="94">
        <f>COS(O499)</f>
        <v>0.99999461593689365</v>
      </c>
      <c r="O501" s="96">
        <f>-N502</f>
        <v>-3.2814779024786648E-3</v>
      </c>
      <c r="Q501" s="30">
        <v>-0.35993650592859472</v>
      </c>
      <c r="R501" s="26">
        <v>0.88642987272336671</v>
      </c>
    </row>
    <row r="502" spans="1:18" x14ac:dyDescent="0.35">
      <c r="A502" s="113">
        <v>2.6729570641072824E-2</v>
      </c>
      <c r="B502" s="114">
        <v>-2.2611778248410597E-2</v>
      </c>
      <c r="C502" s="114">
        <v>0.99752885433697003</v>
      </c>
      <c r="D502" s="115">
        <v>6.091323586020566E-2</v>
      </c>
      <c r="F502" s="30">
        <f>INDEX(A502:D510,,F496)</f>
        <v>2.6729570641072824E-2</v>
      </c>
      <c r="G502" s="26">
        <f>INDEX(A497:D505,,G496)</f>
        <v>0.99752885433697003</v>
      </c>
      <c r="I502" s="30">
        <f t="shared" si="161"/>
        <v>-0.99434934528817187</v>
      </c>
      <c r="J502">
        <f t="shared" si="162"/>
        <v>5.3327035957016967E-2</v>
      </c>
      <c r="K502">
        <f t="shared" si="163"/>
        <v>0.98588684771105506</v>
      </c>
      <c r="L502" s="26">
        <f t="shared" si="160"/>
        <v>-5.3025703290018621E-2</v>
      </c>
      <c r="N502" s="27">
        <f>SIN(O499)</f>
        <v>3.2814779024786648E-3</v>
      </c>
      <c r="O502" s="29">
        <f>N501</f>
        <v>0.99999461593689365</v>
      </c>
      <c r="Q502" s="30">
        <v>3.0002795619969311E-2</v>
      </c>
      <c r="R502" s="26">
        <v>0.99743577108326642</v>
      </c>
    </row>
    <row r="503" spans="1:18" x14ac:dyDescent="0.35">
      <c r="A503" s="113">
        <v>-0.96554271409278269</v>
      </c>
      <c r="B503" s="114">
        <v>1.8083645587940563E-2</v>
      </c>
      <c r="C503" s="114">
        <v>0.16304292726412772</v>
      </c>
      <c r="D503" s="115">
        <v>-0.20203280152920056</v>
      </c>
      <c r="F503" s="30">
        <f>INDEX(A503:D511,,F496)</f>
        <v>-0.96554271409278269</v>
      </c>
      <c r="G503" s="26">
        <f>INDEX(A497:D505,,G496)</f>
        <v>0.16304292726412772</v>
      </c>
      <c r="I503" s="30">
        <f t="shared" si="161"/>
        <v>0.90568973660680141</v>
      </c>
      <c r="J503">
        <f t="shared" si="162"/>
        <v>-0.31484982100847608</v>
      </c>
      <c r="K503">
        <f t="shared" si="163"/>
        <v>0.72114348920582794</v>
      </c>
      <c r="L503" s="26">
        <f t="shared" si="160"/>
        <v>-0.28515625145986528</v>
      </c>
      <c r="Q503" s="30">
        <v>-0.96500249378690539</v>
      </c>
      <c r="R503" s="26">
        <v>0.16621045651091304</v>
      </c>
    </row>
    <row r="504" spans="1:18" x14ac:dyDescent="0.35">
      <c r="A504" s="113">
        <v>-0.68484720714091774</v>
      </c>
      <c r="B504" s="114">
        <v>0.21789174334604436</v>
      </c>
      <c r="C504" s="114">
        <v>0.56649206660878848</v>
      </c>
      <c r="D504" s="115">
        <v>-0.40322974781408433</v>
      </c>
      <c r="F504" s="30">
        <f>INDEX(A504:D512,,F496)</f>
        <v>-0.68484720714091774</v>
      </c>
      <c r="G504" s="26">
        <f>INDEX(A497:D505,,G496)</f>
        <v>0.56649206660878848</v>
      </c>
      <c r="I504" s="30">
        <f t="shared" si="161"/>
        <v>0.14810243559801906</v>
      </c>
      <c r="J504">
        <f t="shared" si="162"/>
        <v>-0.77592101936903102</v>
      </c>
      <c r="K504">
        <f t="shared" si="163"/>
        <v>-0.58011909686861085</v>
      </c>
      <c r="L504" s="26">
        <f t="shared" si="160"/>
        <v>-0.11491579280025122</v>
      </c>
      <c r="Q504" s="30">
        <v>-0.6829845886818301</v>
      </c>
      <c r="R504" s="26">
        <v>0.56873632755655978</v>
      </c>
    </row>
    <row r="505" spans="1:18" x14ac:dyDescent="0.35">
      <c r="A505" s="116">
        <v>-7.7868650127928096E-2</v>
      </c>
      <c r="B505" s="117">
        <v>0.92657424280528211</v>
      </c>
      <c r="C505" s="117">
        <v>-0.20268790721753482</v>
      </c>
      <c r="D505" s="118">
        <v>-0.30710626526472723</v>
      </c>
      <c r="F505" s="27">
        <f>INDEX(A505:D513,,F496)</f>
        <v>-7.7868650127928096E-2</v>
      </c>
      <c r="G505" s="29">
        <f>INDEX(A497:D505,,G496)</f>
        <v>-0.20268790721753482</v>
      </c>
      <c r="I505" s="27">
        <f t="shared" si="161"/>
        <v>-3.501886105947833E-2</v>
      </c>
      <c r="J505" s="28">
        <f t="shared" si="162"/>
        <v>3.1566067464568345E-2</v>
      </c>
      <c r="K505" s="28">
        <f t="shared" si="163"/>
        <v>2.2990401472536759E-4</v>
      </c>
      <c r="L505" s="29">
        <f t="shared" si="160"/>
        <v>-1.1054077307358382E-3</v>
      </c>
      <c r="Q505" s="27">
        <v>-7.8533346766835779E-2</v>
      </c>
      <c r="R505" s="29">
        <v>-0.20243129167836083</v>
      </c>
    </row>
    <row r="506" spans="1:18" x14ac:dyDescent="0.35">
      <c r="I506">
        <f>SUM(I497:I505)</f>
        <v>0.85112012418477556</v>
      </c>
      <c r="J506">
        <f>SUM(J497:J505)</f>
        <v>-1.9272528946454375</v>
      </c>
      <c r="K506">
        <f>SUM(K497:K505)</f>
        <v>2.3955666956671204</v>
      </c>
      <c r="L506">
        <f>SUM(L497:L505)</f>
        <v>-0.32870969439569786</v>
      </c>
    </row>
    <row r="507" spans="1:18" x14ac:dyDescent="0.35">
      <c r="A507" s="12" t="s">
        <v>2</v>
      </c>
      <c r="B507">
        <f>COUNT(A497:A505)</f>
        <v>9</v>
      </c>
      <c r="I507" s="12" t="s">
        <v>16</v>
      </c>
      <c r="J507" s="12" t="s">
        <v>258</v>
      </c>
      <c r="K507" s="12" t="s">
        <v>18</v>
      </c>
      <c r="L507" s="12" t="s">
        <v>19</v>
      </c>
      <c r="N507" s="12"/>
    </row>
    <row r="509" spans="1:18" x14ac:dyDescent="0.35">
      <c r="A509">
        <v>1</v>
      </c>
      <c r="B509">
        <v>2</v>
      </c>
      <c r="C509">
        <v>3</v>
      </c>
      <c r="D509">
        <v>4</v>
      </c>
      <c r="F509">
        <v>1</v>
      </c>
      <c r="G509">
        <v>4</v>
      </c>
      <c r="I509" s="12" t="s">
        <v>251</v>
      </c>
      <c r="J509" s="12" t="s">
        <v>252</v>
      </c>
      <c r="K509" s="12" t="s">
        <v>253</v>
      </c>
      <c r="L509" s="12" t="s">
        <v>254</v>
      </c>
      <c r="Q509">
        <f>F509</f>
        <v>1</v>
      </c>
      <c r="R509">
        <f>G509</f>
        <v>4</v>
      </c>
    </row>
    <row r="510" spans="1:18" x14ac:dyDescent="0.35">
      <c r="A510" s="110">
        <f t="array" ref="A510:A518">IF(A509=$Q496,$Q497:$Q505,IF(A509=$R496,$R497:$R505,A497:A505))</f>
        <v>-0.10908879764304247</v>
      </c>
      <c r="B510" s="111">
        <f t="array" ref="B510:B518">IF(B509=$Q496,$Q497:$Q505,IF(B509=$R496,$R497:$R505,B497:B505))</f>
        <v>-0.88913348161586714</v>
      </c>
      <c r="C510" s="111">
        <f t="array" ref="C510:C518">IF(C509=$Q496,$Q497:$Q505,IF(C509=$R496,$R497:$R505,C497:C505))</f>
        <v>-0.34095599897128054</v>
      </c>
      <c r="D510" s="112">
        <f t="array" ref="D510:D518">IF(D509=$Q496,$Q497:$Q505,IF(D509=$R496,$R497:$R505,D497:D505))</f>
        <v>-0.2851145258732683</v>
      </c>
      <c r="F510" s="94">
        <f>INDEX(A510:D518,,F509)</f>
        <v>-0.10908879764304247</v>
      </c>
      <c r="G510" s="96">
        <f>INDEX(A510:D518,,G509)</f>
        <v>-0.2851145258732683</v>
      </c>
      <c r="I510" s="94">
        <f>F510^2-G510^2</f>
        <v>-6.9389927092733908E-2</v>
      </c>
      <c r="J510" s="95">
        <f>2*F510*G510</f>
        <v>6.2205601636161921E-2</v>
      </c>
      <c r="K510" s="95">
        <f>I510^2-J510^2</f>
        <v>9.4542510701805648E-4</v>
      </c>
      <c r="L510" s="96">
        <f t="shared" ref="L510:L518" si="164">I510*J510</f>
        <v>-4.316442162292925E-3</v>
      </c>
      <c r="N510" t="s">
        <v>12</v>
      </c>
      <c r="O510" s="51">
        <f>L519*B520-2*I519*J519</f>
        <v>-0.64191194071008528</v>
      </c>
      <c r="Q510" s="94">
        <f t="array" ref="Q510:R518">MMULT(F510:G518,N514:O515)</f>
        <v>-0.10711621367019851</v>
      </c>
      <c r="R510" s="96">
        <v>-0.28586146190786826</v>
      </c>
    </row>
    <row r="511" spans="1:18" x14ac:dyDescent="0.35">
      <c r="A511" s="113">
        <v>-0.79663552927710823</v>
      </c>
      <c r="B511" s="114">
        <v>0.59778225010795327</v>
      </c>
      <c r="C511" s="114">
        <v>8.2885800297411286E-2</v>
      </c>
      <c r="D511" s="115">
        <v>3.403173604610675E-2</v>
      </c>
      <c r="F511" s="30">
        <f>INDEX(A511:D519,,F509)</f>
        <v>-0.79663552927710823</v>
      </c>
      <c r="G511" s="26">
        <f>INDEX(A510:D518,,G509)</f>
        <v>3.403173604610675E-2</v>
      </c>
      <c r="I511" s="30">
        <f t="shared" ref="I511:I518" si="165">F511^2-G511^2</f>
        <v>0.6334700074483065</v>
      </c>
      <c r="J511">
        <f t="shared" ref="J511:J518" si="166">2*F511*G511</f>
        <v>-5.4221780114618187E-2</v>
      </c>
      <c r="K511">
        <f t="shared" ref="K511:K518" si="167">I511^2-J511^2</f>
        <v>0.39834424889775949</v>
      </c>
      <c r="L511" s="26">
        <f t="shared" si="164"/>
        <v>-3.434787145306762E-2</v>
      </c>
      <c r="N511" t="s">
        <v>255</v>
      </c>
      <c r="O511" s="52">
        <f>K519*B520-(I519^2-J519^2)</f>
        <v>23.219824892996822</v>
      </c>
      <c r="Q511" s="30">
        <v>-0.79685165328117535</v>
      </c>
      <c r="R511" s="26">
        <v>2.8526623143790415E-2</v>
      </c>
    </row>
    <row r="512" spans="1:18" x14ac:dyDescent="0.35">
      <c r="A512" s="113">
        <v>-0.98441417671580089</v>
      </c>
      <c r="B512" s="114">
        <v>-0.12209091507054792</v>
      </c>
      <c r="C512" s="114">
        <v>0.11201208065182393</v>
      </c>
      <c r="D512" s="115">
        <v>-5.8956178015862074E-2</v>
      </c>
      <c r="F512" s="30">
        <f>INDEX(A512:D520,,F509)</f>
        <v>-0.98441417671580089</v>
      </c>
      <c r="G512" s="26">
        <f>INDEX(A510:D518,,G509)</f>
        <v>-5.8956178015862074E-2</v>
      </c>
      <c r="I512" s="30">
        <f t="shared" si="165"/>
        <v>0.96559544039280998</v>
      </c>
      <c r="J512">
        <f t="shared" si="166"/>
        <v>0.11607459488759013</v>
      </c>
      <c r="K512">
        <f t="shared" si="167"/>
        <v>0.91890124292906639</v>
      </c>
      <c r="L512" s="26">
        <f t="shared" si="164"/>
        <v>0.1120810995688996</v>
      </c>
      <c r="N512" t="s">
        <v>256</v>
      </c>
      <c r="O512" s="53">
        <f>0.25*ATAN(O510/O511)</f>
        <v>-6.909488900702497E-3</v>
      </c>
      <c r="Q512" s="30">
        <v>-0.98398332451617365</v>
      </c>
      <c r="R512" s="26">
        <v>-6.5756515413946559E-2</v>
      </c>
    </row>
    <row r="513" spans="1:18" x14ac:dyDescent="0.35">
      <c r="A513" s="113">
        <v>-6.2500412306843001E-2</v>
      </c>
      <c r="B513" s="114">
        <v>3.2994647135034475E-3</v>
      </c>
      <c r="C513" s="114">
        <v>8.3685579916152483E-2</v>
      </c>
      <c r="D513" s="115">
        <v>-0.99452477883066159</v>
      </c>
      <c r="F513" s="30">
        <f>INDEX(A513:D521,,F509)</f>
        <v>-6.2500412306843001E-2</v>
      </c>
      <c r="G513" s="26">
        <f>INDEX(A510:D518,,G509)</f>
        <v>-0.99452477883066159</v>
      </c>
      <c r="I513" s="30">
        <f t="shared" si="165"/>
        <v>-0.98517323416965097</v>
      </c>
      <c r="J513">
        <f t="shared" si="166"/>
        <v>0.12431641745257639</v>
      </c>
      <c r="K513">
        <f t="shared" si="167"/>
        <v>0.95511172967604663</v>
      </c>
      <c r="L513" s="26">
        <f t="shared" si="164"/>
        <v>-0.12247320704213913</v>
      </c>
      <c r="Q513" s="30">
        <v>-5.5627317151278777E-2</v>
      </c>
      <c r="R513" s="26">
        <v>-0.99493288157204496</v>
      </c>
    </row>
    <row r="514" spans="1:18" x14ac:dyDescent="0.35">
      <c r="A514" s="113">
        <v>-0.35993650592859472</v>
      </c>
      <c r="B514" s="114">
        <v>0.10996196386349455</v>
      </c>
      <c r="C514" s="114">
        <v>0.88642987272336671</v>
      </c>
      <c r="D514" s="115">
        <v>-0.26943674386919525</v>
      </c>
      <c r="F514" s="30">
        <f>INDEX(A514:D522,,F509)</f>
        <v>-0.35993650592859472</v>
      </c>
      <c r="G514" s="26">
        <f>INDEX(A510:D518,,G509)</f>
        <v>-0.26943674386919525</v>
      </c>
      <c r="I514" s="30">
        <f t="shared" si="165"/>
        <v>5.695812935325098E-2</v>
      </c>
      <c r="J514">
        <f t="shared" si="166"/>
        <v>0.19396024031411171</v>
      </c>
      <c r="K514">
        <f t="shared" si="167"/>
        <v>-3.4376346323286296E-2</v>
      </c>
      <c r="L514" s="26">
        <f t="shared" si="164"/>
        <v>1.1047612457198821E-2</v>
      </c>
      <c r="N514" s="94">
        <f>COS(O512)</f>
        <v>0.99997612957653237</v>
      </c>
      <c r="O514" s="96">
        <f>-N515</f>
        <v>6.9094339231396728E-3</v>
      </c>
      <c r="Q514" s="30">
        <v>-0.35806625871354664</v>
      </c>
      <c r="R514" s="26">
        <v>-0.27191726980426073</v>
      </c>
    </row>
    <row r="515" spans="1:18" x14ac:dyDescent="0.35">
      <c r="A515" s="113">
        <v>3.0002795619969311E-2</v>
      </c>
      <c r="B515" s="114">
        <v>-2.2611778248410597E-2</v>
      </c>
      <c r="C515" s="114">
        <v>0.99743577108326642</v>
      </c>
      <c r="D515" s="115">
        <v>6.091323586020566E-2</v>
      </c>
      <c r="F515" s="30">
        <f>INDEX(A515:D523,,F509)</f>
        <v>3.0002795619969311E-2</v>
      </c>
      <c r="G515" s="26">
        <f>INDEX(A510:D518,,G509)</f>
        <v>6.091323586020566E-2</v>
      </c>
      <c r="I515" s="30">
        <f t="shared" si="165"/>
        <v>-2.8102545579473952E-3</v>
      </c>
      <c r="J515">
        <f t="shared" si="166"/>
        <v>3.6551347321294721E-3</v>
      </c>
      <c r="K515">
        <f t="shared" si="167"/>
        <v>-5.4624792295550765E-6</v>
      </c>
      <c r="L515" s="26">
        <f t="shared" si="164"/>
        <v>-1.0271859040878681E-5</v>
      </c>
      <c r="N515" s="27">
        <f>SIN(O512)</f>
        <v>-6.9094339231396728E-3</v>
      </c>
      <c r="O515" s="29">
        <f>N514</f>
        <v>0.99997612957653237</v>
      </c>
      <c r="Q515" s="30">
        <v>2.9581203462311936E-2</v>
      </c>
      <c r="R515" s="26">
        <v>6.1119084169316537E-2</v>
      </c>
    </row>
    <row r="516" spans="1:18" x14ac:dyDescent="0.35">
      <c r="A516" s="113">
        <v>-0.96500249378690539</v>
      </c>
      <c r="B516" s="114">
        <v>1.8083645587940563E-2</v>
      </c>
      <c r="C516" s="114">
        <v>0.16621045651091304</v>
      </c>
      <c r="D516" s="115">
        <v>-0.20203280152920056</v>
      </c>
      <c r="F516" s="30">
        <f>INDEX(A516:D524,,F509)</f>
        <v>-0.96500249378690539</v>
      </c>
      <c r="G516" s="26">
        <f>INDEX(A510:D518,,G509)</f>
        <v>-0.20203280152920056</v>
      </c>
      <c r="I516" s="30">
        <f t="shared" si="165"/>
        <v>0.89041256012120895</v>
      </c>
      <c r="J516">
        <f t="shared" si="166"/>
        <v>0.38992431460486687</v>
      </c>
      <c r="K516">
        <f t="shared" si="167"/>
        <v>0.64079355610153033</v>
      </c>
      <c r="L516" s="26">
        <f t="shared" si="164"/>
        <v>0.3471935072208272</v>
      </c>
      <c r="Q516" s="30">
        <v>-0.96358352647625856</v>
      </c>
      <c r="R516" s="26">
        <v>-0.20869559988715933</v>
      </c>
    </row>
    <row r="517" spans="1:18" x14ac:dyDescent="0.35">
      <c r="A517" s="113">
        <v>-0.6829845886818301</v>
      </c>
      <c r="B517" s="114">
        <v>0.21789174334604436</v>
      </c>
      <c r="C517" s="114">
        <v>0.56873632755655978</v>
      </c>
      <c r="D517" s="115">
        <v>-0.40322974781408433</v>
      </c>
      <c r="F517" s="30">
        <f>INDEX(A517:D525,,F509)</f>
        <v>-0.6829845886818301</v>
      </c>
      <c r="G517" s="26">
        <f>INDEX(A510:D518,,G509)</f>
        <v>-0.40322974781408433</v>
      </c>
      <c r="I517" s="30">
        <f t="shared" si="165"/>
        <v>0.30387371885467862</v>
      </c>
      <c r="J517">
        <f t="shared" si="166"/>
        <v>0.55079940691016094</v>
      </c>
      <c r="K517">
        <f t="shared" si="167"/>
        <v>-0.21104074964201275</v>
      </c>
      <c r="L517" s="26">
        <f t="shared" si="164"/>
        <v>0.16737346412074197</v>
      </c>
      <c r="Q517" s="30">
        <v>-0.68018219625211074</v>
      </c>
      <c r="R517" s="26">
        <v>-0.40793915943526909</v>
      </c>
    </row>
    <row r="518" spans="1:18" x14ac:dyDescent="0.35">
      <c r="A518" s="116">
        <v>-7.8533346766835779E-2</v>
      </c>
      <c r="B518" s="117">
        <v>0.92657424280528211</v>
      </c>
      <c r="C518" s="117">
        <v>-0.20243129167836083</v>
      </c>
      <c r="D518" s="118">
        <v>-0.30710626526472723</v>
      </c>
      <c r="F518" s="27">
        <f>INDEX(A518:D526,,F509)</f>
        <v>-7.8533346766835779E-2</v>
      </c>
      <c r="G518" s="29">
        <f>INDEX(A510:D518,,G509)</f>
        <v>-0.30710626526472723</v>
      </c>
      <c r="I518" s="27">
        <f t="shared" si="165"/>
        <v>-8.8146771610448926E-2</v>
      </c>
      <c r="J518" s="28">
        <f t="shared" si="166"/>
        <v>4.8236165648605354E-2</v>
      </c>
      <c r="K518" s="28">
        <f t="shared" si="167"/>
        <v>5.4431256688649496E-3</v>
      </c>
      <c r="L518" s="29">
        <f t="shared" si="164"/>
        <v>-4.2518622767913983E-3</v>
      </c>
      <c r="Q518" s="27">
        <v>-7.6409541695363292E-2</v>
      </c>
      <c r="R518" s="29">
        <v>-0.3076415554783743</v>
      </c>
    </row>
    <row r="519" spans="1:18" x14ac:dyDescent="0.35">
      <c r="I519">
        <f>SUM(I510:I518)</f>
        <v>1.7047896687394739</v>
      </c>
      <c r="J519">
        <f>SUM(J510:J518)</f>
        <v>1.4349500960715846</v>
      </c>
      <c r="K519">
        <f>SUM(K510:K518)</f>
        <v>2.6741167699357575</v>
      </c>
      <c r="L519">
        <f>SUM(L510:L518)</f>
        <v>0.47229602857433561</v>
      </c>
    </row>
    <row r="520" spans="1:18" x14ac:dyDescent="0.35">
      <c r="A520" s="12" t="s">
        <v>2</v>
      </c>
      <c r="B520">
        <f>COUNT(A510:A518)</f>
        <v>9</v>
      </c>
      <c r="I520" s="12" t="s">
        <v>16</v>
      </c>
      <c r="J520" s="12" t="s">
        <v>258</v>
      </c>
      <c r="K520" s="12" t="s">
        <v>18</v>
      </c>
      <c r="L520" s="12" t="s">
        <v>19</v>
      </c>
      <c r="N520" s="12"/>
    </row>
    <row r="522" spans="1:18" x14ac:dyDescent="0.35">
      <c r="A522">
        <v>1</v>
      </c>
      <c r="B522">
        <v>2</v>
      </c>
      <c r="C522">
        <v>3</v>
      </c>
      <c r="D522">
        <v>4</v>
      </c>
      <c r="F522">
        <v>2</v>
      </c>
      <c r="G522">
        <v>3</v>
      </c>
      <c r="I522" s="12" t="s">
        <v>251</v>
      </c>
      <c r="J522" s="12" t="s">
        <v>252</v>
      </c>
      <c r="K522" s="12" t="s">
        <v>253</v>
      </c>
      <c r="L522" s="12" t="s">
        <v>254</v>
      </c>
      <c r="Q522">
        <f>F522</f>
        <v>2</v>
      </c>
      <c r="R522">
        <f>G522</f>
        <v>3</v>
      </c>
    </row>
    <row r="523" spans="1:18" x14ac:dyDescent="0.35">
      <c r="A523" s="110">
        <f t="array" ref="A523:A531">IF(A522=$Q509,$Q510:$Q518,IF(A522=$R509,$R510:$R518,A510:A518))</f>
        <v>-0.10711621367019851</v>
      </c>
      <c r="B523" s="111">
        <f t="array" ref="B523:B531">IF(B522=$Q509,$Q510:$Q518,IF(B522=$R509,$R510:$R518,B510:B518))</f>
        <v>-0.88913348161586714</v>
      </c>
      <c r="C523" s="111">
        <f t="array" ref="C523:C531">IF(C522=$Q509,$Q510:$Q518,IF(C522=$R509,$R510:$R518,C510:C518))</f>
        <v>-0.34095599897128054</v>
      </c>
      <c r="D523" s="112">
        <f t="array" ref="D523:D531">IF(D522=$Q509,$Q510:$Q518,IF(D522=$R509,$R510:$R518,D510:D518))</f>
        <v>-0.28586146190786826</v>
      </c>
      <c r="F523" s="94">
        <f>INDEX(A523:D531,,F522)</f>
        <v>-0.88913348161586714</v>
      </c>
      <c r="G523" s="96">
        <f>INDEX(A523:D531,,G522)</f>
        <v>-0.34095599897128054</v>
      </c>
      <c r="I523" s="94">
        <f>F523^2-G523^2</f>
        <v>0.6743073548958497</v>
      </c>
      <c r="J523" s="95">
        <f>2*F523*G523</f>
        <v>0.60631078888630141</v>
      </c>
      <c r="K523" s="95">
        <f>I523^2-J523^2</f>
        <v>8.707763614670827E-2</v>
      </c>
      <c r="L523" s="96">
        <f t="shared" ref="L523:L531" si="168">I523*J523</f>
        <v>0.40883982429873783</v>
      </c>
      <c r="N523" t="s">
        <v>12</v>
      </c>
      <c r="O523" s="51">
        <f>L532*B533-2*I532*J532</f>
        <v>-9.1763130704534124E-3</v>
      </c>
      <c r="Q523" s="94">
        <f t="array" ref="Q523:R531">MMULT(F523:G531,N527:O528)</f>
        <v>-0.88909632487852286</v>
      </c>
      <c r="R523" s="96">
        <v>-0.34105287926120975</v>
      </c>
    </row>
    <row r="524" spans="1:18" x14ac:dyDescent="0.35">
      <c r="A524" s="113">
        <v>-0.79685165328117535</v>
      </c>
      <c r="B524" s="114">
        <v>0.59778225010795327</v>
      </c>
      <c r="C524" s="114">
        <v>8.2885800297411286E-2</v>
      </c>
      <c r="D524" s="115">
        <v>2.8526623143790415E-2</v>
      </c>
      <c r="F524" s="30">
        <f>INDEX(A524:D532,,F522)</f>
        <v>0.59778225010795327</v>
      </c>
      <c r="G524" s="26">
        <f>INDEX(A523:D531,,G522)</f>
        <v>8.2885800297411286E-2</v>
      </c>
      <c r="I524" s="30">
        <f t="shared" ref="I524:I531" si="169">F524^2-G524^2</f>
        <v>0.35047356265318524</v>
      </c>
      <c r="J524">
        <f t="shared" ref="J524:J531" si="170">2*F524*G524</f>
        <v>9.9095320407569965E-2</v>
      </c>
      <c r="K524">
        <f t="shared" ref="K524:K531" si="171">I524^2-J524^2</f>
        <v>0.11301183559213721</v>
      </c>
      <c r="L524" s="26">
        <f t="shared" si="168"/>
        <v>3.4730289985499936E-2</v>
      </c>
      <c r="N524" t="s">
        <v>255</v>
      </c>
      <c r="O524" s="52">
        <f>K532*B533-(I532^2-J532^2)</f>
        <v>21.053808275152054</v>
      </c>
      <c r="Q524" s="30">
        <v>0.59777321510527348</v>
      </c>
      <c r="R524" s="26">
        <v>8.2950935725730687E-2</v>
      </c>
    </row>
    <row r="525" spans="1:18" x14ac:dyDescent="0.35">
      <c r="A525" s="113">
        <v>-0.98398332451617365</v>
      </c>
      <c r="B525" s="114">
        <v>-0.12209091507054792</v>
      </c>
      <c r="C525" s="114">
        <v>0.11201208065182393</v>
      </c>
      <c r="D525" s="115">
        <v>-6.5756515413946559E-2</v>
      </c>
      <c r="F525" s="30">
        <f>INDEX(A525:D533,,F522)</f>
        <v>-0.12209091507054792</v>
      </c>
      <c r="G525" s="26">
        <f>INDEX(A523:D531,,G522)</f>
        <v>0.11201208065182393</v>
      </c>
      <c r="I525" s="30">
        <f t="shared" si="169"/>
        <v>2.3594853308130381E-3</v>
      </c>
      <c r="J525">
        <f t="shared" si="170"/>
        <v>-2.73513148514744E-2</v>
      </c>
      <c r="K525">
        <f t="shared" si="171"/>
        <v>-7.4252725307816215E-4</v>
      </c>
      <c r="L525" s="26">
        <f t="shared" si="168"/>
        <v>-6.4535026170502632E-5</v>
      </c>
      <c r="N525" t="s">
        <v>256</v>
      </c>
      <c r="O525" s="53">
        <f>0.25*ATAN(O523/O524)</f>
        <v>-1.089626205561821E-4</v>
      </c>
      <c r="Q525" s="30">
        <v>-0.12210311947558182</v>
      </c>
      <c r="R525" s="26">
        <v>0.11199877664084659</v>
      </c>
    </row>
    <row r="526" spans="1:18" x14ac:dyDescent="0.35">
      <c r="A526" s="113">
        <v>-5.5627317151278777E-2</v>
      </c>
      <c r="B526" s="114">
        <v>3.2994647135034475E-3</v>
      </c>
      <c r="C526" s="114">
        <v>8.3685579916152483E-2</v>
      </c>
      <c r="D526" s="115">
        <v>-0.99493288157204496</v>
      </c>
      <c r="F526" s="30">
        <f>INDEX(A526:D534,,F522)</f>
        <v>3.2994647135034475E-3</v>
      </c>
      <c r="G526" s="26">
        <f>INDEX(A523:D531,,G522)</f>
        <v>8.3685579916152483E-2</v>
      </c>
      <c r="I526" s="30">
        <f t="shared" si="169"/>
        <v>-6.9923898185070893E-3</v>
      </c>
      <c r="J526">
        <f t="shared" si="170"/>
        <v>5.5223523592483586E-4</v>
      </c>
      <c r="K526">
        <f t="shared" si="171"/>
        <v>4.8588551618164649E-5</v>
      </c>
      <c r="L526" s="26">
        <f t="shared" si="168"/>
        <v>-3.8614440411016829E-6</v>
      </c>
      <c r="Q526" s="30">
        <v>3.2903460938440341E-3</v>
      </c>
      <c r="R526" s="26">
        <v>8.3685938937680102E-2</v>
      </c>
    </row>
    <row r="527" spans="1:18" x14ac:dyDescent="0.35">
      <c r="A527" s="113">
        <v>-0.35806625871354664</v>
      </c>
      <c r="B527" s="114">
        <v>0.10996196386349455</v>
      </c>
      <c r="C527" s="114">
        <v>0.88642987272336671</v>
      </c>
      <c r="D527" s="115">
        <v>-0.27191726980426073</v>
      </c>
      <c r="F527" s="30">
        <f>INDEX(A527:D535,,F522)</f>
        <v>0.10996196386349455</v>
      </c>
      <c r="G527" s="26">
        <f>INDEX(A523:D531,,G522)</f>
        <v>0.88642987272336671</v>
      </c>
      <c r="I527" s="30">
        <f t="shared" si="169"/>
        <v>-0.77366628575964758</v>
      </c>
      <c r="J527">
        <f t="shared" si="170"/>
        <v>0.19494713926385784</v>
      </c>
      <c r="K527">
        <f t="shared" si="171"/>
        <v>0.56055513461396667</v>
      </c>
      <c r="L527" s="26">
        <f t="shared" si="168"/>
        <v>-0.15082402915373766</v>
      </c>
      <c r="N527" s="94">
        <f>COS(O525)</f>
        <v>0.99999999406357365</v>
      </c>
      <c r="O527" s="96">
        <f>-N528</f>
        <v>1.0896262034056591E-4</v>
      </c>
      <c r="Q527" s="30">
        <v>0.10986537548903337</v>
      </c>
      <c r="R527" s="26">
        <v>0.88644184920486147</v>
      </c>
    </row>
    <row r="528" spans="1:18" x14ac:dyDescent="0.35">
      <c r="A528" s="113">
        <v>2.9581203462311936E-2</v>
      </c>
      <c r="B528" s="114">
        <v>-2.2611778248410597E-2</v>
      </c>
      <c r="C528" s="114">
        <v>0.99743577108326642</v>
      </c>
      <c r="D528" s="115">
        <v>6.1119084169316537E-2</v>
      </c>
      <c r="F528" s="30">
        <f>INDEX(A528:D536,,F522)</f>
        <v>-2.2611778248410597E-2</v>
      </c>
      <c r="G528" s="26">
        <f>INDEX(A523:D531,,G522)</f>
        <v>0.99743577108326642</v>
      </c>
      <c r="I528" s="30">
        <f t="shared" si="169"/>
        <v>-0.99436682492091499</v>
      </c>
      <c r="J528">
        <f t="shared" si="170"/>
        <v>-4.5107592945534507E-2</v>
      </c>
      <c r="K528">
        <f t="shared" si="171"/>
        <v>0.98673068756196158</v>
      </c>
      <c r="L528" s="26">
        <f t="shared" si="168"/>
        <v>4.4853493977076213E-2</v>
      </c>
      <c r="N528" s="27">
        <f>SIN(O525)</f>
        <v>-1.0896262034056591E-4</v>
      </c>
      <c r="O528" s="29">
        <f>N527</f>
        <v>0.99999999406357365</v>
      </c>
      <c r="Q528" s="30">
        <v>-2.2720461329416086E-2</v>
      </c>
      <c r="R528" s="26">
        <v>0.99743330132345398</v>
      </c>
    </row>
    <row r="529" spans="1:18" x14ac:dyDescent="0.35">
      <c r="A529" s="113">
        <v>-0.96358352647625856</v>
      </c>
      <c r="B529" s="114">
        <v>1.8083645587940563E-2</v>
      </c>
      <c r="C529" s="114">
        <v>0.16621045651091304</v>
      </c>
      <c r="D529" s="115">
        <v>-0.20869559988715933</v>
      </c>
      <c r="F529" s="30">
        <f>INDEX(A529:D537,,F522)</f>
        <v>1.8083645587940563E-2</v>
      </c>
      <c r="G529" s="26">
        <f>INDEX(A523:D531,,G522)</f>
        <v>0.16621045651091304</v>
      </c>
      <c r="I529" s="30">
        <f t="shared" si="169"/>
        <v>-2.7298897615815873E-2</v>
      </c>
      <c r="J529">
        <f t="shared" si="170"/>
        <v>6.0113819771063191E-3</v>
      </c>
      <c r="K529">
        <f t="shared" si="171"/>
        <v>7.090930977641189E-4</v>
      </c>
      <c r="L529" s="26">
        <f t="shared" si="168"/>
        <v>-1.641041011225862E-4</v>
      </c>
      <c r="Q529" s="30">
        <v>1.8065534753718901E-2</v>
      </c>
      <c r="R529" s="26">
        <v>0.16621242596562547</v>
      </c>
    </row>
    <row r="530" spans="1:18" x14ac:dyDescent="0.35">
      <c r="A530" s="113">
        <v>-0.68018219625211074</v>
      </c>
      <c r="B530" s="114">
        <v>0.21789174334604436</v>
      </c>
      <c r="C530" s="114">
        <v>0.56873632755655978</v>
      </c>
      <c r="D530" s="115">
        <v>-0.40793915943526909</v>
      </c>
      <c r="F530" s="30">
        <f>INDEX(A530:D538,,F522)</f>
        <v>0.21789174334604436</v>
      </c>
      <c r="G530" s="26">
        <f>INDEX(A523:D531,,G522)</f>
        <v>0.56873632755655978</v>
      </c>
      <c r="I530" s="30">
        <f t="shared" si="169"/>
        <v>-0.27598419846414396</v>
      </c>
      <c r="J530">
        <f t="shared" si="170"/>
        <v>0.24784589983105149</v>
      </c>
      <c r="K530">
        <f t="shared" si="171"/>
        <v>1.4739687738832392E-2</v>
      </c>
      <c r="L530" s="26">
        <f t="shared" si="168"/>
        <v>-6.8401552007497257E-2</v>
      </c>
      <c r="Q530" s="30">
        <v>0.21782977105201265</v>
      </c>
      <c r="R530" s="26">
        <v>0.56876006623560404</v>
      </c>
    </row>
    <row r="531" spans="1:18" x14ac:dyDescent="0.35">
      <c r="A531" s="116">
        <v>-7.6409541695363292E-2</v>
      </c>
      <c r="B531" s="117">
        <v>0.92657424280528211</v>
      </c>
      <c r="C531" s="117">
        <v>-0.20243129167836083</v>
      </c>
      <c r="D531" s="118">
        <v>-0.3076415554783743</v>
      </c>
      <c r="F531" s="27">
        <f>INDEX(A531:D539,,F522)</f>
        <v>0.92657424280528211</v>
      </c>
      <c r="G531" s="29">
        <f>INDEX(A523:D531,,G522)</f>
        <v>-0.20243129167836083</v>
      </c>
      <c r="I531" s="27">
        <f t="shared" si="169"/>
        <v>0.81756139957961227</v>
      </c>
      <c r="J531" s="28">
        <f t="shared" si="170"/>
        <v>-0.37513524161394479</v>
      </c>
      <c r="K531" s="28">
        <f t="shared" si="171"/>
        <v>0.52768019258182164</v>
      </c>
      <c r="L531" s="29">
        <f t="shared" si="168"/>
        <v>-0.3066960931655327</v>
      </c>
      <c r="Q531" s="27">
        <v>0.92659629474872252</v>
      </c>
      <c r="R531" s="29">
        <v>-0.20233032851920624</v>
      </c>
    </row>
    <row r="532" spans="1:18" x14ac:dyDescent="0.35">
      <c r="I532">
        <f>SUM(I523:I531)</f>
        <v>-0.23360679411956919</v>
      </c>
      <c r="J532">
        <f>SUM(J523:J531)</f>
        <v>0.70716861619085813</v>
      </c>
      <c r="K532">
        <f>SUM(K523:K531)</f>
        <v>2.2898103286317317</v>
      </c>
      <c r="L532">
        <f>SUM(L523:L531)</f>
        <v>-3.773056663678781E-2</v>
      </c>
    </row>
    <row r="533" spans="1:18" x14ac:dyDescent="0.35">
      <c r="A533" s="12" t="s">
        <v>2</v>
      </c>
      <c r="B533">
        <f>COUNT(A523:A531)</f>
        <v>9</v>
      </c>
      <c r="I533" s="12" t="s">
        <v>16</v>
      </c>
      <c r="J533" s="12" t="s">
        <v>258</v>
      </c>
      <c r="K533" s="12" t="s">
        <v>18</v>
      </c>
      <c r="L533" s="12" t="s">
        <v>19</v>
      </c>
      <c r="N533" s="12"/>
    </row>
    <row r="535" spans="1:18" x14ac:dyDescent="0.35">
      <c r="A535">
        <v>1</v>
      </c>
      <c r="B535">
        <v>2</v>
      </c>
      <c r="C535">
        <v>3</v>
      </c>
      <c r="D535">
        <v>4</v>
      </c>
      <c r="F535">
        <v>2</v>
      </c>
      <c r="G535">
        <v>4</v>
      </c>
      <c r="I535" s="12" t="s">
        <v>251</v>
      </c>
      <c r="J535" s="12" t="s">
        <v>252</v>
      </c>
      <c r="K535" s="12" t="s">
        <v>253</v>
      </c>
      <c r="L535" s="12" t="s">
        <v>254</v>
      </c>
      <c r="Q535">
        <f>F535</f>
        <v>2</v>
      </c>
      <c r="R535">
        <f>G535</f>
        <v>4</v>
      </c>
    </row>
    <row r="536" spans="1:18" x14ac:dyDescent="0.35">
      <c r="A536" s="110">
        <f t="array" ref="A536:A544">IF(A535=$Q522,$Q523:$Q531,IF(A535=$R522,$R523:$R531,A523:A531))</f>
        <v>-0.10711621367019851</v>
      </c>
      <c r="B536" s="111">
        <f t="array" ref="B536:B544">IF(B535=$Q522,$Q523:$Q531,IF(B535=$R522,$R523:$R531,B523:B531))</f>
        <v>-0.88909632487852286</v>
      </c>
      <c r="C536" s="111">
        <f t="array" ref="C536:C544">IF(C535=$Q522,$Q523:$Q531,IF(C535=$R522,$R523:$R531,C523:C531))</f>
        <v>-0.34105287926120975</v>
      </c>
      <c r="D536" s="112">
        <f t="array" ref="D536:D544">IF(D535=$Q522,$Q523:$Q531,IF(D535=$R522,$R523:$R531,D523:D531))</f>
        <v>-0.28586146190786826</v>
      </c>
      <c r="F536" s="94">
        <f>INDEX(A536:D544,,F535)</f>
        <v>-0.88909632487852286</v>
      </c>
      <c r="G536" s="96">
        <f>INDEX(A536:D544,,G535)</f>
        <v>-0.28586146190786826</v>
      </c>
      <c r="I536" s="94">
        <f>F536^2-G536^2</f>
        <v>0.70877549950839225</v>
      </c>
      <c r="J536" s="95">
        <f>2*F536*G536</f>
        <v>0.5083167504133751</v>
      </c>
      <c r="K536" s="95">
        <f>I536^2-J536^2</f>
        <v>0.2439767899525575</v>
      </c>
      <c r="L536" s="96">
        <f t="shared" ref="L536:L544" si="172">I536*J536</f>
        <v>0.36028245868272268</v>
      </c>
      <c r="N536" t="s">
        <v>12</v>
      </c>
      <c r="O536" s="51">
        <f>L545*B546-2*I545*J545</f>
        <v>4.9806019109869815E-2</v>
      </c>
      <c r="Q536" s="94">
        <f t="array" ref="Q536:R544">MMULT(F536:G544,N540:O541)</f>
        <v>-0.88934988569304696</v>
      </c>
      <c r="R536" s="96">
        <v>-0.28507162456892071</v>
      </c>
    </row>
    <row r="537" spans="1:18" x14ac:dyDescent="0.35">
      <c r="A537" s="113">
        <v>-0.79685165328117535</v>
      </c>
      <c r="B537" s="114">
        <v>0.59777321510527348</v>
      </c>
      <c r="C537" s="114">
        <v>8.2950935725730687E-2</v>
      </c>
      <c r="D537" s="115">
        <v>2.8526623143790415E-2</v>
      </c>
      <c r="F537" s="30">
        <f>INDEX(A537:D545,,F535)</f>
        <v>0.59777321510527348</v>
      </c>
      <c r="G537" s="26">
        <f>INDEX(A536:D544,,G535)</f>
        <v>2.8526623143790415E-2</v>
      </c>
      <c r="I537" s="30">
        <f t="shared" ref="I537:I544" si="173">F537^2-G537^2</f>
        <v>0.35651904846930771</v>
      </c>
      <c r="J537">
        <f t="shared" ref="J537:J544" si="174">2*F537*G537</f>
        <v>3.4104902465520198E-2</v>
      </c>
      <c r="K537">
        <f t="shared" ref="K537:K544" si="175">I537^2-J537^2</f>
        <v>0.12594268754927793</v>
      </c>
      <c r="L537" s="26">
        <f t="shared" si="172"/>
        <v>1.2159047375145808E-2</v>
      </c>
      <c r="N537" t="s">
        <v>255</v>
      </c>
      <c r="O537" s="52">
        <f>K545*B546-(I545^2-J545^2)</f>
        <v>14.018227977401789</v>
      </c>
      <c r="Q537" s="30">
        <v>0.59779831758046043</v>
      </c>
      <c r="R537" s="26">
        <v>2.7995650077366062E-2</v>
      </c>
    </row>
    <row r="538" spans="1:18" x14ac:dyDescent="0.35">
      <c r="A538" s="113">
        <v>-0.98398332451617365</v>
      </c>
      <c r="B538" s="114">
        <v>-0.12210311947558182</v>
      </c>
      <c r="C538" s="114">
        <v>0.11199877664084659</v>
      </c>
      <c r="D538" s="115">
        <v>-6.5756515413946559E-2</v>
      </c>
      <c r="F538" s="30">
        <f>INDEX(A538:D546,,F535)</f>
        <v>-0.12210311947558182</v>
      </c>
      <c r="G538" s="26">
        <f>INDEX(A536:D544,,G535)</f>
        <v>-6.5756515413946559E-2</v>
      </c>
      <c r="I538" s="30">
        <f t="shared" si="173"/>
        <v>1.0585252466283616E-2</v>
      </c>
      <c r="J538">
        <f t="shared" si="174"/>
        <v>1.6058151315774108E-2</v>
      </c>
      <c r="K538">
        <f t="shared" si="175"/>
        <v>-1.4581665390533434E-4</v>
      </c>
      <c r="L538" s="26">
        <f t="shared" si="172"/>
        <v>1.6997958581925336E-4</v>
      </c>
      <c r="N538" t="s">
        <v>256</v>
      </c>
      <c r="O538" s="53">
        <f>0.25*ATAN(O536/O537)</f>
        <v>8.8823297811710562E-4</v>
      </c>
      <c r="Q538" s="30">
        <v>-0.12216147840631592</v>
      </c>
      <c r="R538" s="26">
        <v>-6.5648033471201642E-2</v>
      </c>
    </row>
    <row r="539" spans="1:18" x14ac:dyDescent="0.35">
      <c r="A539" s="113">
        <v>-5.5627317151278777E-2</v>
      </c>
      <c r="B539" s="114">
        <v>3.2903460938440341E-3</v>
      </c>
      <c r="C539" s="114">
        <v>8.3685938937680102E-2</v>
      </c>
      <c r="D539" s="115">
        <v>-0.99493288157204496</v>
      </c>
      <c r="F539" s="30">
        <f>INDEX(A539:D547,,F535)</f>
        <v>3.2903460938440341E-3</v>
      </c>
      <c r="G539" s="26">
        <f>INDEX(A536:D544,,G535)</f>
        <v>-0.99493288157204496</v>
      </c>
      <c r="I539" s="30">
        <f t="shared" si="173"/>
        <v>-0.98988061245583558</v>
      </c>
      <c r="J539">
        <f t="shared" si="174"/>
        <v>-6.5473470410351339E-3</v>
      </c>
      <c r="K539">
        <f t="shared" si="175"/>
        <v>0.97982075916266442</v>
      </c>
      <c r="L539" s="26">
        <f t="shared" si="172"/>
        <v>6.4810918989407608E-3</v>
      </c>
      <c r="Q539" s="30">
        <v>2.4066127156511692E-3</v>
      </c>
      <c r="R539" s="26">
        <v>-0.99493541168555599</v>
      </c>
    </row>
    <row r="540" spans="1:18" x14ac:dyDescent="0.35">
      <c r="A540" s="113">
        <v>-0.35806625871354664</v>
      </c>
      <c r="B540" s="114">
        <v>0.10986537548903337</v>
      </c>
      <c r="C540" s="114">
        <v>0.88644184920486147</v>
      </c>
      <c r="D540" s="115">
        <v>-0.27191726980426073</v>
      </c>
      <c r="F540" s="30">
        <f>INDEX(A540:D548,,F535)</f>
        <v>0.10986537548903337</v>
      </c>
      <c r="G540" s="26">
        <f>INDEX(A536:D544,,G535)</f>
        <v>-0.27191726980426073</v>
      </c>
      <c r="I540" s="30">
        <f t="shared" si="173"/>
        <v>-6.186860088645682E-2</v>
      </c>
      <c r="J540">
        <f t="shared" si="174"/>
        <v>-5.9748585897995803E-2</v>
      </c>
      <c r="K540">
        <f t="shared" si="175"/>
        <v>2.5783025883750277E-4</v>
      </c>
      <c r="L540" s="26">
        <f t="shared" si="172"/>
        <v>3.6965614144532847E-3</v>
      </c>
      <c r="N540" s="94">
        <f>COS(O538)</f>
        <v>0.99999960552111422</v>
      </c>
      <c r="O540" s="96">
        <f>-N541</f>
        <v>-8.8823286132071742E-4</v>
      </c>
      <c r="Q540" s="30">
        <v>0.10962380629486171</v>
      </c>
      <c r="R540" s="26">
        <v>-0.27201474857546981</v>
      </c>
    </row>
    <row r="541" spans="1:18" x14ac:dyDescent="0.35">
      <c r="A541" s="113">
        <v>2.9581203462311936E-2</v>
      </c>
      <c r="B541" s="114">
        <v>-2.2720461329416086E-2</v>
      </c>
      <c r="C541" s="114">
        <v>0.99743330132345398</v>
      </c>
      <c r="D541" s="115">
        <v>6.1119084169316537E-2</v>
      </c>
      <c r="F541" s="30">
        <f>INDEX(A541:D549,,F535)</f>
        <v>-2.2720461329416086E-2</v>
      </c>
      <c r="G541" s="26">
        <f>INDEX(A536:D544,,G535)</f>
        <v>6.1119084169316537E-2</v>
      </c>
      <c r="I541" s="30">
        <f t="shared" si="173"/>
        <v>-3.2193230866745075E-3</v>
      </c>
      <c r="J541">
        <f t="shared" si="174"/>
        <v>-2.7773075767165666E-3</v>
      </c>
      <c r="K541">
        <f t="shared" si="175"/>
        <v>2.6506037607082328E-6</v>
      </c>
      <c r="L541" s="26">
        <f t="shared" si="172"/>
        <v>8.9410504005196728E-6</v>
      </c>
      <c r="N541" s="27">
        <f>SIN(O538)</f>
        <v>8.8823286132071742E-4</v>
      </c>
      <c r="O541" s="29">
        <f>N540</f>
        <v>0.99999960552111422</v>
      </c>
      <c r="Q541" s="30">
        <v>-2.2666164387660802E-2</v>
      </c>
      <c r="R541" s="26">
        <v>6.1139241119505472E-2</v>
      </c>
    </row>
    <row r="542" spans="1:18" x14ac:dyDescent="0.35">
      <c r="A542" s="113">
        <v>-0.96358352647625856</v>
      </c>
      <c r="B542" s="114">
        <v>1.8065534753718901E-2</v>
      </c>
      <c r="C542" s="114">
        <v>0.16621242596562547</v>
      </c>
      <c r="D542" s="115">
        <v>-0.20869559988715933</v>
      </c>
      <c r="F542" s="30">
        <f>INDEX(A542:D550,,F535)</f>
        <v>1.8065534753718901E-2</v>
      </c>
      <c r="G542" s="26">
        <f>INDEX(A536:D544,,G535)</f>
        <v>-0.20869559988715933</v>
      </c>
      <c r="I542" s="30">
        <f t="shared" si="173"/>
        <v>-4.3227489866323472E-2</v>
      </c>
      <c r="J542">
        <f t="shared" si="174"/>
        <v>-7.540395225419382E-3</v>
      </c>
      <c r="K542">
        <f t="shared" si="175"/>
        <v>1.8117583199875711E-3</v>
      </c>
      <c r="L542" s="26">
        <f t="shared" si="172"/>
        <v>3.2595235819489021E-4</v>
      </c>
      <c r="Q542" s="30">
        <v>1.7880157337414066E-2</v>
      </c>
      <c r="R542" s="26">
        <v>-0.20871156396277721</v>
      </c>
    </row>
    <row r="543" spans="1:18" x14ac:dyDescent="0.35">
      <c r="A543" s="113">
        <v>-0.68018219625211074</v>
      </c>
      <c r="B543" s="114">
        <v>0.21782977105201265</v>
      </c>
      <c r="C543" s="114">
        <v>0.56876006623560404</v>
      </c>
      <c r="D543" s="115">
        <v>-0.40793915943526909</v>
      </c>
      <c r="F543" s="30">
        <f>INDEX(A543:D551,,F535)</f>
        <v>0.21782977105201265</v>
      </c>
      <c r="G543" s="26">
        <f>INDEX(A536:D544,,G535)</f>
        <v>-0.40793915943526909</v>
      </c>
      <c r="I543" s="30">
        <f t="shared" si="173"/>
        <v>-0.11896454864418164</v>
      </c>
      <c r="J543">
        <f t="shared" si="174"/>
        <v>-0.1777225874058703</v>
      </c>
      <c r="K543">
        <f t="shared" si="175"/>
        <v>-1.7432754240123347E-2</v>
      </c>
      <c r="L543" s="26">
        <f t="shared" si="172"/>
        <v>2.1142687394615479E-2</v>
      </c>
      <c r="Q543" s="30">
        <v>0.2174673401559373</v>
      </c>
      <c r="R543" s="26">
        <v>-0.40813248207270642</v>
      </c>
    </row>
    <row r="544" spans="1:18" x14ac:dyDescent="0.35">
      <c r="A544" s="116">
        <v>-7.6409541695363292E-2</v>
      </c>
      <c r="B544" s="117">
        <v>0.92659629474872252</v>
      </c>
      <c r="C544" s="117">
        <v>-0.20233032851920624</v>
      </c>
      <c r="D544" s="118">
        <v>-0.3076415554783743</v>
      </c>
      <c r="F544" s="27">
        <f>INDEX(A544:D552,,F535)</f>
        <v>0.92659629474872252</v>
      </c>
      <c r="G544" s="29">
        <f>INDEX(A536:D544,,G535)</f>
        <v>-0.3076415554783743</v>
      </c>
      <c r="I544" s="27">
        <f t="shared" si="173"/>
        <v>0.76393736678490776</v>
      </c>
      <c r="J544" s="28">
        <f t="shared" si="174"/>
        <v>-0.57011905083399039</v>
      </c>
      <c r="K544" s="28">
        <f t="shared" si="175"/>
        <v>0.25856456824640855</v>
      </c>
      <c r="L544" s="29">
        <f t="shared" si="172"/>
        <v>-0.4355352464480296</v>
      </c>
      <c r="Q544" s="27">
        <v>0.92632267188696493</v>
      </c>
      <c r="R544" s="29">
        <v>-0.30846446739845013</v>
      </c>
    </row>
    <row r="545" spans="1:18" x14ac:dyDescent="0.35">
      <c r="I545">
        <f>SUM(I536:I544)</f>
        <v>0.62265659228941928</v>
      </c>
      <c r="J545">
        <f>SUM(J536:J544)</f>
        <v>-0.26597546978635811</v>
      </c>
      <c r="K545">
        <f>SUM(K536:K544)</f>
        <v>1.5927984731994653</v>
      </c>
      <c r="L545">
        <f>SUM(L536:L544)</f>
        <v>-3.1268526687736942E-2</v>
      </c>
    </row>
    <row r="546" spans="1:18" x14ac:dyDescent="0.35">
      <c r="A546" s="12" t="s">
        <v>2</v>
      </c>
      <c r="B546">
        <f>COUNT(A536:A544)</f>
        <v>9</v>
      </c>
      <c r="I546" s="12" t="s">
        <v>16</v>
      </c>
      <c r="J546" s="12" t="s">
        <v>258</v>
      </c>
      <c r="K546" s="12" t="s">
        <v>18</v>
      </c>
      <c r="L546" s="12" t="s">
        <v>19</v>
      </c>
      <c r="N546" s="12"/>
    </row>
    <row r="548" spans="1:18" x14ac:dyDescent="0.35">
      <c r="A548">
        <v>1</v>
      </c>
      <c r="B548">
        <v>2</v>
      </c>
      <c r="C548">
        <v>3</v>
      </c>
      <c r="D548">
        <v>4</v>
      </c>
      <c r="F548">
        <v>3</v>
      </c>
      <c r="G548">
        <v>4</v>
      </c>
      <c r="I548" s="12" t="s">
        <v>251</v>
      </c>
      <c r="J548" s="12" t="s">
        <v>252</v>
      </c>
      <c r="K548" s="12" t="s">
        <v>253</v>
      </c>
      <c r="L548" s="12" t="s">
        <v>254</v>
      </c>
      <c r="Q548">
        <f>F548</f>
        <v>3</v>
      </c>
      <c r="R548">
        <f>G548</f>
        <v>4</v>
      </c>
    </row>
    <row r="549" spans="1:18" x14ac:dyDescent="0.35">
      <c r="A549" s="110">
        <f t="array" ref="A549:A557">IF(A548=$Q535,$Q536:$Q544,IF(A548=$R535,$R536:$R544,A536:A544))</f>
        <v>-0.10711621367019851</v>
      </c>
      <c r="B549" s="111">
        <f t="array" ref="B549:B557">IF(B548=$Q535,$Q536:$Q544,IF(B548=$R535,$R536:$R544,B536:B544))</f>
        <v>-0.88934988569304696</v>
      </c>
      <c r="C549" s="111">
        <f t="array" ref="C549:C557">IF(C548=$Q535,$Q536:$Q544,IF(C548=$R535,$R536:$R544,C536:C544))</f>
        <v>-0.34105287926120975</v>
      </c>
      <c r="D549" s="112">
        <f t="array" ref="D549:D557">IF(D548=$Q535,$Q536:$Q544,IF(D548=$R535,$R536:$R544,D536:D544))</f>
        <v>-0.28507162456892071</v>
      </c>
      <c r="F549" s="94">
        <f>INDEX(A549:D557,,F548)</f>
        <v>-0.34105287926120975</v>
      </c>
      <c r="G549" s="96">
        <f>INDEX(A549:D557,,G548)</f>
        <v>-0.28507162456892071</v>
      </c>
      <c r="I549" s="94">
        <f>F549^2-G549^2</f>
        <v>3.5051235317997628E-2</v>
      </c>
      <c r="J549" s="95">
        <f>2*F549*G549</f>
        <v>0.19444899670980206</v>
      </c>
      <c r="K549" s="95">
        <f>I549^2-J549^2</f>
        <v>-3.658182322413097E-2</v>
      </c>
      <c r="L549" s="96">
        <f t="shared" ref="L549:L557" si="176">I549*J549</f>
        <v>6.8156775410238186E-3</v>
      </c>
      <c r="N549" t="s">
        <v>12</v>
      </c>
      <c r="O549" s="51">
        <f>L558*B559-2*I558*J558</f>
        <v>0.11199022721650964</v>
      </c>
      <c r="Q549" s="94">
        <f t="array" ref="Q549:R557">MMULT(F549:G557,N553:O554)</f>
        <v>-0.34151519039577266</v>
      </c>
      <c r="R549" s="96">
        <v>-0.28451761336631542</v>
      </c>
    </row>
    <row r="550" spans="1:18" x14ac:dyDescent="0.35">
      <c r="A550" s="113">
        <v>-0.79685165328117535</v>
      </c>
      <c r="B550" s="114">
        <v>0.59779831758046043</v>
      </c>
      <c r="C550" s="114">
        <v>8.2950935725730687E-2</v>
      </c>
      <c r="D550" s="115">
        <v>2.7995650077366062E-2</v>
      </c>
      <c r="F550" s="30">
        <f>INDEX(A550:D558,,F548)</f>
        <v>8.2950935725730687E-2</v>
      </c>
      <c r="G550" s="26">
        <f>INDEX(A549:D557,,G548)</f>
        <v>2.7995650077366062E-2</v>
      </c>
      <c r="I550" s="30">
        <f t="shared" ref="I550:I557" si="177">F550^2-G550^2</f>
        <v>6.0971013145199775E-3</v>
      </c>
      <c r="J550">
        <f t="shared" ref="J550:J557" si="178">2*F550*G550</f>
        <v>4.6445307403352792E-3</v>
      </c>
      <c r="K550">
        <f t="shared" ref="K550:K557" si="179">I550^2-J550^2</f>
        <v>1.560297864160186E-5</v>
      </c>
      <c r="L550" s="26">
        <f t="shared" si="176"/>
        <v>2.8318174482226677E-5</v>
      </c>
      <c r="N550" t="s">
        <v>255</v>
      </c>
      <c r="O550" s="52">
        <f>K558*B559-(I558^2-J558^2)</f>
        <v>17.246920126480376</v>
      </c>
      <c r="Q550" s="30">
        <v>8.2996272136717508E-2</v>
      </c>
      <c r="R550" s="26">
        <v>2.7860957852101166E-2</v>
      </c>
    </row>
    <row r="551" spans="1:18" x14ac:dyDescent="0.35">
      <c r="A551" s="113">
        <v>-0.98398332451617365</v>
      </c>
      <c r="B551" s="114">
        <v>-0.12216147840631592</v>
      </c>
      <c r="C551" s="114">
        <v>0.11199877664084659</v>
      </c>
      <c r="D551" s="115">
        <v>-6.5648033471201642E-2</v>
      </c>
      <c r="F551" s="30">
        <f>INDEX(A551:D559,,F548)</f>
        <v>0.11199877664084659</v>
      </c>
      <c r="G551" s="26">
        <f>INDEX(A549:D557,,G548)</f>
        <v>-6.5648033471201642E-2</v>
      </c>
      <c r="I551" s="30">
        <f t="shared" si="177"/>
        <v>8.2340616704102334E-3</v>
      </c>
      <c r="J551">
        <f t="shared" si="178"/>
        <v>-1.4704998875303868E-2</v>
      </c>
      <c r="K551">
        <f t="shared" si="179"/>
        <v>-1.4843722033056907E-4</v>
      </c>
      <c r="L551" s="26">
        <f t="shared" si="176"/>
        <v>-1.2108186760256516E-4</v>
      </c>
      <c r="N551" t="s">
        <v>256</v>
      </c>
      <c r="O551" s="53">
        <f>0.25*ATAN(O549/O550)</f>
        <v>1.6233137926456281E-3</v>
      </c>
      <c r="Q551" s="30">
        <v>0.11189206176283097</v>
      </c>
      <c r="R551" s="26">
        <v>-6.5829756054120975E-2</v>
      </c>
    </row>
    <row r="552" spans="1:18" x14ac:dyDescent="0.35">
      <c r="A552" s="113">
        <v>-5.5627317151278777E-2</v>
      </c>
      <c r="B552" s="114">
        <v>2.4066127156511692E-3</v>
      </c>
      <c r="C552" s="114">
        <v>8.3685938937680102E-2</v>
      </c>
      <c r="D552" s="115">
        <v>-0.99493541168555599</v>
      </c>
      <c r="F552" s="30">
        <f>INDEX(A552:D560,,F548)</f>
        <v>8.3685938937680102E-2</v>
      </c>
      <c r="G552" s="26">
        <f>INDEX(A549:D557,,G548)</f>
        <v>-0.99493541168555599</v>
      </c>
      <c r="I552" s="30">
        <f t="shared" si="177"/>
        <v>-0.98289313705002568</v>
      </c>
      <c r="J552">
        <f t="shared" si="178"/>
        <v>-0.16652420821850611</v>
      </c>
      <c r="K552">
        <f t="shared" si="179"/>
        <v>0.9383486069372402</v>
      </c>
      <c r="L552" s="26">
        <f t="shared" si="176"/>
        <v>0.16367550141065915</v>
      </c>
      <c r="Q552" s="30">
        <v>8.2070737008054506E-2</v>
      </c>
      <c r="R552" s="26">
        <v>-0.99506994926424275</v>
      </c>
    </row>
    <row r="553" spans="1:18" x14ac:dyDescent="0.35">
      <c r="A553" s="113">
        <v>-0.35806625871354664</v>
      </c>
      <c r="B553" s="114">
        <v>0.10962380629486171</v>
      </c>
      <c r="C553" s="114">
        <v>0.88644184920486147</v>
      </c>
      <c r="D553" s="115">
        <v>-0.27201474857546981</v>
      </c>
      <c r="F553" s="30">
        <f>INDEX(A553:D561,,F548)</f>
        <v>0.88644184920486147</v>
      </c>
      <c r="G553" s="26">
        <f>INDEX(A549:D557,,G548)</f>
        <v>-0.27201474857546981</v>
      </c>
      <c r="I553" s="30">
        <f t="shared" si="177"/>
        <v>0.71178712857915827</v>
      </c>
      <c r="J553">
        <f t="shared" si="178"/>
        <v>-0.48225051347646986</v>
      </c>
      <c r="K553">
        <f t="shared" si="179"/>
        <v>0.27407535866264437</v>
      </c>
      <c r="L553" s="26">
        <f t="shared" si="176"/>
        <v>-0.34325970824324115</v>
      </c>
      <c r="N553" s="94">
        <f>COS(O551)</f>
        <v>0.99999868242645462</v>
      </c>
      <c r="O553" s="96">
        <f>-N554</f>
        <v>-1.6233130797004625E-3</v>
      </c>
      <c r="Q553" s="30">
        <v>0.88599911615329741</v>
      </c>
      <c r="R553" s="26">
        <v>-0.27345336282424126</v>
      </c>
    </row>
    <row r="554" spans="1:18" x14ac:dyDescent="0.35">
      <c r="A554" s="113">
        <v>2.9581203462311936E-2</v>
      </c>
      <c r="B554" s="114">
        <v>-2.2666164387660802E-2</v>
      </c>
      <c r="C554" s="114">
        <v>0.99743330132345398</v>
      </c>
      <c r="D554" s="115">
        <v>6.1139241119505472E-2</v>
      </c>
      <c r="F554" s="30">
        <f>INDEX(A554:D562,,F548)</f>
        <v>0.99743330132345398</v>
      </c>
      <c r="G554" s="26">
        <f>INDEX(A549:D557,,G548)</f>
        <v>6.1139241119505472E-2</v>
      </c>
      <c r="I554" s="30">
        <f t="shared" si="177"/>
        <v>0.99113518378433507</v>
      </c>
      <c r="J554">
        <f t="shared" si="178"/>
        <v>0.12196463022047802</v>
      </c>
      <c r="K554">
        <f t="shared" si="179"/>
        <v>0.96747358151038976</v>
      </c>
      <c r="L554" s="26">
        <f t="shared" si="176"/>
        <v>0.12088343618876195</v>
      </c>
      <c r="N554" s="27">
        <f>SIN(O551)</f>
        <v>1.6233130797004625E-3</v>
      </c>
      <c r="O554" s="29">
        <f>N553</f>
        <v>0.99999868242645462</v>
      </c>
      <c r="Q554" s="30">
        <v>0.9975312352615151</v>
      </c>
      <c r="R554" s="26">
        <v>5.9520014039891614E-2</v>
      </c>
    </row>
    <row r="555" spans="1:18" x14ac:dyDescent="0.35">
      <c r="A555" s="113">
        <v>-0.96358352647625856</v>
      </c>
      <c r="B555" s="114">
        <v>1.7880157337414066E-2</v>
      </c>
      <c r="C555" s="114">
        <v>0.16621242596562547</v>
      </c>
      <c r="D555" s="115">
        <v>-0.20871156396277721</v>
      </c>
      <c r="F555" s="30">
        <f>INDEX(A555:D563,,F548)</f>
        <v>0.16621242596562547</v>
      </c>
      <c r="G555" s="26">
        <f>INDEX(A549:D557,,G548)</f>
        <v>-0.20871156396277721</v>
      </c>
      <c r="I555" s="30">
        <f t="shared" si="177"/>
        <v>-1.5933946386409912E-2</v>
      </c>
      <c r="J555">
        <f t="shared" si="178"/>
        <v>-6.9380910746666025E-2</v>
      </c>
      <c r="K555">
        <f t="shared" si="179"/>
        <v>-4.5598201285918516E-3</v>
      </c>
      <c r="L555" s="26">
        <f t="shared" si="176"/>
        <v>1.1055117120776677E-3</v>
      </c>
      <c r="Q555" s="30">
        <v>0.16587340275686457</v>
      </c>
      <c r="R555" s="26">
        <v>-0.20898110377502066</v>
      </c>
    </row>
    <row r="556" spans="1:18" x14ac:dyDescent="0.35">
      <c r="A556" s="113">
        <v>-0.68018219625211074</v>
      </c>
      <c r="B556" s="114">
        <v>0.2174673401559373</v>
      </c>
      <c r="C556" s="114">
        <v>0.56876006623560404</v>
      </c>
      <c r="D556" s="115">
        <v>-0.40813248207270642</v>
      </c>
      <c r="F556" s="30">
        <f>INDEX(A556:D564,,F548)</f>
        <v>0.56876006623560404</v>
      </c>
      <c r="G556" s="26">
        <f>INDEX(A549:D557,,G548)</f>
        <v>-0.40813248207270642</v>
      </c>
      <c r="I556" s="30">
        <f t="shared" si="177"/>
        <v>0.15691589002150069</v>
      </c>
      <c r="J556">
        <f t="shared" si="178"/>
        <v>-0.46425891507314798</v>
      </c>
      <c r="K556">
        <f t="shared" si="179"/>
        <v>-0.19091374368365674</v>
      </c>
      <c r="L556" s="26">
        <f t="shared" si="176"/>
        <v>-7.2849600859119318E-2</v>
      </c>
      <c r="Q556" s="30">
        <v>0.5680967900559879</v>
      </c>
      <c r="R556" s="26">
        <v>-0.40905521998287658</v>
      </c>
    </row>
    <row r="557" spans="1:18" x14ac:dyDescent="0.35">
      <c r="A557" s="116">
        <v>-7.6409541695363292E-2</v>
      </c>
      <c r="B557" s="117">
        <v>0.92632267188696493</v>
      </c>
      <c r="C557" s="117">
        <v>-0.20233032851920624</v>
      </c>
      <c r="D557" s="118">
        <v>-0.30846446739845013</v>
      </c>
      <c r="F557" s="27">
        <f>INDEX(A557:D565,,F548)</f>
        <v>-0.20233032851920624</v>
      </c>
      <c r="G557" s="29">
        <f>INDEX(A549:D557,,G548)</f>
        <v>-0.30846446739845013</v>
      </c>
      <c r="I557" s="27">
        <f t="shared" si="177"/>
        <v>-5.4212765808719574E-2</v>
      </c>
      <c r="J557" s="28">
        <f t="shared" si="178"/>
        <v>0.1248234340504608</v>
      </c>
      <c r="K557" s="28">
        <f t="shared" si="179"/>
        <v>-1.2641865711518662E-2</v>
      </c>
      <c r="L557" s="29">
        <f t="shared" si="176"/>
        <v>-6.7670235976177839E-3</v>
      </c>
      <c r="Q557" s="27">
        <v>-0.20283079633866868</v>
      </c>
      <c r="R557" s="29">
        <v>-0.30813561550512286</v>
      </c>
    </row>
    <row r="558" spans="1:18" x14ac:dyDescent="0.35">
      <c r="I558">
        <f>SUM(I549:I557)</f>
        <v>0.85618075144276673</v>
      </c>
      <c r="J558">
        <f>SUM(J549:J557)</f>
        <v>-0.75123795466901777</v>
      </c>
      <c r="K558">
        <f>SUM(K549:K557)</f>
        <v>1.9350674601206874</v>
      </c>
      <c r="L558">
        <f>SUM(L549:L557)</f>
        <v>-0.13048896954057598</v>
      </c>
    </row>
    <row r="559" spans="1:18" x14ac:dyDescent="0.35">
      <c r="A559" s="12" t="s">
        <v>2</v>
      </c>
      <c r="B559">
        <f>COUNT(A549:A557)</f>
        <v>9</v>
      </c>
      <c r="I559" s="12" t="s">
        <v>16</v>
      </c>
      <c r="J559" s="12" t="s">
        <v>258</v>
      </c>
      <c r="K559" s="12" t="s">
        <v>18</v>
      </c>
      <c r="L559" s="12" t="s">
        <v>19</v>
      </c>
      <c r="N559" s="12"/>
    </row>
    <row r="561" spans="1:18" x14ac:dyDescent="0.35">
      <c r="A561">
        <v>1</v>
      </c>
      <c r="B561">
        <v>2</v>
      </c>
      <c r="C561">
        <v>3</v>
      </c>
      <c r="D561">
        <v>4</v>
      </c>
      <c r="F561">
        <v>1</v>
      </c>
      <c r="G561">
        <v>2</v>
      </c>
      <c r="I561" s="12" t="s">
        <v>251</v>
      </c>
      <c r="J561" s="12" t="s">
        <v>252</v>
      </c>
      <c r="K561" s="12" t="s">
        <v>253</v>
      </c>
      <c r="L561" s="12" t="s">
        <v>254</v>
      </c>
      <c r="Q561">
        <f>F561</f>
        <v>1</v>
      </c>
      <c r="R561">
        <f>G561</f>
        <v>2</v>
      </c>
    </row>
    <row r="562" spans="1:18" x14ac:dyDescent="0.35">
      <c r="A562" s="110">
        <f t="array" ref="A562:A570">IF(A561=$Q548,$Q549:$Q557,IF(A561=$R548,$R549:$R557,A549:A557))</f>
        <v>-0.10711621367019851</v>
      </c>
      <c r="B562" s="111">
        <f t="array" ref="B562:B570">IF(B561=$Q548,$Q549:$Q557,IF(B561=$R548,$R549:$R557,B549:B557))</f>
        <v>-0.88934988569304696</v>
      </c>
      <c r="C562" s="111">
        <f t="array" ref="C562:C570">IF(C561=$Q548,$Q549:$Q557,IF(C561=$R548,$R549:$R557,C549:C557))</f>
        <v>-0.34151519039577266</v>
      </c>
      <c r="D562" s="112">
        <f t="array" ref="D562:D570">IF(D561=$Q548,$Q549:$Q557,IF(D561=$R548,$R549:$R557,D549:D557))</f>
        <v>-0.28451761336631542</v>
      </c>
      <c r="F562" s="94">
        <f>INDEX(A562:D570,,F561)</f>
        <v>-0.10711621367019851</v>
      </c>
      <c r="G562" s="96">
        <f>INDEX(A562:D570,,G561)</f>
        <v>-0.88934988569304696</v>
      </c>
      <c r="I562" s="94">
        <f>F562^2-G562^2</f>
        <v>-0.77946933595119605</v>
      </c>
      <c r="J562" s="95">
        <f>2*F562*G562</f>
        <v>0.19052758476692608</v>
      </c>
      <c r="K562" s="95">
        <f>I562^2-J562^2</f>
        <v>0.5712716851310804</v>
      </c>
      <c r="L562" s="96">
        <f t="shared" ref="L562:L570" si="180">I562*J562</f>
        <v>-0.14851040997866108</v>
      </c>
      <c r="N562" t="s">
        <v>12</v>
      </c>
      <c r="O562" s="51">
        <f>L571*B572-2*I571*J571</f>
        <v>0.237082026211485</v>
      </c>
      <c r="Q562" s="94">
        <f t="array" ref="Q562:R570">MMULT(F562:G570,N566:O567)</f>
        <v>-0.10971490609201524</v>
      </c>
      <c r="R562" s="96">
        <v>-0.88903303751575824</v>
      </c>
    </row>
    <row r="563" spans="1:18" x14ac:dyDescent="0.35">
      <c r="A563" s="113">
        <v>-0.79685165328117535</v>
      </c>
      <c r="B563" s="114">
        <v>0.59779831758046043</v>
      </c>
      <c r="C563" s="114">
        <v>8.2996272136717508E-2</v>
      </c>
      <c r="D563" s="115">
        <v>2.7860957852101166E-2</v>
      </c>
      <c r="F563" s="30">
        <f>INDEX(A563:D571,,F561)</f>
        <v>-0.79685165328117535</v>
      </c>
      <c r="G563" s="26">
        <f>INDEX(A562:D570,,G561)</f>
        <v>0.59779831758046043</v>
      </c>
      <c r="I563" s="30">
        <f t="shared" ref="I563:I570" si="181">F563^2-G563^2</f>
        <v>0.27760972883491347</v>
      </c>
      <c r="J563">
        <f t="shared" ref="J563:J570" si="182">2*F563*G563</f>
        <v>-0.95271315538539003</v>
      </c>
      <c r="K563">
        <f t="shared" ref="K563:K570" si="183">I563^2-J563^2</f>
        <v>-0.83059519490059208</v>
      </c>
      <c r="L563" s="26">
        <f t="shared" si="180"/>
        <v>-0.26448244072399291</v>
      </c>
      <c r="N563" t="s">
        <v>255</v>
      </c>
      <c r="O563" s="52">
        <f>K571*B572-(I571^2-J571^2)</f>
        <v>20.279608553973496</v>
      </c>
      <c r="Q563" s="30">
        <v>-0.79510116797770625</v>
      </c>
      <c r="R563" s="26">
        <v>0.6001245858315245</v>
      </c>
    </row>
    <row r="564" spans="1:18" x14ac:dyDescent="0.35">
      <c r="A564" s="113">
        <v>-0.98398332451617365</v>
      </c>
      <c r="B564" s="114">
        <v>-0.12216147840631592</v>
      </c>
      <c r="C564" s="114">
        <v>0.11189206176283097</v>
      </c>
      <c r="D564" s="115">
        <v>-6.5829756054120975E-2</v>
      </c>
      <c r="F564" s="30">
        <f>INDEX(A564:D572,,F561)</f>
        <v>-0.98398332451617365</v>
      </c>
      <c r="G564" s="26">
        <f>INDEX(A562:D570,,G561)</f>
        <v>-0.12216147840631592</v>
      </c>
      <c r="I564" s="30">
        <f t="shared" si="181"/>
        <v>0.9532997561194847</v>
      </c>
      <c r="J564">
        <f t="shared" si="182"/>
        <v>0.24040971530011498</v>
      </c>
      <c r="K564">
        <f t="shared" si="183"/>
        <v>0.85098359380678668</v>
      </c>
      <c r="L564" s="26">
        <f t="shared" si="180"/>
        <v>0.22918252296435437</v>
      </c>
      <c r="N564" t="s">
        <v>256</v>
      </c>
      <c r="O564" s="53">
        <f>0.25*ATAN(O562/O563)</f>
        <v>2.9225320803983623E-3</v>
      </c>
      <c r="Q564" s="30">
        <v>-0.98433614265444935</v>
      </c>
      <c r="R564" s="26">
        <v>-0.11928523796546567</v>
      </c>
    </row>
    <row r="565" spans="1:18" x14ac:dyDescent="0.35">
      <c r="A565" s="113">
        <v>-5.5627317151278777E-2</v>
      </c>
      <c r="B565" s="114">
        <v>2.4066127156511692E-3</v>
      </c>
      <c r="C565" s="114">
        <v>8.2070737008054506E-2</v>
      </c>
      <c r="D565" s="115">
        <v>-0.99506994926424275</v>
      </c>
      <c r="F565" s="30">
        <f>INDEX(A565:D573,,F561)</f>
        <v>-5.5627317151278777E-2</v>
      </c>
      <c r="G565" s="26">
        <f>INDEX(A562:D570,,G561)</f>
        <v>2.4066127156511692E-3</v>
      </c>
      <c r="I565" s="30">
        <f t="shared" si="181"/>
        <v>3.0886066286858198E-3</v>
      </c>
      <c r="J565">
        <f t="shared" si="182"/>
        <v>-2.6774681758765575E-4</v>
      </c>
      <c r="K565">
        <f t="shared" si="183"/>
        <v>9.4678025484336687E-6</v>
      </c>
      <c r="L565" s="26">
        <f t="shared" si="180"/>
        <v>-8.2696459561076653E-7</v>
      </c>
      <c r="Q565" s="30">
        <v>-5.5620046196746459E-2</v>
      </c>
      <c r="R565" s="26">
        <v>2.5691748254795606E-3</v>
      </c>
    </row>
    <row r="566" spans="1:18" x14ac:dyDescent="0.35">
      <c r="A566" s="113">
        <v>-0.35806625871354664</v>
      </c>
      <c r="B566" s="114">
        <v>0.10962380629486171</v>
      </c>
      <c r="C566" s="114">
        <v>0.88599911615329741</v>
      </c>
      <c r="D566" s="115">
        <v>-0.27345336282424126</v>
      </c>
      <c r="F566" s="30">
        <f>INDEX(A566:D574,,F561)</f>
        <v>-0.35806625871354664</v>
      </c>
      <c r="G566" s="26">
        <f>INDEX(A562:D570,,G561)</f>
        <v>0.10962380629486171</v>
      </c>
      <c r="I566" s="30">
        <f t="shared" si="181"/>
        <v>0.11619406672254315</v>
      </c>
      <c r="J566">
        <f t="shared" si="182"/>
        <v>-7.8505172371879345E-2</v>
      </c>
      <c r="K566">
        <f t="shared" si="183"/>
        <v>7.3379990523843213E-3</v>
      </c>
      <c r="L566" s="26">
        <f t="shared" si="180"/>
        <v>-9.1218352366428997E-3</v>
      </c>
      <c r="N566" s="94">
        <f>COS(O564)</f>
        <v>0.99999572940615922</v>
      </c>
      <c r="O566" s="96">
        <f>-N567</f>
        <v>-2.9225279200813439E-3</v>
      </c>
      <c r="Q566" s="30">
        <v>-0.35774435092338525</v>
      </c>
      <c r="R566" s="26">
        <v>0.11066979677443915</v>
      </c>
    </row>
    <row r="567" spans="1:18" x14ac:dyDescent="0.35">
      <c r="A567" s="113">
        <v>2.9581203462311936E-2</v>
      </c>
      <c r="B567" s="114">
        <v>-2.2666164387660802E-2</v>
      </c>
      <c r="C567" s="114">
        <v>0.9975312352615151</v>
      </c>
      <c r="D567" s="115">
        <v>5.9520014039891614E-2</v>
      </c>
      <c r="F567" s="30">
        <f>INDEX(A567:D575,,F561)</f>
        <v>2.9581203462311936E-2</v>
      </c>
      <c r="G567" s="26">
        <f>INDEX(A562:D570,,G561)</f>
        <v>-2.2666164387660802E-2</v>
      </c>
      <c r="I567" s="30">
        <f t="shared" si="181"/>
        <v>3.6129259023023289E-4</v>
      </c>
      <c r="J567">
        <f t="shared" si="182"/>
        <v>-1.3409848409232064E-3</v>
      </c>
      <c r="K567">
        <f t="shared" si="183"/>
        <v>-1.6677080078305663E-6</v>
      </c>
      <c r="L567" s="26">
        <f t="shared" si="180"/>
        <v>-4.844878866366221E-7</v>
      </c>
      <c r="N567" s="27">
        <f>SIN(O564)</f>
        <v>2.9225279200813439E-3</v>
      </c>
      <c r="O567" s="29">
        <f>N566</f>
        <v>0.99999572940615922</v>
      </c>
      <c r="Q567" s="30">
        <v>2.9514834634742537E-2</v>
      </c>
      <c r="R567" s="26">
        <v>-2.2752519482706988E-2</v>
      </c>
    </row>
    <row r="568" spans="1:18" x14ac:dyDescent="0.35">
      <c r="A568" s="113">
        <v>-0.96358352647625856</v>
      </c>
      <c r="B568" s="114">
        <v>1.7880157337414066E-2</v>
      </c>
      <c r="C568" s="114">
        <v>0.16587340275686457</v>
      </c>
      <c r="D568" s="115">
        <v>-0.20898110377502066</v>
      </c>
      <c r="F568" s="30">
        <f>INDEX(A568:D576,,F561)</f>
        <v>-0.96358352647625856</v>
      </c>
      <c r="G568" s="26">
        <f>INDEX(A562:D570,,G561)</f>
        <v>1.7880157337414066E-2</v>
      </c>
      <c r="I568" s="30">
        <f t="shared" si="181"/>
        <v>0.92817351247001179</v>
      </c>
      <c r="J568">
        <f t="shared" si="182"/>
        <v>-3.4458050122271593E-2</v>
      </c>
      <c r="K568">
        <f t="shared" si="183"/>
        <v>0.86031871203269017</v>
      </c>
      <c r="L568" s="26">
        <f t="shared" si="180"/>
        <v>-3.1983049414856544E-2</v>
      </c>
      <c r="Q568" s="30">
        <v>-0.96352715614335127</v>
      </c>
      <c r="R568" s="26">
        <v>2.0696180737981573E-2</v>
      </c>
    </row>
    <row r="569" spans="1:18" x14ac:dyDescent="0.35">
      <c r="A569" s="113">
        <v>-0.68018219625211074</v>
      </c>
      <c r="B569" s="114">
        <v>0.2174673401559373</v>
      </c>
      <c r="C569" s="114">
        <v>0.5680967900559879</v>
      </c>
      <c r="D569" s="115">
        <v>-0.40905521998287658</v>
      </c>
      <c r="F569" s="30">
        <f>INDEX(A569:D577,,F561)</f>
        <v>-0.68018219625211074</v>
      </c>
      <c r="G569" s="26">
        <f>INDEX(A562:D570,,G561)</f>
        <v>0.2174673401559373</v>
      </c>
      <c r="I569" s="30">
        <f t="shared" si="181"/>
        <v>0.41535577606384672</v>
      </c>
      <c r="J569">
        <f t="shared" si="182"/>
        <v>-0.29583482608074052</v>
      </c>
      <c r="K569">
        <f t="shared" si="183"/>
        <v>8.5002176387378392E-2</v>
      </c>
      <c r="L569" s="26">
        <f t="shared" si="180"/>
        <v>-0.1228767037734791</v>
      </c>
      <c r="Q569" s="30">
        <v>-0.6795437370969013</v>
      </c>
      <c r="R569" s="26">
        <v>0.2194542629005429</v>
      </c>
    </row>
    <row r="570" spans="1:18" x14ac:dyDescent="0.35">
      <c r="A570" s="116">
        <v>-7.6409541695363292E-2</v>
      </c>
      <c r="B570" s="117">
        <v>0.92632267188696493</v>
      </c>
      <c r="C570" s="117">
        <v>-0.20283079633866868</v>
      </c>
      <c r="D570" s="118">
        <v>-0.30813561550512286</v>
      </c>
      <c r="F570" s="27">
        <f>INDEX(A570:D578,,F561)</f>
        <v>-7.6409541695363292E-2</v>
      </c>
      <c r="G570" s="29">
        <f>INDEX(A562:D570,,G561)</f>
        <v>0.92632267188696493</v>
      </c>
      <c r="I570" s="27">
        <f t="shared" si="181"/>
        <v>-0.85223527438971014</v>
      </c>
      <c r="J570" s="28">
        <f t="shared" si="182"/>
        <v>-0.14155978164181476</v>
      </c>
      <c r="K570" s="28">
        <f t="shared" si="183"/>
        <v>0.70626579113562626</v>
      </c>
      <c r="L570" s="29">
        <f t="shared" si="180"/>
        <v>0.12064223935005945</v>
      </c>
      <c r="Q570" s="27">
        <v>-7.3702011509651139E-2</v>
      </c>
      <c r="R570" s="29">
        <v>0.92654202495803306</v>
      </c>
    </row>
    <row r="571" spans="1:18" x14ac:dyDescent="0.35">
      <c r="I571">
        <f>SUM(I562:I570)</f>
        <v>1.0623781290888097</v>
      </c>
      <c r="J571">
        <f>SUM(J562:J570)</f>
        <v>-1.0737424171935659</v>
      </c>
      <c r="K571">
        <f>SUM(K562:K570)</f>
        <v>2.2505925627398948</v>
      </c>
      <c r="L571">
        <f>SUM(L562:L570)</f>
        <v>-0.22715098826570096</v>
      </c>
    </row>
    <row r="572" spans="1:18" x14ac:dyDescent="0.35">
      <c r="A572" s="12" t="s">
        <v>2</v>
      </c>
      <c r="B572">
        <f>COUNT(A562:A570)</f>
        <v>9</v>
      </c>
      <c r="I572" s="12" t="s">
        <v>16</v>
      </c>
      <c r="J572" s="12" t="s">
        <v>258</v>
      </c>
      <c r="K572" s="12" t="s">
        <v>18</v>
      </c>
      <c r="L572" s="12" t="s">
        <v>19</v>
      </c>
      <c r="N572" s="12"/>
    </row>
    <row r="574" spans="1:18" x14ac:dyDescent="0.35">
      <c r="A574">
        <v>1</v>
      </c>
      <c r="B574">
        <v>2</v>
      </c>
      <c r="C574">
        <v>3</v>
      </c>
      <c r="D574">
        <v>4</v>
      </c>
      <c r="F574">
        <v>1</v>
      </c>
      <c r="G574">
        <v>3</v>
      </c>
      <c r="I574" s="12" t="s">
        <v>251</v>
      </c>
      <c r="J574" s="12" t="s">
        <v>252</v>
      </c>
      <c r="K574" s="12" t="s">
        <v>253</v>
      </c>
      <c r="L574" s="12" t="s">
        <v>254</v>
      </c>
      <c r="Q574">
        <f>F574</f>
        <v>1</v>
      </c>
      <c r="R574">
        <f>G574</f>
        <v>3</v>
      </c>
    </row>
    <row r="575" spans="1:18" x14ac:dyDescent="0.35">
      <c r="A575" s="110">
        <f t="array" ref="A575:A583">IF(A574=$Q561,$Q562:$Q570,IF(A574=$R561,$R562:$R570,A562:A570))</f>
        <v>-0.10971490609201524</v>
      </c>
      <c r="B575" s="111">
        <f t="array" ref="B575:B583">IF(B574=$Q561,$Q562:$Q570,IF(B574=$R561,$R562:$R570,B562:B570))</f>
        <v>-0.88903303751575824</v>
      </c>
      <c r="C575" s="111">
        <f t="array" ref="C575:C583">IF(C574=$Q561,$Q562:$Q570,IF(C574=$R561,$R562:$R570,C562:C570))</f>
        <v>-0.34151519039577266</v>
      </c>
      <c r="D575" s="112">
        <f t="array" ref="D575:D583">IF(D574=$Q561,$Q562:$Q570,IF(D574=$R561,$R562:$R570,D562:D570))</f>
        <v>-0.28451761336631542</v>
      </c>
      <c r="F575" s="94">
        <f>INDEX(A575:D583,,F574)</f>
        <v>-0.10971490609201524</v>
      </c>
      <c r="G575" s="96">
        <f>INDEX(A575:D583,,G574)</f>
        <v>-0.34151519039577266</v>
      </c>
      <c r="I575" s="94">
        <f>F575^2-G575^2</f>
        <v>-0.10459526465228114</v>
      </c>
      <c r="J575" s="95">
        <f>2*F575*G575</f>
        <v>7.4938614086537805E-2</v>
      </c>
      <c r="K575" s="95">
        <f>I575^2-J575^2</f>
        <v>5.3243735064696903E-3</v>
      </c>
      <c r="L575" s="96">
        <f t="shared" ref="L575:L583" si="184">I575*J575</f>
        <v>-7.838224173056586E-3</v>
      </c>
      <c r="N575" t="s">
        <v>12</v>
      </c>
      <c r="O575" s="51">
        <f>L584*B585-2*I584*J584</f>
        <v>0.12415449416211333</v>
      </c>
      <c r="Q575" s="94">
        <f t="array" ref="Q575:R583">MMULT(F575:G583,N579:O580)</f>
        <v>-0.11014657568968393</v>
      </c>
      <c r="R575" s="96">
        <v>-0.34137621146423969</v>
      </c>
    </row>
    <row r="576" spans="1:18" x14ac:dyDescent="0.35">
      <c r="A576" s="113">
        <v>-0.79510116797770625</v>
      </c>
      <c r="B576" s="114">
        <v>0.6001245858315245</v>
      </c>
      <c r="C576" s="114">
        <v>8.2996272136717508E-2</v>
      </c>
      <c r="D576" s="115">
        <v>2.7860957852101166E-2</v>
      </c>
      <c r="F576" s="30">
        <f>INDEX(A576:D584,,F574)</f>
        <v>-0.79510116797770625</v>
      </c>
      <c r="G576" s="26">
        <f>INDEX(A575:D583,,G574)</f>
        <v>8.2996272136717508E-2</v>
      </c>
      <c r="I576" s="30">
        <f t="shared" ref="I576:I583" si="185">F576^2-G576^2</f>
        <v>0.62529748613092062</v>
      </c>
      <c r="J576">
        <f t="shared" ref="J576:J583" si="186">2*F576*G576</f>
        <v>-0.13198086582739929</v>
      </c>
      <c r="K576">
        <f t="shared" ref="K576:K583" si="187">I576^2-J576^2</f>
        <v>0.37357799721709889</v>
      </c>
      <c r="L576" s="26">
        <f t="shared" si="184"/>
        <v>-8.2527303619255102E-2</v>
      </c>
      <c r="N576" t="s">
        <v>255</v>
      </c>
      <c r="O576" s="52">
        <f>K584*B585-(I584^2-J584^2)</f>
        <v>24.550989226179066</v>
      </c>
      <c r="Q576" s="30">
        <v>-0.79499560533655056</v>
      </c>
      <c r="R576" s="26">
        <v>8.4001404772040336E-2</v>
      </c>
    </row>
    <row r="577" spans="1:18" x14ac:dyDescent="0.35">
      <c r="A577" s="113">
        <v>-0.98433614265444935</v>
      </c>
      <c r="B577" s="114">
        <v>-0.11928523796546567</v>
      </c>
      <c r="C577" s="114">
        <v>0.11189206176283097</v>
      </c>
      <c r="D577" s="115">
        <v>-6.5829756054120975E-2</v>
      </c>
      <c r="F577" s="30">
        <f>INDEX(A577:D585,,F574)</f>
        <v>-0.98433614265444935</v>
      </c>
      <c r="G577" s="26">
        <f>INDEX(A575:D583,,G574)</f>
        <v>0.11189206176283097</v>
      </c>
      <c r="I577" s="30">
        <f t="shared" si="185"/>
        <v>0.95639780825030329</v>
      </c>
      <c r="J577">
        <f t="shared" si="186"/>
        <v>-0.22027880093855687</v>
      </c>
      <c r="K577">
        <f t="shared" si="187"/>
        <v>0.86617401748305556</v>
      </c>
      <c r="L577" s="26">
        <f t="shared" si="184"/>
        <v>-0.21067416242164064</v>
      </c>
      <c r="N577" t="s">
        <v>256</v>
      </c>
      <c r="O577" s="53">
        <f>0.25*ATAN(O575/O576)</f>
        <v>1.2642406654937649E-3</v>
      </c>
      <c r="Q577" s="30">
        <v>-0.98419389756318632</v>
      </c>
      <c r="R577" s="26">
        <v>0.11313640979261283</v>
      </c>
    </row>
    <row r="578" spans="1:18" x14ac:dyDescent="0.35">
      <c r="A578" s="113">
        <v>-5.5620046196746459E-2</v>
      </c>
      <c r="B578" s="114">
        <v>2.5691748254795606E-3</v>
      </c>
      <c r="C578" s="114">
        <v>8.2070737008054506E-2</v>
      </c>
      <c r="D578" s="115">
        <v>-0.99506994926424275</v>
      </c>
      <c r="F578" s="30">
        <f>INDEX(A578:D586,,F574)</f>
        <v>-5.5620046196746459E-2</v>
      </c>
      <c r="G578" s="26">
        <f>INDEX(A575:D583,,G574)</f>
        <v>8.2070737008054506E-2</v>
      </c>
      <c r="I578" s="30">
        <f t="shared" si="185"/>
        <v>-3.6420163341170375E-3</v>
      </c>
      <c r="J578">
        <f t="shared" si="186"/>
        <v>-9.1295563675780414E-3</v>
      </c>
      <c r="K578">
        <f t="shared" si="187"/>
        <v>-7.008451649080946E-5</v>
      </c>
      <c r="L578" s="26">
        <f t="shared" si="184"/>
        <v>3.3249993413961436E-5</v>
      </c>
      <c r="Q578" s="30">
        <v>-5.551624461233505E-2</v>
      </c>
      <c r="R578" s="26">
        <v>8.2140988526537936E-2</v>
      </c>
    </row>
    <row r="579" spans="1:18" x14ac:dyDescent="0.35">
      <c r="A579" s="113">
        <v>-0.35774435092338525</v>
      </c>
      <c r="B579" s="114">
        <v>0.11066979677443915</v>
      </c>
      <c r="C579" s="114">
        <v>0.88599911615329741</v>
      </c>
      <c r="D579" s="115">
        <v>-0.27345336282424126</v>
      </c>
      <c r="F579" s="30">
        <f>INDEX(A579:D587,,F574)</f>
        <v>-0.35774435092338525</v>
      </c>
      <c r="G579" s="26">
        <f>INDEX(A575:D583,,G574)</f>
        <v>0.88599911615329741</v>
      </c>
      <c r="I579" s="30">
        <f t="shared" si="185"/>
        <v>-0.65701341320683004</v>
      </c>
      <c r="J579">
        <f t="shared" si="186"/>
        <v>-0.63392235745390879</v>
      </c>
      <c r="K579">
        <f t="shared" si="187"/>
        <v>2.9809069853767522E-2</v>
      </c>
      <c r="L579" s="26">
        <f t="shared" si="184"/>
        <v>0.41649549177891282</v>
      </c>
      <c r="N579" s="94">
        <f>COS(O577)</f>
        <v>0.9999992008478763</v>
      </c>
      <c r="O579" s="96">
        <f>-N580</f>
        <v>-1.2642403287202095E-3</v>
      </c>
      <c r="Q579" s="30">
        <v>-0.356623949217376</v>
      </c>
      <c r="R579" s="26">
        <v>0.88645068294103135</v>
      </c>
    </row>
    <row r="580" spans="1:18" x14ac:dyDescent="0.35">
      <c r="A580" s="113">
        <v>2.9514834634742537E-2</v>
      </c>
      <c r="B580" s="114">
        <v>-2.2752519482706988E-2</v>
      </c>
      <c r="C580" s="114">
        <v>0.9975312352615151</v>
      </c>
      <c r="D580" s="115">
        <v>5.9520014039891614E-2</v>
      </c>
      <c r="F580" s="30">
        <f>INDEX(A580:D588,,F574)</f>
        <v>2.9514834634742537E-2</v>
      </c>
      <c r="G580" s="26">
        <f>INDEX(A575:D583,,G574)</f>
        <v>0.9975312352615151</v>
      </c>
      <c r="I580" s="30">
        <f t="shared" si="185"/>
        <v>-0.99419743985884801</v>
      </c>
      <c r="J580">
        <f t="shared" si="186"/>
        <v>5.8883938903468144E-2</v>
      </c>
      <c r="K580">
        <f t="shared" si="187"/>
        <v>0.98496123116110035</v>
      </c>
      <c r="L580" s="26">
        <f t="shared" si="184"/>
        <v>-5.8542261306632849E-2</v>
      </c>
      <c r="N580" s="27">
        <f>SIN(O577)</f>
        <v>1.2642403287202095E-3</v>
      </c>
      <c r="O580" s="29">
        <f>N579</f>
        <v>0.9999992008478763</v>
      </c>
      <c r="Q580" s="30">
        <v>3.0775930264675455E-2</v>
      </c>
      <c r="R580" s="26">
        <v>0.99749312423806924</v>
      </c>
    </row>
    <row r="581" spans="1:18" x14ac:dyDescent="0.35">
      <c r="A581" s="113">
        <v>-0.96352715614335127</v>
      </c>
      <c r="B581" s="114">
        <v>2.0696180737981573E-2</v>
      </c>
      <c r="C581" s="114">
        <v>0.16587340275686457</v>
      </c>
      <c r="D581" s="115">
        <v>-0.20898110377502066</v>
      </c>
      <c r="F581" s="30">
        <f>INDEX(A581:D589,,F574)</f>
        <v>-0.96352715614335127</v>
      </c>
      <c r="G581" s="26">
        <f>INDEX(A575:D583,,G574)</f>
        <v>0.16587340275686457</v>
      </c>
      <c r="I581" s="30">
        <f t="shared" si="185"/>
        <v>0.90087059488355303</v>
      </c>
      <c r="J581">
        <f t="shared" si="186"/>
        <v>-0.31964705607628491</v>
      </c>
      <c r="K581">
        <f t="shared" si="187"/>
        <v>0.70939358826761112</v>
      </c>
      <c r="L581" s="26">
        <f t="shared" si="184"/>
        <v>-0.28796063356021923</v>
      </c>
      <c r="Q581" s="30">
        <v>-0.96331668229335099</v>
      </c>
      <c r="R581" s="26">
        <v>0.16709140008739604</v>
      </c>
    </row>
    <row r="582" spans="1:18" x14ac:dyDescent="0.35">
      <c r="A582" s="113">
        <v>-0.6795437370969013</v>
      </c>
      <c r="B582" s="114">
        <v>0.2194542629005429</v>
      </c>
      <c r="C582" s="114">
        <v>0.5680967900559879</v>
      </c>
      <c r="D582" s="115">
        <v>-0.40905521998287658</v>
      </c>
      <c r="F582" s="30">
        <f>INDEX(A582:D590,,F574)</f>
        <v>-0.6795437370969013</v>
      </c>
      <c r="G582" s="26">
        <f>INDEX(A575:D583,,G574)</f>
        <v>0.5680967900559879</v>
      </c>
      <c r="I582" s="30">
        <f t="shared" si="185"/>
        <v>0.13904572775570534</v>
      </c>
      <c r="J582">
        <f t="shared" si="186"/>
        <v>-0.77209323149479958</v>
      </c>
      <c r="K582">
        <f t="shared" si="187"/>
        <v>-0.57679424371296839</v>
      </c>
      <c r="L582" s="26">
        <f t="shared" si="184"/>
        <v>-0.10735626526844869</v>
      </c>
      <c r="Q582" s="30">
        <v>-0.67882498316547535</v>
      </c>
      <c r="R582" s="26">
        <v>0.56895544265779885</v>
      </c>
    </row>
    <row r="583" spans="1:18" x14ac:dyDescent="0.35">
      <c r="A583" s="116">
        <v>-7.3702011509651139E-2</v>
      </c>
      <c r="B583" s="117">
        <v>0.92654202495803306</v>
      </c>
      <c r="C583" s="117">
        <v>-0.20283079633866868</v>
      </c>
      <c r="D583" s="118">
        <v>-0.30813561550512286</v>
      </c>
      <c r="F583" s="27">
        <f>INDEX(A583:D591,,F574)</f>
        <v>-7.3702011509651139E-2</v>
      </c>
      <c r="G583" s="29">
        <f>INDEX(A575:D583,,G574)</f>
        <v>-0.20283079633866868</v>
      </c>
      <c r="I583" s="27">
        <f t="shared" si="185"/>
        <v>-3.570834544280975E-2</v>
      </c>
      <c r="J583" s="28">
        <f t="shared" si="186"/>
        <v>2.9898075372528532E-2</v>
      </c>
      <c r="K583" s="28">
        <f t="shared" si="187"/>
        <v>3.8119102328163467E-4</v>
      </c>
      <c r="L583" s="29">
        <f t="shared" si="184"/>
        <v>-1.0676108034774116E-3</v>
      </c>
      <c r="Q583" s="27">
        <v>-7.3958379483169912E-2</v>
      </c>
      <c r="R583" s="29">
        <v>-0.20273745719074873</v>
      </c>
    </row>
    <row r="584" spans="1:18" x14ac:dyDescent="0.35">
      <c r="I584">
        <f>SUM(I575:I583)</f>
        <v>0.82645513752559618</v>
      </c>
      <c r="J584">
        <f>SUM(J575:J583)</f>
        <v>-1.9233312397959934</v>
      </c>
      <c r="K584">
        <f>SUM(K575:K583)</f>
        <v>2.3927571402829253</v>
      </c>
      <c r="L584">
        <f>SUM(L575:L583)</f>
        <v>-0.33943771938040368</v>
      </c>
    </row>
    <row r="585" spans="1:18" x14ac:dyDescent="0.35">
      <c r="A585" s="12" t="s">
        <v>2</v>
      </c>
      <c r="B585">
        <f>COUNT(A575:A583)</f>
        <v>9</v>
      </c>
      <c r="I585" s="12" t="s">
        <v>16</v>
      </c>
      <c r="J585" s="12" t="s">
        <v>258</v>
      </c>
      <c r="K585" s="12" t="s">
        <v>18</v>
      </c>
      <c r="L585" s="12" t="s">
        <v>19</v>
      </c>
      <c r="N585" s="12"/>
    </row>
    <row r="587" spans="1:18" x14ac:dyDescent="0.35">
      <c r="A587">
        <v>1</v>
      </c>
      <c r="B587">
        <v>2</v>
      </c>
      <c r="C587">
        <v>3</v>
      </c>
      <c r="D587">
        <v>4</v>
      </c>
      <c r="F587">
        <v>1</v>
      </c>
      <c r="G587">
        <v>4</v>
      </c>
      <c r="I587" s="12" t="s">
        <v>251</v>
      </c>
      <c r="J587" s="12" t="s">
        <v>252</v>
      </c>
      <c r="K587" s="12" t="s">
        <v>253</v>
      </c>
      <c r="L587" s="12" t="s">
        <v>254</v>
      </c>
      <c r="Q587">
        <f>F587</f>
        <v>1</v>
      </c>
      <c r="R587">
        <f>G587</f>
        <v>4</v>
      </c>
    </row>
    <row r="588" spans="1:18" x14ac:dyDescent="0.35">
      <c r="A588" s="110">
        <f t="array" ref="A588:A596">IF(A587=$Q574,$Q575:$Q583,IF(A587=$R574,$R575:$R583,A575:A583))</f>
        <v>-0.11014657568968393</v>
      </c>
      <c r="B588" s="111">
        <f t="array" ref="B588:B596">IF(B587=$Q574,$Q575:$Q583,IF(B587=$R574,$R575:$R583,B575:B583))</f>
        <v>-0.88903303751575824</v>
      </c>
      <c r="C588" s="111">
        <f t="array" ref="C588:C596">IF(C587=$Q574,$Q575:$Q583,IF(C587=$R574,$R575:$R583,C575:C583))</f>
        <v>-0.34137621146423969</v>
      </c>
      <c r="D588" s="112">
        <f t="array" ref="D588:D596">IF(D587=$Q574,$Q575:$Q583,IF(D587=$R574,$R575:$R583,D575:D583))</f>
        <v>-0.28451761336631542</v>
      </c>
      <c r="F588" s="94">
        <f>INDEX(A588:D596,,F587)</f>
        <v>-0.11014657568968393</v>
      </c>
      <c r="G588" s="96">
        <f>INDEX(A588:D596,,G587)</f>
        <v>-0.28451761336631542</v>
      </c>
      <c r="I588" s="94">
        <f>F588^2-G588^2</f>
        <v>-6.8818004179500875E-2</v>
      </c>
      <c r="J588" s="95">
        <f>2*F588*G588</f>
        <v>6.2677281671402185E-2</v>
      </c>
      <c r="K588" s="95">
        <f>I588^2-J588^2</f>
        <v>8.0747606153351147E-4</v>
      </c>
      <c r="L588" s="96">
        <f t="shared" ref="L588:L596" si="188">I588*J588</f>
        <v>-4.3133254320223092E-3</v>
      </c>
      <c r="N588" t="s">
        <v>12</v>
      </c>
      <c r="O588" s="51">
        <f>L597*B598-2*I597*J597</f>
        <v>-0.32238164646834999</v>
      </c>
      <c r="Q588" s="94">
        <f t="array" ref="Q588:R596">MMULT(F588:G596,N592:O593)</f>
        <v>-0.1091526742390149</v>
      </c>
      <c r="R588" s="96">
        <v>-0.28490039339793638</v>
      </c>
    </row>
    <row r="589" spans="1:18" x14ac:dyDescent="0.35">
      <c r="A589" s="113">
        <v>-0.79499560533655056</v>
      </c>
      <c r="B589" s="114">
        <v>0.6001245858315245</v>
      </c>
      <c r="C589" s="114">
        <v>8.4001404772040336E-2</v>
      </c>
      <c r="D589" s="115">
        <v>2.7860957852101166E-2</v>
      </c>
      <c r="F589" s="30">
        <f>INDEX(A589:D597,,F587)</f>
        <v>-0.79499560533655056</v>
      </c>
      <c r="G589" s="26">
        <f>INDEX(A588:D596,,G587)</f>
        <v>2.7860957852101166E-2</v>
      </c>
      <c r="I589" s="30">
        <f t="shared" ref="I589:I596" si="189">F589^2-G589^2</f>
        <v>0.6312417795319919</v>
      </c>
      <c r="J589">
        <f t="shared" ref="J589:J596" si="190">2*F589*G589</f>
        <v>-4.4298678105774578E-2</v>
      </c>
      <c r="K589">
        <f t="shared" ref="K589:K596" si="191">I589^2-J589^2</f>
        <v>0.39650381134479684</v>
      </c>
      <c r="L589" s="26">
        <f t="shared" si="188"/>
        <v>-2.7963176398404031E-2</v>
      </c>
      <c r="N589" t="s">
        <v>255</v>
      </c>
      <c r="O589" s="52">
        <f>K597*B598-(I597^2-J597^2)</f>
        <v>23.085559626925132</v>
      </c>
      <c r="Q589" s="30">
        <v>-0.79508802176313875</v>
      </c>
      <c r="R589" s="26">
        <v>2.5085516252282242E-2</v>
      </c>
    </row>
    <row r="590" spans="1:18" x14ac:dyDescent="0.35">
      <c r="A590" s="113">
        <v>-0.98419389756318632</v>
      </c>
      <c r="B590" s="114">
        <v>-0.11928523796546567</v>
      </c>
      <c r="C590" s="114">
        <v>0.11313640979261283</v>
      </c>
      <c r="D590" s="115">
        <v>-6.5829756054120975E-2</v>
      </c>
      <c r="F590" s="30">
        <f>INDEX(A590:D598,,F587)</f>
        <v>-0.98419389756318632</v>
      </c>
      <c r="G590" s="26">
        <f>INDEX(A588:D596,,G587)</f>
        <v>-6.5829756054120975E-2</v>
      </c>
      <c r="I590" s="30">
        <f t="shared" si="189"/>
        <v>0.96430407121847062</v>
      </c>
      <c r="J590">
        <f t="shared" si="190"/>
        <v>0.12957848837307817</v>
      </c>
      <c r="K590">
        <f t="shared" si="191"/>
        <v>0.91309175711946533</v>
      </c>
      <c r="L590" s="26">
        <f t="shared" si="188"/>
        <v>0.12495306388049454</v>
      </c>
      <c r="N590" t="s">
        <v>256</v>
      </c>
      <c r="O590" s="53">
        <f>0.25*ATAN(O588/O589)</f>
        <v>-3.4909343557933338E-3</v>
      </c>
      <c r="Q590" s="30">
        <v>-0.98395809367916109</v>
      </c>
      <c r="R590" s="26">
        <v>-6.9265104244721515E-2</v>
      </c>
    </row>
    <row r="591" spans="1:18" x14ac:dyDescent="0.35">
      <c r="A591" s="113">
        <v>-5.551624461233505E-2</v>
      </c>
      <c r="B591" s="114">
        <v>2.5691748254795606E-3</v>
      </c>
      <c r="C591" s="114">
        <v>8.2140988526537936E-2</v>
      </c>
      <c r="D591" s="115">
        <v>-0.99506994926424275</v>
      </c>
      <c r="F591" s="30">
        <f>INDEX(A591:D599,,F587)</f>
        <v>-5.551624461233505E-2</v>
      </c>
      <c r="G591" s="26">
        <f>INDEX(A588:D596,,G587)</f>
        <v>-0.99506994926424275</v>
      </c>
      <c r="I591" s="30">
        <f t="shared" si="189"/>
        <v>-0.98708215051288595</v>
      </c>
      <c r="J591">
        <f t="shared" si="190"/>
        <v>0.11048509341947506</v>
      </c>
      <c r="K591">
        <f t="shared" si="191"/>
        <v>0.9621242159932335</v>
      </c>
      <c r="L591" s="26">
        <f t="shared" si="188"/>
        <v>-0.10905786361211255</v>
      </c>
      <c r="Q591" s="30">
        <v>-5.2042189518101155E-2</v>
      </c>
      <c r="R591" s="26">
        <v>-0.99525768917138313</v>
      </c>
    </row>
    <row r="592" spans="1:18" x14ac:dyDescent="0.35">
      <c r="A592" s="113">
        <v>-0.356623949217376</v>
      </c>
      <c r="B592" s="114">
        <v>0.11066979677443915</v>
      </c>
      <c r="C592" s="114">
        <v>0.88645068294103135</v>
      </c>
      <c r="D592" s="115">
        <v>-0.27345336282424126</v>
      </c>
      <c r="F592" s="30">
        <f>INDEX(A592:D600,,F587)</f>
        <v>-0.356623949217376</v>
      </c>
      <c r="G592" s="26">
        <f>INDEX(A588:D596,,G587)</f>
        <v>-0.27345336282424126</v>
      </c>
      <c r="I592" s="30">
        <f t="shared" si="189"/>
        <v>5.2403899515511429E-2</v>
      </c>
      <c r="J592">
        <f t="shared" si="190"/>
        <v>0.19504003635430583</v>
      </c>
      <c r="K592">
        <f t="shared" si="191"/>
        <v>-3.5294447096657126E-2</v>
      </c>
      <c r="L592" s="26">
        <f t="shared" si="188"/>
        <v>1.0220858466612739E-2</v>
      </c>
      <c r="N592" s="94">
        <f>COS(O590)</f>
        <v>0.99999390669484989</v>
      </c>
      <c r="O592" s="96">
        <f>-N593</f>
        <v>3.4909272653476904E-3</v>
      </c>
      <c r="Q592" s="30">
        <v>-0.3556671703987454</v>
      </c>
      <c r="R592" s="26">
        <v>-0.27469664485725614</v>
      </c>
    </row>
    <row r="593" spans="1:18" x14ac:dyDescent="0.35">
      <c r="A593" s="113">
        <v>3.0775930264675455E-2</v>
      </c>
      <c r="B593" s="114">
        <v>-2.2752519482706988E-2</v>
      </c>
      <c r="C593" s="114">
        <v>0.99749312423806924</v>
      </c>
      <c r="D593" s="115">
        <v>5.9520014039891614E-2</v>
      </c>
      <c r="F593" s="30">
        <f>INDEX(A593:D601,,F587)</f>
        <v>3.0775930264675455E-2</v>
      </c>
      <c r="G593" s="26">
        <f>INDEX(A588:D596,,G587)</f>
        <v>5.9520014039891614E-2</v>
      </c>
      <c r="I593" s="30">
        <f t="shared" si="189"/>
        <v>-2.5954741876527284E-3</v>
      </c>
      <c r="J593">
        <f t="shared" si="190"/>
        <v>3.6635676028884167E-3</v>
      </c>
      <c r="K593">
        <f t="shared" si="191"/>
        <v>-6.6852413221619888E-6</v>
      </c>
      <c r="L593" s="26">
        <f t="shared" si="188"/>
        <v>-9.5086951480176664E-6</v>
      </c>
      <c r="N593" s="27">
        <f>SIN(O590)</f>
        <v>-3.4909272653476904E-3</v>
      </c>
      <c r="O593" s="29">
        <f>N592</f>
        <v>0.99999390669484989</v>
      </c>
      <c r="Q593" s="30">
        <v>3.056796269769534E-2</v>
      </c>
      <c r="R593" s="26">
        <v>5.9627087900360927E-2</v>
      </c>
    </row>
    <row r="594" spans="1:18" x14ac:dyDescent="0.35">
      <c r="A594" s="113">
        <v>-0.96331668229335099</v>
      </c>
      <c r="B594" s="114">
        <v>2.0696180737981573E-2</v>
      </c>
      <c r="C594" s="114">
        <v>0.16709140008739604</v>
      </c>
      <c r="D594" s="115">
        <v>-0.20898110377502066</v>
      </c>
      <c r="F594" s="30">
        <f>INDEX(A594:D602,,F587)</f>
        <v>-0.96331668229335099</v>
      </c>
      <c r="G594" s="26">
        <f>INDEX(A588:D596,,G587)</f>
        <v>-0.20898110377502066</v>
      </c>
      <c r="I594" s="30">
        <f t="shared" si="189"/>
        <v>0.88430592864964297</v>
      </c>
      <c r="J594">
        <f t="shared" si="190"/>
        <v>0.40262996710111076</v>
      </c>
      <c r="K594">
        <f t="shared" si="191"/>
        <v>0.61988608503706588</v>
      </c>
      <c r="L594" s="26">
        <f t="shared" si="188"/>
        <v>0.35604806695952296</v>
      </c>
      <c r="Q594" s="30">
        <v>-0.96258127467773891</v>
      </c>
      <c r="R594" s="26">
        <v>-0.2123426988607669</v>
      </c>
    </row>
    <row r="595" spans="1:18" x14ac:dyDescent="0.35">
      <c r="A595" s="113">
        <v>-0.67882498316547535</v>
      </c>
      <c r="B595" s="114">
        <v>0.2194542629005429</v>
      </c>
      <c r="C595" s="114">
        <v>0.56895544265779885</v>
      </c>
      <c r="D595" s="115">
        <v>-0.40905521998287658</v>
      </c>
      <c r="F595" s="30">
        <f>INDEX(A595:D603,,F587)</f>
        <v>-0.67882498316547535</v>
      </c>
      <c r="G595" s="26">
        <f>INDEX(A588:D596,,G587)</f>
        <v>-0.40905521998287658</v>
      </c>
      <c r="I595" s="30">
        <f t="shared" si="189"/>
        <v>0.29347718477436835</v>
      </c>
      <c r="J595">
        <f t="shared" si="190"/>
        <v>0.55535380563725201</v>
      </c>
      <c r="K595">
        <f t="shared" si="191"/>
        <v>-0.22228899145268993</v>
      </c>
      <c r="L595" s="26">
        <f t="shared" si="188"/>
        <v>0.16298367143215245</v>
      </c>
      <c r="Q595" s="30">
        <v>-0.67739286485723837</v>
      </c>
      <c r="R595" s="26">
        <v>-0.41142245612672951</v>
      </c>
    </row>
    <row r="596" spans="1:18" x14ac:dyDescent="0.35">
      <c r="A596" s="116">
        <v>-7.3958379483169912E-2</v>
      </c>
      <c r="B596" s="117">
        <v>0.92654202495803306</v>
      </c>
      <c r="C596" s="117">
        <v>-0.20273745719074873</v>
      </c>
      <c r="D596" s="118">
        <v>-0.30813561550512286</v>
      </c>
      <c r="F596" s="27">
        <f>INDEX(A596:D604,,F587)</f>
        <v>-7.3958379483169912E-2</v>
      </c>
      <c r="G596" s="29">
        <f>INDEX(A588:D596,,G587)</f>
        <v>-0.30813561550512286</v>
      </c>
      <c r="I596" s="27">
        <f t="shared" si="189"/>
        <v>-8.9477715646944345E-2</v>
      </c>
      <c r="J596" s="28">
        <f t="shared" si="190"/>
        <v>4.5578421567616025E-2</v>
      </c>
      <c r="K596" s="28">
        <f t="shared" si="191"/>
        <v>5.9288690848001034E-3</v>
      </c>
      <c r="L596" s="29">
        <f t="shared" si="188"/>
        <v>-4.078253044663702E-3</v>
      </c>
      <c r="Q596" s="27">
        <v>-7.2882249810603789E-2</v>
      </c>
      <c r="R596" s="29">
        <v>-0.30839192126422871</v>
      </c>
    </row>
    <row r="597" spans="1:18" x14ac:dyDescent="0.35">
      <c r="I597">
        <f>SUM(I588:I596)</f>
        <v>1.677759519163001</v>
      </c>
      <c r="J597">
        <f>SUM(J588:J596)</f>
        <v>1.4607079836213539</v>
      </c>
      <c r="K597">
        <f>SUM(K588:K596)</f>
        <v>2.640752090850226</v>
      </c>
      <c r="L597">
        <f>SUM(L588:L596)</f>
        <v>0.50878353355643213</v>
      </c>
    </row>
    <row r="598" spans="1:18" x14ac:dyDescent="0.35">
      <c r="A598" s="12" t="s">
        <v>2</v>
      </c>
      <c r="B598">
        <f>COUNT(A588:A596)</f>
        <v>9</v>
      </c>
      <c r="I598" s="12" t="s">
        <v>16</v>
      </c>
      <c r="J598" s="12" t="s">
        <v>258</v>
      </c>
      <c r="K598" s="12" t="s">
        <v>18</v>
      </c>
      <c r="L598" s="12" t="s">
        <v>19</v>
      </c>
      <c r="N598" s="12"/>
    </row>
    <row r="600" spans="1:18" x14ac:dyDescent="0.35">
      <c r="A600">
        <v>1</v>
      </c>
      <c r="B600">
        <v>2</v>
      </c>
      <c r="C600">
        <v>3</v>
      </c>
      <c r="D600">
        <v>4</v>
      </c>
      <c r="F600">
        <v>2</v>
      </c>
      <c r="G600">
        <v>3</v>
      </c>
      <c r="I600" s="12" t="s">
        <v>251</v>
      </c>
      <c r="J600" s="12" t="s">
        <v>252</v>
      </c>
      <c r="K600" s="12" t="s">
        <v>253</v>
      </c>
      <c r="L600" s="12" t="s">
        <v>254</v>
      </c>
      <c r="Q600">
        <f>F600</f>
        <v>2</v>
      </c>
      <c r="R600">
        <f>G600</f>
        <v>3</v>
      </c>
    </row>
    <row r="601" spans="1:18" x14ac:dyDescent="0.35">
      <c r="A601" s="110">
        <f t="array" ref="A601:A609">IF(A600=$Q587,$Q588:$Q596,IF(A600=$R587,$R588:$R596,A588:A596))</f>
        <v>-0.1091526742390149</v>
      </c>
      <c r="B601" s="111">
        <f t="array" ref="B601:B609">IF(B600=$Q587,$Q588:$Q596,IF(B600=$R587,$R588:$R596,B588:B596))</f>
        <v>-0.88903303751575824</v>
      </c>
      <c r="C601" s="111">
        <f t="array" ref="C601:C609">IF(C600=$Q587,$Q588:$Q596,IF(C600=$R587,$R588:$R596,C588:C596))</f>
        <v>-0.34137621146423969</v>
      </c>
      <c r="D601" s="112">
        <f t="array" ref="D601:D609">IF(D600=$Q587,$Q588:$Q596,IF(D600=$R587,$R588:$R596,D588:D596))</f>
        <v>-0.28490039339793638</v>
      </c>
      <c r="F601" s="94">
        <f>INDEX(A601:D609,,F600)</f>
        <v>-0.88903303751575824</v>
      </c>
      <c r="G601" s="96">
        <f>INDEX(A601:D609,,G600)</f>
        <v>-0.34137621146423969</v>
      </c>
      <c r="I601" s="94">
        <f>F601^2-G601^2</f>
        <v>0.67384202404081828</v>
      </c>
      <c r="J601" s="95">
        <f>2*F601*G601</f>
        <v>0.60698946042734969</v>
      </c>
      <c r="K601" s="95">
        <f>I601^2-J601^2</f>
        <v>8.5626868293541603E-2</v>
      </c>
      <c r="L601" s="96">
        <f t="shared" ref="L601:L609" si="192">I601*J601</f>
        <v>0.40901500658580947</v>
      </c>
      <c r="N601" t="s">
        <v>12</v>
      </c>
      <c r="O601" s="51">
        <f>L610*B611-2*I610*J610</f>
        <v>-1.2356605617722449E-2</v>
      </c>
      <c r="Q601" s="94">
        <f t="array" ref="Q601:R609">MMULT(F601:G609,N605:O606)</f>
        <v>-0.88898291079945946</v>
      </c>
      <c r="R601" s="96">
        <v>-0.341506725928924</v>
      </c>
    </row>
    <row r="602" spans="1:18" x14ac:dyDescent="0.35">
      <c r="A602" s="113">
        <v>-0.79508802176313875</v>
      </c>
      <c r="B602" s="114">
        <v>0.6001245858315245</v>
      </c>
      <c r="C602" s="114">
        <v>8.4001404772040336E-2</v>
      </c>
      <c r="D602" s="115">
        <v>2.5085516252282242E-2</v>
      </c>
      <c r="F602" s="30">
        <f>INDEX(A602:D610,,F600)</f>
        <v>0.6001245858315245</v>
      </c>
      <c r="G602" s="26">
        <f>INDEX(A601:D609,,G600)</f>
        <v>8.4001404772040336E-2</v>
      </c>
      <c r="I602" s="30">
        <f t="shared" ref="I602:I609" si="193">F602^2-G602^2</f>
        <v>0.35309328251578265</v>
      </c>
      <c r="J602">
        <f t="shared" ref="J602:J609" si="194">2*F602*G602</f>
        <v>0.10082261649617391</v>
      </c>
      <c r="K602">
        <f t="shared" ref="K602:K609" si="195">I602^2-J602^2</f>
        <v>0.11450966616063575</v>
      </c>
      <c r="L602" s="26">
        <f t="shared" si="192"/>
        <v>3.5599788610463944E-2</v>
      </c>
      <c r="N602" t="s">
        <v>255</v>
      </c>
      <c r="O602" s="52">
        <f>K610*B611-(I610^2-J610^2)</f>
        <v>21.041958282653148</v>
      </c>
      <c r="Q602" s="30">
        <v>0.60011224719335321</v>
      </c>
      <c r="R602" s="26">
        <v>8.4089507619433276E-2</v>
      </c>
    </row>
    <row r="603" spans="1:18" x14ac:dyDescent="0.35">
      <c r="A603" s="113">
        <v>-0.98395809367916109</v>
      </c>
      <c r="B603" s="114">
        <v>-0.11928523796546567</v>
      </c>
      <c r="C603" s="114">
        <v>0.11313640979261283</v>
      </c>
      <c r="D603" s="115">
        <v>-6.9265104244721515E-2</v>
      </c>
      <c r="F603" s="30">
        <f>INDEX(A603:D611,,F600)</f>
        <v>-0.11928523796546567</v>
      </c>
      <c r="G603" s="26">
        <f>INDEX(A601:D609,,G600)</f>
        <v>0.11313640979261283</v>
      </c>
      <c r="I603" s="30">
        <f t="shared" si="193"/>
        <v>1.4291207757157528E-3</v>
      </c>
      <c r="J603">
        <f t="shared" si="194"/>
        <v>-2.6991007129340522E-2</v>
      </c>
      <c r="K603">
        <f t="shared" si="195"/>
        <v>-7.2647207966452848E-4</v>
      </c>
      <c r="L603" s="26">
        <f t="shared" si="192"/>
        <v>-3.8573409046032538E-5</v>
      </c>
      <c r="N603" t="s">
        <v>256</v>
      </c>
      <c r="O603" s="53">
        <f>0.25*ATAN(O601/O602)</f>
        <v>-1.4680910435426614E-4</v>
      </c>
      <c r="Q603" s="30">
        <v>-0.11930184613492534</v>
      </c>
      <c r="R603" s="26">
        <v>0.11311889641451775</v>
      </c>
    </row>
    <row r="604" spans="1:18" x14ac:dyDescent="0.35">
      <c r="A604" s="113">
        <v>-5.2042189518101155E-2</v>
      </c>
      <c r="B604" s="114">
        <v>2.5691748254795606E-3</v>
      </c>
      <c r="C604" s="114">
        <v>8.2140988526537936E-2</v>
      </c>
      <c r="D604" s="115">
        <v>-0.99525768917138313</v>
      </c>
      <c r="F604" s="30">
        <f>INDEX(A604:D612,,F600)</f>
        <v>2.5691748254795606E-3</v>
      </c>
      <c r="G604" s="26">
        <f>INDEX(A601:D609,,G600)</f>
        <v>8.2140988526537936E-2</v>
      </c>
      <c r="I604" s="30">
        <f t="shared" si="193"/>
        <v>-6.7405413368329583E-3</v>
      </c>
      <c r="J604">
        <f t="shared" si="194"/>
        <v>4.220691197247734E-4</v>
      </c>
      <c r="K604">
        <f t="shared" si="195"/>
        <v>4.5256755171728598E-5</v>
      </c>
      <c r="L604" s="26">
        <f t="shared" si="192"/>
        <v>-2.8449743485055342E-6</v>
      </c>
      <c r="Q604" s="30">
        <v>2.5571157528799225E-3</v>
      </c>
      <c r="R604" s="26">
        <v>8.2141364819602852E-2</v>
      </c>
    </row>
    <row r="605" spans="1:18" x14ac:dyDescent="0.35">
      <c r="A605" s="113">
        <v>-0.3556671703987454</v>
      </c>
      <c r="B605" s="114">
        <v>0.11066979677443915</v>
      </c>
      <c r="C605" s="114">
        <v>0.88645068294103135</v>
      </c>
      <c r="D605" s="115">
        <v>-0.27469664485725614</v>
      </c>
      <c r="F605" s="30">
        <f>INDEX(A605:D613,,F600)</f>
        <v>0.11066979677443915</v>
      </c>
      <c r="G605" s="26">
        <f>INDEX(A601:D609,,G600)</f>
        <v>0.88645068294103135</v>
      </c>
      <c r="I605" s="30">
        <f t="shared" si="193"/>
        <v>-0.77354700936852527</v>
      </c>
      <c r="J605">
        <f t="shared" si="194"/>
        <v>0.19620663386329348</v>
      </c>
      <c r="K605">
        <f t="shared" si="195"/>
        <v>0.5598779325310248</v>
      </c>
      <c r="L605" s="26">
        <f t="shared" si="192"/>
        <v>-0.15177505484321591</v>
      </c>
      <c r="N605" s="94">
        <f>COS(O603)</f>
        <v>0.9999999892235435</v>
      </c>
      <c r="O605" s="96">
        <f>-N606</f>
        <v>1.4680910382690548E-4</v>
      </c>
      <c r="Q605" s="30">
        <v>0.11053965655146158</v>
      </c>
      <c r="R605" s="26">
        <v>0.88646692072191935</v>
      </c>
    </row>
    <row r="606" spans="1:18" x14ac:dyDescent="0.35">
      <c r="A606" s="113">
        <v>3.056796269769534E-2</v>
      </c>
      <c r="B606" s="114">
        <v>-2.2752519482706988E-2</v>
      </c>
      <c r="C606" s="114">
        <v>0.99749312423806924</v>
      </c>
      <c r="D606" s="115">
        <v>5.9627087900360927E-2</v>
      </c>
      <c r="F606" s="30">
        <f>INDEX(A606:D614,,F600)</f>
        <v>-2.2752519482706988E-2</v>
      </c>
      <c r="G606" s="26">
        <f>INDEX(A601:D609,,G600)</f>
        <v>0.99749312423806924</v>
      </c>
      <c r="I606" s="30">
        <f t="shared" si="193"/>
        <v>-0.9944748557594133</v>
      </c>
      <c r="J606">
        <f t="shared" si="194"/>
        <v>-4.5390963486185862E-2</v>
      </c>
      <c r="K606">
        <f t="shared" si="195"/>
        <v>0.98691989917150169</v>
      </c>
      <c r="L606" s="26">
        <f t="shared" si="192"/>
        <v>4.5140171865705479E-2</v>
      </c>
      <c r="N606" s="27">
        <f>SIN(O603)</f>
        <v>-1.4680910382690548E-4</v>
      </c>
      <c r="O606" s="29">
        <f>N605</f>
        <v>0.9999999892235435</v>
      </c>
      <c r="Q606" s="30">
        <v>-2.2898960309158341E-2</v>
      </c>
      <c r="R606" s="26">
        <v>0.9974897732116329</v>
      </c>
    </row>
    <row r="607" spans="1:18" x14ac:dyDescent="0.35">
      <c r="A607" s="113">
        <v>-0.96258127467773891</v>
      </c>
      <c r="B607" s="114">
        <v>2.0696180737981573E-2</v>
      </c>
      <c r="C607" s="114">
        <v>0.16709140008739604</v>
      </c>
      <c r="D607" s="115">
        <v>-0.2123426988607669</v>
      </c>
      <c r="F607" s="30">
        <f>INDEX(A607:D615,,F600)</f>
        <v>2.0696180737981573E-2</v>
      </c>
      <c r="G607" s="26">
        <f>INDEX(A601:D609,,G600)</f>
        <v>0.16709140008739604</v>
      </c>
      <c r="I607" s="30">
        <f t="shared" si="193"/>
        <v>-2.7491204086027052E-2</v>
      </c>
      <c r="J607">
        <f t="shared" si="194"/>
        <v>6.9163076319422772E-3</v>
      </c>
      <c r="K607">
        <f t="shared" si="195"/>
        <v>7.0793099083992753E-4</v>
      </c>
      <c r="L607" s="26">
        <f t="shared" si="192"/>
        <v>-1.901376246314716E-4</v>
      </c>
      <c r="Q607" s="30">
        <v>2.0671649976246067E-2</v>
      </c>
      <c r="R607" s="26">
        <v>0.16709443667448962</v>
      </c>
    </row>
    <row r="608" spans="1:18" x14ac:dyDescent="0.35">
      <c r="A608" s="113">
        <v>-0.67739286485723837</v>
      </c>
      <c r="B608" s="114">
        <v>0.2194542629005429</v>
      </c>
      <c r="C608" s="114">
        <v>0.56895544265779885</v>
      </c>
      <c r="D608" s="115">
        <v>-0.41142245612672951</v>
      </c>
      <c r="F608" s="30">
        <f>INDEX(A608:D616,,F600)</f>
        <v>0.2194542629005429</v>
      </c>
      <c r="G608" s="26">
        <f>INDEX(A601:D609,,G600)</f>
        <v>0.56895544265779885</v>
      </c>
      <c r="I608" s="30">
        <f t="shared" si="193"/>
        <v>-0.2755501222247112</v>
      </c>
      <c r="J608">
        <f t="shared" si="194"/>
        <v>0.2497193945834387</v>
      </c>
      <c r="K608">
        <f t="shared" si="195"/>
        <v>1.3568093826934122E-2</v>
      </c>
      <c r="L608" s="26">
        <f t="shared" si="192"/>
        <v>-6.8810209699347424E-2</v>
      </c>
      <c r="Q608" s="30">
        <v>0.21937073269694954</v>
      </c>
      <c r="R608" s="26">
        <v>0.56898765441014276</v>
      </c>
    </row>
    <row r="609" spans="1:18" x14ac:dyDescent="0.35">
      <c r="A609" s="116">
        <v>-7.2882249810603789E-2</v>
      </c>
      <c r="B609" s="117">
        <v>0.92654202495803306</v>
      </c>
      <c r="C609" s="117">
        <v>-0.20273745719074873</v>
      </c>
      <c r="D609" s="118">
        <v>-0.30839192126422871</v>
      </c>
      <c r="F609" s="27">
        <f>INDEX(A609:D617,,F600)</f>
        <v>0.92654202495803306</v>
      </c>
      <c r="G609" s="29">
        <f>INDEX(A601:D609,,G600)</f>
        <v>-0.20273745719074873</v>
      </c>
      <c r="I609" s="27">
        <f t="shared" si="193"/>
        <v>0.81737764746516173</v>
      </c>
      <c r="J609" s="28">
        <f t="shared" si="194"/>
        <v>-0.37568954824071776</v>
      </c>
      <c r="K609" s="28">
        <f t="shared" si="195"/>
        <v>0.52696358191836756</v>
      </c>
      <c r="L609" s="29">
        <f t="shared" si="192"/>
        <v>-0.30708023911824728</v>
      </c>
      <c r="Q609" s="27">
        <v>0.92657177867759555</v>
      </c>
      <c r="R609" s="29">
        <v>-0.20260143020161531</v>
      </c>
    </row>
    <row r="610" spans="1:18" x14ac:dyDescent="0.35">
      <c r="I610">
        <f>SUM(I601:I609)</f>
        <v>-0.23206165797803124</v>
      </c>
      <c r="J610">
        <f>SUM(J601:J609)</f>
        <v>0.71300496326567864</v>
      </c>
      <c r="K610">
        <f>SUM(K601:K609)</f>
        <v>2.2874927575683524</v>
      </c>
      <c r="L610">
        <f>SUM(L601:L609)</f>
        <v>-3.8142092606857747E-2</v>
      </c>
    </row>
    <row r="611" spans="1:18" x14ac:dyDescent="0.35">
      <c r="A611" s="12" t="s">
        <v>2</v>
      </c>
      <c r="B611">
        <f>COUNT(A601:A609)</f>
        <v>9</v>
      </c>
      <c r="I611" s="12" t="s">
        <v>16</v>
      </c>
      <c r="J611" s="12" t="s">
        <v>258</v>
      </c>
      <c r="K611" s="12" t="s">
        <v>18</v>
      </c>
      <c r="L611" s="12" t="s">
        <v>19</v>
      </c>
      <c r="N611" s="12"/>
    </row>
    <row r="613" spans="1:18" x14ac:dyDescent="0.35">
      <c r="A613">
        <v>1</v>
      </c>
      <c r="B613">
        <v>2</v>
      </c>
      <c r="C613">
        <v>3</v>
      </c>
      <c r="D613">
        <v>4</v>
      </c>
      <c r="F613">
        <v>2</v>
      </c>
      <c r="G613">
        <v>4</v>
      </c>
      <c r="I613" s="12" t="s">
        <v>251</v>
      </c>
      <c r="J613" s="12" t="s">
        <v>252</v>
      </c>
      <c r="K613" s="12" t="s">
        <v>253</v>
      </c>
      <c r="L613" s="12" t="s">
        <v>254</v>
      </c>
      <c r="Q613">
        <f>F613</f>
        <v>2</v>
      </c>
      <c r="R613">
        <f>G613</f>
        <v>4</v>
      </c>
    </row>
    <row r="614" spans="1:18" x14ac:dyDescent="0.35">
      <c r="A614" s="110">
        <f t="array" ref="A614:A622">IF(A613=$Q600,$Q601:$Q609,IF(A613=$R600,$R601:$R609,A601:A609))</f>
        <v>-0.1091526742390149</v>
      </c>
      <c r="B614" s="111">
        <f t="array" ref="B614:B622">IF(B613=$Q600,$Q601:$Q609,IF(B613=$R600,$R601:$R609,B601:B609))</f>
        <v>-0.88898291079945946</v>
      </c>
      <c r="C614" s="111">
        <f t="array" ref="C614:C622">IF(C613=$Q600,$Q601:$Q609,IF(C613=$R600,$R601:$R609,C601:C609))</f>
        <v>-0.341506725928924</v>
      </c>
      <c r="D614" s="112">
        <f t="array" ref="D614:D622">IF(D613=$Q600,$Q601:$Q609,IF(D613=$R600,$R601:$R609,D601:D609))</f>
        <v>-0.28490039339793638</v>
      </c>
      <c r="F614" s="94">
        <f>INDEX(A614:D622,,F613)</f>
        <v>-0.88898291079945946</v>
      </c>
      <c r="G614" s="96">
        <f>INDEX(A614:D622,,G613)</f>
        <v>-0.28490039339793638</v>
      </c>
      <c r="I614" s="94">
        <f>F614^2-G614^2</f>
        <v>0.70912238153518081</v>
      </c>
      <c r="J614" s="95">
        <f>2*F614*G614</f>
        <v>0.5065431620216172</v>
      </c>
      <c r="K614" s="95">
        <f>I614^2-J614^2</f>
        <v>0.24626857700326821</v>
      </c>
      <c r="L614" s="96">
        <f t="shared" ref="L614:L622" si="196">I614*J614</f>
        <v>0.35920109340313017</v>
      </c>
      <c r="N614" t="s">
        <v>12</v>
      </c>
      <c r="O614" s="51">
        <f>L623*B624-2*I623*J623</f>
        <v>2.71341062743643E-2</v>
      </c>
      <c r="Q614" s="94">
        <f t="array" ref="Q614:R622">MMULT(F614:G622,N618:O619)</f>
        <v>-0.88912028195035064</v>
      </c>
      <c r="R614" s="96">
        <v>-0.28447139412655825</v>
      </c>
    </row>
    <row r="615" spans="1:18" x14ac:dyDescent="0.35">
      <c r="A615" s="113">
        <v>-0.79508802176313875</v>
      </c>
      <c r="B615" s="114">
        <v>0.60011224719335321</v>
      </c>
      <c r="C615" s="114">
        <v>8.4089507619433276E-2</v>
      </c>
      <c r="D615" s="115">
        <v>2.5085516252282242E-2</v>
      </c>
      <c r="F615" s="30">
        <f>INDEX(A615:D623,,F613)</f>
        <v>0.60011224719335321</v>
      </c>
      <c r="G615" s="26">
        <f>INDEX(A614:D622,,G613)</f>
        <v>2.5085516252282242E-2</v>
      </c>
      <c r="I615" s="30">
        <f t="shared" ref="I615:I622" si="197">F615^2-G615^2</f>
        <v>0.35950542610581271</v>
      </c>
      <c r="J615">
        <f t="shared" ref="J615:J622" si="198">2*F615*G615</f>
        <v>3.0108251060324959E-2</v>
      </c>
      <c r="K615">
        <f t="shared" ref="K615:K622" si="199">I615^2-J615^2</f>
        <v>0.12833764461761041</v>
      </c>
      <c r="L615" s="26">
        <f t="shared" si="196"/>
        <v>1.0824079626742911E-2</v>
      </c>
      <c r="N615" t="s">
        <v>255</v>
      </c>
      <c r="O615" s="52">
        <f>K623*B624-(I623^2-J623^2)</f>
        <v>14.058060595805166</v>
      </c>
      <c r="Q615" s="30">
        <v>0.60012428198833956</v>
      </c>
      <c r="R615" s="26">
        <v>2.4795937672928765E-2</v>
      </c>
    </row>
    <row r="616" spans="1:18" x14ac:dyDescent="0.35">
      <c r="A616" s="113">
        <v>-0.98395809367916109</v>
      </c>
      <c r="B616" s="114">
        <v>-0.11930184613492534</v>
      </c>
      <c r="C616" s="114">
        <v>0.11311889641451775</v>
      </c>
      <c r="D616" s="115">
        <v>-6.9265104244721515E-2</v>
      </c>
      <c r="F616" s="30">
        <f>INDEX(A616:D624,,F613)</f>
        <v>-0.11930184613492534</v>
      </c>
      <c r="G616" s="26">
        <f>INDEX(A614:D622,,G613)</f>
        <v>-6.9265104244721515E-2</v>
      </c>
      <c r="I616" s="30">
        <f t="shared" si="197"/>
        <v>9.4352758251692627E-3</v>
      </c>
      <c r="J616">
        <f t="shared" si="198"/>
        <v>1.6526909618246662E-2</v>
      </c>
      <c r="K616">
        <f t="shared" si="199"/>
        <v>-1.8411431163267049E-4</v>
      </c>
      <c r="L616" s="26">
        <f t="shared" si="196"/>
        <v>1.5593595078580008E-4</v>
      </c>
      <c r="N616" t="s">
        <v>256</v>
      </c>
      <c r="O616" s="53">
        <f>0.25*ATAN(O614/O615)</f>
        <v>4.8253584471736867E-4</v>
      </c>
      <c r="Q616" s="30">
        <v>-0.11933525514004363</v>
      </c>
      <c r="R616" s="26">
        <v>-6.9207528765982046E-2</v>
      </c>
    </row>
    <row r="617" spans="1:18" x14ac:dyDescent="0.35">
      <c r="A617" s="113">
        <v>-5.2042189518101155E-2</v>
      </c>
      <c r="B617" s="114">
        <v>2.5571157528799225E-3</v>
      </c>
      <c r="C617" s="114">
        <v>8.2141364819602852E-2</v>
      </c>
      <c r="D617" s="115">
        <v>-0.99525768917138313</v>
      </c>
      <c r="F617" s="30">
        <f>INDEX(A617:D625,,F613)</f>
        <v>2.5571157528799225E-3</v>
      </c>
      <c r="G617" s="26">
        <f>INDEX(A614:D622,,G613)</f>
        <v>-0.99525768917138313</v>
      </c>
      <c r="I617" s="30">
        <f t="shared" si="197"/>
        <v>-0.99053132901378782</v>
      </c>
      <c r="J617">
        <f t="shared" si="198"/>
        <v>-5.0899782303100265E-3</v>
      </c>
      <c r="K617">
        <f t="shared" si="199"/>
        <v>0.98112640587943567</v>
      </c>
      <c r="L617" s="26">
        <f t="shared" si="196"/>
        <v>5.0417829011202382E-3</v>
      </c>
      <c r="Q617" s="30">
        <v>2.0768679640605393E-3</v>
      </c>
      <c r="R617" s="26">
        <v>-0.99525880720302851</v>
      </c>
    </row>
    <row r="618" spans="1:18" x14ac:dyDescent="0.35">
      <c r="A618" s="113">
        <v>-0.3556671703987454</v>
      </c>
      <c r="B618" s="114">
        <v>0.11053965655146158</v>
      </c>
      <c r="C618" s="114">
        <v>0.88646692072191935</v>
      </c>
      <c r="D618" s="115">
        <v>-0.27469664485725614</v>
      </c>
      <c r="F618" s="30">
        <f>INDEX(A618:D626,,F613)</f>
        <v>0.11053965655146158</v>
      </c>
      <c r="G618" s="26">
        <f>INDEX(A614:D622,,G613)</f>
        <v>-0.27469664485725614</v>
      </c>
      <c r="I618" s="30">
        <f t="shared" si="197"/>
        <v>-6.3239231025318421E-2</v>
      </c>
      <c r="J618">
        <f t="shared" si="198"/>
        <v>-6.0729745556719818E-2</v>
      </c>
      <c r="K618">
        <f t="shared" si="199"/>
        <v>3.1109834528966545E-4</v>
      </c>
      <c r="L618" s="26">
        <f t="shared" si="196"/>
        <v>3.8405024093702096E-3</v>
      </c>
      <c r="N618" s="94">
        <f>COS(O616)</f>
        <v>0.99999988357958158</v>
      </c>
      <c r="O618" s="96">
        <f>-N619</f>
        <v>-4.8253582599169353E-4</v>
      </c>
      <c r="Q618" s="30">
        <v>0.11040709270996517</v>
      </c>
      <c r="R618" s="26">
        <v>-0.27474995222143667</v>
      </c>
    </row>
    <row r="619" spans="1:18" x14ac:dyDescent="0.35">
      <c r="A619" s="113">
        <v>3.056796269769534E-2</v>
      </c>
      <c r="B619" s="114">
        <v>-2.2898960309158341E-2</v>
      </c>
      <c r="C619" s="114">
        <v>0.9974897732116329</v>
      </c>
      <c r="D619" s="115">
        <v>5.9627087900360927E-2</v>
      </c>
      <c r="F619" s="30">
        <f>INDEX(A619:D627,,F613)</f>
        <v>-2.2898960309158341E-2</v>
      </c>
      <c r="G619" s="26">
        <f>INDEX(A614:D622,,G613)</f>
        <v>5.9627087900360927E-2</v>
      </c>
      <c r="I619" s="30">
        <f t="shared" si="197"/>
        <v>-3.0310272282369592E-3</v>
      </c>
      <c r="J619">
        <f t="shared" si="198"/>
        <v>-2.7307966383621207E-3</v>
      </c>
      <c r="K619">
        <f t="shared" si="199"/>
        <v>1.729875778223965E-6</v>
      </c>
      <c r="L619" s="26">
        <f t="shared" si="196"/>
        <v>8.2771189656535452E-6</v>
      </c>
      <c r="N619" s="27">
        <f>SIN(O616)</f>
        <v>4.8253582599169353E-4</v>
      </c>
      <c r="O619" s="29">
        <f>N618</f>
        <v>0.99999988357958158</v>
      </c>
      <c r="Q619" s="30">
        <v>-2.2870185437140322E-2</v>
      </c>
      <c r="R619" s="26">
        <v>5.9638130527277539E-2</v>
      </c>
    </row>
    <row r="620" spans="1:18" x14ac:dyDescent="0.35">
      <c r="A620" s="113">
        <v>-0.96258127467773891</v>
      </c>
      <c r="B620" s="114">
        <v>2.0671649976246067E-2</v>
      </c>
      <c r="C620" s="114">
        <v>0.16709443667448962</v>
      </c>
      <c r="D620" s="115">
        <v>-0.2123426988607669</v>
      </c>
      <c r="F620" s="30">
        <f>INDEX(A620:D628,,F613)</f>
        <v>2.0671649976246067E-2</v>
      </c>
      <c r="G620" s="26">
        <f>INDEX(A614:D622,,G613)</f>
        <v>-0.2123426988607669</v>
      </c>
      <c r="I620" s="30">
        <f t="shared" si="197"/>
        <v>-4.4662104646733904E-2</v>
      </c>
      <c r="J620">
        <f t="shared" si="198"/>
        <v>-8.7789478917223961E-3</v>
      </c>
      <c r="K620">
        <f t="shared" si="199"/>
        <v>1.9176336653902331E-3</v>
      </c>
      <c r="L620" s="26">
        <f t="shared" si="196"/>
        <v>3.9208628942832965E-4</v>
      </c>
      <c r="Q620" s="30">
        <v>2.056918461005584E-2</v>
      </c>
      <c r="R620" s="26">
        <v>-0.21235264895143696</v>
      </c>
    </row>
    <row r="621" spans="1:18" x14ac:dyDescent="0.35">
      <c r="A621" s="113">
        <v>-0.67739286485723837</v>
      </c>
      <c r="B621" s="114">
        <v>0.21937073269694954</v>
      </c>
      <c r="C621" s="114">
        <v>0.56898765441014276</v>
      </c>
      <c r="D621" s="115">
        <v>-0.41142245612672951</v>
      </c>
      <c r="F621" s="30">
        <f>INDEX(A621:D629,,F613)</f>
        <v>0.21937073269694954</v>
      </c>
      <c r="G621" s="26">
        <f>INDEX(A614:D622,,G613)</f>
        <v>-0.41142245612672951</v>
      </c>
      <c r="I621" s="30">
        <f t="shared" si="197"/>
        <v>-0.12114491904135419</v>
      </c>
      <c r="J621">
        <f t="shared" si="198"/>
        <v>-0.18050809129699846</v>
      </c>
      <c r="K621">
        <f t="shared" si="199"/>
        <v>-1.7907079614149272E-2</v>
      </c>
      <c r="L621" s="26">
        <f t="shared" si="196"/>
        <v>2.186763810648425E-2</v>
      </c>
      <c r="Q621" s="30">
        <v>0.21917218108301842</v>
      </c>
      <c r="R621" s="26">
        <v>-0.41152826246645535</v>
      </c>
    </row>
    <row r="622" spans="1:18" x14ac:dyDescent="0.35">
      <c r="A622" s="116">
        <v>-7.2882249810603789E-2</v>
      </c>
      <c r="B622" s="117">
        <v>0.92657177867759555</v>
      </c>
      <c r="C622" s="117">
        <v>-0.20260143020161531</v>
      </c>
      <c r="D622" s="118">
        <v>-0.30839192126422871</v>
      </c>
      <c r="F622" s="27">
        <f>INDEX(A622:D630,,F613)</f>
        <v>0.92657177867759555</v>
      </c>
      <c r="G622" s="29">
        <f>INDEX(A614:D622,,G613)</f>
        <v>-0.30839192126422871</v>
      </c>
      <c r="I622" s="27">
        <f t="shared" si="197"/>
        <v>0.76342968394072086</v>
      </c>
      <c r="J622" s="28">
        <f t="shared" si="198"/>
        <v>-0.57149450203119478</v>
      </c>
      <c r="K622" s="28">
        <f t="shared" si="199"/>
        <v>0.25621891646994566</v>
      </c>
      <c r="L622" s="29">
        <f t="shared" si="196"/>
        <v>-0.43629586705953471</v>
      </c>
      <c r="Q622" s="27">
        <v>0.92642286065526491</v>
      </c>
      <c r="R622" s="29">
        <v>-0.30883898943967697</v>
      </c>
    </row>
    <row r="623" spans="1:18" x14ac:dyDescent="0.35">
      <c r="I623">
        <f>SUM(I614:I622)</f>
        <v>0.61888415645145223</v>
      </c>
      <c r="J623">
        <f>SUM(J614:J622)</f>
        <v>-0.27615373894511874</v>
      </c>
      <c r="K623">
        <f>SUM(K614:K622)</f>
        <v>1.596090811930936</v>
      </c>
      <c r="L623">
        <f>SUM(L614:L622)</f>
        <v>-3.4964471253507157E-2</v>
      </c>
    </row>
    <row r="624" spans="1:18" x14ac:dyDescent="0.35">
      <c r="A624" s="12" t="s">
        <v>2</v>
      </c>
      <c r="B624">
        <f>COUNT(A614:A622)</f>
        <v>9</v>
      </c>
      <c r="I624" s="12" t="s">
        <v>16</v>
      </c>
      <c r="J624" s="12" t="s">
        <v>258</v>
      </c>
      <c r="K624" s="12" t="s">
        <v>18</v>
      </c>
      <c r="L624" s="12" t="s">
        <v>19</v>
      </c>
      <c r="N624" s="12"/>
    </row>
    <row r="626" spans="1:18" x14ac:dyDescent="0.35">
      <c r="A626">
        <v>1</v>
      </c>
      <c r="B626">
        <v>2</v>
      </c>
      <c r="C626">
        <v>3</v>
      </c>
      <c r="D626">
        <v>4</v>
      </c>
      <c r="F626">
        <v>3</v>
      </c>
      <c r="G626">
        <v>4</v>
      </c>
      <c r="I626" s="12" t="s">
        <v>251</v>
      </c>
      <c r="J626" s="12" t="s">
        <v>252</v>
      </c>
      <c r="K626" s="12" t="s">
        <v>253</v>
      </c>
      <c r="L626" s="12" t="s">
        <v>254</v>
      </c>
      <c r="Q626">
        <f>F626</f>
        <v>3</v>
      </c>
      <c r="R626">
        <f>G626</f>
        <v>4</v>
      </c>
    </row>
    <row r="627" spans="1:18" x14ac:dyDescent="0.35">
      <c r="A627" s="110">
        <f t="array" ref="A627:A635">IF(A626=$Q613,$Q614:$Q622,IF(A626=$R613,$R614:$R622,A614:A622))</f>
        <v>-0.1091526742390149</v>
      </c>
      <c r="B627" s="111">
        <f t="array" ref="B627:B635">IF(B626=$Q613,$Q614:$Q622,IF(B626=$R613,$R614:$R622,B614:B622))</f>
        <v>-0.88912028195035064</v>
      </c>
      <c r="C627" s="111">
        <f t="array" ref="C627:C635">IF(C626=$Q613,$Q614:$Q622,IF(C626=$R613,$R614:$R622,C614:C622))</f>
        <v>-0.341506725928924</v>
      </c>
      <c r="D627" s="112">
        <f t="array" ref="D627:D635">IF(D626=$Q613,$Q614:$Q622,IF(D626=$R613,$R614:$R622,D614:D622))</f>
        <v>-0.28447139412655825</v>
      </c>
      <c r="F627" s="94">
        <f>INDEX(A627:D635,,F626)</f>
        <v>-0.341506725928924</v>
      </c>
      <c r="G627" s="96">
        <f>INDEX(A627:D635,,G626)</f>
        <v>-0.28447139412655825</v>
      </c>
      <c r="I627" s="94">
        <f>F627^2-G627^2</f>
        <v>3.5702869778385576E-2</v>
      </c>
      <c r="J627" s="95">
        <f>2*F627*G627</f>
        <v>0.1942977888571949</v>
      </c>
      <c r="K627" s="95">
        <f>I627^2-J627^2</f>
        <v>-3.6476935844382732E-2</v>
      </c>
      <c r="L627" s="96">
        <f t="shared" ref="L627:L635" si="200">I627*J627</f>
        <v>6.9369886537966859E-3</v>
      </c>
      <c r="N627" t="s">
        <v>12</v>
      </c>
      <c r="O627" s="51">
        <f>L636*B637-2*I636*J636</f>
        <v>5.4359442440214956E-2</v>
      </c>
      <c r="Q627" s="94">
        <f t="array" ref="Q627:R635">MMULT(F627:G635,N631:O632)</f>
        <v>-0.34173129645946604</v>
      </c>
      <c r="R627" s="96">
        <v>-0.28420158154228026</v>
      </c>
    </row>
    <row r="628" spans="1:18" x14ac:dyDescent="0.35">
      <c r="A628" s="113">
        <v>-0.79508802176313875</v>
      </c>
      <c r="B628" s="114">
        <v>0.60012428198833956</v>
      </c>
      <c r="C628" s="114">
        <v>8.4089507619433276E-2</v>
      </c>
      <c r="D628" s="115">
        <v>2.4795937672928765E-2</v>
      </c>
      <c r="F628" s="30">
        <f>INDEX(A628:D636,,F626)</f>
        <v>8.4089507619433276E-2</v>
      </c>
      <c r="G628" s="26">
        <f>INDEX(A627:D635,,G626)</f>
        <v>2.4795937672928765E-2</v>
      </c>
      <c r="I628" s="30">
        <f t="shared" ref="I628:I635" si="201">F628^2-G628^2</f>
        <v>6.4562067665989587E-3</v>
      </c>
      <c r="J628">
        <f t="shared" ref="J628:J635" si="202">2*F628*G628</f>
        <v>4.1701563797574724E-3</v>
      </c>
      <c r="K628">
        <f t="shared" ref="K628:K635" si="203">I628^2-J628^2</f>
        <v>2.4292401581446232E-5</v>
      </c>
      <c r="L628" s="26">
        <f t="shared" si="200"/>
        <v>2.6923391836766009E-5</v>
      </c>
      <c r="N628" t="s">
        <v>255</v>
      </c>
      <c r="O628" s="52">
        <f>K636*B637-(I636^2-J636^2)</f>
        <v>17.206534499970182</v>
      </c>
      <c r="Q628" s="30">
        <v>8.4109065357871285E-2</v>
      </c>
      <c r="R628" s="26">
        <v>2.472951559137037E-2</v>
      </c>
    </row>
    <row r="629" spans="1:18" x14ac:dyDescent="0.35">
      <c r="A629" s="113">
        <v>-0.98395809367916109</v>
      </c>
      <c r="B629" s="114">
        <v>-0.11933525514004363</v>
      </c>
      <c r="C629" s="114">
        <v>0.11311889641451775</v>
      </c>
      <c r="D629" s="115">
        <v>-6.9207528765982046E-2</v>
      </c>
      <c r="F629" s="30">
        <f>INDEX(A629:D637,,F626)</f>
        <v>0.11311889641451775</v>
      </c>
      <c r="G629" s="26">
        <f>INDEX(A627:D635,,G626)</f>
        <v>-6.9207528765982046E-2</v>
      </c>
      <c r="I629" s="30">
        <f t="shared" si="201"/>
        <v>8.0062026881441636E-3</v>
      </c>
      <c r="J629">
        <f t="shared" si="202"/>
        <v>-1.5657358555167762E-2</v>
      </c>
      <c r="K629">
        <f t="shared" si="203"/>
        <v>-1.8105359544143829E-4</v>
      </c>
      <c r="L629" s="26">
        <f t="shared" si="200"/>
        <v>-1.2535598615362115E-4</v>
      </c>
      <c r="N629" t="s">
        <v>256</v>
      </c>
      <c r="O629" s="53">
        <f>0.25*ATAN(O627/O628)</f>
        <v>7.8980548918873041E-4</v>
      </c>
      <c r="Q629" s="30">
        <v>0.1130642006527183</v>
      </c>
      <c r="R629" s="26">
        <v>-6.9296849096437865E-2</v>
      </c>
    </row>
    <row r="630" spans="1:18" x14ac:dyDescent="0.35">
      <c r="A630" s="113">
        <v>-5.2042189518101155E-2</v>
      </c>
      <c r="B630" s="114">
        <v>2.0768679640605393E-3</v>
      </c>
      <c r="C630" s="114">
        <v>8.2141364819602852E-2</v>
      </c>
      <c r="D630" s="115">
        <v>-0.99525880720302851</v>
      </c>
      <c r="F630" s="30">
        <f>INDEX(A630:D638,,F626)</f>
        <v>8.2141364819602852E-2</v>
      </c>
      <c r="G630" s="26">
        <f>INDEX(A627:D635,,G626)</f>
        <v>-0.99525880720302851</v>
      </c>
      <c r="I630" s="30">
        <f t="shared" si="201"/>
        <v>-0.98379288950076804</v>
      </c>
      <c r="J630">
        <f t="shared" si="202"/>
        <v>-0.16350383354477349</v>
      </c>
      <c r="K630">
        <f t="shared" si="203"/>
        <v>0.94111494584843347</v>
      </c>
      <c r="L630" s="26">
        <f t="shared" si="200"/>
        <v>0.16085390884746531</v>
      </c>
      <c r="Q630" s="30">
        <v>8.1355278412642659E-2</v>
      </c>
      <c r="R630" s="26">
        <v>-0.99532337247952907</v>
      </c>
    </row>
    <row r="631" spans="1:18" x14ac:dyDescent="0.35">
      <c r="A631" s="113">
        <v>-0.3556671703987454</v>
      </c>
      <c r="B631" s="114">
        <v>0.11040709270996517</v>
      </c>
      <c r="C631" s="114">
        <v>0.88646692072191935</v>
      </c>
      <c r="D631" s="115">
        <v>-0.27474995222143667</v>
      </c>
      <c r="F631" s="30">
        <f>INDEX(A631:D639,,F626)</f>
        <v>0.88646692072191935</v>
      </c>
      <c r="G631" s="26">
        <f>INDEX(A627:D635,,G626)</f>
        <v>-0.27474995222143667</v>
      </c>
      <c r="I631" s="30">
        <f t="shared" si="201"/>
        <v>0.71033606528851989</v>
      </c>
      <c r="J631">
        <f t="shared" si="202"/>
        <v>-0.48711348822846284</v>
      </c>
      <c r="K631">
        <f t="shared" si="203"/>
        <v>0.26729777523547554</v>
      </c>
      <c r="L631" s="26">
        <f t="shared" si="200"/>
        <v>-0.34601427857717204</v>
      </c>
      <c r="N631" s="94">
        <f>COS(O629)</f>
        <v>0.9999996881036608</v>
      </c>
      <c r="O631" s="96">
        <f>-N632</f>
        <v>-7.8980540707624845E-4</v>
      </c>
      <c r="Q631" s="30">
        <v>0.88624964523827354</v>
      </c>
      <c r="R631" s="26">
        <v>-0.27545000289511279</v>
      </c>
    </row>
    <row r="632" spans="1:18" x14ac:dyDescent="0.35">
      <c r="A632" s="113">
        <v>3.056796269769534E-2</v>
      </c>
      <c r="B632" s="114">
        <v>-2.2870185437140322E-2</v>
      </c>
      <c r="C632" s="114">
        <v>0.9974897732116329</v>
      </c>
      <c r="D632" s="115">
        <v>5.9638130527277539E-2</v>
      </c>
      <c r="F632" s="30">
        <f>INDEX(A632:D640,,F626)</f>
        <v>0.9974897732116329</v>
      </c>
      <c r="G632" s="26">
        <f>INDEX(A627:D635,,G626)</f>
        <v>5.9638130527277539E-2</v>
      </c>
      <c r="I632" s="30">
        <f t="shared" si="201"/>
        <v>0.99142914104900626</v>
      </c>
      <c r="J632">
        <f t="shared" si="202"/>
        <v>0.11897685058883967</v>
      </c>
      <c r="K632">
        <f t="shared" si="203"/>
        <v>0.9687762507451313</v>
      </c>
      <c r="L632" s="26">
        <f t="shared" si="200"/>
        <v>0.11795711678400926</v>
      </c>
      <c r="N632" s="27">
        <f>SIN(O629)</f>
        <v>7.8980540707624845E-4</v>
      </c>
      <c r="O632" s="29">
        <f>N631</f>
        <v>0.9999996881036608</v>
      </c>
      <c r="Q632" s="30">
        <v>0.99753656461618256</v>
      </c>
      <c r="R632" s="26">
        <v>5.8850289109977146E-2</v>
      </c>
    </row>
    <row r="633" spans="1:18" x14ac:dyDescent="0.35">
      <c r="A633" s="113">
        <v>-0.96258127467773891</v>
      </c>
      <c r="B633" s="114">
        <v>2.056918461005584E-2</v>
      </c>
      <c r="C633" s="114">
        <v>0.16709443667448962</v>
      </c>
      <c r="D633" s="115">
        <v>-0.21235264895143696</v>
      </c>
      <c r="F633" s="30">
        <f>INDEX(A633:D641,,F626)</f>
        <v>0.16709443667448962</v>
      </c>
      <c r="G633" s="26">
        <f>INDEX(A627:D635,,G626)</f>
        <v>-0.21235264895143696</v>
      </c>
      <c r="I633" s="30">
        <f t="shared" si="201"/>
        <v>-1.7173096749127204E-2</v>
      </c>
      <c r="J633">
        <f t="shared" si="202"/>
        <v>-7.0965892505752012E-2</v>
      </c>
      <c r="K633">
        <f t="shared" si="203"/>
        <v>-4.7412426471830664E-3</v>
      </c>
      <c r="L633" s="26">
        <f t="shared" si="200"/>
        <v>1.2187041378894405E-3</v>
      </c>
      <c r="Q633" s="30">
        <v>0.16692666728799771</v>
      </c>
      <c r="R633" s="26">
        <v>-0.21248455480900102</v>
      </c>
    </row>
    <row r="634" spans="1:18" x14ac:dyDescent="0.35">
      <c r="A634" s="113">
        <v>-0.67739286485723837</v>
      </c>
      <c r="B634" s="114">
        <v>0.21917218108301842</v>
      </c>
      <c r="C634" s="114">
        <v>0.56898765441014276</v>
      </c>
      <c r="D634" s="115">
        <v>-0.41152826246645535</v>
      </c>
      <c r="F634" s="30">
        <f>INDEX(A634:D642,,F626)</f>
        <v>0.56898765441014276</v>
      </c>
      <c r="G634" s="26">
        <f>INDEX(A627:D635,,G626)</f>
        <v>-0.41152826246645535</v>
      </c>
      <c r="I634" s="30">
        <f t="shared" si="201"/>
        <v>0.1543914400624963</v>
      </c>
      <c r="J634">
        <f t="shared" si="202"/>
        <v>-0.46830900156854005</v>
      </c>
      <c r="K634">
        <f t="shared" si="203"/>
        <v>-0.19547660418555146</v>
      </c>
      <c r="L634" s="26">
        <f t="shared" si="200"/>
        <v>-7.2302901146396745E-2</v>
      </c>
      <c r="Q634" s="30">
        <v>0.56866244969811564</v>
      </c>
      <c r="R634" s="26">
        <v>-0.41197752363830958</v>
      </c>
    </row>
    <row r="635" spans="1:18" x14ac:dyDescent="0.35">
      <c r="A635" s="116">
        <v>-7.2882249810603789E-2</v>
      </c>
      <c r="B635" s="117">
        <v>0.92642286065526491</v>
      </c>
      <c r="C635" s="117">
        <v>-0.20260143020161531</v>
      </c>
      <c r="D635" s="118">
        <v>-0.30883898943967697</v>
      </c>
      <c r="F635" s="27">
        <f>INDEX(A635:D643,,F626)</f>
        <v>-0.20260143020161531</v>
      </c>
      <c r="G635" s="29">
        <f>INDEX(A627:D635,,G626)</f>
        <v>-0.30883898943967697</v>
      </c>
      <c r="I635" s="27">
        <f t="shared" si="201"/>
        <v>-5.4334181878380912E-2</v>
      </c>
      <c r="J635" s="28">
        <f t="shared" si="202"/>
        <v>0.12514244192500024</v>
      </c>
      <c r="K635" s="28">
        <f t="shared" si="203"/>
        <v>-1.2708427450559081E-2</v>
      </c>
      <c r="L635" s="29">
        <f t="shared" si="200"/>
        <v>-6.7995122002576834E-3</v>
      </c>
      <c r="Q635" s="27">
        <v>-0.20284528971474636</v>
      </c>
      <c r="R635" s="29">
        <v>-0.30867887740887212</v>
      </c>
    </row>
    <row r="636" spans="1:18" x14ac:dyDescent="0.35">
      <c r="I636">
        <f>SUM(I627:I635)</f>
        <v>0.85102175750487496</v>
      </c>
      <c r="J636">
        <f>SUM(J627:J635)</f>
        <v>-0.76296233665190383</v>
      </c>
      <c r="K636">
        <f>SUM(K627:K635)</f>
        <v>1.9276290005075041</v>
      </c>
      <c r="L636">
        <f>SUM(L627:L635)</f>
        <v>-0.13824840609498262</v>
      </c>
    </row>
    <row r="637" spans="1:18" x14ac:dyDescent="0.35">
      <c r="A637" s="12" t="s">
        <v>2</v>
      </c>
      <c r="B637">
        <f>COUNT(A627:A635)</f>
        <v>9</v>
      </c>
      <c r="I637" s="12" t="s">
        <v>16</v>
      </c>
      <c r="J637" s="12" t="s">
        <v>258</v>
      </c>
      <c r="K637" s="12" t="s">
        <v>18</v>
      </c>
      <c r="L637" s="12" t="s">
        <v>19</v>
      </c>
      <c r="N637" s="12"/>
    </row>
    <row r="639" spans="1:18" x14ac:dyDescent="0.35">
      <c r="A639">
        <v>1</v>
      </c>
      <c r="B639">
        <v>2</v>
      </c>
      <c r="C639">
        <v>3</v>
      </c>
      <c r="D639">
        <v>4</v>
      </c>
      <c r="F639">
        <v>1</v>
      </c>
      <c r="G639">
        <v>2</v>
      </c>
      <c r="I639" s="12" t="s">
        <v>251</v>
      </c>
      <c r="J639" s="12" t="s">
        <v>252</v>
      </c>
      <c r="K639" s="12" t="s">
        <v>253</v>
      </c>
      <c r="L639" s="12" t="s">
        <v>254</v>
      </c>
      <c r="Q639">
        <f>F639</f>
        <v>1</v>
      </c>
      <c r="R639">
        <f>G639</f>
        <v>2</v>
      </c>
    </row>
    <row r="640" spans="1:18" x14ac:dyDescent="0.35">
      <c r="A640" s="110">
        <f t="array" ref="A640:A648">IF(A639=$Q626,$Q627:$Q635,IF(A639=$R626,$R627:$R635,A627:A635))</f>
        <v>-0.1091526742390149</v>
      </c>
      <c r="B640" s="111">
        <f t="array" ref="B640:B648">IF(B639=$Q626,$Q627:$Q635,IF(B639=$R626,$R627:$R635,B627:B635))</f>
        <v>-0.88912028195035064</v>
      </c>
      <c r="C640" s="111">
        <f t="array" ref="C640:C648">IF(C639=$Q626,$Q627:$Q635,IF(C639=$R626,$R627:$R635,C627:C635))</f>
        <v>-0.34173129645946604</v>
      </c>
      <c r="D640" s="112">
        <f t="array" ref="D640:D648">IF(D639=$Q626,$Q627:$Q635,IF(D639=$R626,$R627:$R635,D627:D635))</f>
        <v>-0.28420158154228026</v>
      </c>
      <c r="F640" s="94">
        <f>INDEX(A640:D648,,F639)</f>
        <v>-0.1091526742390149</v>
      </c>
      <c r="G640" s="96">
        <f>INDEX(A640:D648,,G639)</f>
        <v>-0.88912028195035064</v>
      </c>
      <c r="I640" s="94">
        <f>F640^2-G640^2</f>
        <v>-0.77862056948194247</v>
      </c>
      <c r="J640" s="95">
        <f>2*F640*G640</f>
        <v>0.19409971299005541</v>
      </c>
      <c r="K640" s="95">
        <f>I640^2-J640^2</f>
        <v>0.56857529263756246</v>
      </c>
      <c r="L640" s="96">
        <f t="shared" ref="L640:L648" si="204">I640*J640</f>
        <v>-0.15113002906459852</v>
      </c>
      <c r="N640" t="s">
        <v>12</v>
      </c>
      <c r="O640" s="51">
        <f>L649*B650-2*I649*J649</f>
        <v>0.10687007040116869</v>
      </c>
      <c r="Q640" s="94">
        <f t="array" ref="Q640:R648">MMULT(F640:G648,N644:O645)</f>
        <v>-0.11032755883200285</v>
      </c>
      <c r="R640" s="96">
        <v>-0.88897525940330335</v>
      </c>
    </row>
    <row r="641" spans="1:18" x14ac:dyDescent="0.35">
      <c r="A641" s="113">
        <v>-0.79508802176313875</v>
      </c>
      <c r="B641" s="114">
        <v>0.60012428198833956</v>
      </c>
      <c r="C641" s="114">
        <v>8.4109065357871285E-2</v>
      </c>
      <c r="D641" s="115">
        <v>2.472951559137037E-2</v>
      </c>
      <c r="F641" s="30">
        <f>INDEX(A641:D649,,F639)</f>
        <v>-0.79508802176313875</v>
      </c>
      <c r="G641" s="26">
        <f>INDEX(A640:D648,,G639)</f>
        <v>0.60012428198833956</v>
      </c>
      <c r="I641" s="30">
        <f t="shared" ref="I641:I648" si="205">F641^2-G641^2</f>
        <v>0.27201580851920132</v>
      </c>
      <c r="J641">
        <f t="shared" ref="J641:J648" si="206">2*F641*G641</f>
        <v>-0.95430325635626589</v>
      </c>
      <c r="K641">
        <f t="shared" ref="K641:K648" si="207">I641^2-J641^2</f>
        <v>-0.83670210500781816</v>
      </c>
      <c r="L641" s="26">
        <f t="shared" si="204"/>
        <v>-0.25958557185025632</v>
      </c>
      <c r="N641" t="s">
        <v>255</v>
      </c>
      <c r="O641" s="52">
        <f>K649*B650-(I649^2-J649^2)</f>
        <v>20.217246715610734</v>
      </c>
      <c r="Q641" s="30">
        <v>-0.79429425822990141</v>
      </c>
      <c r="R641" s="26">
        <v>0.60117447344864228</v>
      </c>
    </row>
    <row r="642" spans="1:18" x14ac:dyDescent="0.35">
      <c r="A642" s="113">
        <v>-0.98395809367916109</v>
      </c>
      <c r="B642" s="114">
        <v>-0.11933525514004363</v>
      </c>
      <c r="C642" s="114">
        <v>0.1130642006527183</v>
      </c>
      <c r="D642" s="115">
        <v>-6.9296849096437865E-2</v>
      </c>
      <c r="F642" s="30">
        <f>INDEX(A642:D650,,F639)</f>
        <v>-0.98395809367916109</v>
      </c>
      <c r="G642" s="26">
        <f>INDEX(A640:D648,,G639)</f>
        <v>-0.11933525514004363</v>
      </c>
      <c r="I642" s="30">
        <f t="shared" si="205"/>
        <v>0.95393262699738945</v>
      </c>
      <c r="J642">
        <f t="shared" si="206"/>
        <v>0.23484178031262729</v>
      </c>
      <c r="K642">
        <f t="shared" si="207"/>
        <v>0.85483679506973631</v>
      </c>
      <c r="L642" s="26">
        <f t="shared" si="204"/>
        <v>0.22402323642236835</v>
      </c>
      <c r="N642" t="s">
        <v>256</v>
      </c>
      <c r="O642" s="53">
        <f>0.25*ATAN(O640/O641)</f>
        <v>1.3215087656201733E-3</v>
      </c>
      <c r="Q642" s="30">
        <v>-0.98411493703406649</v>
      </c>
      <c r="R642" s="26">
        <v>-0.11803484207005767</v>
      </c>
    </row>
    <row r="643" spans="1:18" x14ac:dyDescent="0.35">
      <c r="A643" s="113">
        <v>-5.2042189518101155E-2</v>
      </c>
      <c r="B643" s="114">
        <v>2.0768679640605393E-3</v>
      </c>
      <c r="C643" s="114">
        <v>8.1355278412642659E-2</v>
      </c>
      <c r="D643" s="115">
        <v>-0.99532337247952907</v>
      </c>
      <c r="F643" s="30">
        <f>INDEX(A643:D651,,F639)</f>
        <v>-5.2042189518101155E-2</v>
      </c>
      <c r="G643" s="26">
        <f>INDEX(A640:D648,,G639)</f>
        <v>2.0768679640605393E-3</v>
      </c>
      <c r="I643" s="30">
        <f t="shared" si="205"/>
        <v>2.704076109297817E-3</v>
      </c>
      <c r="J643">
        <f t="shared" si="206"/>
        <v>-2.1616951237942298E-4</v>
      </c>
      <c r="K643">
        <f t="shared" si="207"/>
        <v>7.2652983467928621E-6</v>
      </c>
      <c r="L643" s="26">
        <f t="shared" si="204"/>
        <v>-5.845388139837564E-7</v>
      </c>
      <c r="Q643" s="30">
        <v>-5.2039399476826648E-2</v>
      </c>
      <c r="R643" s="26">
        <v>2.1456403401673659E-3</v>
      </c>
    </row>
    <row r="644" spans="1:18" x14ac:dyDescent="0.35">
      <c r="A644" s="113">
        <v>-0.3556671703987454</v>
      </c>
      <c r="B644" s="114">
        <v>0.11040709270996517</v>
      </c>
      <c r="C644" s="114">
        <v>0.88624964523827354</v>
      </c>
      <c r="D644" s="115">
        <v>-0.27545000289511279</v>
      </c>
      <c r="F644" s="30">
        <f>INDEX(A644:D652,,F639)</f>
        <v>-0.3556671703987454</v>
      </c>
      <c r="G644" s="26">
        <f>INDEX(A640:D648,,G639)</f>
        <v>0.11040709270996517</v>
      </c>
      <c r="I644" s="30">
        <f t="shared" si="205"/>
        <v>0.11430940997878336</v>
      </c>
      <c r="J644">
        <f t="shared" si="206"/>
        <v>-7.8536356512210526E-2</v>
      </c>
      <c r="K644">
        <f t="shared" si="207"/>
        <v>6.8986819154845443E-3</v>
      </c>
      <c r="L644" s="26">
        <f t="shared" si="204"/>
        <v>-8.9774445747941647E-3</v>
      </c>
      <c r="N644" s="94">
        <f>COS(O642)</f>
        <v>0.99999912680741831</v>
      </c>
      <c r="O644" s="96">
        <f>-N645</f>
        <v>-1.3215083809762673E-3</v>
      </c>
      <c r="Q644" s="30">
        <v>-0.35552095593447519</v>
      </c>
      <c r="R644" s="26">
        <v>0.11087701344983091</v>
      </c>
    </row>
    <row r="645" spans="1:18" x14ac:dyDescent="0.35">
      <c r="A645" s="113">
        <v>3.056796269769534E-2</v>
      </c>
      <c r="B645" s="114">
        <v>-2.2870185437140322E-2</v>
      </c>
      <c r="C645" s="114">
        <v>0.99753656461618256</v>
      </c>
      <c r="D645" s="115">
        <v>5.8850289109977146E-2</v>
      </c>
      <c r="F645" s="30">
        <f>INDEX(A645:D653,,F639)</f>
        <v>3.056796269769534E-2</v>
      </c>
      <c r="G645" s="26">
        <f>INDEX(A640:D648,,G639)</f>
        <v>-2.2870185437140322E-2</v>
      </c>
      <c r="I645" s="30">
        <f t="shared" si="205"/>
        <v>4.1135496155850855E-4</v>
      </c>
      <c r="J645">
        <f t="shared" si="206"/>
        <v>-1.398189950663761E-3</v>
      </c>
      <c r="K645">
        <f t="shared" si="207"/>
        <v>-1.7857222337383283E-6</v>
      </c>
      <c r="L645" s="26">
        <f t="shared" si="204"/>
        <v>-5.7515237340678433E-7</v>
      </c>
      <c r="N645" s="27">
        <f>SIN(O642)</f>
        <v>1.3215083809762673E-3</v>
      </c>
      <c r="O645" s="29">
        <f>N644</f>
        <v>0.99999912680741831</v>
      </c>
      <c r="Q645" s="30">
        <v>3.0537712864247411E-2</v>
      </c>
      <c r="R645" s="26">
        <v>-2.291056128595843E-2</v>
      </c>
    </row>
    <row r="646" spans="1:18" x14ac:dyDescent="0.35">
      <c r="A646" s="113">
        <v>-0.96258127467773891</v>
      </c>
      <c r="B646" s="114">
        <v>2.056918461005584E-2</v>
      </c>
      <c r="C646" s="114">
        <v>0.16692666728799771</v>
      </c>
      <c r="D646" s="115">
        <v>-0.21248455480900102</v>
      </c>
      <c r="F646" s="30">
        <f>INDEX(A646:D654,,F639)</f>
        <v>-0.96258127467773891</v>
      </c>
      <c r="G646" s="26">
        <f>INDEX(A640:D648,,G639)</f>
        <v>2.056918461005584E-2</v>
      </c>
      <c r="I646" s="30">
        <f t="shared" si="205"/>
        <v>0.9261396190046981</v>
      </c>
      <c r="J646">
        <f t="shared" si="206"/>
        <v>-3.9599023882058562E-2</v>
      </c>
      <c r="K646">
        <f t="shared" si="207"/>
        <v>0.85616651119775555</v>
      </c>
      <c r="L646" s="26">
        <f t="shared" si="204"/>
        <v>-3.667422489108766E-2</v>
      </c>
      <c r="Q646" s="30">
        <v>-0.9625532518090586</v>
      </c>
      <c r="R646" s="26">
        <v>2.1841225871053877E-2</v>
      </c>
    </row>
    <row r="647" spans="1:18" x14ac:dyDescent="0.35">
      <c r="A647" s="113">
        <v>-0.67739286485723837</v>
      </c>
      <c r="B647" s="114">
        <v>0.21917218108301842</v>
      </c>
      <c r="C647" s="114">
        <v>0.56866244969811564</v>
      </c>
      <c r="D647" s="115">
        <v>-0.41197752363830958</v>
      </c>
      <c r="F647" s="30">
        <f>INDEX(A647:D655,,F639)</f>
        <v>-0.67739286485723837</v>
      </c>
      <c r="G647" s="26">
        <f>INDEX(A640:D648,,G639)</f>
        <v>0.21917218108301842</v>
      </c>
      <c r="I647" s="30">
        <f t="shared" si="205"/>
        <v>0.41082464839880939</v>
      </c>
      <c r="J647">
        <f t="shared" si="206"/>
        <v>-0.29693134328167053</v>
      </c>
      <c r="K647">
        <f t="shared" si="207"/>
        <v>8.0608669108948094E-2</v>
      </c>
      <c r="L647" s="26">
        <f t="shared" si="204"/>
        <v>-0.12198671470227847</v>
      </c>
      <c r="Q647" s="30">
        <v>-0.67710263548863592</v>
      </c>
      <c r="R647" s="26">
        <v>0.22006717005161813</v>
      </c>
    </row>
    <row r="648" spans="1:18" x14ac:dyDescent="0.35">
      <c r="A648" s="116">
        <v>-7.2882249810603789E-2</v>
      </c>
      <c r="B648" s="117">
        <v>0.92642286065526491</v>
      </c>
      <c r="C648" s="117">
        <v>-0.20284528971474636</v>
      </c>
      <c r="D648" s="118">
        <v>-0.30867887740887212</v>
      </c>
      <c r="F648" s="27">
        <f>INDEX(A648:D656,,F639)</f>
        <v>-7.2882249810603789E-2</v>
      </c>
      <c r="G648" s="29">
        <f>INDEX(A640:D648,,G639)</f>
        <v>0.92642286065526491</v>
      </c>
      <c r="I648" s="27">
        <f t="shared" si="205"/>
        <v>-0.85294749440722906</v>
      </c>
      <c r="J648" s="28">
        <f t="shared" si="206"/>
        <v>-0.13503956472106241</v>
      </c>
      <c r="K648" s="28">
        <f t="shared" si="207"/>
        <v>0.70928374417551598</v>
      </c>
      <c r="L648" s="29">
        <f t="shared" si="204"/>
        <v>0.11518165837467302</v>
      </c>
      <c r="Q648" s="27">
        <v>-7.1657910595679983E-2</v>
      </c>
      <c r="R648" s="29">
        <v>0.92651836621364458</v>
      </c>
    </row>
    <row r="649" spans="1:18" x14ac:dyDescent="0.35">
      <c r="I649">
        <f>SUM(I640:I648)</f>
        <v>1.0487694800805665</v>
      </c>
      <c r="J649">
        <f>SUM(J640:J648)</f>
        <v>-1.0770824109136286</v>
      </c>
      <c r="K649">
        <f>SUM(K640:K648)</f>
        <v>2.239673068673298</v>
      </c>
      <c r="L649">
        <f>SUM(L640:L648)</f>
        <v>-0.23915024997716111</v>
      </c>
    </row>
    <row r="650" spans="1:18" x14ac:dyDescent="0.35">
      <c r="A650" s="12" t="s">
        <v>2</v>
      </c>
      <c r="B650">
        <f>COUNT(A640:A648)</f>
        <v>9</v>
      </c>
      <c r="I650" s="12" t="s">
        <v>16</v>
      </c>
      <c r="J650" s="12" t="s">
        <v>258</v>
      </c>
      <c r="K650" s="12" t="s">
        <v>18</v>
      </c>
      <c r="L650" s="12" t="s">
        <v>19</v>
      </c>
      <c r="N650" s="12"/>
    </row>
    <row r="652" spans="1:18" x14ac:dyDescent="0.35">
      <c r="A652">
        <v>1</v>
      </c>
      <c r="B652">
        <v>2</v>
      </c>
      <c r="C652">
        <v>3</v>
      </c>
      <c r="D652">
        <v>4</v>
      </c>
      <c r="F652">
        <v>1</v>
      </c>
      <c r="G652">
        <v>3</v>
      </c>
      <c r="I652" s="12" t="s">
        <v>251</v>
      </c>
      <c r="J652" s="12" t="s">
        <v>252</v>
      </c>
      <c r="K652" s="12" t="s">
        <v>253</v>
      </c>
      <c r="L652" s="12" t="s">
        <v>254</v>
      </c>
      <c r="Q652">
        <f>F652</f>
        <v>1</v>
      </c>
      <c r="R652">
        <f>G652</f>
        <v>3</v>
      </c>
    </row>
    <row r="653" spans="1:18" x14ac:dyDescent="0.35">
      <c r="A653" s="110">
        <f t="array" ref="A653:A661">IF(A652=$Q639,$Q640:$Q648,IF(A652=$R639,$R640:$R648,A640:A648))</f>
        <v>-0.11032755883200285</v>
      </c>
      <c r="B653" s="111">
        <f t="array" ref="B653:B661">IF(B652=$Q639,$Q640:$Q648,IF(B652=$R639,$R640:$R648,B640:B648))</f>
        <v>-0.88897525940330335</v>
      </c>
      <c r="C653" s="111">
        <f t="array" ref="C653:C661">IF(C652=$Q639,$Q640:$Q648,IF(C652=$R639,$R640:$R648,C640:C648))</f>
        <v>-0.34173129645946604</v>
      </c>
      <c r="D653" s="112">
        <f t="array" ref="D653:D661">IF(D652=$Q639,$Q640:$Q648,IF(D652=$R639,$R640:$R648,D640:D648))</f>
        <v>-0.28420158154228026</v>
      </c>
      <c r="F653" s="94">
        <f>INDEX(A653:D661,,F652)</f>
        <v>-0.11032755883200285</v>
      </c>
      <c r="G653" s="96">
        <f>INDEX(A653:D661,,G652)</f>
        <v>-0.34173129645946604</v>
      </c>
      <c r="I653" s="94">
        <f>F653^2-G653^2</f>
        <v>-0.10460810874203842</v>
      </c>
      <c r="J653" s="95">
        <f>2*F653*G653</f>
        <v>7.5404759429736692E-2</v>
      </c>
      <c r="K653" s="95">
        <f>I653^2-J653^2</f>
        <v>5.2569786699296706E-3</v>
      </c>
      <c r="L653" s="96">
        <f t="shared" ref="L653:L661" si="208">I653*J653</f>
        <v>-7.8879492740931423E-3</v>
      </c>
      <c r="N653" t="s">
        <v>12</v>
      </c>
      <c r="O653" s="51">
        <f>L662*B663-2*I662*J662</f>
        <v>4.5927584702514235E-2</v>
      </c>
      <c r="Q653" s="94">
        <f t="array" ref="Q653:R661">MMULT(F653:G661,N657:O658)</f>
        <v>-0.1104873470443937</v>
      </c>
      <c r="R653" s="96">
        <v>-0.3416796677602989</v>
      </c>
    </row>
    <row r="654" spans="1:18" x14ac:dyDescent="0.35">
      <c r="A654" s="113">
        <v>-0.79429425822990141</v>
      </c>
      <c r="B654" s="114">
        <v>0.60117447344864228</v>
      </c>
      <c r="C654" s="114">
        <v>8.4109065357871285E-2</v>
      </c>
      <c r="D654" s="115">
        <v>2.472951559137037E-2</v>
      </c>
      <c r="F654" s="30">
        <f>INDEX(A654:D662,,F652)</f>
        <v>-0.79429425822990141</v>
      </c>
      <c r="G654" s="26">
        <f>INDEX(A653:D661,,G652)</f>
        <v>8.4109065357871285E-2</v>
      </c>
      <c r="I654" s="30">
        <f t="shared" ref="I654:I661" si="209">F654^2-G654^2</f>
        <v>0.62382903378161458</v>
      </c>
      <c r="J654">
        <f t="shared" ref="J654:J661" si="210">2*F654*G654</f>
        <v>-0.13361469535768133</v>
      </c>
      <c r="K654">
        <f t="shared" ref="K654:K661" si="211">I654^2-J654^2</f>
        <v>0.37130977657337683</v>
      </c>
      <c r="L654" s="26">
        <f t="shared" si="208"/>
        <v>-8.3352726304007127E-2</v>
      </c>
      <c r="N654" t="s">
        <v>255</v>
      </c>
      <c r="O654" s="52">
        <f>K662*B663-(I662^2-J662^2)</f>
        <v>24.553891087444448</v>
      </c>
      <c r="Q654" s="30">
        <v>-0.79425484033335791</v>
      </c>
      <c r="R654" s="26">
        <v>8.4480483778183485E-2</v>
      </c>
    </row>
    <row r="655" spans="1:18" x14ac:dyDescent="0.35">
      <c r="A655" s="113">
        <v>-0.98411493703406649</v>
      </c>
      <c r="B655" s="114">
        <v>-0.11803484207005767</v>
      </c>
      <c r="C655" s="114">
        <v>0.1130642006527183</v>
      </c>
      <c r="D655" s="115">
        <v>-6.9296849096437865E-2</v>
      </c>
      <c r="F655" s="30">
        <f>INDEX(A655:D663,,F652)</f>
        <v>-0.98411493703406649</v>
      </c>
      <c r="G655" s="26">
        <f>INDEX(A653:D661,,G652)</f>
        <v>0.1130642006527183</v>
      </c>
      <c r="I655" s="30">
        <f t="shared" si="209"/>
        <v>0.95569869582432654</v>
      </c>
      <c r="J655">
        <f t="shared" si="210"/>
        <v>-0.22253633741231385</v>
      </c>
      <c r="K655">
        <f t="shared" si="211"/>
        <v>0.86383757573143138</v>
      </c>
      <c r="L655" s="26">
        <f t="shared" si="208"/>
        <v>-0.21267768743847063</v>
      </c>
      <c r="N655" t="s">
        <v>256</v>
      </c>
      <c r="O655" s="53">
        <f>0.25*ATAN(O653/O654)</f>
        <v>4.6761968374789322E-4</v>
      </c>
      <c r="Q655" s="30">
        <v>-0.98406195839293742</v>
      </c>
      <c r="R655" s="26">
        <v>0.11352437978980359</v>
      </c>
    </row>
    <row r="656" spans="1:18" x14ac:dyDescent="0.35">
      <c r="A656" s="113">
        <v>-5.2039399476826648E-2</v>
      </c>
      <c r="B656" s="114">
        <v>2.1456403401673659E-3</v>
      </c>
      <c r="C656" s="114">
        <v>8.1355278412642659E-2</v>
      </c>
      <c r="D656" s="115">
        <v>-0.99532337247952907</v>
      </c>
      <c r="F656" s="30">
        <f>INDEX(A656:D664,,F652)</f>
        <v>-5.2039399476826648E-2</v>
      </c>
      <c r="G656" s="26">
        <f>INDEX(A653:D661,,G652)</f>
        <v>8.1355278412642659E-2</v>
      </c>
      <c r="I656" s="30">
        <f t="shared" si="209"/>
        <v>-3.9105822276898549E-3</v>
      </c>
      <c r="J656">
        <f t="shared" si="210"/>
        <v>-8.4673596657279249E-3</v>
      </c>
      <c r="K656">
        <f t="shared" si="211"/>
        <v>-5.6403526349272363E-5</v>
      </c>
      <c r="L656" s="26">
        <f t="shared" si="208"/>
        <v>3.3112306224253533E-5</v>
      </c>
      <c r="Q656" s="30">
        <v>-5.2001350458970599E-2</v>
      </c>
      <c r="R656" s="26">
        <v>8.1379604164376854E-2</v>
      </c>
    </row>
    <row r="657" spans="1:18" x14ac:dyDescent="0.35">
      <c r="A657" s="113">
        <v>-0.35552095593447519</v>
      </c>
      <c r="B657" s="114">
        <v>0.11087701344983091</v>
      </c>
      <c r="C657" s="114">
        <v>0.88624964523827354</v>
      </c>
      <c r="D657" s="115">
        <v>-0.27545000289511279</v>
      </c>
      <c r="F657" s="30">
        <f>INDEX(A657:D665,,F652)</f>
        <v>-0.35552095593447519</v>
      </c>
      <c r="G657" s="26">
        <f>INDEX(A653:D661,,G652)</f>
        <v>0.88624964523827354</v>
      </c>
      <c r="I657" s="30">
        <f t="shared" si="209"/>
        <v>-0.65904328357640263</v>
      </c>
      <c r="J657">
        <f t="shared" si="210"/>
        <v>-0.63016064214340106</v>
      </c>
      <c r="K657">
        <f t="shared" si="211"/>
        <v>3.7235614720583066E-2</v>
      </c>
      <c r="L657" s="26">
        <f t="shared" si="208"/>
        <v>0.41530313877880143</v>
      </c>
      <c r="N657" s="94">
        <f>COS(O655)</f>
        <v>0.99999989066591766</v>
      </c>
      <c r="O657" s="96">
        <f>-N658</f>
        <v>-4.6761966670563678E-4</v>
      </c>
      <c r="Q657" s="30">
        <v>-0.3551064893001934</v>
      </c>
      <c r="R657" s="26">
        <v>0.88641579693190287</v>
      </c>
    </row>
    <row r="658" spans="1:18" x14ac:dyDescent="0.35">
      <c r="A658" s="113">
        <v>3.0537712864247411E-2</v>
      </c>
      <c r="B658" s="114">
        <v>-2.291056128595843E-2</v>
      </c>
      <c r="C658" s="114">
        <v>0.99753656461618256</v>
      </c>
      <c r="D658" s="115">
        <v>5.8850289109977146E-2</v>
      </c>
      <c r="F658" s="30">
        <f>INDEX(A658:D666,,F652)</f>
        <v>3.0537712864247411E-2</v>
      </c>
      <c r="G658" s="26">
        <f>INDEX(A653:D661,,G652)</f>
        <v>0.99753656461618256</v>
      </c>
      <c r="I658" s="30">
        <f t="shared" si="209"/>
        <v>-0.99414664583927614</v>
      </c>
      <c r="J658">
        <f t="shared" si="210"/>
        <v>6.0924970363673538E-2</v>
      </c>
      <c r="K658">
        <f t="shared" si="211"/>
        <v>0.98461570141966859</v>
      </c>
      <c r="L658" s="26">
        <f t="shared" si="208"/>
        <v>-6.0568354934903354E-2</v>
      </c>
      <c r="N658" s="27">
        <f>SIN(O655)</f>
        <v>4.6761966670563678E-4</v>
      </c>
      <c r="O658" s="29">
        <f>N657</f>
        <v>0.99999989066591766</v>
      </c>
      <c r="Q658" s="30">
        <v>3.1004177241307104E-2</v>
      </c>
      <c r="R658" s="26">
        <v>0.99752217551632616</v>
      </c>
    </row>
    <row r="659" spans="1:18" x14ac:dyDescent="0.35">
      <c r="A659" s="113">
        <v>-0.9625532518090586</v>
      </c>
      <c r="B659" s="114">
        <v>2.1841225871053877E-2</v>
      </c>
      <c r="C659" s="114">
        <v>0.16692666728799771</v>
      </c>
      <c r="D659" s="115">
        <v>-0.21248455480900102</v>
      </c>
      <c r="F659" s="30">
        <f>INDEX(A659:D667,,F652)</f>
        <v>-0.9625532518090586</v>
      </c>
      <c r="G659" s="26">
        <f>INDEX(A653:D661,,G652)</f>
        <v>0.16692666728799771</v>
      </c>
      <c r="I659" s="30">
        <f t="shared" si="209"/>
        <v>0.89864425031631501</v>
      </c>
      <c r="J659">
        <f t="shared" si="210"/>
        <v>-0.32135161282342201</v>
      </c>
      <c r="K659">
        <f t="shared" si="211"/>
        <v>0.70429462956235733</v>
      </c>
      <c r="L659" s="26">
        <f t="shared" si="208"/>
        <v>-0.28878077919364281</v>
      </c>
      <c r="Q659" s="30">
        <v>-0.96247508837666063</v>
      </c>
      <c r="R659" s="26">
        <v>0.16737675786802111</v>
      </c>
    </row>
    <row r="660" spans="1:18" x14ac:dyDescent="0.35">
      <c r="A660" s="113">
        <v>-0.67710263548863592</v>
      </c>
      <c r="B660" s="114">
        <v>0.22006717005161813</v>
      </c>
      <c r="C660" s="114">
        <v>0.56866244969811564</v>
      </c>
      <c r="D660" s="115">
        <v>-0.41197752363830958</v>
      </c>
      <c r="F660" s="30">
        <f>INDEX(A660:D668,,F652)</f>
        <v>-0.67710263548863592</v>
      </c>
      <c r="G660" s="26">
        <f>INDEX(A653:D661,,G652)</f>
        <v>0.56866244969811564</v>
      </c>
      <c r="I660" s="30">
        <f t="shared" si="209"/>
        <v>0.13509099728899465</v>
      </c>
      <c r="J660">
        <f t="shared" si="210"/>
        <v>-0.77008568678803591</v>
      </c>
      <c r="K660">
        <f t="shared" si="211"/>
        <v>-0.57478238744726573</v>
      </c>
      <c r="L660" s="26">
        <f t="shared" si="208"/>
        <v>-0.10403164342617614</v>
      </c>
      <c r="Q660" s="30">
        <v>-0.67683664371304486</v>
      </c>
      <c r="R660" s="26">
        <v>0.56897901403266116</v>
      </c>
    </row>
    <row r="661" spans="1:18" x14ac:dyDescent="0.35">
      <c r="A661" s="116">
        <v>-7.1657910595679983E-2</v>
      </c>
      <c r="B661" s="117">
        <v>0.92651836621364458</v>
      </c>
      <c r="C661" s="117">
        <v>-0.20284528971474636</v>
      </c>
      <c r="D661" s="118">
        <v>-0.30867887740887212</v>
      </c>
      <c r="F661" s="27">
        <f>INDEX(A661:D669,,F652)</f>
        <v>-7.1657910595679983E-2</v>
      </c>
      <c r="G661" s="29">
        <f>INDEX(A653:D661,,G652)</f>
        <v>-0.20284528971474636</v>
      </c>
      <c r="I661" s="27">
        <f t="shared" si="209"/>
        <v>-3.601135540852092E-2</v>
      </c>
      <c r="J661" s="28">
        <f t="shared" si="210"/>
        <v>2.9070939270268197E-2</v>
      </c>
      <c r="K661" s="28">
        <f t="shared" si="211"/>
        <v>4.5169820830318725E-4</v>
      </c>
      <c r="L661" s="29">
        <f t="shared" si="208"/>
        <v>-1.0468839261211559E-3</v>
      </c>
      <c r="Q661" s="27">
        <v>-7.1752757207797307E-2</v>
      </c>
      <c r="R661" s="29">
        <v>-0.2028117588885732</v>
      </c>
    </row>
    <row r="662" spans="1:18" x14ac:dyDescent="0.35">
      <c r="I662">
        <f>SUM(I653:I661)</f>
        <v>0.81554300141732283</v>
      </c>
      <c r="J662">
        <f>SUM(J653:J661)</f>
        <v>-1.9208156651269037</v>
      </c>
      <c r="K662">
        <f>SUM(K653:K661)</f>
        <v>2.392163183912035</v>
      </c>
      <c r="L662">
        <f>SUM(L653:L661)</f>
        <v>-0.3430097734123887</v>
      </c>
    </row>
    <row r="663" spans="1:18" x14ac:dyDescent="0.35">
      <c r="A663" s="12" t="s">
        <v>2</v>
      </c>
      <c r="B663">
        <f>COUNT(A653:A661)</f>
        <v>9</v>
      </c>
      <c r="I663" s="12" t="s">
        <v>16</v>
      </c>
      <c r="J663" s="12" t="s">
        <v>258</v>
      </c>
      <c r="K663" s="12" t="s">
        <v>18</v>
      </c>
      <c r="L663" s="12" t="s">
        <v>19</v>
      </c>
      <c r="N663" s="12"/>
    </row>
    <row r="665" spans="1:18" x14ac:dyDescent="0.35">
      <c r="A665">
        <v>1</v>
      </c>
      <c r="B665">
        <v>2</v>
      </c>
      <c r="C665">
        <v>3</v>
      </c>
      <c r="D665">
        <v>4</v>
      </c>
      <c r="F665">
        <v>1</v>
      </c>
      <c r="G665">
        <v>4</v>
      </c>
      <c r="I665" s="12" t="s">
        <v>251</v>
      </c>
      <c r="J665" s="12" t="s">
        <v>252</v>
      </c>
      <c r="K665" s="12" t="s">
        <v>253</v>
      </c>
      <c r="L665" s="12" t="s">
        <v>254</v>
      </c>
      <c r="Q665">
        <f>F665</f>
        <v>1</v>
      </c>
      <c r="R665">
        <f>G665</f>
        <v>4</v>
      </c>
    </row>
    <row r="666" spans="1:18" x14ac:dyDescent="0.35">
      <c r="A666" s="110">
        <f t="array" ref="A666:A674">IF(A665=$Q652,$Q653:$Q661,IF(A665=$R652,$R653:$R661,A653:A661))</f>
        <v>-0.1104873470443937</v>
      </c>
      <c r="B666" s="111">
        <f t="array" ref="B666:B674">IF(B665=$Q652,$Q653:$Q661,IF(B665=$R652,$R653:$R661,B653:B661))</f>
        <v>-0.88897525940330335</v>
      </c>
      <c r="C666" s="111">
        <f t="array" ref="C666:C674">IF(C665=$Q652,$Q653:$Q661,IF(C665=$R652,$R653:$R661,C653:C661))</f>
        <v>-0.3416796677602989</v>
      </c>
      <c r="D666" s="112">
        <f t="array" ref="D666:D674">IF(D665=$Q652,$Q653:$Q661,IF(D665=$R652,$R653:$R661,D653:D661))</f>
        <v>-0.28420158154228026</v>
      </c>
      <c r="F666" s="94">
        <f>INDEX(A666:D674,,F665)</f>
        <v>-0.1104873470443937</v>
      </c>
      <c r="G666" s="96">
        <f>INDEX(A666:D674,,G665)</f>
        <v>-0.28420158154228026</v>
      </c>
      <c r="I666" s="94">
        <f>F666^2-G666^2</f>
        <v>-6.8563085094225082E-2</v>
      </c>
      <c r="J666" s="95">
        <f>2*F666*G666</f>
        <v>6.2801357540854946E-2</v>
      </c>
      <c r="K666" s="95">
        <f>I666^2-J666^2</f>
        <v>7.568861286636518E-4</v>
      </c>
      <c r="L666" s="96">
        <f t="shared" ref="L666:L674" si="212">I666*J666</f>
        <v>-4.3058548211064914E-3</v>
      </c>
      <c r="N666" t="s">
        <v>12</v>
      </c>
      <c r="O666" s="51">
        <f>L675*B676-2*I675*J675</f>
        <v>-0.1613197086266922</v>
      </c>
      <c r="Q666" s="94">
        <f t="array" ref="Q666:R674">MMULT(F666:G674,N670:O671)</f>
        <v>-0.10998911013817315</v>
      </c>
      <c r="R666" s="96">
        <v>-0.28439477572391247</v>
      </c>
    </row>
    <row r="667" spans="1:18" x14ac:dyDescent="0.35">
      <c r="A667" s="113">
        <v>-0.79425484033335791</v>
      </c>
      <c r="B667" s="114">
        <v>0.60117447344864228</v>
      </c>
      <c r="C667" s="114">
        <v>8.4480483778183485E-2</v>
      </c>
      <c r="D667" s="115">
        <v>2.472951559137037E-2</v>
      </c>
      <c r="F667" s="30">
        <f>INDEX(A667:D675,,F665)</f>
        <v>-0.79425484033335791</v>
      </c>
      <c r="G667" s="26">
        <f>INDEX(A666:D674,,G665)</f>
        <v>2.472951559137037E-2</v>
      </c>
      <c r="I667" s="30">
        <f t="shared" ref="I667:I674" si="213">F667^2-G667^2</f>
        <v>0.63022920245158409</v>
      </c>
      <c r="J667">
        <f t="shared" ref="J667:J674" si="214">2*F667*G667</f>
        <v>-3.9283074915090317E-2</v>
      </c>
      <c r="K667">
        <f t="shared" ref="K667:K674" si="215">I667^2-J667^2</f>
        <v>0.39564568764797514</v>
      </c>
      <c r="L667" s="26">
        <f t="shared" si="212"/>
        <v>-2.4757340973583199E-2</v>
      </c>
      <c r="N667" t="s">
        <v>255</v>
      </c>
      <c r="O667" s="52">
        <f>K675*B676-(I675^2-J675^2)</f>
        <v>23.012225336309655</v>
      </c>
      <c r="Q667" s="30">
        <v>-0.79429695945395429</v>
      </c>
      <c r="R667" s="26">
        <v>2.3337534928844661E-2</v>
      </c>
    </row>
    <row r="668" spans="1:18" x14ac:dyDescent="0.35">
      <c r="A668" s="113">
        <v>-0.98406195839293742</v>
      </c>
      <c r="B668" s="114">
        <v>-0.11803484207005767</v>
      </c>
      <c r="C668" s="114">
        <v>0.11352437978980359</v>
      </c>
      <c r="D668" s="115">
        <v>-6.9296849096437865E-2</v>
      </c>
      <c r="F668" s="30">
        <f>INDEX(A668:D676,,F665)</f>
        <v>-0.98406195839293742</v>
      </c>
      <c r="G668" s="26">
        <f>INDEX(A666:D674,,G665)</f>
        <v>-6.9296849096437865E-2</v>
      </c>
      <c r="I668" s="30">
        <f t="shared" si="213"/>
        <v>0.96357588466144872</v>
      </c>
      <c r="J668">
        <f t="shared" si="214"/>
        <v>0.136384786064601</v>
      </c>
      <c r="K668">
        <f t="shared" si="215"/>
        <v>0.90987767563120658</v>
      </c>
      <c r="L668" s="26">
        <f t="shared" si="212"/>
        <v>0.13141709088656034</v>
      </c>
      <c r="N668" t="s">
        <v>256</v>
      </c>
      <c r="O668" s="53">
        <f>0.25*ATAN(O666/O667)</f>
        <v>-1.752514845842923E-3</v>
      </c>
      <c r="Q668" s="30">
        <v>-0.98393900351985486</v>
      </c>
      <c r="R668" s="26">
        <v>-7.1021324988996978E-2</v>
      </c>
    </row>
    <row r="669" spans="1:18" x14ac:dyDescent="0.35">
      <c r="A669" s="113">
        <v>-5.2001350458970599E-2</v>
      </c>
      <c r="B669" s="114">
        <v>2.1456403401673659E-3</v>
      </c>
      <c r="C669" s="114">
        <v>8.1379604164376854E-2</v>
      </c>
      <c r="D669" s="115">
        <v>-0.99532337247952907</v>
      </c>
      <c r="F669" s="30">
        <f>INDEX(A669:D677,,F665)</f>
        <v>-5.2001350458970599E-2</v>
      </c>
      <c r="G669" s="26">
        <f>INDEX(A666:D674,,G665)</f>
        <v>-0.99532337247952907</v>
      </c>
      <c r="I669" s="30">
        <f t="shared" si="213"/>
        <v>-0.98796447535446663</v>
      </c>
      <c r="J669">
        <f t="shared" si="214"/>
        <v>0.10351631902462505</v>
      </c>
      <c r="K669">
        <f t="shared" si="215"/>
        <v>0.96535817625801856</v>
      </c>
      <c r="L669" s="26">
        <f t="shared" si="212"/>
        <v>-0.10227044581578928</v>
      </c>
      <c r="Q669" s="30">
        <v>-5.0256952509107063E-2</v>
      </c>
      <c r="R669" s="26">
        <v>-0.99541297709949383</v>
      </c>
    </row>
    <row r="670" spans="1:18" x14ac:dyDescent="0.35">
      <c r="A670" s="113">
        <v>-0.3551064893001934</v>
      </c>
      <c r="B670" s="114">
        <v>0.11087701344983091</v>
      </c>
      <c r="C670" s="114">
        <v>0.88641579693190287</v>
      </c>
      <c r="D670" s="115">
        <v>-0.27545000289511279</v>
      </c>
      <c r="F670" s="30">
        <f>INDEX(A670:D678,,F665)</f>
        <v>-0.3551064893001934</v>
      </c>
      <c r="G670" s="26">
        <f>INDEX(A666:D674,,G665)</f>
        <v>-0.27545000289511279</v>
      </c>
      <c r="I670" s="30">
        <f t="shared" si="213"/>
        <v>5.0227914648190736E-2</v>
      </c>
      <c r="J670">
        <f t="shared" si="214"/>
        <v>0.19562816701162322</v>
      </c>
      <c r="K670">
        <f t="shared" si="215"/>
        <v>-3.5747536318421619E-2</v>
      </c>
      <c r="L670" s="26">
        <f t="shared" si="212"/>
        <v>9.8259948754418139E-3</v>
      </c>
      <c r="N670" s="94">
        <f>COS(O668)</f>
        <v>0.99999846434625062</v>
      </c>
      <c r="O670" s="96">
        <f>-N671</f>
        <v>1.7525139487574999E-3</v>
      </c>
      <c r="Q670" s="30">
        <v>-0.35462321400732272</v>
      </c>
      <c r="R670" s="26">
        <v>-0.276071908975076</v>
      </c>
    </row>
    <row r="671" spans="1:18" x14ac:dyDescent="0.35">
      <c r="A671" s="113">
        <v>3.1004177241307104E-2</v>
      </c>
      <c r="B671" s="114">
        <v>-2.291056128595843E-2</v>
      </c>
      <c r="C671" s="114">
        <v>0.99752217551632616</v>
      </c>
      <c r="D671" s="115">
        <v>5.8850289109977146E-2</v>
      </c>
      <c r="F671" s="30">
        <f>INDEX(A671:D679,,F665)</f>
        <v>3.1004177241307104E-2</v>
      </c>
      <c r="G671" s="26">
        <f>INDEX(A666:D674,,G665)</f>
        <v>5.8850289109977146E-2</v>
      </c>
      <c r="I671" s="30">
        <f t="shared" si="213"/>
        <v>-2.5020975219175092E-3</v>
      </c>
      <c r="J671">
        <f t="shared" si="214"/>
        <v>3.6492095885357935E-3</v>
      </c>
      <c r="K671">
        <f t="shared" si="215"/>
        <v>-7.0562386118758345E-6</v>
      </c>
      <c r="L671" s="26">
        <f t="shared" si="212"/>
        <v>-9.1306782684330219E-6</v>
      </c>
      <c r="N671" s="27">
        <f>SIN(O668)</f>
        <v>-1.7525139487574999E-3</v>
      </c>
      <c r="O671" s="29">
        <f>N670</f>
        <v>0.99999846434625062</v>
      </c>
      <c r="Q671" s="30">
        <v>3.0900993677072428E-2</v>
      </c>
      <c r="R671" s="26">
        <v>5.8904533989395158E-2</v>
      </c>
    </row>
    <row r="672" spans="1:18" x14ac:dyDescent="0.35">
      <c r="A672" s="113">
        <v>-0.96247508837666063</v>
      </c>
      <c r="B672" s="114">
        <v>2.1841225871053877E-2</v>
      </c>
      <c r="C672" s="114">
        <v>0.16737675786802111</v>
      </c>
      <c r="D672" s="115">
        <v>-0.21248455480900102</v>
      </c>
      <c r="F672" s="30">
        <f>INDEX(A672:D680,,F665)</f>
        <v>-0.96247508837666063</v>
      </c>
      <c r="G672" s="26">
        <f>INDEX(A666:D674,,G665)</f>
        <v>-0.21248455480900102</v>
      </c>
      <c r="I672" s="30">
        <f t="shared" si="213"/>
        <v>0.8812086097132813</v>
      </c>
      <c r="J672">
        <f t="shared" si="214"/>
        <v>0.4090221813369373</v>
      </c>
      <c r="K672">
        <f t="shared" si="215"/>
        <v>0.60922946900718777</v>
      </c>
      <c r="L672" s="26">
        <f t="shared" si="212"/>
        <v>0.36043386775781616</v>
      </c>
      <c r="Q672" s="30">
        <v>-0.96210122820198418</v>
      </c>
      <c r="R672" s="26">
        <v>-0.21417097952400946</v>
      </c>
    </row>
    <row r="673" spans="1:18" x14ac:dyDescent="0.35">
      <c r="A673" s="113">
        <v>-0.67683664371304486</v>
      </c>
      <c r="B673" s="114">
        <v>0.22006717005161813</v>
      </c>
      <c r="C673" s="114">
        <v>0.56897901403266116</v>
      </c>
      <c r="D673" s="115">
        <v>-0.41197752363830958</v>
      </c>
      <c r="F673" s="30">
        <f>INDEX(A673:D681,,F665)</f>
        <v>-0.67683664371304486</v>
      </c>
      <c r="G673" s="26">
        <f>INDEX(A666:D674,,G665)</f>
        <v>-0.41197752363830958</v>
      </c>
      <c r="I673" s="30">
        <f t="shared" si="213"/>
        <v>0.28838236228958525</v>
      </c>
      <c r="J673">
        <f t="shared" si="214"/>
        <v>0.55768296876913015</v>
      </c>
      <c r="K673">
        <f t="shared" si="215"/>
        <v>-0.22784590677542899</v>
      </c>
      <c r="L673" s="26">
        <f t="shared" si="212"/>
        <v>0.16082593194231073</v>
      </c>
      <c r="Q673" s="30">
        <v>-0.67611360796956443</v>
      </c>
      <c r="R673" s="26">
        <v>-0.41316305664261804</v>
      </c>
    </row>
    <row r="674" spans="1:18" x14ac:dyDescent="0.35">
      <c r="A674" s="116">
        <v>-7.1752757207797307E-2</v>
      </c>
      <c r="B674" s="117">
        <v>0.92651836621364458</v>
      </c>
      <c r="C674" s="117">
        <v>-0.2028117588885732</v>
      </c>
      <c r="D674" s="118">
        <v>-0.30867887740887212</v>
      </c>
      <c r="F674" s="27">
        <f>INDEX(A674:D682,,F665)</f>
        <v>-7.1752757207797307E-2</v>
      </c>
      <c r="G674" s="29">
        <f>INDEX(A666:D674,,G665)</f>
        <v>-0.30867887740887212</v>
      </c>
      <c r="I674" s="27">
        <f t="shared" si="213"/>
        <v>-9.0134191191480389E-2</v>
      </c>
      <c r="J674" s="28">
        <f t="shared" si="214"/>
        <v>4.4297121091788461E-2</v>
      </c>
      <c r="K674" s="28">
        <f t="shared" si="215"/>
        <v>6.1619374847217707E-3</v>
      </c>
      <c r="L674" s="29">
        <f t="shared" si="212"/>
        <v>-3.9926851817194201E-3</v>
      </c>
      <c r="Q674" s="27">
        <v>-7.121168298206082E-2</v>
      </c>
      <c r="R674" s="29">
        <v>-0.30880415109286519</v>
      </c>
    </row>
    <row r="675" spans="1:18" x14ac:dyDescent="0.35">
      <c r="I675">
        <f>SUM(I666:I674)</f>
        <v>1.6644601246020008</v>
      </c>
      <c r="J675">
        <f>SUM(J666:J674)</f>
        <v>1.4736990355130057</v>
      </c>
      <c r="K675">
        <f>SUM(K666:K674)</f>
        <v>2.6234293328253111</v>
      </c>
      <c r="L675">
        <f>SUM(L666:L674)</f>
        <v>0.52716742799166216</v>
      </c>
    </row>
    <row r="676" spans="1:18" x14ac:dyDescent="0.35">
      <c r="A676" s="12" t="s">
        <v>2</v>
      </c>
      <c r="B676">
        <f>COUNT(A666:A674)</f>
        <v>9</v>
      </c>
      <c r="I676" s="12" t="s">
        <v>16</v>
      </c>
      <c r="J676" s="12" t="s">
        <v>258</v>
      </c>
      <c r="K676" s="12" t="s">
        <v>18</v>
      </c>
      <c r="L676" s="12" t="s">
        <v>19</v>
      </c>
      <c r="N676" s="12"/>
    </row>
    <row r="678" spans="1:18" x14ac:dyDescent="0.35">
      <c r="A678">
        <v>1</v>
      </c>
      <c r="B678">
        <v>2</v>
      </c>
      <c r="C678">
        <v>3</v>
      </c>
      <c r="D678">
        <v>4</v>
      </c>
      <c r="F678">
        <v>2</v>
      </c>
      <c r="G678">
        <v>3</v>
      </c>
      <c r="I678" s="12" t="s">
        <v>251</v>
      </c>
      <c r="J678" s="12" t="s">
        <v>252</v>
      </c>
      <c r="K678" s="12" t="s">
        <v>253</v>
      </c>
      <c r="L678" s="12" t="s">
        <v>254</v>
      </c>
      <c r="Q678">
        <f>F678</f>
        <v>2</v>
      </c>
      <c r="R678">
        <f>G678</f>
        <v>3</v>
      </c>
    </row>
    <row r="679" spans="1:18" x14ac:dyDescent="0.35">
      <c r="A679" s="110">
        <f t="array" ref="A679:A687">IF(A678=$Q665,$Q666:$Q674,IF(A678=$R665,$R666:$R674,A666:A674))</f>
        <v>-0.10998911013817315</v>
      </c>
      <c r="B679" s="111">
        <f t="array" ref="B679:B687">IF(B678=$Q665,$Q666:$Q674,IF(B678=$R665,$R666:$R674,B666:B674))</f>
        <v>-0.88897525940330335</v>
      </c>
      <c r="C679" s="111">
        <f t="array" ref="C679:C687">IF(C678=$Q665,$Q666:$Q674,IF(C678=$R665,$R666:$R674,C666:C674))</f>
        <v>-0.3416796677602989</v>
      </c>
      <c r="D679" s="112">
        <f t="array" ref="D679:D687">IF(D678=$Q665,$Q666:$Q674,IF(D678=$R665,$R666:$R674,D666:D674))</f>
        <v>-0.28439477572391247</v>
      </c>
      <c r="F679" s="94">
        <f>INDEX(A679:D687,,F678)</f>
        <v>-0.88897525940330335</v>
      </c>
      <c r="G679" s="96">
        <f>INDEX(A679:D687,,G678)</f>
        <v>-0.3416796677602989</v>
      </c>
      <c r="I679" s="94">
        <f>F679^2-G679^2</f>
        <v>0.6735320164703823</v>
      </c>
      <c r="J679" s="95">
        <f>2*F679*G679</f>
        <v>0.60748954256009247</v>
      </c>
      <c r="K679" s="95">
        <f>I679^2-J679^2</f>
        <v>8.4601832890788931E-2</v>
      </c>
      <c r="L679" s="96">
        <f t="shared" ref="L679:L687" si="216">I679*J679</f>
        <v>0.40916365658516923</v>
      </c>
      <c r="N679" t="s">
        <v>12</v>
      </c>
      <c r="O679" s="51">
        <f>L688*B689-2*I688*J688</f>
        <v>-8.9260493964763987E-3</v>
      </c>
      <c r="Q679" s="94">
        <f t="array" ref="Q679:R687">MMULT(F679:G687,N683:O684)</f>
        <v>-0.88893900575676899</v>
      </c>
      <c r="R679" s="96">
        <v>-0.34177397682697513</v>
      </c>
    </row>
    <row r="680" spans="1:18" x14ac:dyDescent="0.35">
      <c r="A680" s="113">
        <v>-0.79429695945395429</v>
      </c>
      <c r="B680" s="114">
        <v>0.60117447344864228</v>
      </c>
      <c r="C680" s="114">
        <v>8.4480483778183485E-2</v>
      </c>
      <c r="D680" s="115">
        <v>2.3337534928844661E-2</v>
      </c>
      <c r="F680" s="30">
        <f>INDEX(A680:D688,,F678)</f>
        <v>0.60117447344864228</v>
      </c>
      <c r="G680" s="26">
        <f>INDEX(A679:D687,,G678)</f>
        <v>8.4480483778183485E-2</v>
      </c>
      <c r="I680" s="30">
        <f t="shared" ref="I680:I687" si="217">F680^2-G680^2</f>
        <v>0.35427379538685638</v>
      </c>
      <c r="J680">
        <f t="shared" ref="J680:J687" si="218">2*F680*G680</f>
        <v>0.10157502070407204</v>
      </c>
      <c r="K680">
        <f t="shared" ref="K680:K687" si="219">I680^2-J680^2</f>
        <v>0.11519243726677551</v>
      </c>
      <c r="L680" s="26">
        <f t="shared" si="216"/>
        <v>3.5985368101330122E-2</v>
      </c>
      <c r="N680" t="s">
        <v>255</v>
      </c>
      <c r="O680" s="52">
        <f>K688*B689-(I688^2-J688^2)</f>
        <v>21.034231086010767</v>
      </c>
      <c r="Q680" s="30">
        <v>0.60116550756862353</v>
      </c>
      <c r="R680" s="26">
        <v>8.4544261635001061E-2</v>
      </c>
    </row>
    <row r="681" spans="1:18" x14ac:dyDescent="0.35">
      <c r="A681" s="113">
        <v>-0.98393900351985486</v>
      </c>
      <c r="B681" s="114">
        <v>-0.11803484207005767</v>
      </c>
      <c r="C681" s="114">
        <v>0.11352437978980359</v>
      </c>
      <c r="D681" s="115">
        <v>-7.1021324988996978E-2</v>
      </c>
      <c r="F681" s="30">
        <f>INDEX(A681:D689,,F678)</f>
        <v>-0.11803484207005767</v>
      </c>
      <c r="G681" s="26">
        <f>INDEX(A679:D687,,G678)</f>
        <v>0.11352437978980359</v>
      </c>
      <c r="I681" s="30">
        <f t="shared" si="217"/>
        <v>1.0444391358438894E-3</v>
      </c>
      <c r="J681">
        <f t="shared" si="218"/>
        <v>-2.6799664479181428E-2</v>
      </c>
      <c r="K681">
        <f t="shared" si="219"/>
        <v>-7.1713116308821641E-4</v>
      </c>
      <c r="L681" s="26">
        <f t="shared" si="216"/>
        <v>-2.7990618409542428E-5</v>
      </c>
      <c r="N681" t="s">
        <v>256</v>
      </c>
      <c r="O681" s="53">
        <f>0.25*ATAN(O679/O680)</f>
        <v>-1.0608955497560531E-4</v>
      </c>
      <c r="Q681" s="30">
        <v>-0.11804688515672516</v>
      </c>
      <c r="R681" s="26">
        <v>0.11351185688710218</v>
      </c>
    </row>
    <row r="682" spans="1:18" x14ac:dyDescent="0.35">
      <c r="A682" s="113">
        <v>-5.0256952509107063E-2</v>
      </c>
      <c r="B682" s="114">
        <v>2.1456403401673659E-3</v>
      </c>
      <c r="C682" s="114">
        <v>8.1379604164376854E-2</v>
      </c>
      <c r="D682" s="115">
        <v>-0.99541297709949383</v>
      </c>
      <c r="F682" s="30">
        <f>INDEX(A682:D690,,F678)</f>
        <v>2.1456403401673659E-3</v>
      </c>
      <c r="G682" s="26">
        <f>INDEX(A679:D687,,G678)</f>
        <v>8.1379604164376854E-2</v>
      </c>
      <c r="I682" s="30">
        <f t="shared" si="217"/>
        <v>-6.618036201481309E-3</v>
      </c>
      <c r="J682">
        <f t="shared" si="218"/>
        <v>3.4922272312387827E-4</v>
      </c>
      <c r="K682">
        <f t="shared" si="219"/>
        <v>4.3676446653771098E-5</v>
      </c>
      <c r="L682" s="26">
        <f t="shared" si="216"/>
        <v>-2.3111686240137102E-6</v>
      </c>
      <c r="Q682" s="30">
        <v>2.1370068021190872E-3</v>
      </c>
      <c r="R682" s="26">
        <v>8.1379831336441791E-2</v>
      </c>
    </row>
    <row r="683" spans="1:18" x14ac:dyDescent="0.35">
      <c r="A683" s="113">
        <v>-0.35462321400732272</v>
      </c>
      <c r="B683" s="114">
        <v>0.11087701344983091</v>
      </c>
      <c r="C683" s="114">
        <v>0.88641579693190287</v>
      </c>
      <c r="D683" s="115">
        <v>-0.276071908975076</v>
      </c>
      <c r="F683" s="30">
        <f>INDEX(A683:D691,,F678)</f>
        <v>0.11087701344983091</v>
      </c>
      <c r="G683" s="26">
        <f>INDEX(A679:D687,,G678)</f>
        <v>0.88641579693190287</v>
      </c>
      <c r="I683" s="30">
        <f t="shared" si="217"/>
        <v>-0.77343925293886651</v>
      </c>
      <c r="J683">
        <f t="shared" si="218"/>
        <v>0.19656627247712236</v>
      </c>
      <c r="K683">
        <f t="shared" si="219"/>
        <v>0.55956997851108159</v>
      </c>
      <c r="L683" s="26">
        <f t="shared" si="216"/>
        <v>-0.1520320709376832</v>
      </c>
      <c r="N683" s="94">
        <f>COS(O681)</f>
        <v>0.9999999943725032</v>
      </c>
      <c r="O683" s="96">
        <f>-N684</f>
        <v>1.060895547765991E-4</v>
      </c>
      <c r="Q683" s="30">
        <v>0.11078297336862741</v>
      </c>
      <c r="R683" s="26">
        <v>0.88642755483659263</v>
      </c>
    </row>
    <row r="684" spans="1:18" x14ac:dyDescent="0.35">
      <c r="A684" s="113">
        <v>3.0900993677072428E-2</v>
      </c>
      <c r="B684" s="114">
        <v>-2.291056128595843E-2</v>
      </c>
      <c r="C684" s="114">
        <v>0.99752217551632616</v>
      </c>
      <c r="D684" s="115">
        <v>5.8904533989395158E-2</v>
      </c>
      <c r="F684" s="30">
        <f>INDEX(A684:D692,,F678)</f>
        <v>-2.291056128595843E-2</v>
      </c>
      <c r="G684" s="26">
        <f>INDEX(A679:D687,,G678)</f>
        <v>0.99752217551632616</v>
      </c>
      <c r="I684" s="30">
        <f t="shared" si="217"/>
        <v>-0.99452559682838648</v>
      </c>
      <c r="J684">
        <f t="shared" si="218"/>
        <v>-4.5707585872538745E-2</v>
      </c>
      <c r="K684">
        <f t="shared" si="219"/>
        <v>0.98699197934056282</v>
      </c>
      <c r="L684" s="26">
        <f t="shared" si="216"/>
        <v>4.5457364119471322E-2</v>
      </c>
      <c r="N684" s="27">
        <f>SIN(O681)</f>
        <v>-1.060895547765991E-4</v>
      </c>
      <c r="O684" s="29">
        <f>N683</f>
        <v>0.9999999943725032</v>
      </c>
      <c r="Q684" s="30">
        <v>-2.301638784050963E-2</v>
      </c>
      <c r="R684" s="26">
        <v>0.99751973933152682</v>
      </c>
    </row>
    <row r="685" spans="1:18" x14ac:dyDescent="0.35">
      <c r="A685" s="113">
        <v>-0.96210122820198418</v>
      </c>
      <c r="B685" s="114">
        <v>2.1841225871053877E-2</v>
      </c>
      <c r="C685" s="114">
        <v>0.16737675786802111</v>
      </c>
      <c r="D685" s="115">
        <v>-0.21417097952400946</v>
      </c>
      <c r="F685" s="30">
        <f>INDEX(A685:D693,,F678)</f>
        <v>2.1841225871053877E-2</v>
      </c>
      <c r="G685" s="26">
        <f>INDEX(A679:D687,,G678)</f>
        <v>0.16737675786802111</v>
      </c>
      <c r="I685" s="30">
        <f t="shared" si="217"/>
        <v>-2.7537939926859774E-2</v>
      </c>
      <c r="J685">
        <f t="shared" si="218"/>
        <v>7.3114271483202863E-3</v>
      </c>
      <c r="K685">
        <f t="shared" si="219"/>
        <v>7.0488116847014276E-4</v>
      </c>
      <c r="L685" s="26">
        <f t="shared" si="216"/>
        <v>-2.013416415900557E-4</v>
      </c>
      <c r="Q685" s="30">
        <v>2.182346882242028E-2</v>
      </c>
      <c r="R685" s="26">
        <v>0.16737907405203739</v>
      </c>
    </row>
    <row r="686" spans="1:18" x14ac:dyDescent="0.35">
      <c r="A686" s="113">
        <v>-0.67611360796956443</v>
      </c>
      <c r="B686" s="114">
        <v>0.22006717005161813</v>
      </c>
      <c r="C686" s="114">
        <v>0.56897901403266116</v>
      </c>
      <c r="D686" s="115">
        <v>-0.41316305664261804</v>
      </c>
      <c r="F686" s="30">
        <f>INDEX(A686:D694,,F678)</f>
        <v>0.22006717005161813</v>
      </c>
      <c r="G686" s="26">
        <f>INDEX(A679:D687,,G678)</f>
        <v>0.56897901403266116</v>
      </c>
      <c r="I686" s="30">
        <f t="shared" si="217"/>
        <v>-0.27530755907505139</v>
      </c>
      <c r="J686">
        <f t="shared" si="218"/>
        <v>0.25042720287385534</v>
      </c>
      <c r="K686">
        <f t="shared" si="219"/>
        <v>1.3080468144639812E-2</v>
      </c>
      <c r="L686" s="26">
        <f t="shared" si="216"/>
        <v>-6.8944501949193812E-2</v>
      </c>
      <c r="Q686" s="30">
        <v>0.22000680608291487</v>
      </c>
      <c r="R686" s="26">
        <v>0.56900235765882523</v>
      </c>
    </row>
    <row r="687" spans="1:18" x14ac:dyDescent="0.35">
      <c r="A687" s="116">
        <v>-7.121168298206082E-2</v>
      </c>
      <c r="B687" s="117">
        <v>0.92651836621364458</v>
      </c>
      <c r="C687" s="117">
        <v>-0.2028117588885732</v>
      </c>
      <c r="D687" s="118">
        <v>-0.30880415109286519</v>
      </c>
      <c r="F687" s="27">
        <f>INDEX(A687:D695,,F678)</f>
        <v>0.92651836621364458</v>
      </c>
      <c r="G687" s="29">
        <f>INDEX(A679:D687,,G678)</f>
        <v>-0.2028117588885732</v>
      </c>
      <c r="I687" s="27">
        <f t="shared" si="217"/>
        <v>0.81730367338772447</v>
      </c>
      <c r="J687" s="28">
        <f t="shared" si="218"/>
        <v>-0.3758176389887129</v>
      </c>
      <c r="K687" s="28">
        <f t="shared" si="219"/>
        <v>0.52674639675801771</v>
      </c>
      <c r="L687" s="29">
        <f t="shared" si="216"/>
        <v>-0.30715713686937673</v>
      </c>
      <c r="Q687" s="27">
        <v>0.92653987720886943</v>
      </c>
      <c r="R687" s="29">
        <v>-0.20271346382628672</v>
      </c>
    </row>
    <row r="688" spans="1:18" x14ac:dyDescent="0.35">
      <c r="I688">
        <f>SUM(I679:I687)</f>
        <v>-0.23127446058983858</v>
      </c>
      <c r="J688">
        <f>SUM(J679:J687)</f>
        <v>0.7153937991461532</v>
      </c>
      <c r="K688">
        <f>SUM(K679:K687)</f>
        <v>2.2862145193639023</v>
      </c>
      <c r="L688">
        <f>SUM(L679:L687)</f>
        <v>-3.775896437890669E-2</v>
      </c>
    </row>
    <row r="689" spans="1:18" x14ac:dyDescent="0.35">
      <c r="A689" s="12" t="s">
        <v>2</v>
      </c>
      <c r="B689">
        <f>COUNT(A679:A687)</f>
        <v>9</v>
      </c>
      <c r="I689" s="12" t="s">
        <v>16</v>
      </c>
      <c r="J689" s="12" t="s">
        <v>258</v>
      </c>
      <c r="K689" s="12" t="s">
        <v>18</v>
      </c>
      <c r="L689" s="12" t="s">
        <v>19</v>
      </c>
      <c r="N689" s="12"/>
    </row>
    <row r="691" spans="1:18" x14ac:dyDescent="0.35">
      <c r="A691">
        <v>1</v>
      </c>
      <c r="B691">
        <v>2</v>
      </c>
      <c r="C691">
        <v>3</v>
      </c>
      <c r="D691">
        <v>4</v>
      </c>
      <c r="F691">
        <v>2</v>
      </c>
      <c r="G691">
        <v>4</v>
      </c>
      <c r="I691" s="12" t="s">
        <v>251</v>
      </c>
      <c r="J691" s="12" t="s">
        <v>252</v>
      </c>
      <c r="K691" s="12" t="s">
        <v>253</v>
      </c>
      <c r="L691" s="12" t="s">
        <v>254</v>
      </c>
      <c r="Q691">
        <f>F691</f>
        <v>2</v>
      </c>
      <c r="R691">
        <f>G691</f>
        <v>4</v>
      </c>
    </row>
    <row r="692" spans="1:18" x14ac:dyDescent="0.35">
      <c r="A692" s="110">
        <f t="array" ref="A692:A700">IF(A691=$Q678,$Q679:$Q687,IF(A691=$R678,$R679:$R687,A679:A687))</f>
        <v>-0.10998911013817315</v>
      </c>
      <c r="B692" s="111">
        <f t="array" ref="B692:B700">IF(B691=$Q678,$Q679:$Q687,IF(B691=$R678,$R679:$R687,B679:B687))</f>
        <v>-0.88893900575676899</v>
      </c>
      <c r="C692" s="111">
        <f t="array" ref="C692:C700">IF(C691=$Q678,$Q679:$Q687,IF(C691=$R678,$R679:$R687,C679:C687))</f>
        <v>-0.34177397682697513</v>
      </c>
      <c r="D692" s="112">
        <f t="array" ref="D692:D700">IF(D691=$Q678,$Q679:$Q687,IF(D691=$R678,$R679:$R687,D679:D687))</f>
        <v>-0.28439477572391247</v>
      </c>
      <c r="F692" s="94">
        <f>INDEX(A692:D700,,F691)</f>
        <v>-0.88893900575676899</v>
      </c>
      <c r="G692" s="96">
        <f>INDEX(A692:D700,,G691)</f>
        <v>-0.28439477572391247</v>
      </c>
      <c r="I692" s="94">
        <f>F692^2-G692^2</f>
        <v>0.70933216749677852</v>
      </c>
      <c r="J692" s="95">
        <f>2*F692*G692</f>
        <v>0.50561921834886814</v>
      </c>
      <c r="K692" s="95">
        <f>I692^2-J692^2</f>
        <v>0.2475013298819575</v>
      </c>
      <c r="L692" s="96">
        <f t="shared" ref="L692:L700" si="220">I692*J692</f>
        <v>0.35865197607942956</v>
      </c>
      <c r="N692" t="s">
        <v>12</v>
      </c>
      <c r="O692" s="51">
        <f>L701*B702-2*I701*J701</f>
        <v>1.4029794242104654E-2</v>
      </c>
      <c r="Q692" s="94">
        <f t="array" ref="Q692:R700">MMULT(F692:G700,N696:O697)</f>
        <v>-0.88900983860589411</v>
      </c>
      <c r="R692" s="96">
        <v>-0.28417327685201044</v>
      </c>
    </row>
    <row r="693" spans="1:18" x14ac:dyDescent="0.35">
      <c r="A693" s="113">
        <v>-0.79429695945395429</v>
      </c>
      <c r="B693" s="114">
        <v>0.60116550756862353</v>
      </c>
      <c r="C693" s="114">
        <v>8.4544261635001061E-2</v>
      </c>
      <c r="D693" s="115">
        <v>2.3337534928844661E-2</v>
      </c>
      <c r="F693" s="30">
        <f>INDEX(A693:D701,,F691)</f>
        <v>0.60116550756862353</v>
      </c>
      <c r="G693" s="26">
        <f>INDEX(A692:D700,,G691)</f>
        <v>2.3337534928844661E-2</v>
      </c>
      <c r="I693" s="30">
        <f t="shared" ref="I693:I700" si="221">F693^2-G693^2</f>
        <v>0.36085532695368566</v>
      </c>
      <c r="J693">
        <f t="shared" ref="J693:J700" si="222">2*F693*G693</f>
        <v>2.8059442061798761E-2</v>
      </c>
      <c r="K693">
        <f t="shared" ref="K693:K700" si="223">I693^2-J693^2</f>
        <v>0.12942923470203194</v>
      </c>
      <c r="L693" s="26">
        <f t="shared" si="220"/>
        <v>1.0125399139348392E-2</v>
      </c>
      <c r="N693" t="s">
        <v>255</v>
      </c>
      <c r="O693" s="52">
        <f>K701*B702-(I701^2-J701^2)</f>
        <v>14.076961270235655</v>
      </c>
      <c r="Q693" s="30">
        <v>0.60117130374064143</v>
      </c>
      <c r="R693" s="26">
        <v>2.3187746453098766E-2</v>
      </c>
    </row>
    <row r="694" spans="1:18" x14ac:dyDescent="0.35">
      <c r="A694" s="113">
        <v>-0.98393900351985486</v>
      </c>
      <c r="B694" s="114">
        <v>-0.11804688515672516</v>
      </c>
      <c r="C694" s="114">
        <v>0.11351185688710218</v>
      </c>
      <c r="D694" s="115">
        <v>-7.1021324988996978E-2</v>
      </c>
      <c r="F694" s="30">
        <f>INDEX(A694:D702,,F691)</f>
        <v>-0.11804688515672516</v>
      </c>
      <c r="G694" s="26">
        <f>INDEX(A692:D700,,G691)</f>
        <v>-7.1021324988996978E-2</v>
      </c>
      <c r="I694" s="30">
        <f t="shared" si="221"/>
        <v>8.8910384920123341E-3</v>
      </c>
      <c r="J694">
        <f t="shared" si="222"/>
        <v>1.6767692389309162E-2</v>
      </c>
      <c r="K694">
        <f t="shared" si="223"/>
        <v>-2.0210494259605141E-4</v>
      </c>
      <c r="L694" s="26">
        <f t="shared" si="220"/>
        <v>1.4908219845557002E-4</v>
      </c>
      <c r="N694" t="s">
        <v>256</v>
      </c>
      <c r="O694" s="53">
        <f>0.25*ATAN(O692/O693)</f>
        <v>2.4916225397417213E-4</v>
      </c>
      <c r="Q694" s="30">
        <v>-0.11806457732567333</v>
      </c>
      <c r="R694" s="26">
        <v>-7.0991909956754168E-2</v>
      </c>
    </row>
    <row r="695" spans="1:18" x14ac:dyDescent="0.35">
      <c r="A695" s="113">
        <v>-5.0256952509107063E-2</v>
      </c>
      <c r="B695" s="114">
        <v>2.1370068021190872E-3</v>
      </c>
      <c r="C695" s="114">
        <v>8.1379831336441791E-2</v>
      </c>
      <c r="D695" s="115">
        <v>-0.99541297709949383</v>
      </c>
      <c r="F695" s="30">
        <f>INDEX(A695:D703,,F691)</f>
        <v>2.1370068021190872E-3</v>
      </c>
      <c r="G695" s="26">
        <f>INDEX(A692:D700,,G691)</f>
        <v>-0.99541297709949383</v>
      </c>
      <c r="I695" s="30">
        <f t="shared" si="221"/>
        <v>-0.99084242818000523</v>
      </c>
      <c r="J695">
        <f t="shared" si="222"/>
        <v>-4.2544086059584591E-3</v>
      </c>
      <c r="K695">
        <f t="shared" si="223"/>
        <v>0.98175061748906234</v>
      </c>
      <c r="L695" s="26">
        <f t="shared" si="220"/>
        <v>4.215448553597791E-3</v>
      </c>
      <c r="Q695" s="30">
        <v>1.8889873973414405E-3</v>
      </c>
      <c r="R695" s="26">
        <v>-0.99541347866239105</v>
      </c>
    </row>
    <row r="696" spans="1:18" x14ac:dyDescent="0.35">
      <c r="A696" s="113">
        <v>-0.35462321400732272</v>
      </c>
      <c r="B696" s="114">
        <v>0.11078297336862741</v>
      </c>
      <c r="C696" s="114">
        <v>0.88642755483659263</v>
      </c>
      <c r="D696" s="115">
        <v>-0.276071908975076</v>
      </c>
      <c r="F696" s="30">
        <f>INDEX(A696:D704,,F691)</f>
        <v>0.11078297336862741</v>
      </c>
      <c r="G696" s="26">
        <f>INDEX(A692:D700,,G691)</f>
        <v>-0.276071908975076</v>
      </c>
      <c r="I696" s="30">
        <f t="shared" si="221"/>
        <v>-6.3942831736748626E-2</v>
      </c>
      <c r="J696">
        <f t="shared" si="222"/>
        <v>-6.116813387962395E-2</v>
      </c>
      <c r="K696">
        <f t="shared" si="223"/>
        <v>3.4714512819854822E-4</v>
      </c>
      <c r="L696" s="26">
        <f t="shared" si="220"/>
        <v>3.9112636923157073E-3</v>
      </c>
      <c r="N696" s="94">
        <f>COS(O694)</f>
        <v>0.99999996895908572</v>
      </c>
      <c r="O696" s="96">
        <f>-N697</f>
        <v>-2.4916225139609739E-4</v>
      </c>
      <c r="Q696" s="30">
        <v>0.11071418323143518</v>
      </c>
      <c r="R696" s="26">
        <v>-0.2760995033406124</v>
      </c>
    </row>
    <row r="697" spans="1:18" x14ac:dyDescent="0.35">
      <c r="A697" s="113">
        <v>3.0900993677072428E-2</v>
      </c>
      <c r="B697" s="114">
        <v>-2.301638784050963E-2</v>
      </c>
      <c r="C697" s="114">
        <v>0.99751973933152682</v>
      </c>
      <c r="D697" s="115">
        <v>5.8904533989395158E-2</v>
      </c>
      <c r="F697" s="30">
        <f>INDEX(A697:D705,,F691)</f>
        <v>-2.301638784050963E-2</v>
      </c>
      <c r="G697" s="26">
        <f>INDEX(A692:D700,,G691)</f>
        <v>5.8904533989395158E-2</v>
      </c>
      <c r="I697" s="30">
        <f t="shared" si="221"/>
        <v>-2.93999001528305E-3</v>
      </c>
      <c r="J697">
        <f t="shared" si="222"/>
        <v>-2.7115391997288019E-3</v>
      </c>
      <c r="K697">
        <f t="shared" si="223"/>
        <v>1.2910964582981174E-6</v>
      </c>
      <c r="L697" s="26">
        <f t="shared" si="220"/>
        <v>7.9718981732512688E-6</v>
      </c>
      <c r="N697" s="27">
        <f>SIN(O694)</f>
        <v>2.4916225139609739E-4</v>
      </c>
      <c r="O697" s="29">
        <f>N696</f>
        <v>0.99999996895908572</v>
      </c>
      <c r="Q697" s="30">
        <v>-2.3001710339753671E-2</v>
      </c>
      <c r="R697" s="26">
        <v>5.8910266975957915E-2</v>
      </c>
    </row>
    <row r="698" spans="1:18" x14ac:dyDescent="0.35">
      <c r="A698" s="113">
        <v>-0.96210122820198418</v>
      </c>
      <c r="B698" s="114">
        <v>2.182346882242028E-2</v>
      </c>
      <c r="C698" s="114">
        <v>0.16737907405203739</v>
      </c>
      <c r="D698" s="115">
        <v>-0.21417097952400946</v>
      </c>
      <c r="F698" s="30">
        <f>INDEX(A698:D706,,F691)</f>
        <v>2.182346882242028E-2</v>
      </c>
      <c r="G698" s="26">
        <f>INDEX(A692:D700,,G691)</f>
        <v>-0.21417097952400946</v>
      </c>
      <c r="I698" s="30">
        <f t="shared" si="221"/>
        <v>-4.5392944678830524E-2</v>
      </c>
      <c r="J698">
        <f t="shared" si="222"/>
        <v>-9.3479073886188653E-3</v>
      </c>
      <c r="K698">
        <f t="shared" si="223"/>
        <v>1.9731360540691731E-3</v>
      </c>
      <c r="L698" s="26">
        <f t="shared" si="220"/>
        <v>4.2432904295440727E-4</v>
      </c>
      <c r="Q698" s="30">
        <v>2.1770104821557945E-2</v>
      </c>
      <c r="R698" s="26">
        <v>-0.21417641046057151</v>
      </c>
    </row>
    <row r="699" spans="1:18" x14ac:dyDescent="0.35">
      <c r="A699" s="113">
        <v>-0.67611360796956443</v>
      </c>
      <c r="B699" s="114">
        <v>0.22000680608291487</v>
      </c>
      <c r="C699" s="114">
        <v>0.56900235765882523</v>
      </c>
      <c r="D699" s="115">
        <v>-0.41316305664261804</v>
      </c>
      <c r="F699" s="30">
        <f>INDEX(A699:D707,,F691)</f>
        <v>0.22000680608291487</v>
      </c>
      <c r="G699" s="26">
        <f>INDEX(A692:D700,,G691)</f>
        <v>-0.41316305664261804</v>
      </c>
      <c r="I699" s="30">
        <f t="shared" si="221"/>
        <v>-0.1223007166514659</v>
      </c>
      <c r="J699">
        <f t="shared" si="222"/>
        <v>-0.18179736896679369</v>
      </c>
      <c r="K699">
        <f t="shared" si="223"/>
        <v>-1.8092818069786375E-2</v>
      </c>
      <c r="L699" s="26">
        <f t="shared" si="220"/>
        <v>2.2233948509989835E-2</v>
      </c>
      <c r="Q699" s="30">
        <v>0.21990385461631567</v>
      </c>
      <c r="R699" s="26">
        <v>-0.41321786120878506</v>
      </c>
    </row>
    <row r="700" spans="1:18" x14ac:dyDescent="0.35">
      <c r="A700" s="116">
        <v>-7.121168298206082E-2</v>
      </c>
      <c r="B700" s="117">
        <v>0.92653987720886943</v>
      </c>
      <c r="C700" s="117">
        <v>-0.20271346382628672</v>
      </c>
      <c r="D700" s="118">
        <v>-0.30880415109286519</v>
      </c>
      <c r="F700" s="27">
        <f>INDEX(A700:D708,,F691)</f>
        <v>0.92653987720886943</v>
      </c>
      <c r="G700" s="29">
        <f>INDEX(A692:D700,,G691)</f>
        <v>-0.30880415109286519</v>
      </c>
      <c r="I700" s="27">
        <f t="shared" si="221"/>
        <v>0.76311614032604169</v>
      </c>
      <c r="J700" s="28">
        <f t="shared" si="222"/>
        <v>-0.57223872047034496</v>
      </c>
      <c r="K700" s="28">
        <f t="shared" si="223"/>
        <v>0.25488909042057739</v>
      </c>
      <c r="L700" s="29">
        <f t="shared" si="220"/>
        <v>-0.43668460371044232</v>
      </c>
      <c r="Q700" s="27">
        <v>0.92646290611069781</v>
      </c>
      <c r="R700" s="29">
        <v>-0.30903500026911562</v>
      </c>
    </row>
    <row r="701" spans="1:18" x14ac:dyDescent="0.35">
      <c r="I701">
        <f>SUM(I692:I700)</f>
        <v>0.61677576200618467</v>
      </c>
      <c r="J701">
        <f>SUM(J692:J700)</f>
        <v>-0.28107172571109262</v>
      </c>
      <c r="K701">
        <f>SUM(K692:K700)</f>
        <v>1.5975969217599726</v>
      </c>
      <c r="L701">
        <f>SUM(L692:L700)</f>
        <v>-3.6965184596177814E-2</v>
      </c>
    </row>
    <row r="702" spans="1:18" x14ac:dyDescent="0.35">
      <c r="A702" s="12" t="s">
        <v>2</v>
      </c>
      <c r="B702">
        <f>COUNT(A692:A700)</f>
        <v>9</v>
      </c>
      <c r="I702" s="12" t="s">
        <v>16</v>
      </c>
      <c r="J702" s="12" t="s">
        <v>258</v>
      </c>
      <c r="K702" s="12" t="s">
        <v>18</v>
      </c>
      <c r="L702" s="12" t="s">
        <v>19</v>
      </c>
      <c r="N702" s="12"/>
    </row>
    <row r="704" spans="1:18" x14ac:dyDescent="0.35">
      <c r="A704">
        <v>1</v>
      </c>
      <c r="B704">
        <v>2</v>
      </c>
      <c r="C704">
        <v>3</v>
      </c>
      <c r="D704">
        <v>4</v>
      </c>
      <c r="F704">
        <v>3</v>
      </c>
      <c r="G704">
        <v>4</v>
      </c>
      <c r="I704" s="12" t="s">
        <v>251</v>
      </c>
      <c r="J704" s="12" t="s">
        <v>252</v>
      </c>
      <c r="K704" s="12" t="s">
        <v>253</v>
      </c>
      <c r="L704" s="12" t="s">
        <v>254</v>
      </c>
      <c r="Q704">
        <f>F704</f>
        <v>3</v>
      </c>
      <c r="R704">
        <f>G704</f>
        <v>4</v>
      </c>
    </row>
    <row r="705" spans="1:18" x14ac:dyDescent="0.35">
      <c r="A705" s="110">
        <f t="array" ref="A705:A713">IF(A704=$Q691,$Q692:$Q700,IF(A704=$R691,$R692:$R700,A692:A700))</f>
        <v>-0.10998911013817315</v>
      </c>
      <c r="B705" s="111">
        <f t="array" ref="B705:B713">IF(B704=$Q691,$Q692:$Q700,IF(B704=$R691,$R692:$R700,B692:B700))</f>
        <v>-0.88900983860589411</v>
      </c>
      <c r="C705" s="111">
        <f t="array" ref="C705:C713">IF(C704=$Q691,$Q692:$Q700,IF(C704=$R691,$R692:$R700,C692:C700))</f>
        <v>-0.34177397682697513</v>
      </c>
      <c r="D705" s="112">
        <f t="array" ref="D705:D713">IF(D704=$Q691,$Q692:$Q700,IF(D704=$R691,$R692:$R700,D692:D700))</f>
        <v>-0.28417327685201044</v>
      </c>
      <c r="F705" s="94">
        <f>INDEX(A705:D713,,F704)</f>
        <v>-0.34177397682697513</v>
      </c>
      <c r="G705" s="96">
        <f>INDEX(A705:D713,,G704)</f>
        <v>-0.28417327685201044</v>
      </c>
      <c r="I705" s="94">
        <f>F705^2-G705^2</f>
        <v>3.6054999959316367E-2</v>
      </c>
      <c r="J705" s="95">
        <f>2*F705*G705</f>
        <v>0.1942460618753292</v>
      </c>
      <c r="K705" s="95">
        <f>I705^2-J705^2</f>
        <v>-3.6431569532007914E-2</v>
      </c>
      <c r="L705" s="96">
        <f t="shared" ref="L705:L713" si="224">I705*J705</f>
        <v>7.0035417530123585E-3</v>
      </c>
      <c r="N705" t="s">
        <v>12</v>
      </c>
      <c r="O705" s="51">
        <f>L714*B715-2*I714*J714</f>
        <v>2.666086876730045E-2</v>
      </c>
      <c r="Q705" s="94">
        <f t="array" ref="Q705:R713">MMULT(F705:G713,N709:O710)</f>
        <v>-0.3418841635837897</v>
      </c>
      <c r="R705" s="96">
        <v>-0.28404070342742715</v>
      </c>
    </row>
    <row r="706" spans="1:18" x14ac:dyDescent="0.35">
      <c r="A706" s="113">
        <v>-0.79429695945395429</v>
      </c>
      <c r="B706" s="114">
        <v>0.60117130374064143</v>
      </c>
      <c r="C706" s="114">
        <v>8.4544261635001061E-2</v>
      </c>
      <c r="D706" s="115">
        <v>2.3187746453098766E-2</v>
      </c>
      <c r="F706" s="30">
        <f>INDEX(A706:D714,,F704)</f>
        <v>8.4544261635001061E-2</v>
      </c>
      <c r="G706" s="26">
        <f>INDEX(A705:D713,,G704)</f>
        <v>2.3187746453098766E-2</v>
      </c>
      <c r="I706" s="30">
        <f t="shared" ref="I706:I713" si="225">F706^2-G706^2</f>
        <v>6.6100605898343186E-3</v>
      </c>
      <c r="J706">
        <f t="shared" ref="J706:J713" si="226">2*F706*G706</f>
        <v>3.9207818057136997E-3</v>
      </c>
      <c r="K706">
        <f t="shared" ref="K706:K713" si="227">I706^2-J706^2</f>
        <v>2.8320371033265242E-5</v>
      </c>
      <c r="L706" s="26">
        <f t="shared" si="224"/>
        <v>2.5916605295287563E-5</v>
      </c>
      <c r="N706" t="s">
        <v>255</v>
      </c>
      <c r="O706" s="52">
        <f>K714*B715-(I714^2-J714^2)</f>
        <v>17.185670532142343</v>
      </c>
      <c r="Q706" s="30">
        <v>8.4553248305871506E-2</v>
      </c>
      <c r="R706" s="26">
        <v>2.3154955450320834E-2</v>
      </c>
    </row>
    <row r="707" spans="1:18" x14ac:dyDescent="0.35">
      <c r="A707" s="113">
        <v>-0.98393900351985486</v>
      </c>
      <c r="B707" s="114">
        <v>-0.11806457732567333</v>
      </c>
      <c r="C707" s="114">
        <v>0.11351185688710218</v>
      </c>
      <c r="D707" s="115">
        <v>-7.0991909956754168E-2</v>
      </c>
      <c r="F707" s="30">
        <f>INDEX(A707:D715,,F704)</f>
        <v>0.11351185688710218</v>
      </c>
      <c r="G707" s="26">
        <f>INDEX(A705:D713,,G704)</f>
        <v>-7.0991909956754168E-2</v>
      </c>
      <c r="I707" s="30">
        <f t="shared" si="225"/>
        <v>7.8450903746500739E-3</v>
      </c>
      <c r="J707">
        <f t="shared" si="226"/>
        <v>-1.6116847046306247E-2</v>
      </c>
      <c r="K707">
        <f t="shared" si="227"/>
        <v>-1.9820731572760313E-4</v>
      </c>
      <c r="L707" s="26">
        <f t="shared" si="224"/>
        <v>-1.2643812163268462E-4</v>
      </c>
      <c r="N707" t="s">
        <v>256</v>
      </c>
      <c r="O707" s="53">
        <f>0.25*ATAN(O705/O706)</f>
        <v>3.8783542558815999E-4</v>
      </c>
      <c r="Q707" s="30">
        <v>0.11348431517316339</v>
      </c>
      <c r="R707" s="26">
        <v>-7.1035928535804871E-2</v>
      </c>
    </row>
    <row r="708" spans="1:18" x14ac:dyDescent="0.35">
      <c r="A708" s="113">
        <v>-5.0256952509107063E-2</v>
      </c>
      <c r="B708" s="114">
        <v>1.8889873973414405E-3</v>
      </c>
      <c r="C708" s="114">
        <v>8.1379831336441791E-2</v>
      </c>
      <c r="D708" s="115">
        <v>-0.99541347866239105</v>
      </c>
      <c r="F708" s="30">
        <f>INDEX(A708:D716,,F704)</f>
        <v>8.1379831336441791E-2</v>
      </c>
      <c r="G708" s="26">
        <f>INDEX(A705:D713,,G704)</f>
        <v>-0.99541347866239105</v>
      </c>
      <c r="I708" s="30">
        <f t="shared" si="225"/>
        <v>-0.9842253165544147</v>
      </c>
      <c r="J708">
        <f t="shared" si="226"/>
        <v>-0.16201316200713237</v>
      </c>
      <c r="K708">
        <f t="shared" si="227"/>
        <v>0.94245120908308844</v>
      </c>
      <c r="L708" s="26">
        <f t="shared" si="224"/>
        <v>0.15945745566245154</v>
      </c>
      <c r="Q708" s="30">
        <v>8.0993768615559583E-2</v>
      </c>
      <c r="R708" s="26">
        <v>-0.9954449657799066</v>
      </c>
    </row>
    <row r="709" spans="1:18" x14ac:dyDescent="0.35">
      <c r="A709" s="113">
        <v>-0.35462321400732272</v>
      </c>
      <c r="B709" s="114">
        <v>0.11071418323143518</v>
      </c>
      <c r="C709" s="114">
        <v>0.88642755483659263</v>
      </c>
      <c r="D709" s="115">
        <v>-0.2760995033406124</v>
      </c>
      <c r="F709" s="30">
        <f>INDEX(A709:D717,,F704)</f>
        <v>0.88642755483659263</v>
      </c>
      <c r="G709" s="26">
        <f>INDEX(A705:D713,,G704)</f>
        <v>-0.2760995033406124</v>
      </c>
      <c r="I709" s="30">
        <f t="shared" si="225"/>
        <v>0.70952287422864768</v>
      </c>
      <c r="J709">
        <f t="shared" si="226"/>
        <v>-0.48948441527563336</v>
      </c>
      <c r="K709">
        <f t="shared" si="227"/>
        <v>0.26382771625595269</v>
      </c>
      <c r="L709" s="26">
        <f t="shared" si="224"/>
        <v>-0.34730038921649636</v>
      </c>
      <c r="N709" s="94">
        <f>COS(O707)</f>
        <v>0.9999999247918423</v>
      </c>
      <c r="O709" s="96">
        <f>-N710</f>
        <v>-3.8783541586536396E-4</v>
      </c>
      <c r="Q709" s="30">
        <v>0.88632040700431092</v>
      </c>
      <c r="R709" s="26">
        <v>-0.27644327057504198</v>
      </c>
    </row>
    <row r="710" spans="1:18" x14ac:dyDescent="0.35">
      <c r="A710" s="113">
        <v>3.0900993677072428E-2</v>
      </c>
      <c r="B710" s="114">
        <v>-2.3001710339753671E-2</v>
      </c>
      <c r="C710" s="114">
        <v>0.99751973933152682</v>
      </c>
      <c r="D710" s="115">
        <v>5.8910266975957915E-2</v>
      </c>
      <c r="F710" s="30">
        <f>INDEX(A710:D718,,F704)</f>
        <v>0.99751973933152682</v>
      </c>
      <c r="G710" s="26">
        <f>INDEX(A705:D713,,G704)</f>
        <v>5.8910266975957915E-2</v>
      </c>
      <c r="I710" s="30">
        <f t="shared" si="225"/>
        <v>0.99157521080085853</v>
      </c>
      <c r="J710">
        <f t="shared" si="226"/>
        <v>0.11752830831561638</v>
      </c>
      <c r="K710">
        <f t="shared" si="227"/>
        <v>0.96940849541923646</v>
      </c>
      <c r="L710" s="26">
        <f t="shared" si="224"/>
        <v>0.11653815709312561</v>
      </c>
      <c r="N710" s="27">
        <f>SIN(O707)</f>
        <v>3.8783541586536396E-4</v>
      </c>
      <c r="O710" s="29">
        <f>N709</f>
        <v>0.9999999247918423</v>
      </c>
      <c r="Q710" s="30">
        <v>0.99754251179779629</v>
      </c>
      <c r="R710" s="26">
        <v>5.8523389062487711E-2</v>
      </c>
    </row>
    <row r="711" spans="1:18" x14ac:dyDescent="0.35">
      <c r="A711" s="113">
        <v>-0.96210122820198418</v>
      </c>
      <c r="B711" s="114">
        <v>2.1770104821557945E-2</v>
      </c>
      <c r="C711" s="114">
        <v>0.16737907405203739</v>
      </c>
      <c r="D711" s="115">
        <v>-0.21417641046057151</v>
      </c>
      <c r="F711" s="30">
        <f>INDEX(A711:D719,,F704)</f>
        <v>0.16737907405203739</v>
      </c>
      <c r="G711" s="26">
        <f>INDEX(A705:D713,,G704)</f>
        <v>-0.21417641046057151</v>
      </c>
      <c r="I711" s="30">
        <f t="shared" si="225"/>
        <v>-1.7855780367257788E-2</v>
      </c>
      <c r="J711">
        <f t="shared" si="226"/>
        <v>-7.1697298533359113E-2</v>
      </c>
      <c r="K711">
        <f t="shared" si="227"/>
        <v>-4.8216737244578698E-3</v>
      </c>
      <c r="L711" s="26">
        <f t="shared" si="224"/>
        <v>1.2802112155373743E-3</v>
      </c>
      <c r="Q711" s="30">
        <v>0.16729599626654607</v>
      </c>
      <c r="R711" s="26">
        <v>-0.2142413098855504</v>
      </c>
    </row>
    <row r="712" spans="1:18" x14ac:dyDescent="0.35">
      <c r="A712" s="113">
        <v>-0.67611360796956443</v>
      </c>
      <c r="B712" s="114">
        <v>0.21990385461631567</v>
      </c>
      <c r="C712" s="114">
        <v>0.56900235765882523</v>
      </c>
      <c r="D712" s="115">
        <v>-0.41321786120878506</v>
      </c>
      <c r="F712" s="30">
        <f>INDEX(A712:D720,,F704)</f>
        <v>0.56900235765882523</v>
      </c>
      <c r="G712" s="26">
        <f>INDEX(A705:D713,,G704)</f>
        <v>-0.41321786120878506</v>
      </c>
      <c r="I712" s="30">
        <f t="shared" si="225"/>
        <v>0.15301468219933889</v>
      </c>
      <c r="J712">
        <f t="shared" si="226"/>
        <v>-0.47024387450907185</v>
      </c>
      <c r="K712">
        <f t="shared" si="227"/>
        <v>-0.19771580854473902</v>
      </c>
      <c r="L712" s="26">
        <f t="shared" si="224"/>
        <v>-7.1954217014191427E-2</v>
      </c>
      <c r="Q712" s="30">
        <v>0.56884205434416124</v>
      </c>
      <c r="R712" s="26">
        <v>-0.41343850939744198</v>
      </c>
    </row>
    <row r="713" spans="1:18" x14ac:dyDescent="0.35">
      <c r="A713" s="116">
        <v>-7.121168298206082E-2</v>
      </c>
      <c r="B713" s="117">
        <v>0.92646290611069781</v>
      </c>
      <c r="C713" s="117">
        <v>-0.20271346382628672</v>
      </c>
      <c r="D713" s="118">
        <v>-0.30903500026911562</v>
      </c>
      <c r="F713" s="27">
        <f>INDEX(A713:D721,,F704)</f>
        <v>-0.20271346382628672</v>
      </c>
      <c r="G713" s="29">
        <f>INDEX(A705:D713,,G704)</f>
        <v>-0.30903500026911562</v>
      </c>
      <c r="I713" s="27">
        <f t="shared" si="225"/>
        <v>-5.4409882974881037E-2</v>
      </c>
      <c r="J713" s="28">
        <f t="shared" si="226"/>
        <v>0.12529111069621976</v>
      </c>
      <c r="K713" s="28">
        <f t="shared" si="227"/>
        <v>-1.2737427054152144E-2</v>
      </c>
      <c r="L713" s="29">
        <f t="shared" si="224"/>
        <v>-6.8170746707741829E-3</v>
      </c>
      <c r="Q713" s="27">
        <v>-0.20283330329842689</v>
      </c>
      <c r="R713" s="29">
        <v>-0.30895635756661805</v>
      </c>
    </row>
    <row r="714" spans="1:18" x14ac:dyDescent="0.35">
      <c r="I714">
        <f>SUM(I705:I713)</f>
        <v>0.84813193825609234</v>
      </c>
      <c r="J714">
        <f>SUM(J705:J713)</f>
        <v>-0.76856933467862376</v>
      </c>
      <c r="K714">
        <f>SUM(K705:K713)</f>
        <v>1.9238110549582264</v>
      </c>
      <c r="L714">
        <f>SUM(L705:L713)</f>
        <v>-0.1418928366936725</v>
      </c>
    </row>
    <row r="715" spans="1:18" x14ac:dyDescent="0.35">
      <c r="A715" s="12" t="s">
        <v>2</v>
      </c>
      <c r="B715">
        <f>COUNT(A705:A713)</f>
        <v>9</v>
      </c>
      <c r="I715" s="12" t="s">
        <v>16</v>
      </c>
      <c r="J715" s="12" t="s">
        <v>258</v>
      </c>
      <c r="K715" s="12" t="s">
        <v>18</v>
      </c>
      <c r="L715" s="12" t="s">
        <v>19</v>
      </c>
      <c r="N715" s="12"/>
    </row>
    <row r="717" spans="1:18" x14ac:dyDescent="0.35">
      <c r="A717">
        <v>1</v>
      </c>
      <c r="B717">
        <v>2</v>
      </c>
      <c r="C717">
        <v>3</v>
      </c>
      <c r="D717">
        <v>4</v>
      </c>
      <c r="F717">
        <v>1</v>
      </c>
      <c r="G717">
        <v>2</v>
      </c>
      <c r="I717" s="12" t="s">
        <v>251</v>
      </c>
      <c r="J717" s="12" t="s">
        <v>252</v>
      </c>
      <c r="K717" s="12" t="s">
        <v>253</v>
      </c>
      <c r="L717" s="12" t="s">
        <v>254</v>
      </c>
      <c r="Q717">
        <f>F717</f>
        <v>1</v>
      </c>
      <c r="R717">
        <f>G717</f>
        <v>2</v>
      </c>
    </row>
    <row r="718" spans="1:18" x14ac:dyDescent="0.35">
      <c r="A718" s="110">
        <f t="array" ref="A718:A726">IF(A717=$Q704,$Q705:$Q713,IF(A717=$R704,$R705:$R713,A705:A713))</f>
        <v>-0.10998911013817315</v>
      </c>
      <c r="B718" s="111">
        <f t="array" ref="B718:B726">IF(B717=$Q704,$Q705:$Q713,IF(B717=$R704,$R705:$R713,B705:B713))</f>
        <v>-0.88900983860589411</v>
      </c>
      <c r="C718" s="111">
        <f t="array" ref="C718:C726">IF(C717=$Q704,$Q705:$Q713,IF(C717=$R704,$R705:$R713,C705:C713))</f>
        <v>-0.3418841635837897</v>
      </c>
      <c r="D718" s="112">
        <f t="array" ref="D718:D726">IF(D717=$Q704,$Q705:$Q713,IF(D717=$R704,$R705:$R713,D705:D713))</f>
        <v>-0.28404070342742715</v>
      </c>
      <c r="F718" s="94">
        <f>INDEX(A718:D726,,F717)</f>
        <v>-0.10998911013817315</v>
      </c>
      <c r="G718" s="96">
        <f>INDEX(A718:D726,,G717)</f>
        <v>-0.88900983860589411</v>
      </c>
      <c r="I718" s="94">
        <f>F718^2-G718^2</f>
        <v>-0.7782408887890907</v>
      </c>
      <c r="J718" s="95">
        <f>2*F718*G718</f>
        <v>0.19556280210468646</v>
      </c>
      <c r="K718" s="95">
        <f>I718^2-J718^2</f>
        <v>0.56741407141619704</v>
      </c>
      <c r="L718" s="96">
        <f t="shared" ref="L718:L726" si="228">I718*J718</f>
        <v>-0.15219496892403625</v>
      </c>
      <c r="N718" t="s">
        <v>12</v>
      </c>
      <c r="O718" s="51">
        <f>L727*B728-2*I727*J727</f>
        <v>4.8144286080394227E-2</v>
      </c>
      <c r="Q718" s="94">
        <f t="array" ref="Q718:R726">MMULT(F718:G726,N722:O723)</f>
        <v>-0.11051910364147435</v>
      </c>
      <c r="R718" s="96">
        <v>-0.88894410691412429</v>
      </c>
    </row>
    <row r="719" spans="1:18" x14ac:dyDescent="0.35">
      <c r="A719" s="113">
        <v>-0.79429695945395429</v>
      </c>
      <c r="B719" s="114">
        <v>0.60117130374064143</v>
      </c>
      <c r="C719" s="114">
        <v>8.4553248305871506E-2</v>
      </c>
      <c r="D719" s="115">
        <v>2.3154955450320834E-2</v>
      </c>
      <c r="F719" s="30">
        <f>INDEX(A719:D727,,F717)</f>
        <v>-0.79429695945395429</v>
      </c>
      <c r="G719" s="26">
        <f>INDEX(A718:D726,,G717)</f>
        <v>0.60117130374064143</v>
      </c>
      <c r="I719" s="30">
        <f t="shared" ref="I719:I726" si="229">F719^2-G719^2</f>
        <v>0.26950072335657416</v>
      </c>
      <c r="J719">
        <f t="shared" ref="J719:J726" si="230">2*F719*G719</f>
        <v>-0.95501707734432217</v>
      </c>
      <c r="K719">
        <f t="shared" ref="K719:K726" si="231">I719^2-J719^2</f>
        <v>-0.83942697812957434</v>
      </c>
      <c r="L719" s="26">
        <f t="shared" si="228"/>
        <v>-0.25737779316217613</v>
      </c>
      <c r="N719" t="s">
        <v>255</v>
      </c>
      <c r="O719" s="52">
        <f>K727*B728-(I727^2-J727^2)</f>
        <v>20.188493615567257</v>
      </c>
      <c r="Q719" s="30">
        <v>-0.79393840984561859</v>
      </c>
      <c r="R719" s="26">
        <v>0.60164474369085097</v>
      </c>
    </row>
    <row r="720" spans="1:18" x14ac:dyDescent="0.35">
      <c r="A720" s="113">
        <v>-0.98393900351985486</v>
      </c>
      <c r="B720" s="114">
        <v>-0.11806457732567333</v>
      </c>
      <c r="C720" s="114">
        <v>0.11348431517316339</v>
      </c>
      <c r="D720" s="115">
        <v>-7.1035928535804871E-2</v>
      </c>
      <c r="F720" s="30">
        <f>INDEX(A720:D728,,F717)</f>
        <v>-0.98393900351985486</v>
      </c>
      <c r="G720" s="26">
        <f>INDEX(A718:D726,,G717)</f>
        <v>-0.11806457732567333</v>
      </c>
      <c r="I720" s="30">
        <f t="shared" si="229"/>
        <v>0.95419671822855512</v>
      </c>
      <c r="J720">
        <f t="shared" si="230"/>
        <v>0.23233668512963174</v>
      </c>
      <c r="K720">
        <f t="shared" si="231"/>
        <v>0.85651104182111903</v>
      </c>
      <c r="L720" s="26">
        <f t="shared" si="228"/>
        <v>0.22169490247479576</v>
      </c>
      <c r="N720" t="s">
        <v>256</v>
      </c>
      <c r="O720" s="53">
        <f>0.25*ATAN(O718/O719)</f>
        <v>5.9618359512458266E-4</v>
      </c>
      <c r="Q720" s="30">
        <v>-0.98400921681673681</v>
      </c>
      <c r="R720" s="26">
        <v>-0.11747794808578797</v>
      </c>
    </row>
    <row r="721" spans="1:18" x14ac:dyDescent="0.35">
      <c r="A721" s="113">
        <v>-5.0256952509107063E-2</v>
      </c>
      <c r="B721" s="114">
        <v>1.8889873973414405E-3</v>
      </c>
      <c r="C721" s="114">
        <v>8.0993768615559583E-2</v>
      </c>
      <c r="D721" s="115">
        <v>-0.9954449657799066</v>
      </c>
      <c r="F721" s="30">
        <f>INDEX(A721:D729,,F717)</f>
        <v>-5.0256952509107063E-2</v>
      </c>
      <c r="G721" s="26">
        <f>INDEX(A718:D726,,G717)</f>
        <v>1.8889873973414405E-3</v>
      </c>
      <c r="I721" s="30">
        <f t="shared" si="229"/>
        <v>2.5221930021153277E-3</v>
      </c>
      <c r="J721">
        <f t="shared" si="230"/>
        <v>-1.8986949983698106E-4</v>
      </c>
      <c r="K721">
        <f t="shared" si="231"/>
        <v>6.3254071129511841E-6</v>
      </c>
      <c r="L721" s="26">
        <f t="shared" si="228"/>
        <v>-4.7888752380397099E-7</v>
      </c>
      <c r="Q721" s="30">
        <v>-5.025581739433943E-2</v>
      </c>
      <c r="R721" s="26">
        <v>1.9189494304873863E-3</v>
      </c>
    </row>
    <row r="722" spans="1:18" x14ac:dyDescent="0.35">
      <c r="A722" s="113">
        <v>-0.35462321400732272</v>
      </c>
      <c r="B722" s="114">
        <v>0.11071418323143518</v>
      </c>
      <c r="C722" s="114">
        <v>0.88632040700431092</v>
      </c>
      <c r="D722" s="115">
        <v>-0.27644327057504198</v>
      </c>
      <c r="F722" s="30">
        <f>INDEX(A722:D730,,F717)</f>
        <v>-0.35462321400732272</v>
      </c>
      <c r="G722" s="26">
        <f>INDEX(A718:D726,,G717)</f>
        <v>0.11071418323143518</v>
      </c>
      <c r="I722" s="30">
        <f t="shared" si="229"/>
        <v>0.11349999354427961</v>
      </c>
      <c r="J722">
        <f t="shared" si="230"/>
        <v>-7.8523638987454361E-2</v>
      </c>
      <c r="K722">
        <f t="shared" si="231"/>
        <v>6.7162866547194524E-3</v>
      </c>
      <c r="L722" s="26">
        <f t="shared" si="228"/>
        <v>-8.9124325181494136E-3</v>
      </c>
      <c r="N722" s="94">
        <f>COS(O720)</f>
        <v>0.99999982228256568</v>
      </c>
      <c r="O722" s="96">
        <f>-N723</f>
        <v>-5.961835598071759E-4</v>
      </c>
      <c r="Q722" s="30">
        <v>-0.35455714500871488</v>
      </c>
      <c r="R722" s="26">
        <v>0.11092558408571175</v>
      </c>
    </row>
    <row r="723" spans="1:18" x14ac:dyDescent="0.35">
      <c r="A723" s="113">
        <v>3.0900993677072428E-2</v>
      </c>
      <c r="B723" s="114">
        <v>-2.3001710339753671E-2</v>
      </c>
      <c r="C723" s="114">
        <v>0.99754251179779629</v>
      </c>
      <c r="D723" s="115">
        <v>5.8523389062487711E-2</v>
      </c>
      <c r="F723" s="30">
        <f>INDEX(A723:D731,,F717)</f>
        <v>3.0900993677072428E-2</v>
      </c>
      <c r="G723" s="26">
        <f>INDEX(A718:D726,,G717)</f>
        <v>-2.3001710339753671E-2</v>
      </c>
      <c r="I723" s="30">
        <f t="shared" si="229"/>
        <v>4.2579273167653927E-4</v>
      </c>
      <c r="J723">
        <f t="shared" si="230"/>
        <v>-1.4215514115411593E-3</v>
      </c>
      <c r="K723">
        <f t="shared" si="231"/>
        <v>-1.8395089653060931E-6</v>
      </c>
      <c r="L723" s="26">
        <f t="shared" si="228"/>
        <v>-6.0528625873875045E-7</v>
      </c>
      <c r="N723" s="27">
        <f>SIN(O720)</f>
        <v>5.961835598071759E-4</v>
      </c>
      <c r="O723" s="29">
        <f>N722</f>
        <v>0.99999982228256568</v>
      </c>
      <c r="Q723" s="30">
        <v>3.0887274943875102E-2</v>
      </c>
      <c r="R723" s="26">
        <v>-2.3020128916360703E-2</v>
      </c>
    </row>
    <row r="724" spans="1:18" x14ac:dyDescent="0.35">
      <c r="A724" s="113">
        <v>-0.96210122820198418</v>
      </c>
      <c r="B724" s="114">
        <v>2.1770104821557945E-2</v>
      </c>
      <c r="C724" s="114">
        <v>0.16729599626654607</v>
      </c>
      <c r="D724" s="115">
        <v>-0.2142413098855504</v>
      </c>
      <c r="F724" s="30">
        <f>INDEX(A724:D732,,F717)</f>
        <v>-0.96210122820198418</v>
      </c>
      <c r="G724" s="26">
        <f>INDEX(A718:D726,,G717)</f>
        <v>2.1770104821557945E-2</v>
      </c>
      <c r="I724" s="30">
        <f t="shared" si="229"/>
        <v>0.92516483584382481</v>
      </c>
      <c r="J724">
        <f t="shared" si="230"/>
        <v>-4.189008917381367E-2</v>
      </c>
      <c r="K724">
        <f t="shared" si="231"/>
        <v>0.85417519391094132</v>
      </c>
      <c r="L724" s="26">
        <f t="shared" si="228"/>
        <v>-3.875523747397451E-2</v>
      </c>
      <c r="Q724" s="30">
        <v>-0.96208807824123244</v>
      </c>
      <c r="R724" s="26">
        <v>2.2343689887755085E-2</v>
      </c>
    </row>
    <row r="725" spans="1:18" x14ac:dyDescent="0.35">
      <c r="A725" s="113">
        <v>-0.67611360796956443</v>
      </c>
      <c r="B725" s="114">
        <v>0.21990385461631567</v>
      </c>
      <c r="C725" s="114">
        <v>0.56884205434416124</v>
      </c>
      <c r="D725" s="115">
        <v>-0.41343850939744198</v>
      </c>
      <c r="F725" s="30">
        <f>INDEX(A725:D733,,F717)</f>
        <v>-0.67611360796956443</v>
      </c>
      <c r="G725" s="26">
        <f>INDEX(A718:D726,,G717)</f>
        <v>0.21990385461631567</v>
      </c>
      <c r="I725" s="30">
        <f t="shared" si="229"/>
        <v>0.40877190560650817</v>
      </c>
      <c r="J725">
        <f t="shared" si="230"/>
        <v>-0.29735997710210349</v>
      </c>
      <c r="K725">
        <f t="shared" si="231"/>
        <v>7.8671514831012507E-2</v>
      </c>
      <c r="L725" s="26">
        <f t="shared" si="228"/>
        <v>-0.12155240449113448</v>
      </c>
      <c r="Q725" s="30">
        <v>-0.67598238474952821</v>
      </c>
      <c r="R725" s="26">
        <v>0.22030690335320022</v>
      </c>
    </row>
    <row r="726" spans="1:18" x14ac:dyDescent="0.35">
      <c r="A726" s="116">
        <v>-7.121168298206082E-2</v>
      </c>
      <c r="B726" s="117">
        <v>0.92646290611069781</v>
      </c>
      <c r="C726" s="117">
        <v>-0.20283330329842689</v>
      </c>
      <c r="D726" s="118">
        <v>-0.30895635756661805</v>
      </c>
      <c r="F726" s="27">
        <f>INDEX(A726:D734,,F717)</f>
        <v>-7.121168298206082E-2</v>
      </c>
      <c r="G726" s="29">
        <f>INDEX(A718:D726,,G717)</f>
        <v>0.92646290611069781</v>
      </c>
      <c r="I726" s="27">
        <f t="shared" si="229"/>
        <v>-0.85326241260594204</v>
      </c>
      <c r="J726" s="28">
        <f t="shared" si="230"/>
        <v>-0.13194996552918759</v>
      </c>
      <c r="K726" s="28">
        <f t="shared" si="231"/>
        <v>0.71064595136295916</v>
      </c>
      <c r="L726" s="29">
        <f t="shared" si="228"/>
        <v>0.11258794593070549</v>
      </c>
      <c r="Q726" s="27">
        <v>-7.0659328373108857E-2</v>
      </c>
      <c r="R726" s="29">
        <v>0.92650519669674725</v>
      </c>
    </row>
    <row r="727" spans="1:18" x14ac:dyDescent="0.35">
      <c r="I727">
        <f>SUM(I718:I726)</f>
        <v>1.0425788609185009</v>
      </c>
      <c r="J727">
        <f>SUM(J718:J726)</f>
        <v>-1.0784526818139413</v>
      </c>
      <c r="K727">
        <f>SUM(K718:K726)</f>
        <v>2.2347115677655216</v>
      </c>
      <c r="L727">
        <f>SUM(L718:L726)</f>
        <v>-0.2445110723377521</v>
      </c>
    </row>
    <row r="728" spans="1:18" x14ac:dyDescent="0.35">
      <c r="A728" s="12" t="s">
        <v>2</v>
      </c>
      <c r="B728">
        <f>COUNT(A718:A726)</f>
        <v>9</v>
      </c>
      <c r="I728" s="12" t="s">
        <v>16</v>
      </c>
      <c r="J728" s="12" t="s">
        <v>258</v>
      </c>
      <c r="K728" s="12" t="s">
        <v>18</v>
      </c>
      <c r="L728" s="12" t="s">
        <v>19</v>
      </c>
      <c r="N728" s="12"/>
    </row>
    <row r="730" spans="1:18" x14ac:dyDescent="0.35">
      <c r="A730">
        <v>1</v>
      </c>
      <c r="B730">
        <v>2</v>
      </c>
      <c r="C730">
        <v>3</v>
      </c>
      <c r="D730">
        <v>4</v>
      </c>
      <c r="F730">
        <v>1</v>
      </c>
      <c r="G730">
        <v>3</v>
      </c>
      <c r="I730" s="12" t="s">
        <v>251</v>
      </c>
      <c r="J730" s="12" t="s">
        <v>252</v>
      </c>
      <c r="K730" s="12" t="s">
        <v>253</v>
      </c>
      <c r="L730" s="12" t="s">
        <v>254</v>
      </c>
      <c r="Q730">
        <f>F730</f>
        <v>1</v>
      </c>
      <c r="R730">
        <f>G730</f>
        <v>3</v>
      </c>
    </row>
    <row r="731" spans="1:18" x14ac:dyDescent="0.35">
      <c r="A731" s="110">
        <f t="array" ref="A731:A739">IF(A730=$Q717,$Q718:$Q726,IF(A730=$R717,$R718:$R726,A718:A726))</f>
        <v>-0.11051910364147435</v>
      </c>
      <c r="B731" s="111">
        <f t="array" ref="B731:B739">IF(B730=$Q717,$Q718:$Q726,IF(B730=$R717,$R718:$R726,B718:B726))</f>
        <v>-0.88894410691412429</v>
      </c>
      <c r="C731" s="111">
        <f t="array" ref="C731:C739">IF(C730=$Q717,$Q718:$Q726,IF(C730=$R717,$R718:$R726,C718:C726))</f>
        <v>-0.3418841635837897</v>
      </c>
      <c r="D731" s="112">
        <f t="array" ref="D731:D739">IF(D730=$Q717,$Q718:$Q726,IF(D730=$R717,$R718:$R726,D718:D726))</f>
        <v>-0.28404070342742715</v>
      </c>
      <c r="F731" s="94">
        <f>INDEX(A731:D739,,F730)</f>
        <v>-0.11051910364147435</v>
      </c>
      <c r="G731" s="96">
        <f>INDEX(A731:D739,,G730)</f>
        <v>-0.3418841635837897</v>
      </c>
      <c r="I731" s="94">
        <f>F731^2-G731^2</f>
        <v>-0.10467030903967253</v>
      </c>
      <c r="J731" s="95">
        <f>2*F731*G731</f>
        <v>7.5569462616991254E-2</v>
      </c>
      <c r="K731" s="95">
        <f>I731^2-J731^2</f>
        <v>5.2451299142397146E-3</v>
      </c>
      <c r="L731" s="96">
        <f t="shared" ref="L731:L739" si="232">I731*J731</f>
        <v>-7.9098790060824556E-3</v>
      </c>
      <c r="N731" t="s">
        <v>12</v>
      </c>
      <c r="O731" s="51">
        <f>L740*B741-2*I740*J740</f>
        <v>1.5962874417689399E-2</v>
      </c>
      <c r="Q731" s="94">
        <f t="array" ref="Q731:R739">MMULT(F731:G739,N735:O736)</f>
        <v>-0.11057466112306101</v>
      </c>
      <c r="R731" s="96">
        <v>-0.34186619882144337</v>
      </c>
    </row>
    <row r="732" spans="1:18" x14ac:dyDescent="0.35">
      <c r="A732" s="113">
        <v>-0.79393840984561859</v>
      </c>
      <c r="B732" s="114">
        <v>0.60164474369085097</v>
      </c>
      <c r="C732" s="114">
        <v>8.4553248305871506E-2</v>
      </c>
      <c r="D732" s="115">
        <v>2.3154955450320834E-2</v>
      </c>
      <c r="F732" s="30">
        <f>INDEX(A732:D740,,F730)</f>
        <v>-0.79393840984561859</v>
      </c>
      <c r="G732" s="26">
        <f>INDEX(A731:D739,,G730)</f>
        <v>8.4553248305871506E-2</v>
      </c>
      <c r="I732" s="30">
        <f t="shared" ref="I732:I739" si="233">F732^2-G732^2</f>
        <v>0.62318894682911508</v>
      </c>
      <c r="J732">
        <f t="shared" ref="J732:J739" si="234">2*F732*G732</f>
        <v>-0.13426014301449074</v>
      </c>
      <c r="K732">
        <f t="shared" ref="K732:K739" si="235">I732^2-J732^2</f>
        <v>0.3703386774477101</v>
      </c>
      <c r="L732" s="26">
        <f t="shared" si="232"/>
        <v>-8.3669437126326851E-2</v>
      </c>
      <c r="N732" t="s">
        <v>255</v>
      </c>
      <c r="O732" s="52">
        <f>K740*B741-(I740^2-J740^2)</f>
        <v>24.557042866105782</v>
      </c>
      <c r="Q732" s="30">
        <v>-0.79392465877559182</v>
      </c>
      <c r="R732" s="26">
        <v>8.4682268600481253E-2</v>
      </c>
    </row>
    <row r="733" spans="1:18" x14ac:dyDescent="0.35">
      <c r="A733" s="113">
        <v>-0.98400921681673681</v>
      </c>
      <c r="B733" s="114">
        <v>-0.11747794808578797</v>
      </c>
      <c r="C733" s="114">
        <v>0.11348431517316339</v>
      </c>
      <c r="D733" s="115">
        <v>-7.1035928535804871E-2</v>
      </c>
      <c r="F733" s="30">
        <f>INDEX(A733:D741,,F730)</f>
        <v>-0.98400921681673681</v>
      </c>
      <c r="G733" s="26">
        <f>INDEX(A731:D739,,G730)</f>
        <v>0.11348431517316339</v>
      </c>
      <c r="I733" s="30">
        <f t="shared" si="233"/>
        <v>0.95539544898996587</v>
      </c>
      <c r="J733">
        <f t="shared" si="234"/>
        <v>-0.22333922418905647</v>
      </c>
      <c r="K733">
        <f t="shared" si="235"/>
        <v>0.86290005488936883</v>
      </c>
      <c r="L733" s="26">
        <f t="shared" si="232"/>
        <v>-0.21337727837117426</v>
      </c>
      <c r="N733" t="s">
        <v>256</v>
      </c>
      <c r="O733" s="53">
        <f>0.25*ATAN(O731/O732)</f>
        <v>1.6250808633999978E-4</v>
      </c>
      <c r="Q733" s="30">
        <v>-0.98399076170463995</v>
      </c>
      <c r="R733" s="26">
        <v>0.11364422312872864</v>
      </c>
    </row>
    <row r="734" spans="1:18" x14ac:dyDescent="0.35">
      <c r="A734" s="113">
        <v>-5.025581739433943E-2</v>
      </c>
      <c r="B734" s="114">
        <v>1.9189494304873863E-3</v>
      </c>
      <c r="C734" s="114">
        <v>8.0993768615559583E-2</v>
      </c>
      <c r="D734" s="115">
        <v>-0.9954449657799066</v>
      </c>
      <c r="F734" s="30">
        <f>INDEX(A734:D742,,F730)</f>
        <v>-5.025581739433943E-2</v>
      </c>
      <c r="G734" s="26">
        <f>INDEX(A731:D739,,G730)</f>
        <v>8.0993768615559583E-2</v>
      </c>
      <c r="I734" s="30">
        <f t="shared" si="233"/>
        <v>-4.0343433725776147E-3</v>
      </c>
      <c r="J734">
        <f t="shared" si="234"/>
        <v>-8.1408160912458845E-3</v>
      </c>
      <c r="K734">
        <f t="shared" si="235"/>
        <v>-4.9996960183626998E-5</v>
      </c>
      <c r="L734" s="26">
        <f t="shared" si="232"/>
        <v>3.2842847445091038E-5</v>
      </c>
      <c r="Q734" s="30">
        <v>-5.0242654588454311E-2</v>
      </c>
      <c r="R734" s="26">
        <v>8.100193452275857E-2</v>
      </c>
    </row>
    <row r="735" spans="1:18" x14ac:dyDescent="0.35">
      <c r="A735" s="113">
        <v>-0.35455714500871488</v>
      </c>
      <c r="B735" s="114">
        <v>0.11092558408571175</v>
      </c>
      <c r="C735" s="114">
        <v>0.88632040700431092</v>
      </c>
      <c r="D735" s="115">
        <v>-0.27644327057504198</v>
      </c>
      <c r="F735" s="30">
        <f>INDEX(A735:D743,,F730)</f>
        <v>-0.35455714500871488</v>
      </c>
      <c r="G735" s="26">
        <f>INDEX(A731:D739,,G730)</f>
        <v>0.88632040700431092</v>
      </c>
      <c r="I735" s="30">
        <f t="shared" si="233"/>
        <v>-0.65985309479555654</v>
      </c>
      <c r="J735">
        <f t="shared" si="234"/>
        <v>-0.62850246614082128</v>
      </c>
      <c r="K735">
        <f t="shared" si="235"/>
        <v>4.0390756766179536E-2</v>
      </c>
      <c r="L735" s="26">
        <f t="shared" si="232"/>
        <v>0.4147192973696604</v>
      </c>
      <c r="N735" s="94">
        <f>COS(O733)</f>
        <v>0.99999998679556101</v>
      </c>
      <c r="O735" s="96">
        <f>-N736</f>
        <v>-1.6250808562472374E-4</v>
      </c>
      <c r="Q735" s="30">
        <v>-0.3544131060943943</v>
      </c>
      <c r="R735" s="26">
        <v>0.88637801370382718</v>
      </c>
    </row>
    <row r="736" spans="1:18" x14ac:dyDescent="0.35">
      <c r="A736" s="113">
        <v>3.0887274943875102E-2</v>
      </c>
      <c r="B736" s="114">
        <v>-2.3020128916360703E-2</v>
      </c>
      <c r="C736" s="114">
        <v>0.99754251179779629</v>
      </c>
      <c r="D736" s="115">
        <v>5.8523389062487711E-2</v>
      </c>
      <c r="F736" s="30">
        <f>INDEX(A736:D744,,F730)</f>
        <v>3.0887274943875102E-2</v>
      </c>
      <c r="G736" s="26">
        <f>INDEX(A731:D739,,G730)</f>
        <v>0.99754251179779629</v>
      </c>
      <c r="I736" s="30">
        <f t="shared" si="233"/>
        <v>-0.99413703909039797</v>
      </c>
      <c r="J736">
        <f t="shared" si="234"/>
        <v>6.1622739660204616E-2</v>
      </c>
      <c r="K736">
        <f t="shared" si="235"/>
        <v>0.98451109044819407</v>
      </c>
      <c r="L736" s="26">
        <f t="shared" si="232"/>
        <v>-6.1261447946434254E-2</v>
      </c>
      <c r="N736" s="27">
        <f>SIN(O733)</f>
        <v>1.6250808562472374E-4</v>
      </c>
      <c r="O736" s="29">
        <f>N735</f>
        <v>0.99999998679556101</v>
      </c>
      <c r="Q736" s="30">
        <v>3.1049383259947504E-2</v>
      </c>
      <c r="R736" s="26">
        <v>0.99753747919388569</v>
      </c>
    </row>
    <row r="737" spans="1:18" x14ac:dyDescent="0.35">
      <c r="A737" s="113">
        <v>-0.96208807824123244</v>
      </c>
      <c r="B737" s="114">
        <v>2.2343689887755085E-2</v>
      </c>
      <c r="C737" s="114">
        <v>0.16729599626654607</v>
      </c>
      <c r="D737" s="115">
        <v>-0.2142413098855504</v>
      </c>
      <c r="F737" s="30">
        <f>INDEX(A737:D745,,F730)</f>
        <v>-0.96208807824123244</v>
      </c>
      <c r="G737" s="26">
        <f>INDEX(A731:D739,,G730)</f>
        <v>0.16729599626654607</v>
      </c>
      <c r="I737" s="30">
        <f t="shared" si="233"/>
        <v>0.89762551992709161</v>
      </c>
      <c r="J737">
        <f t="shared" si="234"/>
        <v>-0.32190696709106742</v>
      </c>
      <c r="K737">
        <f t="shared" si="235"/>
        <v>0.70210747856261202</v>
      </c>
      <c r="L737" s="26">
        <f t="shared" si="232"/>
        <v>-0.28895190870327259</v>
      </c>
      <c r="Q737" s="30">
        <v>-0.9620608785853132</v>
      </c>
      <c r="R737" s="26">
        <v>0.16745234114929364</v>
      </c>
    </row>
    <row r="738" spans="1:18" x14ac:dyDescent="0.35">
      <c r="A738" s="113">
        <v>-0.67598238474952821</v>
      </c>
      <c r="B738" s="114">
        <v>0.22030690335320022</v>
      </c>
      <c r="C738" s="114">
        <v>0.56884205434416124</v>
      </c>
      <c r="D738" s="115">
        <v>-0.41343850939744198</v>
      </c>
      <c r="F738" s="30">
        <f>INDEX(A738:D746,,F730)</f>
        <v>-0.67598238474952821</v>
      </c>
      <c r="G738" s="26">
        <f>INDEX(A731:D739,,G730)</f>
        <v>0.56884205434416124</v>
      </c>
      <c r="I738" s="30">
        <f t="shared" si="233"/>
        <v>0.13337090170117349</v>
      </c>
      <c r="J738">
        <f t="shared" si="234"/>
        <v>-0.76905441688277365</v>
      </c>
      <c r="K738">
        <f t="shared" si="235"/>
        <v>-0.57365689870631886</v>
      </c>
      <c r="L738" s="26">
        <f t="shared" si="232"/>
        <v>-0.1025694810369257</v>
      </c>
      <c r="Q738" s="30">
        <v>-0.67588993439028566</v>
      </c>
      <c r="R738" s="26">
        <v>0.56895189943618274</v>
      </c>
    </row>
    <row r="739" spans="1:18" x14ac:dyDescent="0.35">
      <c r="A739" s="116">
        <v>-7.0659328373108857E-2</v>
      </c>
      <c r="B739" s="117">
        <v>0.92650519669674725</v>
      </c>
      <c r="C739" s="117">
        <v>-0.20283330329842689</v>
      </c>
      <c r="D739" s="118">
        <v>-0.30895635756661805</v>
      </c>
      <c r="F739" s="27">
        <f>INDEX(A739:D747,,F730)</f>
        <v>-7.0659328373108857E-2</v>
      </c>
      <c r="G739" s="29">
        <f>INDEX(A731:D739,,G730)</f>
        <v>-0.20283330329842689</v>
      </c>
      <c r="I739" s="27">
        <f t="shared" si="233"/>
        <v>-3.6148608240812806E-2</v>
      </c>
      <c r="J739" s="28">
        <f t="shared" si="234"/>
        <v>2.8664129965531859E-2</v>
      </c>
      <c r="K739" s="28">
        <f t="shared" si="235"/>
        <v>4.850895310668581E-4</v>
      </c>
      <c r="L739" s="29">
        <f t="shared" si="232"/>
        <v>-1.0361684046877543E-3</v>
      </c>
      <c r="Q739" s="27">
        <v>-7.069228949191203E-2</v>
      </c>
      <c r="R739" s="29">
        <v>-0.20282181790794149</v>
      </c>
    </row>
    <row r="740" spans="1:18" x14ac:dyDescent="0.35">
      <c r="I740">
        <f>SUM(I731:I739)</f>
        <v>0.81073742290832851</v>
      </c>
      <c r="J740">
        <f>SUM(J731:J739)</f>
        <v>-1.9193477011667277</v>
      </c>
      <c r="K740">
        <f>SUM(K731:K739)</f>
        <v>2.3922713818928685</v>
      </c>
      <c r="L740">
        <f>SUM(L731:L739)</f>
        <v>-0.34402346037779835</v>
      </c>
    </row>
    <row r="741" spans="1:18" x14ac:dyDescent="0.35">
      <c r="A741" s="12" t="s">
        <v>2</v>
      </c>
      <c r="B741">
        <f>COUNT(A731:A739)</f>
        <v>9</v>
      </c>
      <c r="I741" s="12" t="s">
        <v>16</v>
      </c>
      <c r="J741" s="12" t="s">
        <v>258</v>
      </c>
      <c r="K741" s="12" t="s">
        <v>18</v>
      </c>
      <c r="L741" s="12" t="s">
        <v>19</v>
      </c>
      <c r="N741" s="12"/>
    </row>
    <row r="743" spans="1:18" x14ac:dyDescent="0.35">
      <c r="A743">
        <v>1</v>
      </c>
      <c r="B743">
        <v>2</v>
      </c>
      <c r="C743">
        <v>3</v>
      </c>
      <c r="D743">
        <v>4</v>
      </c>
      <c r="F743">
        <v>1</v>
      </c>
      <c r="G743">
        <v>4</v>
      </c>
      <c r="I743" s="12" t="s">
        <v>251</v>
      </c>
      <c r="J743" s="12" t="s">
        <v>252</v>
      </c>
      <c r="K743" s="12" t="s">
        <v>253</v>
      </c>
      <c r="L743" s="12" t="s">
        <v>254</v>
      </c>
      <c r="Q743">
        <f>F743</f>
        <v>1</v>
      </c>
      <c r="R743">
        <f>G743</f>
        <v>4</v>
      </c>
    </row>
    <row r="744" spans="1:18" x14ac:dyDescent="0.35">
      <c r="A744" s="110">
        <f t="array" ref="A744:A752">IF(A743=$Q730,$Q731:$Q739,IF(A743=$R730,$R731:$R739,A731:A739))</f>
        <v>-0.11057466112306101</v>
      </c>
      <c r="B744" s="111">
        <f t="array" ref="B744:B752">IF(B743=$Q730,$Q731:$Q739,IF(B743=$R730,$R731:$R739,B731:B739))</f>
        <v>-0.88894410691412429</v>
      </c>
      <c r="C744" s="111">
        <f t="array" ref="C744:C752">IF(C743=$Q730,$Q731:$Q739,IF(C743=$R730,$R731:$R739,C731:C739))</f>
        <v>-0.34186619882144337</v>
      </c>
      <c r="D744" s="112">
        <f t="array" ref="D744:D752">IF(D743=$Q730,$Q731:$Q739,IF(D743=$R730,$R731:$R739,D731:D739))</f>
        <v>-0.28404070342742715</v>
      </c>
      <c r="F744" s="94">
        <f>INDEX(A744:D752,,F743)</f>
        <v>-0.11057466112306101</v>
      </c>
      <c r="G744" s="96">
        <f>INDEX(A744:D752,,G743)</f>
        <v>-0.28404070342742715</v>
      </c>
      <c r="I744" s="94">
        <f>F744^2-G744^2</f>
        <v>-6.8452365521067843E-2</v>
      </c>
      <c r="J744" s="95">
        <f>2*F744*G744</f>
        <v>6.2815409053287266E-2</v>
      </c>
      <c r="K744" s="95">
        <f>I744^2-J744^2</f>
        <v>7.3995073089807347E-4</v>
      </c>
      <c r="L744" s="96">
        <f t="shared" ref="L744:L752" si="236">I744*J744</f>
        <v>-4.2998633408710138E-3</v>
      </c>
      <c r="N744" t="s">
        <v>12</v>
      </c>
      <c r="O744" s="51">
        <f>L753*B754-2*I753*J753</f>
        <v>-8.0686181476231411E-2</v>
      </c>
      <c r="Q744" s="94">
        <f t="array" ref="Q744:R752">MMULT(F744:G752,N748:O749)</f>
        <v>-0.11032523013909515</v>
      </c>
      <c r="R744" s="96">
        <v>-0.28413767874180834</v>
      </c>
    </row>
    <row r="745" spans="1:18" x14ac:dyDescent="0.35">
      <c r="A745" s="113">
        <v>-0.79392465877559182</v>
      </c>
      <c r="B745" s="114">
        <v>0.60164474369085097</v>
      </c>
      <c r="C745" s="114">
        <v>8.4682268600481253E-2</v>
      </c>
      <c r="D745" s="115">
        <v>2.3154955450320834E-2</v>
      </c>
      <c r="F745" s="30">
        <f>INDEX(A745:D753,,F743)</f>
        <v>-0.79392465877559182</v>
      </c>
      <c r="G745" s="26">
        <f>INDEX(A744:D752,,G743)</f>
        <v>2.3154955450320834E-2</v>
      </c>
      <c r="I745" s="30">
        <f t="shared" ref="I745:I752" si="237">F745^2-G745^2</f>
        <v>0.62978021185003352</v>
      </c>
      <c r="J745">
        <f t="shared" ref="J745:J752" si="238">2*F745*G745</f>
        <v>-3.6766580209719998E-2</v>
      </c>
      <c r="K745">
        <f t="shared" ref="K745:K752" si="239">I745^2-J745^2</f>
        <v>0.3952713338175553</v>
      </c>
      <c r="L745" s="26">
        <f t="shared" si="236"/>
        <v>-2.3154864673478711E-2</v>
      </c>
      <c r="N745" t="s">
        <v>255</v>
      </c>
      <c r="O745" s="52">
        <f>K753*B754-(I753^2-J753^2)</f>
        <v>22.974270170257057</v>
      </c>
      <c r="Q745" s="30">
        <v>-0.79394468286400632</v>
      </c>
      <c r="R745" s="26">
        <v>2.2457878925194588E-2</v>
      </c>
    </row>
    <row r="746" spans="1:18" x14ac:dyDescent="0.35">
      <c r="A746" s="113">
        <v>-0.98399076170463995</v>
      </c>
      <c r="B746" s="114">
        <v>-0.11747794808578797</v>
      </c>
      <c r="C746" s="114">
        <v>0.11364422312872864</v>
      </c>
      <c r="D746" s="115">
        <v>-7.1035928535804871E-2</v>
      </c>
      <c r="F746" s="30">
        <f>INDEX(A746:D754,,F743)</f>
        <v>-0.98399076170463995</v>
      </c>
      <c r="G746" s="26">
        <f>INDEX(A744:D752,,G743)</f>
        <v>-7.1035928535804871E-2</v>
      </c>
      <c r="I746" s="30">
        <f t="shared" si="237"/>
        <v>0.9631917159771336</v>
      </c>
      <c r="J746">
        <f t="shared" si="238"/>
        <v>0.13979739485668602</v>
      </c>
      <c r="K746">
        <f t="shared" si="239"/>
        <v>0.90819497011825912</v>
      </c>
      <c r="L746" s="26">
        <f t="shared" si="236"/>
        <v>0.13465169264114432</v>
      </c>
      <c r="N746" t="s">
        <v>256</v>
      </c>
      <c r="O746" s="53">
        <f>0.25*ATAN(O744/O745)</f>
        <v>-8.7800231677223281E-4</v>
      </c>
      <c r="Q746" s="30">
        <v>-0.98392801272948038</v>
      </c>
      <c r="R746" s="26">
        <v>-7.1899847212889945E-2</v>
      </c>
    </row>
    <row r="747" spans="1:18" x14ac:dyDescent="0.35">
      <c r="A747" s="113">
        <v>-5.0242654588454311E-2</v>
      </c>
      <c r="B747" s="114">
        <v>1.9189494304873863E-3</v>
      </c>
      <c r="C747" s="114">
        <v>8.100193452275857E-2</v>
      </c>
      <c r="D747" s="115">
        <v>-0.9954449657799066</v>
      </c>
      <c r="F747" s="30">
        <f>INDEX(A747:D755,,F743)</f>
        <v>-5.0242654588454311E-2</v>
      </c>
      <c r="G747" s="26">
        <f>INDEX(A744:D752,,G743)</f>
        <v>-0.9954449657799066</v>
      </c>
      <c r="I747" s="30">
        <f t="shared" si="237"/>
        <v>-0.9883863555564647</v>
      </c>
      <c r="J747">
        <f t="shared" si="238"/>
        <v>0.10002759515499114</v>
      </c>
      <c r="K747">
        <f t="shared" si="239"/>
        <v>0.96690206805769952</v>
      </c>
      <c r="L747" s="26">
        <f t="shared" si="236"/>
        <v>-9.8865910230319182E-2</v>
      </c>
      <c r="Q747" s="30">
        <v>-4.9368632348843144E-2</v>
      </c>
      <c r="R747" s="26">
        <v>-0.9954886952530696</v>
      </c>
    </row>
    <row r="748" spans="1:18" x14ac:dyDescent="0.35">
      <c r="A748" s="113">
        <v>-0.3544131060943943</v>
      </c>
      <c r="B748" s="114">
        <v>0.11092558408571175</v>
      </c>
      <c r="C748" s="114">
        <v>0.88637801370382718</v>
      </c>
      <c r="D748" s="115">
        <v>-0.27644327057504198</v>
      </c>
      <c r="F748" s="30">
        <f>INDEX(A748:D756,,F743)</f>
        <v>-0.3544131060943943</v>
      </c>
      <c r="G748" s="26">
        <f>INDEX(A744:D752,,G743)</f>
        <v>-0.27644327057504198</v>
      </c>
      <c r="I748" s="30">
        <f t="shared" si="237"/>
        <v>4.9187767925250536E-2</v>
      </c>
      <c r="J748">
        <f t="shared" si="238"/>
        <v>0.19595023636678741</v>
      </c>
      <c r="K748">
        <f t="shared" si="239"/>
        <v>-3.5977058618731544E-2</v>
      </c>
      <c r="L748" s="26">
        <f t="shared" si="236"/>
        <v>9.6383547513075266E-3</v>
      </c>
      <c r="N748" s="94">
        <f>COS(O746)</f>
        <v>0.99999961455599062</v>
      </c>
      <c r="O748" s="96">
        <f>-N749</f>
        <v>8.7800220396531882E-4</v>
      </c>
      <c r="Q748" s="30">
        <v>-0.35417025168714944</v>
      </c>
      <c r="R748" s="26">
        <v>-0.27675433950990447</v>
      </c>
    </row>
    <row r="749" spans="1:18" x14ac:dyDescent="0.35">
      <c r="A749" s="113">
        <v>3.1049383259947504E-2</v>
      </c>
      <c r="B749" s="114">
        <v>-2.3020128916360703E-2</v>
      </c>
      <c r="C749" s="114">
        <v>0.99753747919388569</v>
      </c>
      <c r="D749" s="115">
        <v>5.8523389062487711E-2</v>
      </c>
      <c r="F749" s="30">
        <f>INDEX(A749:D757,,F743)</f>
        <v>3.1049383259947504E-2</v>
      </c>
      <c r="G749" s="26">
        <f>INDEX(A744:D752,,G743)</f>
        <v>5.8523389062487711E-2</v>
      </c>
      <c r="I749" s="30">
        <f t="shared" si="237"/>
        <v>-2.4609228665361982E-3</v>
      </c>
      <c r="J749">
        <f t="shared" si="238"/>
        <v>3.6342302733444018E-3</v>
      </c>
      <c r="K749">
        <f t="shared" si="239"/>
        <v>-7.1514883246521862E-6</v>
      </c>
      <c r="L749" s="26">
        <f t="shared" si="236"/>
        <v>-8.943560381931336E-6</v>
      </c>
      <c r="N749" s="27">
        <f>SIN(O746)</f>
        <v>-8.7800220396531882E-4</v>
      </c>
      <c r="O749" s="29">
        <f>N748</f>
        <v>0.99999961455599062</v>
      </c>
      <c r="Q749" s="30">
        <v>3.0997987627568349E-2</v>
      </c>
      <c r="R749" s="26">
        <v>5.8550627931931984E-2</v>
      </c>
    </row>
    <row r="750" spans="1:18" x14ac:dyDescent="0.35">
      <c r="A750" s="113">
        <v>-0.9620608785853132</v>
      </c>
      <c r="B750" s="114">
        <v>2.2343689887755085E-2</v>
      </c>
      <c r="C750" s="114">
        <v>0.16745234114929364</v>
      </c>
      <c r="D750" s="115">
        <v>-0.2142413098855504</v>
      </c>
      <c r="F750" s="30">
        <f>INDEX(A750:D758,,F743)</f>
        <v>-0.9620608785853132</v>
      </c>
      <c r="G750" s="26">
        <f>INDEX(A744:D752,,G743)</f>
        <v>-0.2142413098855504</v>
      </c>
      <c r="I750" s="30">
        <f t="shared" si="237"/>
        <v>0.87966179524286825</v>
      </c>
      <c r="J750">
        <f t="shared" si="238"/>
        <v>0.41222636563552195</v>
      </c>
      <c r="K750">
        <f t="shared" si="239"/>
        <v>0.60387429748483479</v>
      </c>
      <c r="L750" s="26">
        <f t="shared" si="236"/>
        <v>0.36261978484138624</v>
      </c>
      <c r="Q750" s="30">
        <v>-0.96187240342245095</v>
      </c>
      <c r="R750" s="26">
        <v>-0.21508591887926765</v>
      </c>
    </row>
    <row r="751" spans="1:18" x14ac:dyDescent="0.35">
      <c r="A751" s="113">
        <v>-0.67588993439028566</v>
      </c>
      <c r="B751" s="114">
        <v>0.22030690335320022</v>
      </c>
      <c r="C751" s="114">
        <v>0.56895189943618274</v>
      </c>
      <c r="D751" s="115">
        <v>-0.41343850939744198</v>
      </c>
      <c r="F751" s="30">
        <f>INDEX(A751:D759,,F743)</f>
        <v>-0.67588993439028566</v>
      </c>
      <c r="G751" s="26">
        <f>INDEX(A744:D752,,G743)</f>
        <v>-0.41343850939744198</v>
      </c>
      <c r="I751" s="30">
        <f t="shared" si="237"/>
        <v>0.28589580235732592</v>
      </c>
      <c r="J751">
        <f t="shared" si="238"/>
        <v>0.5588778539821091</v>
      </c>
      <c r="K751">
        <f t="shared" si="239"/>
        <v>-0.23060804586610847</v>
      </c>
      <c r="L751" s="26">
        <f t="shared" si="236"/>
        <v>0.15978083248395553</v>
      </c>
      <c r="Q751" s="30">
        <v>-0.67552667395010435</v>
      </c>
      <c r="R751" s="26">
        <v>-0.41403178289207798</v>
      </c>
    </row>
    <row r="752" spans="1:18" x14ac:dyDescent="0.35">
      <c r="A752" s="116">
        <v>-7.069228949191203E-2</v>
      </c>
      <c r="B752" s="117">
        <v>0.92650519669674725</v>
      </c>
      <c r="C752" s="117">
        <v>-0.20282181790794149</v>
      </c>
      <c r="D752" s="118">
        <v>-0.30895635756661805</v>
      </c>
      <c r="F752" s="27">
        <f>INDEX(A752:D760,,F743)</f>
        <v>-7.069228949191203E-2</v>
      </c>
      <c r="G752" s="29">
        <f>INDEX(A744:D752,,G743)</f>
        <v>-0.30895635756661805</v>
      </c>
      <c r="I752" s="27">
        <f t="shared" si="237"/>
        <v>-9.0456631087223655E-2</v>
      </c>
      <c r="J752" s="28">
        <f t="shared" si="238"/>
        <v>4.3681664538932095E-2</v>
      </c>
      <c r="K752" s="28">
        <f t="shared" si="239"/>
        <v>6.274314290758279E-3</v>
      </c>
      <c r="L752" s="29">
        <f t="shared" si="236"/>
        <v>-3.9512962144740401E-3</v>
      </c>
      <c r="Q752" s="27">
        <v>-7.0420997881119954E-2</v>
      </c>
      <c r="R752" s="29">
        <v>-0.30901830646721812</v>
      </c>
    </row>
    <row r="753" spans="1:18" x14ac:dyDescent="0.35">
      <c r="I753">
        <f>SUM(I744:I752)</f>
        <v>1.6579610183213194</v>
      </c>
      <c r="J753">
        <f>SUM(J744:J752)</f>
        <v>1.4802441696519395</v>
      </c>
      <c r="K753">
        <f>SUM(K744:K752)</f>
        <v>2.6146646785268404</v>
      </c>
      <c r="L753">
        <f>SUM(L744:L752)</f>
        <v>0.53640978669826878</v>
      </c>
    </row>
    <row r="754" spans="1:18" x14ac:dyDescent="0.35">
      <c r="A754" s="12" t="s">
        <v>2</v>
      </c>
      <c r="B754">
        <f>COUNT(A744:A752)</f>
        <v>9</v>
      </c>
      <c r="I754" s="12" t="s">
        <v>16</v>
      </c>
      <c r="J754" s="12" t="s">
        <v>258</v>
      </c>
      <c r="K754" s="12" t="s">
        <v>18</v>
      </c>
      <c r="L754" s="12" t="s">
        <v>19</v>
      </c>
      <c r="N754" s="12"/>
    </row>
    <row r="756" spans="1:18" x14ac:dyDescent="0.35">
      <c r="A756">
        <v>1</v>
      </c>
      <c r="B756">
        <v>2</v>
      </c>
      <c r="C756">
        <v>3</v>
      </c>
      <c r="D756">
        <v>4</v>
      </c>
      <c r="F756">
        <v>2</v>
      </c>
      <c r="G756">
        <v>3</v>
      </c>
      <c r="I756" s="12" t="s">
        <v>251</v>
      </c>
      <c r="J756" s="12" t="s">
        <v>252</v>
      </c>
      <c r="K756" s="12" t="s">
        <v>253</v>
      </c>
      <c r="L756" s="12" t="s">
        <v>254</v>
      </c>
      <c r="Q756">
        <f>F756</f>
        <v>2</v>
      </c>
      <c r="R756">
        <f>G756</f>
        <v>3</v>
      </c>
    </row>
    <row r="757" spans="1:18" x14ac:dyDescent="0.35">
      <c r="A757" s="110">
        <f t="array" ref="A757:A765">IF(A756=$Q743,$Q744:$Q752,IF(A756=$R743,$R744:$R752,A744:A752))</f>
        <v>-0.11032523013909515</v>
      </c>
      <c r="B757" s="111">
        <f t="array" ref="B757:B765">IF(B756=$Q743,$Q744:$Q752,IF(B756=$R743,$R744:$R752,B744:B752))</f>
        <v>-0.88894410691412429</v>
      </c>
      <c r="C757" s="111">
        <f t="array" ref="C757:C765">IF(C756=$Q743,$Q744:$Q752,IF(C756=$R743,$R744:$R752,C744:C752))</f>
        <v>-0.34186619882144337</v>
      </c>
      <c r="D757" s="112">
        <f t="array" ref="D757:D765">IF(D756=$Q743,$Q744:$Q752,IF(D756=$R743,$R744:$R752,D744:D752))</f>
        <v>-0.28413767874180834</v>
      </c>
      <c r="F757" s="94">
        <f>INDEX(A757:D765,,F756)</f>
        <v>-0.88894410691412429</v>
      </c>
      <c r="G757" s="96">
        <f>INDEX(A757:D765,,G756)</f>
        <v>-0.34186619882144337</v>
      </c>
      <c r="I757" s="94">
        <f>F757^2-G757^2</f>
        <v>0.67334912732072738</v>
      </c>
      <c r="J757" s="95">
        <f>2*F757*G757</f>
        <v>0.60779988559090881</v>
      </c>
      <c r="K757" s="95">
        <f>I757^2-J757^2</f>
        <v>8.3978346339263321E-2</v>
      </c>
      <c r="L757" s="96">
        <f t="shared" ref="L757:L765" si="240">I757*J757</f>
        <v>0.40926152254827641</v>
      </c>
      <c r="N757" t="s">
        <v>12</v>
      </c>
      <c r="O757" s="51">
        <f>L766*B767-2*I766*J766</f>
        <v>-5.4370858794104415E-3</v>
      </c>
      <c r="Q757" s="94">
        <f t="array" ref="Q757:R765">MMULT(F757:G765,N761:O762)</f>
        <v>-0.88892200812819411</v>
      </c>
      <c r="R757" s="96">
        <v>-0.34192365606859021</v>
      </c>
    </row>
    <row r="758" spans="1:18" x14ac:dyDescent="0.35">
      <c r="A758" s="113">
        <v>-0.79394468286400632</v>
      </c>
      <c r="B758" s="114">
        <v>0.60164474369085097</v>
      </c>
      <c r="C758" s="114">
        <v>8.4682268600481253E-2</v>
      </c>
      <c r="D758" s="115">
        <v>2.2457878925194588E-2</v>
      </c>
      <c r="F758" s="30">
        <f>INDEX(A758:D766,,F756)</f>
        <v>0.60164474369085097</v>
      </c>
      <c r="G758" s="26">
        <f>INDEX(A757:D765,,G756)</f>
        <v>8.4682268600481253E-2</v>
      </c>
      <c r="I758" s="30">
        <f t="shared" ref="I758:I765" si="241">F758^2-G758^2</f>
        <v>0.35480531099550572</v>
      </c>
      <c r="J758">
        <f t="shared" ref="J758:J765" si="242">2*F758*G758</f>
        <v>0.10189728357459268</v>
      </c>
      <c r="K758">
        <f t="shared" ref="K758:K765" si="243">I758^2-J758^2</f>
        <v>0.11550375231073656</v>
      </c>
      <c r="L758" s="26">
        <f t="shared" si="240"/>
        <v>3.6153697388280594E-2</v>
      </c>
      <c r="N758" t="s">
        <v>255</v>
      </c>
      <c r="O758" s="52">
        <f>K766*B767-(I766^2-J766^2)</f>
        <v>21.029572024357218</v>
      </c>
      <c r="Q758" s="30">
        <v>0.60163926889475794</v>
      </c>
      <c r="R758" s="26">
        <v>8.472115644828597E-2</v>
      </c>
    </row>
    <row r="759" spans="1:18" x14ac:dyDescent="0.35">
      <c r="A759" s="113">
        <v>-0.98392801272948038</v>
      </c>
      <c r="B759" s="114">
        <v>-0.11747794808578797</v>
      </c>
      <c r="C759" s="114">
        <v>0.11364422312872864</v>
      </c>
      <c r="D759" s="115">
        <v>-7.1899847212889945E-2</v>
      </c>
      <c r="F759" s="30">
        <f>INDEX(A759:D767,,F756)</f>
        <v>-0.11747794808578797</v>
      </c>
      <c r="G759" s="26">
        <f>INDEX(A757:D765,,G756)</f>
        <v>0.11364422312872864</v>
      </c>
      <c r="I759" s="30">
        <f t="shared" si="241"/>
        <v>8.8605883591483074E-4</v>
      </c>
      <c r="J759">
        <f t="shared" si="242"/>
        <v>-2.6701380289932977E-2</v>
      </c>
      <c r="K759">
        <f t="shared" si="243"/>
        <v>-7.1217860912691855E-4</v>
      </c>
      <c r="L759" s="26">
        <f t="shared" si="240"/>
        <v>-2.3658993937017221E-5</v>
      </c>
      <c r="N759" t="s">
        <v>256</v>
      </c>
      <c r="O759" s="53">
        <f>0.25*ATAN(O757/O758)</f>
        <v>-6.4636191263961018E-5</v>
      </c>
      <c r="Q759" s="30">
        <v>-0.11748529337012319</v>
      </c>
      <c r="R759" s="26">
        <v>0.11363662956421862</v>
      </c>
    </row>
    <row r="760" spans="1:18" x14ac:dyDescent="0.35">
      <c r="A760" s="113">
        <v>-4.9368632348843144E-2</v>
      </c>
      <c r="B760" s="114">
        <v>1.9189494304873863E-3</v>
      </c>
      <c r="C760" s="114">
        <v>8.100193452275857E-2</v>
      </c>
      <c r="D760" s="115">
        <v>-0.9954886952530696</v>
      </c>
      <c r="F760" s="30">
        <f>INDEX(A760:D768,,F756)</f>
        <v>1.9189494304873863E-3</v>
      </c>
      <c r="G760" s="26">
        <f>INDEX(A757:D765,,G756)</f>
        <v>8.100193452275857E-2</v>
      </c>
      <c r="I760" s="30">
        <f t="shared" si="241"/>
        <v>-6.5576310295124996E-3</v>
      </c>
      <c r="J760">
        <f t="shared" si="242"/>
        <v>3.1087723224164821E-4</v>
      </c>
      <c r="K760">
        <f t="shared" si="243"/>
        <v>4.2905880065698942E-5</v>
      </c>
      <c r="L760" s="26">
        <f t="shared" si="240"/>
        <v>-2.0386181845167961E-6</v>
      </c>
      <c r="Q760" s="30">
        <v>1.9137137699499389E-3</v>
      </c>
      <c r="R760" s="26">
        <v>8.1002058387134451E-2</v>
      </c>
    </row>
    <row r="761" spans="1:18" x14ac:dyDescent="0.35">
      <c r="A761" s="113">
        <v>-0.35417025168714944</v>
      </c>
      <c r="B761" s="114">
        <v>0.11092558408571175</v>
      </c>
      <c r="C761" s="114">
        <v>0.88637801370382718</v>
      </c>
      <c r="D761" s="115">
        <v>-0.27675433950990447</v>
      </c>
      <c r="F761" s="30">
        <f>INDEX(A761:D769,,F756)</f>
        <v>0.11092558408571175</v>
      </c>
      <c r="G761" s="26">
        <f>INDEX(A757:D765,,G756)</f>
        <v>0.88637801370382718</v>
      </c>
      <c r="I761" s="30">
        <f t="shared" si="241"/>
        <v>-0.77336149797278575</v>
      </c>
      <c r="J761">
        <f t="shared" si="242"/>
        <v>0.19664399778166008</v>
      </c>
      <c r="K761">
        <f t="shared" si="243"/>
        <v>0.55941914468315757</v>
      </c>
      <c r="L761" s="26">
        <f t="shared" si="240"/>
        <v>-0.15207689669178179</v>
      </c>
      <c r="N761" s="94">
        <f>COS(O759)</f>
        <v>0.99999999791108141</v>
      </c>
      <c r="O761" s="96">
        <f>-N762</f>
        <v>6.463619121895443E-5</v>
      </c>
      <c r="Q761" s="30">
        <v>0.11086829175521121</v>
      </c>
      <c r="R761" s="26">
        <v>0.88638518165951963</v>
      </c>
    </row>
    <row r="762" spans="1:18" x14ac:dyDescent="0.35">
      <c r="A762" s="113">
        <v>3.0997987627568349E-2</v>
      </c>
      <c r="B762" s="114">
        <v>-2.3020128916360703E-2</v>
      </c>
      <c r="C762" s="114">
        <v>0.99753747919388569</v>
      </c>
      <c r="D762" s="115">
        <v>5.8550627931931984E-2</v>
      </c>
      <c r="F762" s="30">
        <f>INDEX(A762:D770,,F756)</f>
        <v>-2.3020128916360703E-2</v>
      </c>
      <c r="G762" s="26">
        <f>INDEX(A757:D765,,G756)</f>
        <v>0.99753747919388569</v>
      </c>
      <c r="I762" s="30">
        <f t="shared" si="241"/>
        <v>-0.99455109606116598</v>
      </c>
      <c r="J762">
        <f t="shared" si="242"/>
        <v>-4.5926882739889464E-2</v>
      </c>
      <c r="K762">
        <f t="shared" si="243"/>
        <v>0.98702260411826304</v>
      </c>
      <c r="L762" s="26">
        <f t="shared" si="240"/>
        <v>4.5676631567629709E-2</v>
      </c>
      <c r="N762" s="27">
        <f>SIN(O759)</f>
        <v>-6.463619121895443E-5</v>
      </c>
      <c r="O762" s="29">
        <f>N761</f>
        <v>0.99999999791108141</v>
      </c>
      <c r="Q762" s="30">
        <v>-2.3084605891526777E-2</v>
      </c>
      <c r="R762" s="26">
        <v>0.99753598917665653</v>
      </c>
    </row>
    <row r="763" spans="1:18" x14ac:dyDescent="0.35">
      <c r="A763" s="113">
        <v>-0.96187240342245095</v>
      </c>
      <c r="B763" s="114">
        <v>2.2343689887755085E-2</v>
      </c>
      <c r="C763" s="114">
        <v>0.16745234114929364</v>
      </c>
      <c r="D763" s="115">
        <v>-0.21508591887926765</v>
      </c>
      <c r="F763" s="30">
        <f>INDEX(A763:D771,,F756)</f>
        <v>2.2343689887755085E-2</v>
      </c>
      <c r="G763" s="26">
        <f>INDEX(A757:D765,,G756)</f>
        <v>0.16745234114929364</v>
      </c>
      <c r="I763" s="30">
        <f t="shared" si="241"/>
        <v>-2.754104607857925E-2</v>
      </c>
      <c r="J763">
        <f t="shared" si="242"/>
        <v>7.4830063632367735E-3</v>
      </c>
      <c r="K763">
        <f t="shared" si="243"/>
        <v>7.025138348701835E-4</v>
      </c>
      <c r="L763" s="26">
        <f t="shared" si="240"/>
        <v>-2.0608982305620572E-4</v>
      </c>
      <c r="Q763" s="30">
        <v>2.2332866359538347E-2</v>
      </c>
      <c r="R763" s="26">
        <v>0.16745378501051145</v>
      </c>
    </row>
    <row r="764" spans="1:18" x14ac:dyDescent="0.35">
      <c r="A764" s="113">
        <v>-0.67552667395010435</v>
      </c>
      <c r="B764" s="114">
        <v>0.22030690335320022</v>
      </c>
      <c r="C764" s="114">
        <v>0.56895189943618274</v>
      </c>
      <c r="D764" s="115">
        <v>-0.41403178289207798</v>
      </c>
      <c r="F764" s="30">
        <f>INDEX(A764:D772,,F756)</f>
        <v>0.22030690335320022</v>
      </c>
      <c r="G764" s="26">
        <f>INDEX(A757:D765,,G756)</f>
        <v>0.56895189943618274</v>
      </c>
      <c r="I764" s="30">
        <f t="shared" si="241"/>
        <v>-0.27517113220696393</v>
      </c>
      <c r="J764">
        <f t="shared" si="242"/>
        <v>0.25068806224341361</v>
      </c>
      <c r="K764">
        <f t="shared" si="243"/>
        <v>1.2874647448704798E-2</v>
      </c>
      <c r="L764" s="26">
        <f t="shared" si="240"/>
        <v>-6.8982117918289967E-2</v>
      </c>
      <c r="Q764" s="30">
        <v>0.22027012800923068</v>
      </c>
      <c r="R764" s="26">
        <v>0.5689661380468205</v>
      </c>
    </row>
    <row r="765" spans="1:18" x14ac:dyDescent="0.35">
      <c r="A765" s="116">
        <v>-7.0420997881119954E-2</v>
      </c>
      <c r="B765" s="117">
        <v>0.92650519669674725</v>
      </c>
      <c r="C765" s="117">
        <v>-0.20282181790794149</v>
      </c>
      <c r="D765" s="118">
        <v>-0.30901830646721812</v>
      </c>
      <c r="F765" s="27">
        <f>INDEX(A765:D773,,F756)</f>
        <v>0.92650519669674725</v>
      </c>
      <c r="G765" s="29">
        <f>INDEX(A757:D765,,G756)</f>
        <v>-0.20282181790794149</v>
      </c>
      <c r="I765" s="27">
        <f t="shared" si="241"/>
        <v>0.81727518968659618</v>
      </c>
      <c r="J765" s="28">
        <f t="shared" si="242"/>
        <v>-0.37583093659037836</v>
      </c>
      <c r="K765" s="28">
        <f t="shared" si="243"/>
        <v>0.52668984277886077</v>
      </c>
      <c r="L765" s="29">
        <f t="shared" si="240"/>
        <v>-0.30715729999199259</v>
      </c>
      <c r="Q765" s="27">
        <v>0.92651830439115901</v>
      </c>
      <c r="R765" s="29">
        <v>-0.20276193171720419</v>
      </c>
    </row>
    <row r="766" spans="1:18" x14ac:dyDescent="0.35">
      <c r="I766">
        <f>SUM(I757:I765)</f>
        <v>-0.23086671651026336</v>
      </c>
      <c r="J766">
        <f>SUM(J757:J765)</f>
        <v>0.71636391316585291</v>
      </c>
      <c r="K766">
        <f>SUM(K757:K765)</f>
        <v>2.2855215787847949</v>
      </c>
      <c r="L766">
        <f>SUM(L757:L765)</f>
        <v>-3.7356250533055357E-2</v>
      </c>
    </row>
    <row r="767" spans="1:18" x14ac:dyDescent="0.35">
      <c r="A767" s="12" t="s">
        <v>2</v>
      </c>
      <c r="B767">
        <f>COUNT(A757:A765)</f>
        <v>9</v>
      </c>
      <c r="I767" s="12" t="s">
        <v>16</v>
      </c>
      <c r="J767" s="12" t="s">
        <v>258</v>
      </c>
      <c r="K767" s="12" t="s">
        <v>18</v>
      </c>
      <c r="L767" s="12" t="s">
        <v>19</v>
      </c>
      <c r="N767" s="12"/>
    </row>
    <row r="769" spans="1:18" x14ac:dyDescent="0.35">
      <c r="A769">
        <v>1</v>
      </c>
      <c r="B769">
        <v>2</v>
      </c>
      <c r="C769">
        <v>3</v>
      </c>
      <c r="D769">
        <v>4</v>
      </c>
      <c r="F769">
        <v>2</v>
      </c>
      <c r="G769">
        <v>4</v>
      </c>
      <c r="I769" s="12" t="s">
        <v>251</v>
      </c>
      <c r="J769" s="12" t="s">
        <v>252</v>
      </c>
      <c r="K769" s="12" t="s">
        <v>253</v>
      </c>
      <c r="L769" s="12" t="s">
        <v>254</v>
      </c>
      <c r="Q769">
        <f>F769</f>
        <v>2</v>
      </c>
      <c r="R769">
        <f>G769</f>
        <v>4</v>
      </c>
    </row>
    <row r="770" spans="1:18" x14ac:dyDescent="0.35">
      <c r="A770" s="110">
        <f t="array" ref="A770:A778">IF(A769=$Q756,$Q757:$Q765,IF(A769=$R756,$R757:$R765,A757:A765))</f>
        <v>-0.11032523013909515</v>
      </c>
      <c r="B770" s="111">
        <f t="array" ref="B770:B778">IF(B769=$Q756,$Q757:$Q765,IF(B769=$R756,$R757:$R765,B757:B765))</f>
        <v>-0.88892200812819411</v>
      </c>
      <c r="C770" s="111">
        <f t="array" ref="C770:C778">IF(C769=$Q756,$Q757:$Q765,IF(C769=$R756,$R757:$R765,C757:C765))</f>
        <v>-0.34192365606859021</v>
      </c>
      <c r="D770" s="112">
        <f t="array" ref="D770:D778">IF(D769=$Q756,$Q757:$Q765,IF(D769=$R756,$R757:$R765,D757:D765))</f>
        <v>-0.28413767874180834</v>
      </c>
      <c r="F770" s="94">
        <f>INDEX(A770:D778,,F769)</f>
        <v>-0.88892200812819411</v>
      </c>
      <c r="G770" s="96">
        <f>INDEX(A770:D778,,G769)</f>
        <v>-0.28413767874180834</v>
      </c>
      <c r="I770" s="94">
        <f>F770^2-G770^2</f>
        <v>0.70944811605387814</v>
      </c>
      <c r="J770" s="95">
        <f>2*F770*G770</f>
        <v>0.50515247194410395</v>
      </c>
      <c r="K770" s="95">
        <f>I770^2-J770^2</f>
        <v>0.2481376094611582</v>
      </c>
      <c r="L770" s="96">
        <f t="shared" ref="L770:L778" si="244">I770*J770</f>
        <v>0.3583794695407041</v>
      </c>
      <c r="N770" t="s">
        <v>12</v>
      </c>
      <c r="O770" s="51">
        <f>L779*B780-2*I779*J779</f>
        <v>6.9970779597552935E-3</v>
      </c>
      <c r="Q770" s="94">
        <f t="array" ref="Q770:R778">MMULT(F770:G778,N774:O775)</f>
        <v>-0.88895728673505747</v>
      </c>
      <c r="R770" s="96">
        <v>-0.28402728632314367</v>
      </c>
    </row>
    <row r="771" spans="1:18" x14ac:dyDescent="0.35">
      <c r="A771" s="113">
        <v>-0.79394468286400632</v>
      </c>
      <c r="B771" s="114">
        <v>0.60163926889475794</v>
      </c>
      <c r="C771" s="114">
        <v>8.472115644828597E-2</v>
      </c>
      <c r="D771" s="115">
        <v>2.2457878925194588E-2</v>
      </c>
      <c r="F771" s="30">
        <f>INDEX(A771:D779,,F769)</f>
        <v>0.60163926889475794</v>
      </c>
      <c r="G771" s="26">
        <f>INDEX(A770:D778,,G769)</f>
        <v>2.2457878925194588E-2</v>
      </c>
      <c r="I771" s="30">
        <f t="shared" ref="I771:I778" si="245">F771^2-G771^2</f>
        <v>0.36146545355040016</v>
      </c>
      <c r="J771">
        <f t="shared" ref="J771:J778" si="246">2*F771*G771</f>
        <v>2.7023083714962128E-2</v>
      </c>
      <c r="K771">
        <f t="shared" ref="K771:K778" si="247">I771^2-J771^2</f>
        <v>0.12992702705693063</v>
      </c>
      <c r="L771" s="26">
        <f t="shared" si="244"/>
        <v>9.7679112113592172E-3</v>
      </c>
      <c r="N771" t="s">
        <v>255</v>
      </c>
      <c r="O771" s="52">
        <f>K779*B780-(I779^2-J779^2)</f>
        <v>14.086065841832488</v>
      </c>
      <c r="Q771" s="30">
        <v>0.60164205317334152</v>
      </c>
      <c r="R771" s="26">
        <v>2.2383164552930428E-2</v>
      </c>
    </row>
    <row r="772" spans="1:18" x14ac:dyDescent="0.35">
      <c r="A772" s="113">
        <v>-0.98392801272948038</v>
      </c>
      <c r="B772" s="114">
        <v>-0.11748529337012319</v>
      </c>
      <c r="C772" s="114">
        <v>0.11363662956421862</v>
      </c>
      <c r="D772" s="115">
        <v>-7.1899847212889945E-2</v>
      </c>
      <c r="F772" s="30">
        <f>INDEX(A772:D780,,F769)</f>
        <v>-0.11748529337012319</v>
      </c>
      <c r="G772" s="26">
        <f>INDEX(A770:D778,,G769)</f>
        <v>-7.1899847212889945E-2</v>
      </c>
      <c r="I772" s="30">
        <f t="shared" si="245"/>
        <v>8.6332061290269931E-3</v>
      </c>
      <c r="J772">
        <f t="shared" si="246"/>
        <v>1.6894349286146818E-2</v>
      </c>
      <c r="K772">
        <f t="shared" si="247"/>
        <v>-2.1088678973606027E-4</v>
      </c>
      <c r="L772" s="26">
        <f t="shared" si="244"/>
        <v>1.4585239980308552E-4</v>
      </c>
      <c r="N772" t="s">
        <v>256</v>
      </c>
      <c r="O772" s="53">
        <f>0.25*ATAN(O770/O771)</f>
        <v>1.2418437949278469E-4</v>
      </c>
      <c r="Q772" s="30">
        <v>-0.11749422130209698</v>
      </c>
      <c r="R772" s="26">
        <v>-7.1885256820259646E-2</v>
      </c>
    </row>
    <row r="773" spans="1:18" x14ac:dyDescent="0.35">
      <c r="A773" s="113">
        <v>-4.9368632348843144E-2</v>
      </c>
      <c r="B773" s="114">
        <v>1.9137137699499389E-3</v>
      </c>
      <c r="C773" s="114">
        <v>8.1002058387134451E-2</v>
      </c>
      <c r="D773" s="115">
        <v>-0.9954886952530696</v>
      </c>
      <c r="F773" s="30">
        <f>INDEX(A773:D781,,F769)</f>
        <v>1.9137137699499389E-3</v>
      </c>
      <c r="G773" s="26">
        <f>INDEX(A770:D778,,G769)</f>
        <v>-0.9954886952530696</v>
      </c>
      <c r="I773" s="30">
        <f t="shared" si="245"/>
        <v>-0.99099408007626555</v>
      </c>
      <c r="J773">
        <f t="shared" si="246"/>
        <v>-3.8101608478705953E-3</v>
      </c>
      <c r="K773">
        <f t="shared" si="247"/>
        <v>0.98205474942051707</v>
      </c>
      <c r="L773" s="26">
        <f t="shared" si="244"/>
        <v>3.7758468443781245E-3</v>
      </c>
      <c r="Q773" s="30">
        <v>1.7900896095991877E-3</v>
      </c>
      <c r="R773" s="26">
        <v>-0.99548892523033217</v>
      </c>
    </row>
    <row r="774" spans="1:18" x14ac:dyDescent="0.35">
      <c r="A774" s="113">
        <v>-0.35417025168714944</v>
      </c>
      <c r="B774" s="114">
        <v>0.11086829175521121</v>
      </c>
      <c r="C774" s="114">
        <v>0.88638518165951963</v>
      </c>
      <c r="D774" s="115">
        <v>-0.27675433950990447</v>
      </c>
      <c r="F774" s="30">
        <f>INDEX(A774:D782,,F769)</f>
        <v>0.11086829175521121</v>
      </c>
      <c r="G774" s="26">
        <f>INDEX(A770:D778,,G769)</f>
        <v>-0.27675433950990447</v>
      </c>
      <c r="I774" s="30">
        <f t="shared" si="245"/>
        <v>-6.4301186320844833E-2</v>
      </c>
      <c r="J774">
        <f t="shared" si="246"/>
        <v>-6.1366561714609733E-2</v>
      </c>
      <c r="K774">
        <f t="shared" si="247"/>
        <v>3.6878766559499815E-4</v>
      </c>
      <c r="L774" s="26">
        <f t="shared" si="244"/>
        <v>3.9459427186807434E-3</v>
      </c>
      <c r="N774" s="94">
        <f>COS(O772)</f>
        <v>0.99999999228911995</v>
      </c>
      <c r="O774" s="96">
        <f>-N775</f>
        <v>-1.2418437917359441E-4</v>
      </c>
      <c r="Q774" s="30">
        <v>0.11083392233448347</v>
      </c>
      <c r="R774" s="26">
        <v>-0.27676810548586661</v>
      </c>
    </row>
    <row r="775" spans="1:18" x14ac:dyDescent="0.35">
      <c r="A775" s="113">
        <v>3.0997987627568349E-2</v>
      </c>
      <c r="B775" s="114">
        <v>-2.3084605891526777E-2</v>
      </c>
      <c r="C775" s="114">
        <v>0.99753598917665653</v>
      </c>
      <c r="D775" s="115">
        <v>5.8550627931931984E-2</v>
      </c>
      <c r="F775" s="30">
        <f>INDEX(A775:D783,,F769)</f>
        <v>-2.3084605891526777E-2</v>
      </c>
      <c r="G775" s="26">
        <f>INDEX(A770:D778,,G769)</f>
        <v>5.8550627931931984E-2</v>
      </c>
      <c r="I775" s="30">
        <f t="shared" si="245"/>
        <v>-2.8952770020564209E-3</v>
      </c>
      <c r="J775">
        <f t="shared" si="246"/>
        <v>-2.7032363410201387E-3</v>
      </c>
      <c r="K775">
        <f t="shared" si="247"/>
        <v>1.0751422032248686E-6</v>
      </c>
      <c r="L775" s="26">
        <f t="shared" si="244"/>
        <v>7.8266180092787562E-6</v>
      </c>
      <c r="N775" s="27">
        <f>SIN(O772)</f>
        <v>1.2418437917359441E-4</v>
      </c>
      <c r="O775" s="29">
        <f>N774</f>
        <v>0.99999999228911995</v>
      </c>
      <c r="Q775" s="30">
        <v>-2.3077334640144199E-2</v>
      </c>
      <c r="R775" s="26">
        <v>5.8553494227906219E-2</v>
      </c>
    </row>
    <row r="776" spans="1:18" x14ac:dyDescent="0.35">
      <c r="A776" s="113">
        <v>-0.96187240342245095</v>
      </c>
      <c r="B776" s="114">
        <v>2.2332866359538347E-2</v>
      </c>
      <c r="C776" s="114">
        <v>0.16745378501051145</v>
      </c>
      <c r="D776" s="115">
        <v>-0.21508591887926765</v>
      </c>
      <c r="F776" s="30">
        <f>INDEX(A776:D784,,F769)</f>
        <v>2.2332866359538347E-2</v>
      </c>
      <c r="G776" s="26">
        <f>INDEX(A770:D778,,G769)</f>
        <v>-0.21508591887926765</v>
      </c>
      <c r="I776" s="30">
        <f t="shared" si="245"/>
        <v>-4.5763195580305907E-2</v>
      </c>
      <c r="J776">
        <f t="shared" si="246"/>
        <v>-9.6069701642983799E-3</v>
      </c>
      <c r="K776">
        <f t="shared" si="247"/>
        <v>2.0019761939836108E-3</v>
      </c>
      <c r="L776" s="26">
        <f t="shared" si="244"/>
        <v>4.3964565456295035E-4</v>
      </c>
      <c r="Q776" s="30">
        <v>2.2306155876027287E-2</v>
      </c>
      <c r="R776" s="26">
        <v>-0.21508869061390995</v>
      </c>
    </row>
    <row r="777" spans="1:18" x14ac:dyDescent="0.35">
      <c r="A777" s="113">
        <v>-0.67552667395010435</v>
      </c>
      <c r="B777" s="114">
        <v>0.22027012800923068</v>
      </c>
      <c r="C777" s="114">
        <v>0.5689661380468205</v>
      </c>
      <c r="D777" s="115">
        <v>-0.41403178289207798</v>
      </c>
      <c r="F777" s="30">
        <f>INDEX(A777:D785,,F769)</f>
        <v>0.22027012800923068</v>
      </c>
      <c r="G777" s="26">
        <f>INDEX(A770:D778,,G769)</f>
        <v>-0.41403178289207798</v>
      </c>
      <c r="I777" s="30">
        <f t="shared" si="245"/>
        <v>-0.12290338795158992</v>
      </c>
      <c r="J777">
        <f t="shared" si="246"/>
        <v>-0.18239766763505605</v>
      </c>
      <c r="K777">
        <f t="shared" si="247"/>
        <v>-1.8163666388729356E-2</v>
      </c>
      <c r="L777" s="26">
        <f t="shared" si="244"/>
        <v>2.241729130681645E-2</v>
      </c>
      <c r="Q777" s="30">
        <v>0.22021871003083757</v>
      </c>
      <c r="R777" s="26">
        <v>-0.41405913380862591</v>
      </c>
    </row>
    <row r="778" spans="1:18" x14ac:dyDescent="0.35">
      <c r="A778" s="116">
        <v>-7.0420997881119954E-2</v>
      </c>
      <c r="B778" s="117">
        <v>0.92651830439115901</v>
      </c>
      <c r="C778" s="117">
        <v>-0.20276193171720419</v>
      </c>
      <c r="D778" s="118">
        <v>-0.30901830646721812</v>
      </c>
      <c r="F778" s="27">
        <f>INDEX(A778:D786,,F769)</f>
        <v>0.92651830439115901</v>
      </c>
      <c r="G778" s="29">
        <f>INDEX(A770:D778,,G769)</f>
        <v>-0.30901830646721812</v>
      </c>
      <c r="I778" s="27">
        <f t="shared" si="245"/>
        <v>0.76294385464000092</v>
      </c>
      <c r="J778" s="28">
        <f t="shared" si="246"/>
        <v>-0.57262223466766893</v>
      </c>
      <c r="K778" s="28">
        <f t="shared" si="247"/>
        <v>0.25418710169714792</v>
      </c>
      <c r="L778" s="29">
        <f t="shared" si="244"/>
        <v>-0.43687861496992247</v>
      </c>
      <c r="Q778" s="27">
        <v>0.92647992200034557</v>
      </c>
      <c r="R778" s="29">
        <v>-0.30913336318483886</v>
      </c>
    </row>
    <row r="779" spans="1:18" x14ac:dyDescent="0.35">
      <c r="I779">
        <f>SUM(I770:I778)</f>
        <v>0.61563350344224377</v>
      </c>
      <c r="J779">
        <f>SUM(J770:J778)</f>
        <v>-0.28343692642531093</v>
      </c>
      <c r="K779">
        <f>SUM(K770:K778)</f>
        <v>1.5983037734590702</v>
      </c>
      <c r="L779">
        <f>SUM(L770:L778)</f>
        <v>-3.7998828675608443E-2</v>
      </c>
    </row>
    <row r="780" spans="1:18" x14ac:dyDescent="0.35">
      <c r="A780" s="12" t="s">
        <v>2</v>
      </c>
      <c r="B780">
        <f>COUNT(A770:A778)</f>
        <v>9</v>
      </c>
      <c r="I780" s="12" t="s">
        <v>16</v>
      </c>
      <c r="J780" s="12" t="s">
        <v>258</v>
      </c>
      <c r="K780" s="12" t="s">
        <v>18</v>
      </c>
      <c r="L780" s="12" t="s">
        <v>19</v>
      </c>
      <c r="N780" s="12"/>
    </row>
    <row r="782" spans="1:18" x14ac:dyDescent="0.35">
      <c r="A782">
        <v>1</v>
      </c>
      <c r="B782">
        <v>2</v>
      </c>
      <c r="C782">
        <v>3</v>
      </c>
      <c r="D782">
        <v>4</v>
      </c>
      <c r="F782">
        <v>3</v>
      </c>
      <c r="G782">
        <v>4</v>
      </c>
      <c r="I782" s="12" t="s">
        <v>251</v>
      </c>
      <c r="J782" s="12" t="s">
        <v>252</v>
      </c>
      <c r="K782" s="12" t="s">
        <v>253</v>
      </c>
      <c r="L782" s="12" t="s">
        <v>254</v>
      </c>
      <c r="Q782">
        <f>F782</f>
        <v>3</v>
      </c>
      <c r="R782">
        <f>G782</f>
        <v>4</v>
      </c>
    </row>
    <row r="783" spans="1:18" x14ac:dyDescent="0.35">
      <c r="A783" s="110">
        <f t="array" ref="A783:A791">IF(A782=$Q769,$Q770:$Q778,IF(A782=$R769,$R770:$R778,A770:A778))</f>
        <v>-0.11032523013909515</v>
      </c>
      <c r="B783" s="111">
        <f t="array" ref="B783:B791">IF(B782=$Q769,$Q770:$Q778,IF(B782=$R769,$R770:$R778,B770:B778))</f>
        <v>-0.88895728673505747</v>
      </c>
      <c r="C783" s="111">
        <f t="array" ref="C783:C791">IF(C782=$Q769,$Q770:$Q778,IF(C782=$R769,$R770:$R778,C770:C778))</f>
        <v>-0.34192365606859021</v>
      </c>
      <c r="D783" s="112">
        <f t="array" ref="D783:D791">IF(D782=$Q769,$Q770:$Q778,IF(D782=$R769,$R770:$R778,D770:D778))</f>
        <v>-0.28402728632314367</v>
      </c>
      <c r="F783" s="94">
        <f>INDEX(A783:D791,,F782)</f>
        <v>-0.34192365606859021</v>
      </c>
      <c r="G783" s="96">
        <f>INDEX(A783:D791,,G782)</f>
        <v>-0.28402728632314367</v>
      </c>
      <c r="I783" s="94">
        <f>F783^2-G783^2</f>
        <v>3.6240287203222532E-2</v>
      </c>
      <c r="J783" s="95">
        <f>2*F783*G783</f>
        <v>0.19423129632569913</v>
      </c>
      <c r="K783" s="95">
        <f>I783^2-J783^2</f>
        <v>-3.6412438055789489E-2</v>
      </c>
      <c r="L783" s="96">
        <f t="shared" ref="L783:L791" si="248">I783*J783</f>
        <v>7.0389979626975579E-3</v>
      </c>
      <c r="N783" t="s">
        <v>12</v>
      </c>
      <c r="O783" s="51">
        <f>L792*B793-2*I792*J792</f>
        <v>1.3210477218047689E-2</v>
      </c>
      <c r="Q783" s="94">
        <f t="array" ref="Q783:R791">MMULT(F783:G791,N787:O788)</f>
        <v>-0.34197826575293422</v>
      </c>
      <c r="R783" s="96">
        <v>-0.28396153209196501</v>
      </c>
    </row>
    <row r="784" spans="1:18" x14ac:dyDescent="0.35">
      <c r="A784" s="113">
        <v>-0.79394468286400632</v>
      </c>
      <c r="B784" s="114">
        <v>0.60164205317334152</v>
      </c>
      <c r="C784" s="114">
        <v>8.472115644828597E-2</v>
      </c>
      <c r="D784" s="115">
        <v>2.2383164552930428E-2</v>
      </c>
      <c r="F784" s="30">
        <f>INDEX(A784:D792,,F782)</f>
        <v>8.472115644828597E-2</v>
      </c>
      <c r="G784" s="26">
        <f>INDEX(A783:D791,,G782)</f>
        <v>2.2383164552930428E-2</v>
      </c>
      <c r="I784" s="30">
        <f t="shared" ref="I784:I791" si="249">F784^2-G784^2</f>
        <v>6.6766682945313864E-3</v>
      </c>
      <c r="J784">
        <f t="shared" ref="J784:J791" si="250">2*F784*G784</f>
        <v>3.7926551717930952E-3</v>
      </c>
      <c r="K784">
        <f t="shared" ref="K784:K791" si="251">I784^2-J784^2</f>
        <v>3.0193666263071739E-5</v>
      </c>
      <c r="L784" s="26">
        <f t="shared" si="248"/>
        <v>2.5322300537601447E-5</v>
      </c>
      <c r="N784" t="s">
        <v>255</v>
      </c>
      <c r="O784" s="52">
        <f>K792*B793-(I792^2-J792^2)</f>
        <v>17.175071553962802</v>
      </c>
      <c r="Q784" s="30">
        <v>8.4725458972112686E-2</v>
      </c>
      <c r="R784" s="26">
        <v>2.2366872988939614E-2</v>
      </c>
    </row>
    <row r="785" spans="1:18" x14ac:dyDescent="0.35">
      <c r="A785" s="113">
        <v>-0.98392801272948038</v>
      </c>
      <c r="B785" s="114">
        <v>-0.11749422130209698</v>
      </c>
      <c r="C785" s="114">
        <v>0.11363662956421862</v>
      </c>
      <c r="D785" s="115">
        <v>-7.1885256820259646E-2</v>
      </c>
      <c r="F785" s="30">
        <f>INDEX(A785:D793,,F782)</f>
        <v>0.11363662956421862</v>
      </c>
      <c r="G785" s="26">
        <f>INDEX(A783:D791,,G782)</f>
        <v>-7.1885256820259646E-2</v>
      </c>
      <c r="I785" s="30">
        <f t="shared" si="249"/>
        <v>7.745793430600759E-3</v>
      </c>
      <c r="J785">
        <f t="shared" si="250"/>
        <v>-1.6337596600825132E-2</v>
      </c>
      <c r="K785">
        <f t="shared" si="251"/>
        <v>-2.0691974682175501E-4</v>
      </c>
      <c r="L785" s="26">
        <f t="shared" si="248"/>
        <v>-1.2654764842247659E-4</v>
      </c>
      <c r="N785" t="s">
        <v>256</v>
      </c>
      <c r="O785" s="53">
        <f>0.25*ATAN(O783/O784)</f>
        <v>1.9229140576453737E-4</v>
      </c>
      <c r="Q785" s="30">
        <v>0.11362280454630296</v>
      </c>
      <c r="R785" s="26">
        <v>-7.1907106838356147E-2</v>
      </c>
    </row>
    <row r="786" spans="1:18" x14ac:dyDescent="0.35">
      <c r="A786" s="113">
        <v>-4.9368632348843144E-2</v>
      </c>
      <c r="B786" s="114">
        <v>1.7900896095991877E-3</v>
      </c>
      <c r="C786" s="114">
        <v>8.1002058387134451E-2</v>
      </c>
      <c r="D786" s="115">
        <v>-0.99548892523033217</v>
      </c>
      <c r="F786" s="30">
        <f>INDEX(A786:D794,,F782)</f>
        <v>8.1002058387134451E-2</v>
      </c>
      <c r="G786" s="26">
        <f>INDEX(A783:D791,,G782)</f>
        <v>-0.99548892523033217</v>
      </c>
      <c r="I786" s="30">
        <f t="shared" si="249"/>
        <v>-0.98443686679328912</v>
      </c>
      <c r="J786">
        <f t="shared" si="250"/>
        <v>-0.16127330409050616</v>
      </c>
      <c r="K786">
        <f t="shared" si="251"/>
        <v>0.94310686608951921</v>
      </c>
      <c r="L786" s="26">
        <f t="shared" si="248"/>
        <v>0.15876338617625924</v>
      </c>
      <c r="Q786" s="30">
        <v>8.0810632925893133E-2</v>
      </c>
      <c r="R786" s="26">
        <v>-0.99550448282532167</v>
      </c>
    </row>
    <row r="787" spans="1:18" x14ac:dyDescent="0.35">
      <c r="A787" s="113">
        <v>-0.35417025168714944</v>
      </c>
      <c r="B787" s="114">
        <v>0.11083392233448347</v>
      </c>
      <c r="C787" s="114">
        <v>0.88638518165951963</v>
      </c>
      <c r="D787" s="115">
        <v>-0.27676810548586661</v>
      </c>
      <c r="F787" s="30">
        <f>INDEX(A787:D795,,F782)</f>
        <v>0.88638518165951963</v>
      </c>
      <c r="G787" s="26">
        <f>INDEX(A783:D791,,G782)</f>
        <v>-0.27676810548586661</v>
      </c>
      <c r="I787" s="30">
        <f t="shared" si="249"/>
        <v>0.7090781060513438</v>
      </c>
      <c r="J787">
        <f t="shared" si="250"/>
        <v>-0.49064629491730194</v>
      </c>
      <c r="K787">
        <f t="shared" si="251"/>
        <v>0.26205797376528472</v>
      </c>
      <c r="L787" s="26">
        <f t="shared" si="248"/>
        <v>-0.34790654554106953</v>
      </c>
      <c r="N787" s="94">
        <f>COS(O785)</f>
        <v>0.99999998151200764</v>
      </c>
      <c r="O787" s="96">
        <f>-N788</f>
        <v>-1.9229140457951004E-4</v>
      </c>
      <c r="Q787" s="30">
        <v>0.88633194514429048</v>
      </c>
      <c r="R787" s="26">
        <v>-0.27693854462055972</v>
      </c>
    </row>
    <row r="788" spans="1:18" x14ac:dyDescent="0.35">
      <c r="A788" s="113">
        <v>3.0997987627568349E-2</v>
      </c>
      <c r="B788" s="114">
        <v>-2.3077334640144199E-2</v>
      </c>
      <c r="C788" s="114">
        <v>0.99753598917665653</v>
      </c>
      <c r="D788" s="115">
        <v>5.8553494227906219E-2</v>
      </c>
      <c r="F788" s="30">
        <f>INDEX(A788:D796,,F782)</f>
        <v>0.99753598917665653</v>
      </c>
      <c r="G788" s="26">
        <f>INDEX(A783:D791,,G782)</f>
        <v>5.8553494227906219E-2</v>
      </c>
      <c r="I788" s="30">
        <f t="shared" si="249"/>
        <v>0.99164953801635314</v>
      </c>
      <c r="J788">
        <f t="shared" si="250"/>
        <v>0.11681843556876816</v>
      </c>
      <c r="K788">
        <f t="shared" si="251"/>
        <v>0.96972225935931211</v>
      </c>
      <c r="L788" s="26">
        <f t="shared" si="248"/>
        <v>0.11584294766356205</v>
      </c>
      <c r="N788" s="27">
        <f>SIN(O785)</f>
        <v>1.9229140457951004E-4</v>
      </c>
      <c r="O788" s="29">
        <f>N787</f>
        <v>0.99999998151200764</v>
      </c>
      <c r="Q788" s="30">
        <v>0.99754723006786683</v>
      </c>
      <c r="R788" s="26">
        <v>5.8361675548892274E-2</v>
      </c>
    </row>
    <row r="789" spans="1:18" x14ac:dyDescent="0.35">
      <c r="A789" s="113">
        <v>-0.96187240342245095</v>
      </c>
      <c r="B789" s="114">
        <v>2.2306155876027287E-2</v>
      </c>
      <c r="C789" s="114">
        <v>0.16745378501051145</v>
      </c>
      <c r="D789" s="115">
        <v>-0.21508869061390995</v>
      </c>
      <c r="F789" s="30">
        <f>INDEX(A789:D797,,F782)</f>
        <v>0.16745378501051145</v>
      </c>
      <c r="G789" s="26">
        <f>INDEX(A783:D791,,G782)</f>
        <v>-0.21508869061390995</v>
      </c>
      <c r="I789" s="30">
        <f t="shared" si="249"/>
        <v>-1.8222374715659684E-2</v>
      </c>
      <c r="J789">
        <f t="shared" si="250"/>
        <v>-7.2034830712508172E-2</v>
      </c>
      <c r="K789">
        <f t="shared" si="251"/>
        <v>-4.8569618955017968E-3</v>
      </c>
      <c r="L789" s="26">
        <f t="shared" si="248"/>
        <v>1.3126456778224346E-3</v>
      </c>
      <c r="Q789" s="30">
        <v>0.16741242220819982</v>
      </c>
      <c r="R789" s="26">
        <v>-0.21512088656087372</v>
      </c>
    </row>
    <row r="790" spans="1:18" x14ac:dyDescent="0.35">
      <c r="A790" s="113">
        <v>-0.67552667395010435</v>
      </c>
      <c r="B790" s="114">
        <v>0.22021871003083757</v>
      </c>
      <c r="C790" s="114">
        <v>0.5689661380468205</v>
      </c>
      <c r="D790" s="115">
        <v>-0.41405913380862591</v>
      </c>
      <c r="F790" s="30">
        <f>INDEX(A790:D798,,F782)</f>
        <v>0.5689661380468205</v>
      </c>
      <c r="G790" s="26">
        <f>INDEX(A783:D791,,G782)</f>
        <v>-0.41405913380862591</v>
      </c>
      <c r="I790" s="30">
        <f t="shared" si="249"/>
        <v>0.15227749995356402</v>
      </c>
      <c r="J790">
        <f t="shared" si="250"/>
        <v>-0.47117125257221115</v>
      </c>
      <c r="K790">
        <f t="shared" si="251"/>
        <v>-0.1988139122583587</v>
      </c>
      <c r="L790" s="26">
        <f t="shared" si="248"/>
        <v>-7.1748780391685585E-2</v>
      </c>
      <c r="Q790" s="30">
        <v>0.56888650751535985</v>
      </c>
      <c r="R790" s="26">
        <v>-0.41416853345134702</v>
      </c>
    </row>
    <row r="791" spans="1:18" x14ac:dyDescent="0.35">
      <c r="A791" s="116">
        <v>-7.0420997881119954E-2</v>
      </c>
      <c r="B791" s="117">
        <v>0.92647992200034557</v>
      </c>
      <c r="C791" s="117">
        <v>-0.20276193171720419</v>
      </c>
      <c r="D791" s="118">
        <v>-0.30913336318483886</v>
      </c>
      <c r="F791" s="27">
        <f>INDEX(A791:D799,,F782)</f>
        <v>-0.20276193171720419</v>
      </c>
      <c r="G791" s="29">
        <f>INDEX(A783:D791,,G782)</f>
        <v>-0.30913336318483886</v>
      </c>
      <c r="I791" s="27">
        <f t="shared" si="249"/>
        <v>-5.445103528027731E-2</v>
      </c>
      <c r="J791" s="28">
        <f t="shared" si="250"/>
        <v>0.12536095575518796</v>
      </c>
      <c r="K791" s="28">
        <f t="shared" si="251"/>
        <v>-1.2750453984760188E-2</v>
      </c>
      <c r="L791" s="29">
        <f t="shared" si="248"/>
        <v>-6.8260338245950229E-3</v>
      </c>
      <c r="Q791" s="27">
        <v>-0.20282137165715233</v>
      </c>
      <c r="R791" s="29">
        <v>-0.30909436809293844</v>
      </c>
    </row>
    <row r="792" spans="1:18" x14ac:dyDescent="0.35">
      <c r="I792">
        <f>SUM(I783:I791)</f>
        <v>0.84655761616038949</v>
      </c>
      <c r="J792">
        <f>SUM(J783:J791)</f>
        <v>-0.77125993607190413</v>
      </c>
      <c r="K792">
        <f>SUM(K783:K791)</f>
        <v>1.9218766069391471</v>
      </c>
      <c r="L792">
        <f>SUM(L783:L791)</f>
        <v>-0.14362460762489371</v>
      </c>
    </row>
    <row r="793" spans="1:18" x14ac:dyDescent="0.35">
      <c r="A793" s="12" t="s">
        <v>2</v>
      </c>
      <c r="B793">
        <f>COUNT(A783:A791)</f>
        <v>9</v>
      </c>
      <c r="I793" s="12" t="s">
        <v>16</v>
      </c>
      <c r="J793" s="12" t="s">
        <v>258</v>
      </c>
      <c r="K793" s="12" t="s">
        <v>18</v>
      </c>
      <c r="L793" s="12" t="s">
        <v>19</v>
      </c>
      <c r="N793" s="12"/>
    </row>
    <row r="795" spans="1:18" x14ac:dyDescent="0.35">
      <c r="A795">
        <v>1</v>
      </c>
      <c r="B795">
        <v>2</v>
      </c>
      <c r="C795">
        <v>3</v>
      </c>
      <c r="D795">
        <v>4</v>
      </c>
      <c r="F795">
        <v>1</v>
      </c>
      <c r="G795">
        <v>2</v>
      </c>
      <c r="I795" s="12" t="s">
        <v>251</v>
      </c>
      <c r="J795" s="12" t="s">
        <v>252</v>
      </c>
      <c r="K795" s="12" t="s">
        <v>253</v>
      </c>
      <c r="L795" s="12" t="s">
        <v>254</v>
      </c>
      <c r="Q795">
        <f>F795</f>
        <v>1</v>
      </c>
      <c r="R795">
        <f>G795</f>
        <v>2</v>
      </c>
    </row>
    <row r="796" spans="1:18" x14ac:dyDescent="0.35">
      <c r="A796" s="110">
        <f t="array" ref="A796:A804">IF(A795=$Q782,$Q783:$Q791,IF(A795=$R782,$R783:$R791,A783:A791))</f>
        <v>-0.11032523013909515</v>
      </c>
      <c r="B796" s="111">
        <f t="array" ref="B796:B804">IF(B795=$Q782,$Q783:$Q791,IF(B795=$R782,$R783:$R791,B783:B791))</f>
        <v>-0.88895728673505747</v>
      </c>
      <c r="C796" s="111">
        <f t="array" ref="C796:C804">IF(C795=$Q782,$Q783:$Q791,IF(C795=$R782,$R783:$R791,C783:C791))</f>
        <v>-0.34197826575293422</v>
      </c>
      <c r="D796" s="112">
        <f t="array" ref="D796:D804">IF(D795=$Q782,$Q783:$Q791,IF(D795=$R782,$R783:$R791,D783:D791))</f>
        <v>-0.28396153209196501</v>
      </c>
      <c r="F796" s="94">
        <f>INDEX(A796:D804,,F795)</f>
        <v>-0.11032523013909515</v>
      </c>
      <c r="G796" s="96">
        <f>INDEX(A796:D804,,G795)</f>
        <v>-0.88895728673505747</v>
      </c>
      <c r="I796" s="94">
        <f>F796^2-G796^2</f>
        <v>-0.77807340123411084</v>
      </c>
      <c r="J796" s="95">
        <f>2*F796*G796</f>
        <v>0.19614883448574161</v>
      </c>
      <c r="K796" s="95">
        <f>I796^2-J796^2</f>
        <v>0.56692385243790278</v>
      </c>
      <c r="L796" s="96">
        <f t="shared" ref="L796:L804" si="252">I796*J796</f>
        <v>-0.15261819079642763</v>
      </c>
      <c r="N796" t="s">
        <v>12</v>
      </c>
      <c r="O796" s="51">
        <f>L805*B806-2*I805*J805</f>
        <v>2.1661332906799835E-2</v>
      </c>
      <c r="Q796" s="94">
        <f t="array" ref="Q796:R804">MMULT(F796:G804,N800:O801)</f>
        <v>-0.11056383218736629</v>
      </c>
      <c r="R796" s="96">
        <v>-0.88892764219403342</v>
      </c>
    </row>
    <row r="797" spans="1:18" x14ac:dyDescent="0.35">
      <c r="A797" s="113">
        <v>-0.79394468286400632</v>
      </c>
      <c r="B797" s="114">
        <v>0.60164205317334152</v>
      </c>
      <c r="C797" s="114">
        <v>8.4725458972112686E-2</v>
      </c>
      <c r="D797" s="115">
        <v>2.2366872988939614E-2</v>
      </c>
      <c r="F797" s="30">
        <f>INDEX(A797:D805,,F795)</f>
        <v>-0.79394468286400632</v>
      </c>
      <c r="G797" s="26">
        <f>INDEX(A796:D804,,G795)</f>
        <v>0.60164205317334152</v>
      </c>
      <c r="I797" s="30">
        <f t="shared" ref="I797:I804" si="253">F797^2-G797^2</f>
        <v>0.26837499930139369</v>
      </c>
      <c r="J797">
        <f t="shared" ref="J797:J804" si="254">2*F797*G797</f>
        <v>-0.95534101820871653</v>
      </c>
      <c r="K797">
        <f t="shared" ref="K797:K804" si="255">I797^2-J797^2</f>
        <v>-0.84065132082204419</v>
      </c>
      <c r="L797" s="26">
        <f t="shared" si="252"/>
        <v>-0.25638964509435702</v>
      </c>
      <c r="N797" t="s">
        <v>255</v>
      </c>
      <c r="O797" s="52">
        <f>K805*B806-(I805^2-J805^2)</f>
        <v>20.175509298988668</v>
      </c>
      <c r="Q797" s="30">
        <v>-0.79378316684599304</v>
      </c>
      <c r="R797" s="26">
        <v>0.60185513508369115</v>
      </c>
    </row>
    <row r="798" spans="1:18" x14ac:dyDescent="0.35">
      <c r="A798" s="113">
        <v>-0.98392801272948038</v>
      </c>
      <c r="B798" s="114">
        <v>-0.11749422130209698</v>
      </c>
      <c r="C798" s="114">
        <v>0.11362280454630296</v>
      </c>
      <c r="D798" s="115">
        <v>-7.1907106838356147E-2</v>
      </c>
      <c r="F798" s="30">
        <f>INDEX(A798:D806,,F795)</f>
        <v>-0.98392801272948038</v>
      </c>
      <c r="G798" s="26">
        <f>INDEX(A796:D804,,G795)</f>
        <v>-0.11749422130209698</v>
      </c>
      <c r="I798" s="30">
        <f t="shared" si="253"/>
        <v>0.95430944219439828</v>
      </c>
      <c r="J798">
        <f t="shared" si="254"/>
        <v>0.23121171134594012</v>
      </c>
      <c r="K798">
        <f t="shared" si="255"/>
        <v>0.85724765599786523</v>
      </c>
      <c r="L798" s="26">
        <f t="shared" si="252"/>
        <v>0.22064751928335635</v>
      </c>
      <c r="N798" t="s">
        <v>256</v>
      </c>
      <c r="O798" s="53">
        <f>0.25*ATAN(O796/O797)</f>
        <v>2.6841112487788004E-4</v>
      </c>
      <c r="Q798" s="30">
        <v>-0.98395951404189175</v>
      </c>
      <c r="R798" s="26">
        <v>-0.11723011984816446</v>
      </c>
    </row>
    <row r="799" spans="1:18" x14ac:dyDescent="0.35">
      <c r="A799" s="113">
        <v>-4.9368632348843144E-2</v>
      </c>
      <c r="B799" s="114">
        <v>1.7900896095991877E-3</v>
      </c>
      <c r="C799" s="114">
        <v>8.0810632925893133E-2</v>
      </c>
      <c r="D799" s="115">
        <v>-0.99550448282532167</v>
      </c>
      <c r="F799" s="30">
        <f>INDEX(A799:D807,,F795)</f>
        <v>-4.9368632348843144E-2</v>
      </c>
      <c r="G799" s="26">
        <f>INDEX(A796:D804,,G795)</f>
        <v>1.7900896095991877E-3</v>
      </c>
      <c r="I799" s="30">
        <f t="shared" si="253"/>
        <v>2.4340574391848468E-3</v>
      </c>
      <c r="J799">
        <f t="shared" si="254"/>
        <v>-1.7674855161557292E-4</v>
      </c>
      <c r="K799">
        <f t="shared" si="255"/>
        <v>5.8933955667528916E-6</v>
      </c>
      <c r="L799" s="26">
        <f t="shared" si="252"/>
        <v>-4.3021612692503211E-7</v>
      </c>
      <c r="Q799" s="30">
        <v>-4.9368150090513173E-2</v>
      </c>
      <c r="R799" s="26">
        <v>1.8033406350994282E-3</v>
      </c>
    </row>
    <row r="800" spans="1:18" x14ac:dyDescent="0.35">
      <c r="A800" s="113">
        <v>-0.35417025168714944</v>
      </c>
      <c r="B800" s="114">
        <v>0.11083392233448347</v>
      </c>
      <c r="C800" s="114">
        <v>0.88633194514429048</v>
      </c>
      <c r="D800" s="115">
        <v>-0.27693854462055972</v>
      </c>
      <c r="F800" s="30">
        <f>INDEX(A800:D808,,F795)</f>
        <v>-0.35417025168714944</v>
      </c>
      <c r="G800" s="26">
        <f>INDEX(A796:D804,,G795)</f>
        <v>0.11083392233448347</v>
      </c>
      <c r="I800" s="30">
        <f t="shared" si="253"/>
        <v>0.11315240884009248</v>
      </c>
      <c r="J800">
        <f t="shared" si="254"/>
        <v>-7.8508156337355972E-2</v>
      </c>
      <c r="K800">
        <f t="shared" si="255"/>
        <v>6.6399370148247112E-3</v>
      </c>
      <c r="L800" s="26">
        <f t="shared" si="252"/>
        <v>-8.8833870031664007E-3</v>
      </c>
      <c r="N800" s="94">
        <f>COS(O798)</f>
        <v>0.99999996397773427</v>
      </c>
      <c r="O800" s="96">
        <f>-N801</f>
        <v>-2.6841112165495442E-4</v>
      </c>
      <c r="Q800" s="30">
        <v>-0.35414048987172331</v>
      </c>
      <c r="R800" s="26">
        <v>0.11092898157650663</v>
      </c>
    </row>
    <row r="801" spans="1:18" x14ac:dyDescent="0.35">
      <c r="A801" s="113">
        <v>3.0997987627568349E-2</v>
      </c>
      <c r="B801" s="114">
        <v>-2.3077334640144199E-2</v>
      </c>
      <c r="C801" s="114">
        <v>0.99754723006786683</v>
      </c>
      <c r="D801" s="115">
        <v>5.8361675548892274E-2</v>
      </c>
      <c r="F801" s="30">
        <f>INDEX(A801:D809,,F795)</f>
        <v>3.0997987627568349E-2</v>
      </c>
      <c r="G801" s="26">
        <f>INDEX(A796:D804,,G795)</f>
        <v>-2.3077334640144199E-2</v>
      </c>
      <c r="I801" s="30">
        <f t="shared" si="253"/>
        <v>4.2831186286568105E-4</v>
      </c>
      <c r="J801">
        <f t="shared" si="254"/>
        <v>-1.4307018673048886E-3</v>
      </c>
      <c r="K801">
        <f t="shared" si="255"/>
        <v>-1.8634567812382253E-6</v>
      </c>
      <c r="L801" s="26">
        <f t="shared" si="252"/>
        <v>-6.1278658199076524E-7</v>
      </c>
      <c r="N801" s="27">
        <f>SIN(O798)</f>
        <v>2.6841112165495442E-4</v>
      </c>
      <c r="O801" s="29">
        <f>N800</f>
        <v>0.99999996397773427</v>
      </c>
      <c r="Q801" s="30">
        <v>3.0991792297675035E-2</v>
      </c>
      <c r="R801" s="26">
        <v>-2.3085654013474479E-2</v>
      </c>
    </row>
    <row r="802" spans="1:18" x14ac:dyDescent="0.35">
      <c r="A802" s="113">
        <v>-0.96187240342245095</v>
      </c>
      <c r="B802" s="114">
        <v>2.2306155876027287E-2</v>
      </c>
      <c r="C802" s="114">
        <v>0.16741242220819982</v>
      </c>
      <c r="D802" s="115">
        <v>-0.21512088656087372</v>
      </c>
      <c r="F802" s="30">
        <f>INDEX(A802:D810,,F795)</f>
        <v>-0.96187240342245095</v>
      </c>
      <c r="G802" s="26">
        <f>INDEX(A796:D804,,G795)</f>
        <v>2.2306155876027287E-2</v>
      </c>
      <c r="I802" s="30">
        <f t="shared" si="253"/>
        <v>0.92470095587571655</v>
      </c>
      <c r="J802">
        <f t="shared" si="254"/>
        <v>-4.2911351527180383E-2</v>
      </c>
      <c r="K802">
        <f t="shared" si="255"/>
        <v>0.85323047370757465</v>
      </c>
      <c r="L802" s="26">
        <f t="shared" si="252"/>
        <v>-3.9680167775102589E-2</v>
      </c>
      <c r="Q802" s="30">
        <v>-0.96186638155330917</v>
      </c>
      <c r="R802" s="26">
        <v>2.256433232320058E-2</v>
      </c>
    </row>
    <row r="803" spans="1:18" x14ac:dyDescent="0.35">
      <c r="A803" s="113">
        <v>-0.67552667395010435</v>
      </c>
      <c r="B803" s="114">
        <v>0.22021871003083757</v>
      </c>
      <c r="C803" s="114">
        <v>0.56888650751535985</v>
      </c>
      <c r="D803" s="115">
        <v>-0.41416853345134702</v>
      </c>
      <c r="F803" s="30">
        <f>INDEX(A803:D811,,F795)</f>
        <v>-0.67552667395010435</v>
      </c>
      <c r="G803" s="26">
        <f>INDEX(A796:D804,,G795)</f>
        <v>0.22021871003083757</v>
      </c>
      <c r="I803" s="30">
        <f t="shared" si="253"/>
        <v>0.40784000697044448</v>
      </c>
      <c r="J803">
        <f t="shared" si="254"/>
        <v>-0.29752722545742838</v>
      </c>
      <c r="K803">
        <f t="shared" si="255"/>
        <v>7.7811021397256791E-2</v>
      </c>
      <c r="L803" s="26">
        <f t="shared" si="252"/>
        <v>-0.1213435057044546</v>
      </c>
      <c r="Q803" s="30">
        <v>-0.67546754046513424</v>
      </c>
      <c r="R803" s="26">
        <v>0.22040002097032346</v>
      </c>
    </row>
    <row r="804" spans="1:18" x14ac:dyDescent="0.35">
      <c r="A804" s="116">
        <v>-7.0420997881119954E-2</v>
      </c>
      <c r="B804" s="117">
        <v>0.92647992200034557</v>
      </c>
      <c r="C804" s="117">
        <v>-0.20282137165715233</v>
      </c>
      <c r="D804" s="118">
        <v>-0.30909436809293844</v>
      </c>
      <c r="F804" s="27">
        <f>INDEX(A804:D812,,F795)</f>
        <v>-7.0420997881119954E-2</v>
      </c>
      <c r="G804" s="29">
        <f>INDEX(A796:D804,,G795)</f>
        <v>0.92647992200034557</v>
      </c>
      <c r="I804" s="27">
        <f t="shared" si="253"/>
        <v>-0.85340592892719369</v>
      </c>
      <c r="J804" s="28">
        <f t="shared" si="254"/>
        <v>-0.13048728124817302</v>
      </c>
      <c r="K804" s="28">
        <f t="shared" si="255"/>
        <v>0.71127474896054654</v>
      </c>
      <c r="L804" s="29">
        <f t="shared" si="252"/>
        <v>0.11135861946678108</v>
      </c>
      <c r="Q804" s="27">
        <v>-7.0172317829341149E-2</v>
      </c>
      <c r="R804" s="29">
        <v>0.9264987904054689</v>
      </c>
    </row>
    <row r="805" spans="1:18" x14ac:dyDescent="0.35">
      <c r="I805">
        <f>SUM(I796:I804)</f>
        <v>1.0397608523227913</v>
      </c>
      <c r="J805">
        <f>SUM(J796:J804)</f>
        <v>-1.079021937366093</v>
      </c>
      <c r="K805">
        <f>SUM(K796:K804)</f>
        <v>2.232480398632712</v>
      </c>
      <c r="L805">
        <f>SUM(L796:L804)</f>
        <v>-0.24690980062607967</v>
      </c>
    </row>
    <row r="806" spans="1:18" x14ac:dyDescent="0.35">
      <c r="A806" s="12" t="s">
        <v>2</v>
      </c>
      <c r="B806">
        <f>COUNT(A796:A804)</f>
        <v>9</v>
      </c>
      <c r="I806" s="12" t="s">
        <v>16</v>
      </c>
      <c r="J806" s="12" t="s">
        <v>258</v>
      </c>
      <c r="K806" s="12" t="s">
        <v>18</v>
      </c>
      <c r="L806" s="12" t="s">
        <v>19</v>
      </c>
      <c r="N806" s="12"/>
    </row>
    <row r="808" spans="1:18" x14ac:dyDescent="0.35">
      <c r="A808">
        <v>1</v>
      </c>
      <c r="B808">
        <v>2</v>
      </c>
      <c r="C808">
        <v>3</v>
      </c>
      <c r="D808">
        <v>4</v>
      </c>
      <c r="F808">
        <v>1</v>
      </c>
      <c r="G808">
        <v>3</v>
      </c>
      <c r="I808" s="12" t="s">
        <v>251</v>
      </c>
      <c r="J808" s="12" t="s">
        <v>252</v>
      </c>
      <c r="K808" s="12" t="s">
        <v>253</v>
      </c>
      <c r="L808" s="12" t="s">
        <v>254</v>
      </c>
      <c r="Q808">
        <f>F808</f>
        <v>1</v>
      </c>
      <c r="R808">
        <f>G808</f>
        <v>3</v>
      </c>
    </row>
    <row r="809" spans="1:18" x14ac:dyDescent="0.35">
      <c r="A809" s="110">
        <f t="array" ref="A809:A817">IF(A808=$Q795,$Q796:$Q804,IF(A808=$R795,$R796:$R804,A796:A804))</f>
        <v>-0.11056383218736629</v>
      </c>
      <c r="B809" s="111">
        <f t="array" ref="B809:B817">IF(B808=$Q795,$Q796:$Q804,IF(B808=$R795,$R796:$R804,B796:B804))</f>
        <v>-0.88892764219403342</v>
      </c>
      <c r="C809" s="111">
        <f t="array" ref="C809:C817">IF(C808=$Q795,$Q796:$Q804,IF(C808=$R795,$R796:$R804,C796:C804))</f>
        <v>-0.34197826575293422</v>
      </c>
      <c r="D809" s="112">
        <f t="array" ref="D809:D817">IF(D808=$Q795,$Q796:$Q804,IF(D808=$R795,$R796:$R804,D796:D804))</f>
        <v>-0.28396153209196501</v>
      </c>
      <c r="F809" s="94">
        <f>INDEX(A809:D817,,F808)</f>
        <v>-0.11056383218736629</v>
      </c>
      <c r="G809" s="96">
        <f>INDEX(A809:D817,,G808)</f>
        <v>-0.34197826575293422</v>
      </c>
      <c r="I809" s="94">
        <f>F809^2-G809^2</f>
        <v>-0.1047247732594284</v>
      </c>
      <c r="J809" s="95">
        <f>2*F809*G809</f>
        <v>7.5620855172867943E-2</v>
      </c>
      <c r="K809" s="95">
        <f>I809^2-J809^2</f>
        <v>5.2487643971628221E-3</v>
      </c>
      <c r="L809" s="96">
        <f t="shared" ref="L809:L817" si="256">I809*J809</f>
        <v>-7.9193769116626695E-3</v>
      </c>
      <c r="N809" t="s">
        <v>12</v>
      </c>
      <c r="O809" s="51">
        <f>L818*B819-2*I818*J818</f>
        <v>4.9578746431473419E-3</v>
      </c>
      <c r="Q809" s="94">
        <f t="array" ref="Q809:R817">MMULT(F809:G817,N813:O814)</f>
        <v>-0.11058109101284756</v>
      </c>
      <c r="R809" s="96">
        <v>-0.34197268537962056</v>
      </c>
    </row>
    <row r="810" spans="1:18" x14ac:dyDescent="0.35">
      <c r="A810" s="113">
        <v>-0.79378316684599304</v>
      </c>
      <c r="B810" s="114">
        <v>0.60185513508369115</v>
      </c>
      <c r="C810" s="114">
        <v>8.4725458972112686E-2</v>
      </c>
      <c r="D810" s="115">
        <v>2.2366872988939614E-2</v>
      </c>
      <c r="F810" s="30">
        <f>INDEX(A810:D818,,F808)</f>
        <v>-0.79378316684599304</v>
      </c>
      <c r="G810" s="26">
        <f>INDEX(A809:D817,,G808)</f>
        <v>8.4725458972112686E-2</v>
      </c>
      <c r="I810" s="30">
        <f t="shared" ref="I810:I817" si="257">F810^2-G810^2</f>
        <v>0.62291331257001847</v>
      </c>
      <c r="J810">
        <f t="shared" ref="J810:J817" si="258">2*F810*G810</f>
        <v>-0.13450728627072772</v>
      </c>
      <c r="K810">
        <f t="shared" ref="K810:K817" si="259">I810^2-J810^2</f>
        <v>0.36992878491703801</v>
      </c>
      <c r="L810" s="26">
        <f t="shared" si="256"/>
        <v>-8.3786379255702773E-2</v>
      </c>
      <c r="N810" t="s">
        <v>255</v>
      </c>
      <c r="O810" s="52">
        <f>K818*B819-(I818^2-J818^2)</f>
        <v>24.559485783905664</v>
      </c>
      <c r="Q810" s="30">
        <v>-0.79377888990886214</v>
      </c>
      <c r="R810" s="26">
        <v>8.476551952971971E-2</v>
      </c>
    </row>
    <row r="811" spans="1:18" x14ac:dyDescent="0.35">
      <c r="A811" s="113">
        <v>-0.98395951404189175</v>
      </c>
      <c r="B811" s="114">
        <v>-0.11723011984816446</v>
      </c>
      <c r="C811" s="114">
        <v>0.11362280454630296</v>
      </c>
      <c r="D811" s="115">
        <v>-7.1907106838356147E-2</v>
      </c>
      <c r="F811" s="30">
        <f>INDEX(A811:D819,,F808)</f>
        <v>-0.98395951404189175</v>
      </c>
      <c r="G811" s="26">
        <f>INDEX(A809:D817,,G808)</f>
        <v>0.11362280454630296</v>
      </c>
      <c r="I811" s="30">
        <f t="shared" si="257"/>
        <v>0.95526618356058846</v>
      </c>
      <c r="J811">
        <f t="shared" si="258"/>
        <v>-0.22360047909091421</v>
      </c>
      <c r="K811">
        <f t="shared" si="259"/>
        <v>0.86253630720472563</v>
      </c>
      <c r="L811" s="26">
        <f t="shared" si="256"/>
        <v>-0.21359797630349678</v>
      </c>
      <c r="N811" t="s">
        <v>256</v>
      </c>
      <c r="O811" s="53">
        <f>0.25*ATAN(O809/O810)</f>
        <v>5.0468020986090949E-5</v>
      </c>
      <c r="Q811" s="30">
        <v>-0.98395377847072707</v>
      </c>
      <c r="R811" s="26">
        <v>0.11367246289098618</v>
      </c>
    </row>
    <row r="812" spans="1:18" x14ac:dyDescent="0.35">
      <c r="A812" s="113">
        <v>-4.9368150090513173E-2</v>
      </c>
      <c r="B812" s="114">
        <v>1.8033406350994282E-3</v>
      </c>
      <c r="C812" s="114">
        <v>8.0810632925893133E-2</v>
      </c>
      <c r="D812" s="115">
        <v>-0.99550448282532167</v>
      </c>
      <c r="F812" s="30">
        <f>INDEX(A812:D820,,F808)</f>
        <v>-4.9368150090513173E-2</v>
      </c>
      <c r="G812" s="26">
        <f>INDEX(A809:D817,,G808)</f>
        <v>8.0810632925893133E-2</v>
      </c>
      <c r="I812" s="30">
        <f t="shared" si="257"/>
        <v>-4.0931441505240073E-3</v>
      </c>
      <c r="J812">
        <f t="shared" si="258"/>
        <v>-7.978942910389716E-3</v>
      </c>
      <c r="K812">
        <f t="shared" si="259"/>
        <v>-4.6909700930289417E-5</v>
      </c>
      <c r="L812" s="26">
        <f t="shared" si="256"/>
        <v>3.2658963501026662E-5</v>
      </c>
      <c r="Q812" s="30">
        <v>-4.9364071674925639E-2</v>
      </c>
      <c r="R812" s="26">
        <v>8.0813124335813696E-2</v>
      </c>
    </row>
    <row r="813" spans="1:18" x14ac:dyDescent="0.35">
      <c r="A813" s="113">
        <v>-0.35414048987172331</v>
      </c>
      <c r="B813" s="114">
        <v>0.11092898157650663</v>
      </c>
      <c r="C813" s="114">
        <v>0.88633194514429048</v>
      </c>
      <c r="D813" s="115">
        <v>-0.27693854462055972</v>
      </c>
      <c r="F813" s="30">
        <f>INDEX(A813:D821,,F808)</f>
        <v>-0.35414048987172331</v>
      </c>
      <c r="G813" s="26">
        <f>INDEX(A809:D817,,G808)</f>
        <v>0.88633194514429048</v>
      </c>
      <c r="I813" s="30">
        <f t="shared" si="257"/>
        <v>-0.6601688304166774</v>
      </c>
      <c r="J813">
        <f t="shared" si="258"/>
        <v>-0.62777205848471285</v>
      </c>
      <c r="K813">
        <f t="shared" si="259"/>
        <v>4.1725127239590043E-2</v>
      </c>
      <c r="L813" s="26">
        <f t="shared" si="256"/>
        <v>0.4144355456181229</v>
      </c>
      <c r="N813" s="94">
        <f>COS(O811)</f>
        <v>0.99999999872648948</v>
      </c>
      <c r="O813" s="96">
        <f>-N814</f>
        <v>-5.0468020964667094E-5</v>
      </c>
      <c r="Q813" s="30">
        <v>-0.35409575800153248</v>
      </c>
      <c r="R813" s="26">
        <v>0.88634981678520464</v>
      </c>
    </row>
    <row r="814" spans="1:18" x14ac:dyDescent="0.35">
      <c r="A814" s="113">
        <v>3.0991792297675035E-2</v>
      </c>
      <c r="B814" s="114">
        <v>-2.3085654013474479E-2</v>
      </c>
      <c r="C814" s="114">
        <v>0.99754723006786683</v>
      </c>
      <c r="D814" s="115">
        <v>5.8361675548892274E-2</v>
      </c>
      <c r="F814" s="30">
        <f>INDEX(A814:D822,,F808)</f>
        <v>3.0991792297675035E-2</v>
      </c>
      <c r="G814" s="26">
        <f>INDEX(A809:D817,,G808)</f>
        <v>0.99754723006786683</v>
      </c>
      <c r="I814" s="30">
        <f t="shared" si="257"/>
        <v>-0.99413998502625145</v>
      </c>
      <c r="J814">
        <f t="shared" si="258"/>
        <v>6.1831553122768765E-2</v>
      </c>
      <c r="K814">
        <f t="shared" si="259"/>
        <v>0.98449116886642174</v>
      </c>
      <c r="L814" s="26">
        <f t="shared" si="256"/>
        <v>-6.1469219295619208E-2</v>
      </c>
      <c r="N814" s="27">
        <f>SIN(O811)</f>
        <v>5.0468020964667094E-5</v>
      </c>
      <c r="O814" s="29">
        <f>N813</f>
        <v>0.99999999872648948</v>
      </c>
      <c r="Q814" s="30">
        <v>3.1042136492726972E-2</v>
      </c>
      <c r="R814" s="26">
        <v>0.9975456647030565</v>
      </c>
    </row>
    <row r="815" spans="1:18" x14ac:dyDescent="0.35">
      <c r="A815" s="113">
        <v>-0.96186638155330917</v>
      </c>
      <c r="B815" s="114">
        <v>2.256433232320058E-2</v>
      </c>
      <c r="C815" s="114">
        <v>0.16741242220819982</v>
      </c>
      <c r="D815" s="115">
        <v>-0.21512088656087372</v>
      </c>
      <c r="F815" s="30">
        <f>INDEX(A815:D823,,F808)</f>
        <v>-0.96186638155330917</v>
      </c>
      <c r="G815" s="26">
        <f>INDEX(A809:D817,,G808)</f>
        <v>0.16741242220819982</v>
      </c>
      <c r="I815" s="30">
        <f t="shared" si="257"/>
        <v>0.89716001685283964</v>
      </c>
      <c r="J815">
        <f t="shared" si="258"/>
        <v>-0.32205676155295204</v>
      </c>
      <c r="K815">
        <f t="shared" si="259"/>
        <v>0.70117553817741252</v>
      </c>
      <c r="L815" s="26">
        <f t="shared" si="256"/>
        <v>-0.28893644962241744</v>
      </c>
      <c r="Q815" s="30">
        <v>-0.96185793135472852</v>
      </c>
      <c r="R815" s="26">
        <v>0.16746096548770778</v>
      </c>
    </row>
    <row r="816" spans="1:18" x14ac:dyDescent="0.35">
      <c r="A816" s="113">
        <v>-0.67546754046513424</v>
      </c>
      <c r="B816" s="114">
        <v>0.22040002097032346</v>
      </c>
      <c r="C816" s="114">
        <v>0.56888650751535985</v>
      </c>
      <c r="D816" s="115">
        <v>-0.41416853345134702</v>
      </c>
      <c r="F816" s="30">
        <f>INDEX(A816:D824,,F808)</f>
        <v>-0.67546754046513424</v>
      </c>
      <c r="G816" s="26">
        <f>INDEX(A809:D817,,G808)</f>
        <v>0.56888650751535985</v>
      </c>
      <c r="I816" s="30">
        <f t="shared" si="257"/>
        <v>0.13262453978899419</v>
      </c>
      <c r="J816">
        <f t="shared" si="258"/>
        <v>-0.7685287400704004</v>
      </c>
      <c r="K816">
        <f t="shared" si="259"/>
        <v>-0.57304715575995457</v>
      </c>
      <c r="L816" s="26">
        <f t="shared" si="256"/>
        <v>-0.10192577046645239</v>
      </c>
      <c r="Q816" s="30">
        <v>-0.67543882902873142</v>
      </c>
      <c r="R816" s="26">
        <v>0.56892059630087011</v>
      </c>
    </row>
    <row r="817" spans="1:18" x14ac:dyDescent="0.35">
      <c r="A817" s="116">
        <v>-7.0172317829341149E-2</v>
      </c>
      <c r="B817" s="117">
        <v>0.9264987904054689</v>
      </c>
      <c r="C817" s="117">
        <v>-0.20282137165715233</v>
      </c>
      <c r="D817" s="118">
        <v>-0.30909436809293844</v>
      </c>
      <c r="F817" s="27">
        <f>INDEX(A817:D825,,F808)</f>
        <v>-7.0172317829341149E-2</v>
      </c>
      <c r="G817" s="29">
        <f>INDEX(A809:D817,,G808)</f>
        <v>-0.20282137165715233</v>
      </c>
      <c r="I817" s="27">
        <f t="shared" si="257"/>
        <v>-3.6212354611346649E-2</v>
      </c>
      <c r="J817" s="28">
        <f t="shared" si="258"/>
        <v>2.8464891509017237E-2</v>
      </c>
      <c r="K817" s="28">
        <f t="shared" si="259"/>
        <v>5.0108457787779743E-4</v>
      </c>
      <c r="L817" s="29">
        <f t="shared" si="256"/>
        <v>-1.0307807452980425E-3</v>
      </c>
      <c r="Q817" s="27">
        <v>-7.0182553733212846E-2</v>
      </c>
      <c r="R817" s="29">
        <v>-0.20281782994084982</v>
      </c>
    </row>
    <row r="818" spans="1:18" x14ac:dyDescent="0.35">
      <c r="I818">
        <f>SUM(I809:I817)</f>
        <v>0.80862496530821271</v>
      </c>
      <c r="J818">
        <f>SUM(J809:J817)</f>
        <v>-1.9185269685754429</v>
      </c>
      <c r="K818">
        <f>SUM(K809:K817)</f>
        <v>2.3925127099193437</v>
      </c>
      <c r="L818">
        <f>SUM(L809:L817)</f>
        <v>-0.34419774801902542</v>
      </c>
    </row>
    <row r="819" spans="1:18" x14ac:dyDescent="0.35">
      <c r="A819" s="12" t="s">
        <v>2</v>
      </c>
      <c r="B819">
        <f>COUNT(A809:A817)</f>
        <v>9</v>
      </c>
      <c r="I819" s="12" t="s">
        <v>16</v>
      </c>
      <c r="J819" s="12" t="s">
        <v>258</v>
      </c>
      <c r="K819" s="12" t="s">
        <v>18</v>
      </c>
      <c r="L819" s="12" t="s">
        <v>19</v>
      </c>
      <c r="N819" s="12"/>
    </row>
    <row r="821" spans="1:18" x14ac:dyDescent="0.35">
      <c r="A821">
        <v>1</v>
      </c>
      <c r="B821">
        <v>2</v>
      </c>
      <c r="C821">
        <v>3</v>
      </c>
      <c r="D821">
        <v>4</v>
      </c>
      <c r="F821">
        <v>1</v>
      </c>
      <c r="G821">
        <v>4</v>
      </c>
      <c r="I821" s="12" t="s">
        <v>251</v>
      </c>
      <c r="J821" s="12" t="s">
        <v>252</v>
      </c>
      <c r="K821" s="12" t="s">
        <v>253</v>
      </c>
      <c r="L821" s="12" t="s">
        <v>254</v>
      </c>
      <c r="Q821">
        <f>F821</f>
        <v>1</v>
      </c>
      <c r="R821">
        <f>G821</f>
        <v>4</v>
      </c>
    </row>
    <row r="822" spans="1:18" x14ac:dyDescent="0.35">
      <c r="A822" s="110">
        <f t="array" ref="A822:A830">IF(A821=$Q808,$Q809:$Q817,IF(A821=$R808,$R809:$R817,A809:A817))</f>
        <v>-0.11058109101284756</v>
      </c>
      <c r="B822" s="111">
        <f t="array" ref="B822:B830">IF(B821=$Q808,$Q809:$Q817,IF(B821=$R808,$R809:$R817,B809:B817))</f>
        <v>-0.88892764219403342</v>
      </c>
      <c r="C822" s="111">
        <f t="array" ref="C822:C830">IF(C821=$Q808,$Q809:$Q817,IF(C821=$R808,$R809:$R817,C809:C817))</f>
        <v>-0.34197268537962056</v>
      </c>
      <c r="D822" s="112">
        <f t="array" ref="D822:D830">IF(D821=$Q808,$Q809:$Q817,IF(D821=$R808,$R809:$R817,D809:D817))</f>
        <v>-0.28396153209196501</v>
      </c>
      <c r="F822" s="94">
        <f>INDEX(A822:D830,,F821)</f>
        <v>-0.11058109101284756</v>
      </c>
      <c r="G822" s="96">
        <f>INDEX(A822:D830,,G821)</f>
        <v>-0.28396153209196501</v>
      </c>
      <c r="I822" s="94">
        <f>F822^2-G822^2</f>
        <v>-6.8405974018424409E-2</v>
      </c>
      <c r="J822" s="95">
        <f>2*F822*G822</f>
        <v>6.2801552048818432E-2</v>
      </c>
      <c r="K822" s="95">
        <f>I822^2-J822^2</f>
        <v>7.3534234166890491E-4</v>
      </c>
      <c r="L822" s="96">
        <f t="shared" ref="L822:L830" si="260">I822*J822</f>
        <v>-4.2960013377682021E-3</v>
      </c>
      <c r="N822" t="s">
        <v>12</v>
      </c>
      <c r="O822" s="51">
        <f>L831*B832-2*I831*J831</f>
        <v>-4.0400654858238738E-2</v>
      </c>
      <c r="Q822" s="94">
        <f t="array" ref="Q822:R830">MMULT(F822:G830,N826:O827)</f>
        <v>-0.1104561382182184</v>
      </c>
      <c r="R822" s="96">
        <v>-0.28401015990194012</v>
      </c>
    </row>
    <row r="823" spans="1:18" x14ac:dyDescent="0.35">
      <c r="A823" s="113">
        <v>-0.79377888990886214</v>
      </c>
      <c r="B823" s="114">
        <v>0.60185513508369115</v>
      </c>
      <c r="C823" s="114">
        <v>8.476551952971971E-2</v>
      </c>
      <c r="D823" s="115">
        <v>2.2366872988939614E-2</v>
      </c>
      <c r="F823" s="30">
        <f>INDEX(A823:D831,,F821)</f>
        <v>-0.79377888990886214</v>
      </c>
      <c r="G823" s="26">
        <f>INDEX(A822:D830,,G821)</f>
        <v>2.2366872988939614E-2</v>
      </c>
      <c r="I823" s="30">
        <f t="shared" ref="I823:I830" si="261">F823^2-G823^2</f>
        <v>0.62958464905764211</v>
      </c>
      <c r="J823">
        <f t="shared" ref="J823:J830" si="262">2*F823*G823</f>
        <v>-3.5508703223785999E-2</v>
      </c>
      <c r="K823">
        <f t="shared" ref="K823:K830" si="263">I823^2-J823^2</f>
        <v>0.39511596232439944</v>
      </c>
      <c r="L823" s="26">
        <f t="shared" si="260"/>
        <v>-2.2355734457639272E-2</v>
      </c>
      <c r="N823" t="s">
        <v>255</v>
      </c>
      <c r="O823" s="52">
        <f>K831*B832-(I831^2-J831^2)</f>
        <v>22.955073797276963</v>
      </c>
      <c r="Q823" s="30">
        <v>-0.79378865441891344</v>
      </c>
      <c r="R823" s="26">
        <v>2.201761086175523E-2</v>
      </c>
    </row>
    <row r="824" spans="1:18" x14ac:dyDescent="0.35">
      <c r="A824" s="113">
        <v>-0.98395377847072707</v>
      </c>
      <c r="B824" s="114">
        <v>-0.11723011984816446</v>
      </c>
      <c r="C824" s="114">
        <v>0.11367246289098618</v>
      </c>
      <c r="D824" s="115">
        <v>-7.1907106838356147E-2</v>
      </c>
      <c r="F824" s="30">
        <f>INDEX(A824:D832,,F821)</f>
        <v>-0.98395377847072707</v>
      </c>
      <c r="G824" s="26">
        <f>INDEX(A822:D830,,G821)</f>
        <v>-7.1907106838356147E-2</v>
      </c>
      <c r="I824" s="30">
        <f t="shared" si="261"/>
        <v>0.96299440615295784</v>
      </c>
      <c r="J824">
        <f t="shared" si="262"/>
        <v>0.14150653894499757</v>
      </c>
      <c r="K824">
        <f t="shared" si="263"/>
        <v>0.90733412571769578</v>
      </c>
      <c r="L824" s="26">
        <f t="shared" si="260"/>
        <v>0.13627000543809833</v>
      </c>
      <c r="N824" t="s">
        <v>256</v>
      </c>
      <c r="O824" s="53">
        <f>0.25*ATAN(O822/O823)</f>
        <v>-4.3999655044295571E-4</v>
      </c>
      <c r="Q824" s="30">
        <v>-0.98392204434755592</v>
      </c>
      <c r="R824" s="26">
        <v>-7.2340036132210697E-2</v>
      </c>
    </row>
    <row r="825" spans="1:18" x14ac:dyDescent="0.35">
      <c r="A825" s="113">
        <v>-4.9364071674925639E-2</v>
      </c>
      <c r="B825" s="114">
        <v>1.8033406350994282E-3</v>
      </c>
      <c r="C825" s="114">
        <v>8.0813124335813696E-2</v>
      </c>
      <c r="D825" s="115">
        <v>-0.99550448282532167</v>
      </c>
      <c r="F825" s="30">
        <f>INDEX(A825:D833,,F821)</f>
        <v>-4.9364071674925639E-2</v>
      </c>
      <c r="G825" s="26">
        <f>INDEX(A822:D830,,G821)</f>
        <v>-0.99550448282532167</v>
      </c>
      <c r="I825" s="30">
        <f t="shared" si="261"/>
        <v>-0.98859236375298398</v>
      </c>
      <c r="J825">
        <f t="shared" si="262"/>
        <v>9.8284309285797913E-2</v>
      </c>
      <c r="K825">
        <f t="shared" si="263"/>
        <v>0.96765505621892589</v>
      </c>
      <c r="L825" s="26">
        <f t="shared" si="260"/>
        <v>-9.7163117636676316E-2</v>
      </c>
      <c r="Q825" s="30">
        <v>-4.8926048372298032E-2</v>
      </c>
      <c r="R825" s="26">
        <v>-0.99552610648255224</v>
      </c>
    </row>
    <row r="826" spans="1:18" x14ac:dyDescent="0.35">
      <c r="A826" s="113">
        <v>-0.35409575800153248</v>
      </c>
      <c r="B826" s="114">
        <v>0.11092898157650663</v>
      </c>
      <c r="C826" s="114">
        <v>0.88634981678520464</v>
      </c>
      <c r="D826" s="115">
        <v>-0.27693854462055972</v>
      </c>
      <c r="F826" s="30">
        <f>INDEX(A826:D834,,F821)</f>
        <v>-0.35409575800153248</v>
      </c>
      <c r="G826" s="26">
        <f>INDEX(A822:D830,,G821)</f>
        <v>-0.27693854462055972</v>
      </c>
      <c r="I826" s="30">
        <f t="shared" si="261"/>
        <v>4.8688848338126089E-2</v>
      </c>
      <c r="J826">
        <f t="shared" si="262"/>
        <v>0.19612552775451664</v>
      </c>
      <c r="K826">
        <f t="shared" si="263"/>
        <v>-3.6094618684494637E-2</v>
      </c>
      <c r="L826" s="26">
        <f t="shared" si="260"/>
        <v>9.5491260760745995E-3</v>
      </c>
      <c r="N826" s="94">
        <f>COS(O824)</f>
        <v>0.99999990320151932</v>
      </c>
      <c r="O826" s="96">
        <f>-N827</f>
        <v>4.3999653624595645E-4</v>
      </c>
      <c r="Q826" s="30">
        <v>-0.35397387172521505</v>
      </c>
      <c r="R826" s="26">
        <v>-0.2770943187203494</v>
      </c>
    </row>
    <row r="827" spans="1:18" x14ac:dyDescent="0.35">
      <c r="A827" s="113">
        <v>3.1042136492726972E-2</v>
      </c>
      <c r="B827" s="114">
        <v>-2.3085654013474479E-2</v>
      </c>
      <c r="C827" s="114">
        <v>0.9975456647030565</v>
      </c>
      <c r="D827" s="115">
        <v>5.8361675548892274E-2</v>
      </c>
      <c r="F827" s="30">
        <f>INDEX(A827:D835,,F821)</f>
        <v>3.1042136492726972E-2</v>
      </c>
      <c r="G827" s="26">
        <f>INDEX(A822:D830,,G821)</f>
        <v>5.8361675548892274E-2</v>
      </c>
      <c r="I827" s="30">
        <f t="shared" si="261"/>
        <v>-2.4424709348410787E-3</v>
      </c>
      <c r="J827">
        <f t="shared" si="262"/>
        <v>3.6233421966659204E-3</v>
      </c>
      <c r="K827">
        <f t="shared" si="263"/>
        <v>-7.1629444065963654E-6</v>
      </c>
      <c r="L827" s="26">
        <f t="shared" si="260"/>
        <v>-8.8499080023397388E-6</v>
      </c>
      <c r="N827" s="27">
        <f>SIN(O824)</f>
        <v>-4.3999653624595645E-4</v>
      </c>
      <c r="O827" s="29">
        <f>N826</f>
        <v>0.99999990320151932</v>
      </c>
      <c r="Q827" s="30">
        <v>3.1016454552804298E-2</v>
      </c>
      <c r="R827" s="26">
        <v>5.8375328332105222E-2</v>
      </c>
    </row>
    <row r="828" spans="1:18" x14ac:dyDescent="0.35">
      <c r="A828" s="113">
        <v>-0.96185793135472852</v>
      </c>
      <c r="B828" s="114">
        <v>2.256433232320058E-2</v>
      </c>
      <c r="C828" s="114">
        <v>0.16746096548770778</v>
      </c>
      <c r="D828" s="115">
        <v>-0.21512088656087372</v>
      </c>
      <c r="F828" s="30">
        <f>INDEX(A828:D836,,F821)</f>
        <v>-0.96185793135472852</v>
      </c>
      <c r="G828" s="26">
        <f>INDEX(A822:D830,,G821)</f>
        <v>-0.21512088656087372</v>
      </c>
      <c r="I828" s="30">
        <f t="shared" si="261"/>
        <v>0.87889368427526138</v>
      </c>
      <c r="J828">
        <f t="shared" si="262"/>
        <v>0.41383146187727443</v>
      </c>
      <c r="K828">
        <f t="shared" si="263"/>
        <v>0.60119762941946076</v>
      </c>
      <c r="L828" s="26">
        <f t="shared" si="260"/>
        <v>0.36371385819833507</v>
      </c>
      <c r="Q828" s="30">
        <v>-0.96176318580338116</v>
      </c>
      <c r="R828" s="26">
        <v>-0.21554407989565552</v>
      </c>
    </row>
    <row r="829" spans="1:18" x14ac:dyDescent="0.35">
      <c r="A829" s="113">
        <v>-0.67543882902873142</v>
      </c>
      <c r="B829" s="114">
        <v>0.22040002097032346</v>
      </c>
      <c r="C829" s="114">
        <v>0.56892059630087011</v>
      </c>
      <c r="D829" s="115">
        <v>-0.41416853345134702</v>
      </c>
      <c r="F829" s="30">
        <f>INDEX(A829:D837,,F821)</f>
        <v>-0.67543882902873142</v>
      </c>
      <c r="G829" s="26">
        <f>INDEX(A822:D830,,G821)</f>
        <v>-0.41416853345134702</v>
      </c>
      <c r="I829" s="30">
        <f t="shared" si="261"/>
        <v>0.28468203765846434</v>
      </c>
      <c r="J829">
        <f t="shared" si="262"/>
        <v>0.55949101850984961</v>
      </c>
      <c r="K829">
        <f t="shared" si="263"/>
        <v>-0.23198633722781353</v>
      </c>
      <c r="L829" s="26">
        <f t="shared" si="260"/>
        <v>0.15927704320099356</v>
      </c>
      <c r="Q829" s="30">
        <v>-0.67525653092713833</v>
      </c>
      <c r="R829" s="26">
        <v>-0.41446568410568091</v>
      </c>
    </row>
    <row r="830" spans="1:18" x14ac:dyDescent="0.35">
      <c r="A830" s="116">
        <v>-7.0182553733212846E-2</v>
      </c>
      <c r="B830" s="117">
        <v>0.9264987904054689</v>
      </c>
      <c r="C830" s="117">
        <v>-0.20281782994084982</v>
      </c>
      <c r="D830" s="118">
        <v>-0.30909436809293844</v>
      </c>
      <c r="F830" s="27">
        <f>INDEX(A830:D838,,F821)</f>
        <v>-7.0182553733212846E-2</v>
      </c>
      <c r="G830" s="29">
        <f>INDEX(A822:D830,,G821)</f>
        <v>-0.30909436809293844</v>
      </c>
      <c r="I830" s="27">
        <f t="shared" si="261"/>
        <v>-9.0613737538257619E-2</v>
      </c>
      <c r="J830" s="28">
        <f t="shared" si="262"/>
        <v>4.3386064194632243E-2</v>
      </c>
      <c r="K830" s="28">
        <f t="shared" si="263"/>
        <v>6.3284988643514872E-3</v>
      </c>
      <c r="L830" s="29">
        <f t="shared" si="260"/>
        <v>-3.9313734337504021E-3</v>
      </c>
      <c r="Q830" s="27">
        <v>-7.0046546488314251E-2</v>
      </c>
      <c r="R830" s="29">
        <v>-0.30912521825362077</v>
      </c>
    </row>
    <row r="831" spans="1:18" x14ac:dyDescent="0.35">
      <c r="I831">
        <f>SUM(I822:I830)</f>
        <v>1.6547890792379445</v>
      </c>
      <c r="J831">
        <f>SUM(J822:J830)</f>
        <v>1.4835411115887667</v>
      </c>
      <c r="K831">
        <f>SUM(K822:K830)</f>
        <v>2.610278496029788</v>
      </c>
      <c r="L831">
        <f>SUM(L822:L830)</f>
        <v>0.54105495613966503</v>
      </c>
    </row>
    <row r="832" spans="1:18" x14ac:dyDescent="0.35">
      <c r="A832" s="12" t="s">
        <v>2</v>
      </c>
      <c r="B832">
        <f>COUNT(A822:A830)</f>
        <v>9</v>
      </c>
      <c r="I832" s="12" t="s">
        <v>16</v>
      </c>
      <c r="J832" s="12" t="s">
        <v>258</v>
      </c>
      <c r="K832" s="12" t="s">
        <v>18</v>
      </c>
      <c r="L832" s="12" t="s">
        <v>19</v>
      </c>
      <c r="N832" s="12"/>
    </row>
    <row r="834" spans="1:18" x14ac:dyDescent="0.35">
      <c r="A834">
        <v>1</v>
      </c>
      <c r="B834">
        <v>2</v>
      </c>
      <c r="C834">
        <v>3</v>
      </c>
      <c r="D834">
        <v>4</v>
      </c>
      <c r="F834">
        <v>2</v>
      </c>
      <c r="G834">
        <v>3</v>
      </c>
      <c r="I834" s="12" t="s">
        <v>251</v>
      </c>
      <c r="J834" s="12" t="s">
        <v>252</v>
      </c>
      <c r="K834" s="12" t="s">
        <v>253</v>
      </c>
      <c r="L834" s="12" t="s">
        <v>254</v>
      </c>
      <c r="Q834">
        <f>F834</f>
        <v>2</v>
      </c>
      <c r="R834">
        <f>G834</f>
        <v>3</v>
      </c>
    </row>
    <row r="835" spans="1:18" x14ac:dyDescent="0.35">
      <c r="A835" s="110">
        <f t="array" ref="A835:A843">IF(A834=$Q821,$Q822:$Q830,IF(A834=$R821,$R822:$R830,A822:A830))</f>
        <v>-0.1104561382182184</v>
      </c>
      <c r="B835" s="111">
        <f t="array" ref="B835:B843">IF(B834=$Q821,$Q822:$Q830,IF(B834=$R821,$R822:$R830,B822:B830))</f>
        <v>-0.88892764219403342</v>
      </c>
      <c r="C835" s="111">
        <f t="array" ref="C835:C843">IF(C834=$Q821,$Q822:$Q830,IF(C834=$R821,$R822:$R830,C822:C830))</f>
        <v>-0.34197268537962056</v>
      </c>
      <c r="D835" s="112">
        <f t="array" ref="D835:D843">IF(D834=$Q821,$Q822:$Q830,IF(D834=$R821,$R822:$R830,D822:D830))</f>
        <v>-0.28401015990194012</v>
      </c>
      <c r="F835" s="94">
        <f>INDEX(A835:D843,,F834)</f>
        <v>-0.88892764219403342</v>
      </c>
      <c r="G835" s="96">
        <f>INDEX(A835:D843,,G834)</f>
        <v>-0.34197268537962056</v>
      </c>
      <c r="I835" s="94">
        <f>F835^2-G835^2</f>
        <v>0.67324703551089449</v>
      </c>
      <c r="J835" s="95">
        <f>2*F835*G835</f>
        <v>0.60797794581853626</v>
      </c>
      <c r="K835" s="95">
        <f>I835^2-J835^2</f>
        <v>8.3624388222480639E-2</v>
      </c>
      <c r="L835" s="96">
        <f t="shared" ref="L835:L843" si="264">I835*J835</f>
        <v>0.40931934967833278</v>
      </c>
      <c r="N835" t="s">
        <v>12</v>
      </c>
      <c r="O835" s="51">
        <f>L844*B845-2*I844*J844</f>
        <v>-3.0668930263011429E-3</v>
      </c>
      <c r="Q835" s="94">
        <f t="array" ref="Q835:R843">MMULT(F835:G843,N839:O840)</f>
        <v>-0.88891517192116876</v>
      </c>
      <c r="R835" s="96">
        <v>-0.34200509898355524</v>
      </c>
    </row>
    <row r="836" spans="1:18" x14ac:dyDescent="0.35">
      <c r="A836" s="113">
        <v>-0.79378865441891344</v>
      </c>
      <c r="B836" s="114">
        <v>0.60185513508369115</v>
      </c>
      <c r="C836" s="114">
        <v>8.476551952971971E-2</v>
      </c>
      <c r="D836" s="115">
        <v>2.201761086175523E-2</v>
      </c>
      <c r="F836" s="30">
        <f>INDEX(A836:D844,,F834)</f>
        <v>0.60185513508369115</v>
      </c>
      <c r="G836" s="26">
        <f>INDEX(A835:D843,,G834)</f>
        <v>8.476551952971971E-2</v>
      </c>
      <c r="I836" s="30">
        <f t="shared" ref="I836:I843" si="265">F836^2-G836^2</f>
        <v>0.3550444103254648</v>
      </c>
      <c r="J836">
        <f t="shared" ref="J836:J843" si="266">2*F836*G836</f>
        <v>0.10203312641399744</v>
      </c>
      <c r="K836">
        <f t="shared" ref="K836:K843" si="267">I836^2-J836^2</f>
        <v>0.11564577441754223</v>
      </c>
      <c r="L836" s="26">
        <f t="shared" si="264"/>
        <v>3.6226291201321328E-2</v>
      </c>
      <c r="N836" t="s">
        <v>255</v>
      </c>
      <c r="O836" s="52">
        <f>K844*B845-(I844^2-J844^2)</f>
        <v>21.026872318026626</v>
      </c>
      <c r="Q836" s="30">
        <v>0.60185204379617185</v>
      </c>
      <c r="R836" s="26">
        <v>8.4787465501230661E-2</v>
      </c>
    </row>
    <row r="837" spans="1:18" x14ac:dyDescent="0.35">
      <c r="A837" s="113">
        <v>-0.98392204434755592</v>
      </c>
      <c r="B837" s="114">
        <v>-0.11723011984816446</v>
      </c>
      <c r="C837" s="114">
        <v>0.11367246289098618</v>
      </c>
      <c r="D837" s="115">
        <v>-7.2340036132210697E-2</v>
      </c>
      <c r="F837" s="30">
        <f>INDEX(A837:D845,,F834)</f>
        <v>-0.11723011984816446</v>
      </c>
      <c r="G837" s="26">
        <f>INDEX(A835:D843,,G834)</f>
        <v>0.11367246289098618</v>
      </c>
      <c r="I837" s="30">
        <f t="shared" si="265"/>
        <v>8.214721799123751E-4</v>
      </c>
      <c r="J837">
        <f t="shared" si="266"/>
        <v>-2.6651672896292673E-2</v>
      </c>
      <c r="K837">
        <f t="shared" si="267"/>
        <v>-7.0963685162861152E-4</v>
      </c>
      <c r="L837" s="26">
        <f t="shared" si="264"/>
        <v>-2.1893607832429106E-5</v>
      </c>
      <c r="N837" t="s">
        <v>256</v>
      </c>
      <c r="O837" s="53">
        <f>0.25*ATAN(O835/O836)</f>
        <v>-3.6463970463210023E-5</v>
      </c>
      <c r="Q837" s="30">
        <v>-0.11723426471955706</v>
      </c>
      <c r="R837" s="26">
        <v>0.11366818813978893</v>
      </c>
    </row>
    <row r="838" spans="1:18" x14ac:dyDescent="0.35">
      <c r="A838" s="113">
        <v>-4.8926048372298032E-2</v>
      </c>
      <c r="B838" s="114">
        <v>1.8033406350994282E-3</v>
      </c>
      <c r="C838" s="114">
        <v>8.0813124335813696E-2</v>
      </c>
      <c r="D838" s="115">
        <v>-0.99552610648255224</v>
      </c>
      <c r="F838" s="30">
        <f>INDEX(A838:D846,,F834)</f>
        <v>1.8033406350994282E-3</v>
      </c>
      <c r="G838" s="26">
        <f>INDEX(A835:D843,,G834)</f>
        <v>8.0813124335813696E-2</v>
      </c>
      <c r="I838" s="30">
        <f t="shared" si="265"/>
        <v>-6.5275090274694823E-3</v>
      </c>
      <c r="J838">
        <f t="shared" si="266"/>
        <v>2.9146718192823068E-4</v>
      </c>
      <c r="K838">
        <f t="shared" si="267"/>
        <v>4.2523420985554406E-5</v>
      </c>
      <c r="L838" s="26">
        <f t="shared" si="264"/>
        <v>-1.9025546612476156E-6</v>
      </c>
      <c r="Q838" s="30">
        <v>1.8003938665223807E-3</v>
      </c>
      <c r="R838" s="26">
        <v>8.0813190039047925E-2</v>
      </c>
    </row>
    <row r="839" spans="1:18" x14ac:dyDescent="0.35">
      <c r="A839" s="113">
        <v>-0.35397387172521505</v>
      </c>
      <c r="B839" s="114">
        <v>0.11092898157650663</v>
      </c>
      <c r="C839" s="114">
        <v>0.88634981678520464</v>
      </c>
      <c r="D839" s="115">
        <v>-0.2770943187203494</v>
      </c>
      <c r="F839" s="30">
        <f>INDEX(A839:D847,,F834)</f>
        <v>0.11092898157650663</v>
      </c>
      <c r="G839" s="26">
        <f>INDEX(A835:D843,,G834)</f>
        <v>0.88634981678520464</v>
      </c>
      <c r="I839" s="30">
        <f t="shared" si="265"/>
        <v>-0.77331075876156496</v>
      </c>
      <c r="J839">
        <f t="shared" si="266"/>
        <v>0.19664376499301198</v>
      </c>
      <c r="K839">
        <f t="shared" si="267"/>
        <v>0.55934075930576044</v>
      </c>
      <c r="L839" s="26">
        <f t="shared" si="264"/>
        <v>-0.15206673911247695</v>
      </c>
      <c r="N839" s="94">
        <f>COS(O837)</f>
        <v>0.99999999933518946</v>
      </c>
      <c r="O839" s="96">
        <f>-N840</f>
        <v>3.6463970455129478E-5</v>
      </c>
      <c r="Q839" s="30">
        <v>0.11089666166922771</v>
      </c>
      <c r="R839" s="26">
        <v>0.88635386110705683</v>
      </c>
    </row>
    <row r="840" spans="1:18" x14ac:dyDescent="0.35">
      <c r="A840" s="113">
        <v>3.1016454552804298E-2</v>
      </c>
      <c r="B840" s="114">
        <v>-2.3085654013474479E-2</v>
      </c>
      <c r="C840" s="114">
        <v>0.9975456647030565</v>
      </c>
      <c r="D840" s="115">
        <v>5.8375328332105222E-2</v>
      </c>
      <c r="F840" s="30">
        <f>INDEX(A840:D848,,F834)</f>
        <v>-2.3085654013474479E-2</v>
      </c>
      <c r="G840" s="26">
        <f>INDEX(A835:D843,,G834)</f>
        <v>0.9975456647030565</v>
      </c>
      <c r="I840" s="30">
        <f t="shared" si="265"/>
        <v>-0.99456440574663296</v>
      </c>
      <c r="J840">
        <f t="shared" si="266"/>
        <v>-4.6057988155952363E-2</v>
      </c>
      <c r="K840">
        <f t="shared" si="267"/>
        <v>0.98703701890517925</v>
      </c>
      <c r="L840" s="26">
        <f t="shared" si="264"/>
        <v>4.5807635620210223E-2</v>
      </c>
      <c r="N840" s="27">
        <f>SIN(O837)</f>
        <v>-3.6463970455129478E-5</v>
      </c>
      <c r="O840" s="29">
        <f>N839</f>
        <v>0.99999999933518946</v>
      </c>
      <c r="Q840" s="30">
        <v>-2.3122028473772267E-2</v>
      </c>
      <c r="R840" s="26">
        <v>0.99754482224527175</v>
      </c>
    </row>
    <row r="841" spans="1:18" x14ac:dyDescent="0.35">
      <c r="A841" s="113">
        <v>-0.96176318580338116</v>
      </c>
      <c r="B841" s="114">
        <v>2.256433232320058E-2</v>
      </c>
      <c r="C841" s="114">
        <v>0.16746096548770778</v>
      </c>
      <c r="D841" s="115">
        <v>-0.21554407989565552</v>
      </c>
      <c r="F841" s="30">
        <f>INDEX(A841:D849,,F834)</f>
        <v>2.256433232320058E-2</v>
      </c>
      <c r="G841" s="26">
        <f>INDEX(A835:D843,,G834)</f>
        <v>0.16746096548770778</v>
      </c>
      <c r="I841" s="30">
        <f t="shared" si="265"/>
        <v>-2.7534025868883424E-2</v>
      </c>
      <c r="J841">
        <f t="shared" si="266"/>
        <v>7.5572897528573234E-3</v>
      </c>
      <c r="K841">
        <f t="shared" si="267"/>
        <v>7.0100995213969927E-4</v>
      </c>
      <c r="L841" s="26">
        <f t="shared" si="264"/>
        <v>-2.0808261155382115E-4</v>
      </c>
      <c r="Q841" s="30">
        <v>2.2558226016501641E-2</v>
      </c>
      <c r="R841" s="26">
        <v>0.16746178816152515</v>
      </c>
    </row>
    <row r="842" spans="1:18" x14ac:dyDescent="0.35">
      <c r="A842" s="113">
        <v>-0.67525653092713833</v>
      </c>
      <c r="B842" s="114">
        <v>0.22040002097032346</v>
      </c>
      <c r="C842" s="114">
        <v>0.56892059630087011</v>
      </c>
      <c r="D842" s="115">
        <v>-0.41446568410568091</v>
      </c>
      <c r="F842" s="30">
        <f>INDEX(A842:D850,,F834)</f>
        <v>0.22040002097032346</v>
      </c>
      <c r="G842" s="26">
        <f>INDEX(A835:D843,,G834)</f>
        <v>0.56892059630087011</v>
      </c>
      <c r="I842" s="30">
        <f t="shared" si="265"/>
        <v>-0.2750944756516186</v>
      </c>
      <c r="J842">
        <f t="shared" si="266"/>
        <v>0.25078022271032141</v>
      </c>
      <c r="K842">
        <f t="shared" si="267"/>
        <v>1.2786250431400567E-2</v>
      </c>
      <c r="L842" s="26">
        <f t="shared" si="264"/>
        <v>-6.8988253870292005E-2</v>
      </c>
      <c r="Q842" s="30">
        <v>0.22037927571998436</v>
      </c>
      <c r="R842" s="26">
        <v>0.56892863258249859</v>
      </c>
    </row>
    <row r="843" spans="1:18" x14ac:dyDescent="0.35">
      <c r="A843" s="116">
        <v>-7.0046546488314251E-2</v>
      </c>
      <c r="B843" s="117">
        <v>0.9264987904054689</v>
      </c>
      <c r="C843" s="117">
        <v>-0.20281782994084982</v>
      </c>
      <c r="D843" s="118">
        <v>-0.30912521825362077</v>
      </c>
      <c r="F843" s="27">
        <f>INDEX(A843:D851,,F834)</f>
        <v>0.9264987904054689</v>
      </c>
      <c r="G843" s="29">
        <f>INDEX(A835:D843,,G834)</f>
        <v>-0.20281782994084982</v>
      </c>
      <c r="I843" s="27">
        <f t="shared" si="265"/>
        <v>0.8172649364808815</v>
      </c>
      <c r="J843" s="28">
        <f t="shared" si="266"/>
        <v>-0.37582094822571888</v>
      </c>
      <c r="K843" s="28">
        <f t="shared" si="267"/>
        <v>0.52668059127582079</v>
      </c>
      <c r="L843" s="29">
        <f t="shared" si="264"/>
        <v>-0.30714528337987679</v>
      </c>
      <c r="Q843" s="27">
        <v>0.92650618533288143</v>
      </c>
      <c r="R843" s="29">
        <v>-0.20278404598149435</v>
      </c>
    </row>
    <row r="844" spans="1:18" x14ac:dyDescent="0.35">
      <c r="I844">
        <f>SUM(I835:I843)</f>
        <v>-0.23065332055901622</v>
      </c>
      <c r="J844">
        <f>SUM(J835:J843)</f>
        <v>0.71675320759268857</v>
      </c>
      <c r="K844">
        <f>SUM(K835:K843)</f>
        <v>2.28514867907968</v>
      </c>
      <c r="L844">
        <f>SUM(L835:L843)</f>
        <v>-3.7078878636828905E-2</v>
      </c>
    </row>
    <row r="845" spans="1:18" x14ac:dyDescent="0.35">
      <c r="A845" s="12" t="s">
        <v>2</v>
      </c>
      <c r="B845">
        <f>COUNT(A835:A843)</f>
        <v>9</v>
      </c>
      <c r="I845" s="12" t="s">
        <v>16</v>
      </c>
      <c r="J845" s="12" t="s">
        <v>258</v>
      </c>
      <c r="K845" s="12" t="s">
        <v>18</v>
      </c>
      <c r="L845" s="12" t="s">
        <v>19</v>
      </c>
      <c r="N845" s="12"/>
    </row>
    <row r="847" spans="1:18" x14ac:dyDescent="0.35">
      <c r="A847">
        <v>1</v>
      </c>
      <c r="B847">
        <v>2</v>
      </c>
      <c r="C847">
        <v>3</v>
      </c>
      <c r="D847">
        <v>4</v>
      </c>
      <c r="F847">
        <v>2</v>
      </c>
      <c r="G847">
        <v>4</v>
      </c>
      <c r="I847" s="12" t="s">
        <v>251</v>
      </c>
      <c r="J847" s="12" t="s">
        <v>252</v>
      </c>
      <c r="K847" s="12" t="s">
        <v>253</v>
      </c>
      <c r="L847" s="12" t="s">
        <v>254</v>
      </c>
      <c r="Q847">
        <f>F847</f>
        <v>2</v>
      </c>
      <c r="R847">
        <f>G847</f>
        <v>4</v>
      </c>
    </row>
    <row r="848" spans="1:18" x14ac:dyDescent="0.35">
      <c r="A848" s="110">
        <f t="array" ref="A848:A856">IF(A847=$Q834,$Q835:$Q843,IF(A847=$R834,$R835:$R843,A835:A843))</f>
        <v>-0.1104561382182184</v>
      </c>
      <c r="B848" s="111">
        <f t="array" ref="B848:B856">IF(B847=$Q834,$Q835:$Q843,IF(B847=$R834,$R835:$R843,B835:B843))</f>
        <v>-0.88891517192116876</v>
      </c>
      <c r="C848" s="111">
        <f t="array" ref="C848:C856">IF(C847=$Q834,$Q835:$Q843,IF(C847=$R834,$R835:$R843,C835:C843))</f>
        <v>-0.34200509898355524</v>
      </c>
      <c r="D848" s="112">
        <f t="array" ref="D848:D856">IF(D847=$Q834,$Q835:$Q843,IF(D847=$R834,$R835:$R843,D835:D843))</f>
        <v>-0.28401015990194012</v>
      </c>
      <c r="F848" s="94">
        <f>INDEX(A848:D856,,F847)</f>
        <v>-0.88891517192116876</v>
      </c>
      <c r="G848" s="96">
        <f>INDEX(A848:D856,,G847)</f>
        <v>-0.28401015990194012</v>
      </c>
      <c r="I848" s="94">
        <f>F848^2-G848^2</f>
        <v>0.7095084119441154</v>
      </c>
      <c r="J848" s="95">
        <f>2*F848*G848</f>
        <v>0.50492188023318341</v>
      </c>
      <c r="K848" s="95">
        <f>I848^2-J848^2</f>
        <v>0.24845608148124737</v>
      </c>
      <c r="L848" s="96">
        <f t="shared" ref="L848:L856" si="268">I848*J848</f>
        <v>0.35824632140008278</v>
      </c>
      <c r="N848" t="s">
        <v>12</v>
      </c>
      <c r="O848" s="51">
        <f>L857*B858-2*I857*J857</f>
        <v>3.3901526094083922E-3</v>
      </c>
      <c r="Q848" s="94">
        <f t="array" ref="Q848:R856">MMULT(F848:G856,N852:O853)</f>
        <v>-0.88893225340340243</v>
      </c>
      <c r="R848" s="96">
        <v>-0.28395669151882241</v>
      </c>
    </row>
    <row r="849" spans="1:18" x14ac:dyDescent="0.35">
      <c r="A849" s="113">
        <v>-0.79378865441891344</v>
      </c>
      <c r="B849" s="114">
        <v>0.60185204379617185</v>
      </c>
      <c r="C849" s="114">
        <v>8.4787465501230661E-2</v>
      </c>
      <c r="D849" s="115">
        <v>2.201761086175523E-2</v>
      </c>
      <c r="F849" s="30">
        <f>INDEX(A849:D857,,F847)</f>
        <v>0.60185204379617185</v>
      </c>
      <c r="G849" s="26">
        <f>INDEX(A848:D856,,G847)</f>
        <v>2.201761086175523E-2</v>
      </c>
      <c r="I849" s="30">
        <f t="shared" ref="I849:I856" si="269">F849^2-G849^2</f>
        <v>0.36174110743356946</v>
      </c>
      <c r="J849">
        <f t="shared" ref="J849:J856" si="270">2*F849*G849</f>
        <v>2.6502688193312356E-2</v>
      </c>
      <c r="K849">
        <f t="shared" ref="K849:K856" si="271">I849^2-J849^2</f>
        <v>0.13015423632579332</v>
      </c>
      <c r="L849" s="26">
        <f t="shared" si="268"/>
        <v>9.5871117770153971E-3</v>
      </c>
      <c r="N849" t="s">
        <v>255</v>
      </c>
      <c r="O849" s="52">
        <f>K857*B858-(I857^2-J857^2)</f>
        <v>14.090509246238407</v>
      </c>
      <c r="Q849" s="30">
        <v>0.60185336705735482</v>
      </c>
      <c r="R849" s="26">
        <v>2.1981409677586331E-2</v>
      </c>
    </row>
    <row r="850" spans="1:18" x14ac:dyDescent="0.35">
      <c r="A850" s="113">
        <v>-0.98392204434755592</v>
      </c>
      <c r="B850" s="114">
        <v>-0.11723426471955706</v>
      </c>
      <c r="C850" s="114">
        <v>0.11366818813978893</v>
      </c>
      <c r="D850" s="115">
        <v>-7.2340036132210697E-2</v>
      </c>
      <c r="F850" s="30">
        <f>INDEX(A850:D858,,F847)</f>
        <v>-0.11723426471955706</v>
      </c>
      <c r="G850" s="26">
        <f>INDEX(A848:D856,,G847)</f>
        <v>-7.2340036132210697E-2</v>
      </c>
      <c r="I850" s="30">
        <f t="shared" si="269"/>
        <v>8.5107919967256328E-3</v>
      </c>
      <c r="J850">
        <f t="shared" si="270"/>
        <v>1.6961461891491822E-2</v>
      </c>
      <c r="K850">
        <f t="shared" si="271"/>
        <v>-2.1525760908500024E-4</v>
      </c>
      <c r="L850" s="26">
        <f t="shared" si="268"/>
        <v>1.4435547411887541E-4</v>
      </c>
      <c r="N850" t="s">
        <v>256</v>
      </c>
      <c r="O850" s="53">
        <f>0.25*ATAN(O848/O849)</f>
        <v>6.0149574524738327E-5</v>
      </c>
      <c r="Q850" s="30">
        <v>-0.11723861572987379</v>
      </c>
      <c r="R850" s="26">
        <v>-7.2332984410210258E-2</v>
      </c>
    </row>
    <row r="851" spans="1:18" x14ac:dyDescent="0.35">
      <c r="A851" s="113">
        <v>-4.8926048372298032E-2</v>
      </c>
      <c r="B851" s="114">
        <v>1.8003938665223807E-3</v>
      </c>
      <c r="C851" s="114">
        <v>8.0813190039047925E-2</v>
      </c>
      <c r="D851" s="115">
        <v>-0.99552610648255224</v>
      </c>
      <c r="F851" s="30">
        <f>INDEX(A851:D859,,F847)</f>
        <v>1.8003938665223807E-3</v>
      </c>
      <c r="G851" s="26">
        <f>INDEX(A848:D856,,G847)</f>
        <v>-0.99552610648255224</v>
      </c>
      <c r="I851" s="30">
        <f t="shared" si="269"/>
        <v>-0.99106898727023529</v>
      </c>
      <c r="J851">
        <f t="shared" si="270"/>
        <v>-3.5846781921481871E-3</v>
      </c>
      <c r="K851">
        <f t="shared" si="271"/>
        <v>0.98220488761110847</v>
      </c>
      <c r="L851" s="26">
        <f t="shared" si="268"/>
        <v>3.5526633855820018E-3</v>
      </c>
      <c r="Q851" s="30">
        <v>1.7405133915684068E-3</v>
      </c>
      <c r="R851" s="26">
        <v>-0.99552621297458477</v>
      </c>
    </row>
    <row r="852" spans="1:18" x14ac:dyDescent="0.35">
      <c r="A852" s="113">
        <v>-0.35397387172521505</v>
      </c>
      <c r="B852" s="114">
        <v>0.11089666166922771</v>
      </c>
      <c r="C852" s="114">
        <v>0.88635386110705683</v>
      </c>
      <c r="D852" s="115">
        <v>-0.2770943187203494</v>
      </c>
      <c r="F852" s="30">
        <f>INDEX(A852:D860,,F847)</f>
        <v>0.11089666166922771</v>
      </c>
      <c r="G852" s="26">
        <f>INDEX(A848:D856,,G847)</f>
        <v>-0.2770943187203494</v>
      </c>
      <c r="I852" s="30">
        <f t="shared" si="269"/>
        <v>-6.4483191897715411E-2</v>
      </c>
      <c r="J852">
        <f t="shared" si="270"/>
        <v>-6.1457669827191475E-2</v>
      </c>
      <c r="K852">
        <f t="shared" si="271"/>
        <v>3.8103685672950891E-4</v>
      </c>
      <c r="L852" s="26">
        <f t="shared" si="268"/>
        <v>3.9629867170532223E-3</v>
      </c>
      <c r="N852" s="94">
        <f>COS(O850)</f>
        <v>0.99999999819101437</v>
      </c>
      <c r="O852" s="96">
        <f>-N853</f>
        <v>-6.0149574488468423E-5</v>
      </c>
      <c r="Q852" s="30">
        <v>0.11087999436325303</v>
      </c>
      <c r="R852" s="26">
        <v>-0.27710098860610133</v>
      </c>
    </row>
    <row r="853" spans="1:18" x14ac:dyDescent="0.35">
      <c r="A853" s="113">
        <v>3.1016454552804298E-2</v>
      </c>
      <c r="B853" s="114">
        <v>-2.3122028473772267E-2</v>
      </c>
      <c r="C853" s="114">
        <v>0.99754482224527175</v>
      </c>
      <c r="D853" s="115">
        <v>5.8375328332105222E-2</v>
      </c>
      <c r="F853" s="30">
        <f>INDEX(A853:D861,,F847)</f>
        <v>-2.3122028473772267E-2</v>
      </c>
      <c r="G853" s="26">
        <f>INDEX(A848:D856,,G847)</f>
        <v>5.8375328332105222E-2</v>
      </c>
      <c r="I853" s="30">
        <f t="shared" si="269"/>
        <v>-2.8730507571391515E-3</v>
      </c>
      <c r="J853">
        <f t="shared" si="270"/>
        <v>-2.6995120077214839E-3</v>
      </c>
      <c r="K853">
        <f t="shared" si="271"/>
        <v>9.6705557326537554E-7</v>
      </c>
      <c r="L853" s="26">
        <f t="shared" si="268"/>
        <v>7.7558350176904409E-6</v>
      </c>
      <c r="N853" s="27">
        <f>SIN(O850)</f>
        <v>6.0149574488468423E-5</v>
      </c>
      <c r="O853" s="29">
        <f>N852</f>
        <v>0.99999999819101437</v>
      </c>
      <c r="Q853" s="30">
        <v>-2.3118517180785048E-2</v>
      </c>
      <c r="R853" s="26">
        <v>5.8376719006679095E-2</v>
      </c>
    </row>
    <row r="854" spans="1:18" x14ac:dyDescent="0.35">
      <c r="A854" s="113">
        <v>-0.96176318580338116</v>
      </c>
      <c r="B854" s="114">
        <v>2.2558226016501641E-2</v>
      </c>
      <c r="C854" s="114">
        <v>0.16746178816152515</v>
      </c>
      <c r="D854" s="115">
        <v>-0.21554407989565552</v>
      </c>
      <c r="F854" s="30">
        <f>INDEX(A854:D862,,F847)</f>
        <v>2.2558226016501641E-2</v>
      </c>
      <c r="G854" s="26">
        <f>INDEX(A848:D856,,G847)</f>
        <v>-0.21554407989565552</v>
      </c>
      <c r="I854" s="30">
        <f t="shared" si="269"/>
        <v>-4.5950376817053162E-2</v>
      </c>
      <c r="J854">
        <f t="shared" si="270"/>
        <v>-9.7245841416101694E-3</v>
      </c>
      <c r="K854">
        <f t="shared" si="271"/>
        <v>2.0168695929019204E-3</v>
      </c>
      <c r="L854" s="26">
        <f t="shared" si="268"/>
        <v>4.4684830569612674E-4</v>
      </c>
      <c r="Q854" s="30">
        <v>2.2545261091004902E-2</v>
      </c>
      <c r="R854" s="26">
        <v>-0.21554543637343548</v>
      </c>
    </row>
    <row r="855" spans="1:18" x14ac:dyDescent="0.35">
      <c r="A855" s="113">
        <v>-0.67525653092713833</v>
      </c>
      <c r="B855" s="114">
        <v>0.22037927571998436</v>
      </c>
      <c r="C855" s="114">
        <v>0.56892863258249859</v>
      </c>
      <c r="D855" s="115">
        <v>-0.41446568410568091</v>
      </c>
      <c r="F855" s="30">
        <f>INDEX(A855:D863,,F847)</f>
        <v>0.22037927571998436</v>
      </c>
      <c r="G855" s="26">
        <f>INDEX(A848:D856,,G847)</f>
        <v>-0.41446568410568091</v>
      </c>
      <c r="I855" s="30">
        <f t="shared" si="269"/>
        <v>-0.12321477813432519</v>
      </c>
      <c r="J855">
        <f t="shared" si="270"/>
        <v>-0.18267929454799559</v>
      </c>
      <c r="K855">
        <f t="shared" si="271"/>
        <v>-1.8189843105862351E-2</v>
      </c>
      <c r="L855" s="26">
        <f t="shared" si="268"/>
        <v>2.2508788747466316E-2</v>
      </c>
      <c r="Q855" s="30">
        <v>0.22035434538678239</v>
      </c>
      <c r="R855" s="26">
        <v>-0.41447893907557909</v>
      </c>
    </row>
    <row r="856" spans="1:18" x14ac:dyDescent="0.35">
      <c r="A856" s="116">
        <v>-7.0046546488314251E-2</v>
      </c>
      <c r="B856" s="117">
        <v>0.92650618533288143</v>
      </c>
      <c r="C856" s="117">
        <v>-0.20278404598149435</v>
      </c>
      <c r="D856" s="118">
        <v>-0.30912521825362077</v>
      </c>
      <c r="F856" s="27">
        <f>INDEX(A856:D864,,F847)</f>
        <v>0.92650618533288143</v>
      </c>
      <c r="G856" s="29">
        <f>INDEX(A848:D856,,G847)</f>
        <v>-0.30912521825362077</v>
      </c>
      <c r="I856" s="27">
        <f t="shared" si="269"/>
        <v>0.7628553108997389</v>
      </c>
      <c r="J856" s="28">
        <f t="shared" si="270"/>
        <v>-0.57281285350871314</v>
      </c>
      <c r="K856" s="28">
        <f t="shared" si="271"/>
        <v>0.25383366022314285</v>
      </c>
      <c r="L856" s="29">
        <f t="shared" si="268"/>
        <v>-0.43697332745075596</v>
      </c>
      <c r="Q856" s="27">
        <v>0.92648758990650337</v>
      </c>
      <c r="R856" s="29">
        <v>-0.3091809466472264</v>
      </c>
    </row>
    <row r="857" spans="1:18" x14ac:dyDescent="0.35">
      <c r="I857">
        <f>SUM(I848:I856)</f>
        <v>0.615025237397681</v>
      </c>
      <c r="J857">
        <f>SUM(J848:J856)</f>
        <v>-0.28457256190739239</v>
      </c>
      <c r="K857">
        <f>SUM(K848:K856)</f>
        <v>1.5986426384315493</v>
      </c>
      <c r="L857">
        <f>SUM(L848:L856)</f>
        <v>-3.8516495808723572E-2</v>
      </c>
    </row>
    <row r="858" spans="1:18" x14ac:dyDescent="0.35">
      <c r="A858" s="12" t="s">
        <v>2</v>
      </c>
      <c r="B858">
        <f>COUNT(A848:A856)</f>
        <v>9</v>
      </c>
      <c r="I858" s="12" t="s">
        <v>16</v>
      </c>
      <c r="J858" s="12" t="s">
        <v>258</v>
      </c>
      <c r="K858" s="12" t="s">
        <v>18</v>
      </c>
      <c r="L858" s="12" t="s">
        <v>19</v>
      </c>
      <c r="N858" s="12"/>
    </row>
    <row r="860" spans="1:18" x14ac:dyDescent="0.35">
      <c r="A860">
        <v>1</v>
      </c>
      <c r="B860">
        <v>2</v>
      </c>
      <c r="C860">
        <v>3</v>
      </c>
      <c r="D860">
        <v>4</v>
      </c>
      <c r="F860">
        <v>3</v>
      </c>
      <c r="G860">
        <v>4</v>
      </c>
      <c r="I860" s="12" t="s">
        <v>251</v>
      </c>
      <c r="J860" s="12" t="s">
        <v>252</v>
      </c>
      <c r="K860" s="12" t="s">
        <v>253</v>
      </c>
      <c r="L860" s="12" t="s">
        <v>254</v>
      </c>
      <c r="Q860">
        <f>F860</f>
        <v>3</v>
      </c>
      <c r="R860">
        <f>G860</f>
        <v>4</v>
      </c>
    </row>
    <row r="861" spans="1:18" x14ac:dyDescent="0.35">
      <c r="A861" s="110">
        <f t="array" ref="A861:A869">IF(A860=$Q847,$Q848:$Q856,IF(A860=$R847,$R848:$R856,A848:A856))</f>
        <v>-0.1104561382182184</v>
      </c>
      <c r="B861" s="111">
        <f t="array" ref="B861:B869">IF(B860=$Q847,$Q848:$Q856,IF(B860=$R847,$R848:$R856,B848:B856))</f>
        <v>-0.88893225340340243</v>
      </c>
      <c r="C861" s="111">
        <f t="array" ref="C861:C869">IF(C860=$Q847,$Q848:$Q856,IF(C860=$R847,$R848:$R856,C848:C856))</f>
        <v>-0.34200509898355524</v>
      </c>
      <c r="D861" s="112">
        <f t="array" ref="D861:D869">IF(D860=$Q847,$Q848:$Q856,IF(D860=$R847,$R848:$R856,D848:D856))</f>
        <v>-0.28395669151882241</v>
      </c>
      <c r="F861" s="94">
        <f>INDEX(A861:D869,,F860)</f>
        <v>-0.34200509898355524</v>
      </c>
      <c r="G861" s="96">
        <f>INDEX(A861:D869,,G860)</f>
        <v>-0.28395669151882241</v>
      </c>
      <c r="I861" s="94">
        <f>F861^2-G861^2</f>
        <v>3.6336085072435756E-2</v>
      </c>
      <c r="J861" s="95">
        <f>2*F861*G861</f>
        <v>0.19422927277987545</v>
      </c>
      <c r="K861" s="95">
        <f>I861^2-J861^2</f>
        <v>-3.6404699326207976E-2</v>
      </c>
      <c r="L861" s="96">
        <f t="shared" ref="L861:L869" si="272">I861*J861</f>
        <v>7.0575313792868846E-3</v>
      </c>
      <c r="N861" t="s">
        <v>12</v>
      </c>
      <c r="O861" s="51">
        <f>L870*B871-2*I870*J870</f>
        <v>6.6076197442512807E-3</v>
      </c>
      <c r="Q861" s="94">
        <f t="array" ref="Q861:R869">MMULT(F861:G869,N865:O866)</f>
        <v>-0.34203241697662384</v>
      </c>
      <c r="R861" s="96">
        <v>-0.28392378577040006</v>
      </c>
    </row>
    <row r="862" spans="1:18" x14ac:dyDescent="0.35">
      <c r="A862" s="113">
        <v>-0.79378865441891344</v>
      </c>
      <c r="B862" s="114">
        <v>0.60185336705735482</v>
      </c>
      <c r="C862" s="114">
        <v>8.4787465501230661E-2</v>
      </c>
      <c r="D862" s="115">
        <v>2.1981409677586331E-2</v>
      </c>
      <c r="F862" s="30">
        <f>INDEX(A862:D870,,F860)</f>
        <v>8.4787465501230661E-2</v>
      </c>
      <c r="G862" s="26">
        <f>INDEX(A861:D869,,G860)</f>
        <v>2.1981409677586331E-2</v>
      </c>
      <c r="I862" s="30">
        <f t="shared" ref="I862:I869" si="273">F862^2-G862^2</f>
        <v>6.7057319347084933E-3</v>
      </c>
      <c r="J862">
        <f t="shared" ref="J862:J869" si="274">2*F862*G862</f>
        <v>3.7274960294135379E-3</v>
      </c>
      <c r="K862">
        <f t="shared" ref="K862:K869" si="275">I862^2-J862^2</f>
        <v>3.1072614130875619E-5</v>
      </c>
      <c r="L862" s="26">
        <f t="shared" si="272"/>
        <v>2.4995589160937471E-5</v>
      </c>
      <c r="N862" t="s">
        <v>255</v>
      </c>
      <c r="O862" s="52">
        <f>K870*B871-(I870^2-J870^2)</f>
        <v>17.169718792763597</v>
      </c>
      <c r="Q862" s="30">
        <v>8.4789579948187324E-2</v>
      </c>
      <c r="R862" s="26">
        <v>2.1973252143144772E-2</v>
      </c>
    </row>
    <row r="863" spans="1:18" x14ac:dyDescent="0.35">
      <c r="A863" s="113">
        <v>-0.98392204434755592</v>
      </c>
      <c r="B863" s="114">
        <v>-0.11723861572987379</v>
      </c>
      <c r="C863" s="114">
        <v>0.11366818813978893</v>
      </c>
      <c r="D863" s="115">
        <v>-7.2332984410210258E-2</v>
      </c>
      <c r="F863" s="30">
        <f>INDEX(A863:D871,,F860)</f>
        <v>0.11366818813978893</v>
      </c>
      <c r="G863" s="26">
        <f>INDEX(A861:D869,,G860)</f>
        <v>-7.2332984410210258E-2</v>
      </c>
      <c r="I863" s="30">
        <f t="shared" si="273"/>
        <v>7.6883963612947338E-3</v>
      </c>
      <c r="J863">
        <f t="shared" si="274"/>
        <v>-1.6443918561304401E-2</v>
      </c>
      <c r="K863">
        <f t="shared" si="275"/>
        <v>-2.112910190424413E-4</v>
      </c>
      <c r="L863" s="26">
        <f t="shared" si="272"/>
        <v>-1.2642736363215968E-4</v>
      </c>
      <c r="N863" t="s">
        <v>256</v>
      </c>
      <c r="O863" s="53">
        <f>0.25*ATAN(O861/O862)</f>
        <v>9.6210361651838903E-5</v>
      </c>
      <c r="Q863" s="30">
        <v>0.11366122843112918</v>
      </c>
      <c r="R863" s="26">
        <v>-7.2343920132909884E-2</v>
      </c>
    </row>
    <row r="864" spans="1:18" x14ac:dyDescent="0.35">
      <c r="A864" s="113">
        <v>-4.8926048372298032E-2</v>
      </c>
      <c r="B864" s="114">
        <v>1.7405133915684068E-3</v>
      </c>
      <c r="C864" s="114">
        <v>8.0813190039047925E-2</v>
      </c>
      <c r="D864" s="115">
        <v>-0.99552621297458477</v>
      </c>
      <c r="F864" s="30">
        <f>INDEX(A864:D872,,F860)</f>
        <v>8.0813190039047925E-2</v>
      </c>
      <c r="G864" s="26">
        <f>INDEX(A861:D869,,G860)</f>
        <v>-0.99552621297458477</v>
      </c>
      <c r="I864" s="30">
        <f t="shared" si="273"/>
        <v>-0.98454166903523099</v>
      </c>
      <c r="J864">
        <f t="shared" si="274"/>
        <v>-0.16090329807593765</v>
      </c>
      <c r="K864">
        <f t="shared" si="275"/>
        <v>0.9434324267349643</v>
      </c>
      <c r="L864" s="26">
        <f t="shared" si="272"/>
        <v>0.15841600164095693</v>
      </c>
      <c r="Q864" s="30">
        <v>8.0717409728190553E-2</v>
      </c>
      <c r="R864" s="26">
        <v>-0.99553398343330157</v>
      </c>
    </row>
    <row r="865" spans="1:18" x14ac:dyDescent="0.35">
      <c r="A865" s="113">
        <v>-0.35397387172521505</v>
      </c>
      <c r="B865" s="114">
        <v>0.11087999436325303</v>
      </c>
      <c r="C865" s="114">
        <v>0.88635386110705683</v>
      </c>
      <c r="D865" s="115">
        <v>-0.27710098860610133</v>
      </c>
      <c r="F865" s="30">
        <f>INDEX(A865:D873,,F860)</f>
        <v>0.88635386110705683</v>
      </c>
      <c r="G865" s="26">
        <f>INDEX(A861:D869,,G860)</f>
        <v>-0.27710098860610133</v>
      </c>
      <c r="I865" s="30">
        <f t="shared" si="273"/>
        <v>0.70883820921290919</v>
      </c>
      <c r="J865">
        <f t="shared" si="274"/>
        <v>-0.49121906233520096</v>
      </c>
      <c r="K865">
        <f t="shared" si="275"/>
        <v>0.26115543963868992</v>
      </c>
      <c r="L865" s="26">
        <f t="shared" si="272"/>
        <v>-0.34819484047692828</v>
      </c>
      <c r="N865" s="94">
        <f>COS(O863)</f>
        <v>0.99999999537178319</v>
      </c>
      <c r="O865" s="96">
        <f>-N866</f>
        <v>-9.6210361503411436E-5</v>
      </c>
      <c r="Q865" s="30">
        <v>0.88632719701853224</v>
      </c>
      <c r="R865" s="26">
        <v>-0.27718626374901495</v>
      </c>
    </row>
    <row r="866" spans="1:18" x14ac:dyDescent="0.35">
      <c r="A866" s="113">
        <v>3.1016454552804298E-2</v>
      </c>
      <c r="B866" s="114">
        <v>-2.3118517180785048E-2</v>
      </c>
      <c r="C866" s="114">
        <v>0.99754482224527175</v>
      </c>
      <c r="D866" s="115">
        <v>5.8376719006679095E-2</v>
      </c>
      <c r="F866" s="30">
        <f>INDEX(A866:D874,,F860)</f>
        <v>0.99754482224527175</v>
      </c>
      <c r="G866" s="26">
        <f>INDEX(A861:D869,,G860)</f>
        <v>5.8376719006679095E-2</v>
      </c>
      <c r="I866" s="30">
        <f t="shared" si="273"/>
        <v>0.99168783106636604</v>
      </c>
      <c r="J866">
        <f t="shared" si="274"/>
        <v>0.11646678756955975</v>
      </c>
      <c r="K866">
        <f t="shared" si="275"/>
        <v>0.96988024167834042</v>
      </c>
      <c r="L866" s="26">
        <f t="shared" si="272"/>
        <v>0.11549869595612391</v>
      </c>
      <c r="N866" s="27">
        <f>SIN(O863)</f>
        <v>9.6210361503411436E-5</v>
      </c>
      <c r="O866" s="29">
        <f>N865</f>
        <v>0.99999999537178319</v>
      </c>
      <c r="Q866" s="30">
        <v>0.99755043407365707</v>
      </c>
      <c r="R866" s="26">
        <v>5.8280744588534904E-2</v>
      </c>
    </row>
    <row r="867" spans="1:18" x14ac:dyDescent="0.35">
      <c r="A867" s="113">
        <v>-0.96176318580338116</v>
      </c>
      <c r="B867" s="114">
        <v>2.2545261091004902E-2</v>
      </c>
      <c r="C867" s="114">
        <v>0.16746178816152515</v>
      </c>
      <c r="D867" s="115">
        <v>-0.21554543637343548</v>
      </c>
      <c r="F867" s="30">
        <f>INDEX(A867:D875,,F860)</f>
        <v>0.16746178816152515</v>
      </c>
      <c r="G867" s="26">
        <f>INDEX(A861:D869,,G860)</f>
        <v>-0.21554543637343548</v>
      </c>
      <c r="I867" s="30">
        <f t="shared" si="273"/>
        <v>-1.8416384647159199E-2</v>
      </c>
      <c r="J867">
        <f t="shared" si="274"/>
        <v>-7.2191248410303499E-2</v>
      </c>
      <c r="K867">
        <f t="shared" si="275"/>
        <v>-4.8724131235660263E-3</v>
      </c>
      <c r="L867" s="26">
        <f t="shared" si="272"/>
        <v>1.3295017988827693E-3</v>
      </c>
      <c r="Q867" s="30">
        <v>0.16744104968212178</v>
      </c>
      <c r="R867" s="26">
        <v>-0.2155615469350215</v>
      </c>
    </row>
    <row r="868" spans="1:18" x14ac:dyDescent="0.35">
      <c r="A868" s="113">
        <v>-0.67525653092713833</v>
      </c>
      <c r="B868" s="114">
        <v>0.22035434538678239</v>
      </c>
      <c r="C868" s="114">
        <v>0.56892863258249859</v>
      </c>
      <c r="D868" s="115">
        <v>-0.41447893907557909</v>
      </c>
      <c r="F868" s="30">
        <f>INDEX(A868:D876,,F860)</f>
        <v>0.56892863258249859</v>
      </c>
      <c r="G868" s="26">
        <f>INDEX(A861:D869,,G860)</f>
        <v>-0.41447893907557909</v>
      </c>
      <c r="I868" s="30">
        <f t="shared" si="273"/>
        <v>0.15188699803497407</v>
      </c>
      <c r="J868">
        <f t="shared" si="274"/>
        <v>-0.47161787208502792</v>
      </c>
      <c r="K868">
        <f t="shared" si="275"/>
        <v>-0.19935375709793354</v>
      </c>
      <c r="L868" s="26">
        <f t="shared" si="272"/>
        <v>-7.1632622810637286E-2</v>
      </c>
      <c r="Q868" s="30">
        <v>0.56888875278080953</v>
      </c>
      <c r="R868" s="26">
        <v>-0.41453367398669111</v>
      </c>
    </row>
    <row r="869" spans="1:18" x14ac:dyDescent="0.35">
      <c r="A869" s="116">
        <v>-7.0046546488314251E-2</v>
      </c>
      <c r="B869" s="117">
        <v>0.92648758990650337</v>
      </c>
      <c r="C869" s="117">
        <v>-0.20278404598149435</v>
      </c>
      <c r="D869" s="118">
        <v>-0.3091809466472264</v>
      </c>
      <c r="F869" s="27">
        <f>INDEX(A869:D877,,F860)</f>
        <v>-0.20278404598149435</v>
      </c>
      <c r="G869" s="29">
        <f>INDEX(A861:D869,,G860)</f>
        <v>-0.3091809466472264</v>
      </c>
      <c r="I869" s="27">
        <f t="shared" si="273"/>
        <v>-5.4471488465050233E-2</v>
      </c>
      <c r="J869" s="28">
        <f t="shared" si="274"/>
        <v>0.12539392660302623</v>
      </c>
      <c r="K869" s="28">
        <f t="shared" si="275"/>
        <v>-1.2756493773327028E-2</v>
      </c>
      <c r="L869" s="29">
        <f t="shared" si="272"/>
        <v>-6.8303938265440985E-3</v>
      </c>
      <c r="Q869" s="27">
        <v>-0.20281379145361272</v>
      </c>
      <c r="R869" s="29">
        <v>-0.30916143528989892</v>
      </c>
    </row>
    <row r="870" spans="1:18" x14ac:dyDescent="0.35">
      <c r="I870">
        <f>SUM(I861:I869)</f>
        <v>0.84571370953524783</v>
      </c>
      <c r="J870">
        <f>SUM(J861:J869)</f>
        <v>-0.77255791648589955</v>
      </c>
      <c r="K870">
        <f>SUM(K861:K869)</f>
        <v>1.9209005263260481</v>
      </c>
      <c r="L870">
        <f>SUM(L861:L869)</f>
        <v>-0.14445755811333039</v>
      </c>
    </row>
    <row r="871" spans="1:18" x14ac:dyDescent="0.35">
      <c r="A871" s="12" t="s">
        <v>2</v>
      </c>
      <c r="B871">
        <f>COUNT(A861:A869)</f>
        <v>9</v>
      </c>
      <c r="I871" s="12" t="s">
        <v>16</v>
      </c>
      <c r="J871" s="12" t="s">
        <v>258</v>
      </c>
      <c r="K871" s="12" t="s">
        <v>18</v>
      </c>
      <c r="L871" s="12" t="s">
        <v>19</v>
      </c>
      <c r="N871" s="12"/>
    </row>
    <row r="873" spans="1:18" x14ac:dyDescent="0.35">
      <c r="A873">
        <v>1</v>
      </c>
      <c r="B873">
        <v>2</v>
      </c>
      <c r="C873">
        <v>3</v>
      </c>
      <c r="D873">
        <v>4</v>
      </c>
      <c r="F873">
        <v>1</v>
      </c>
      <c r="G873">
        <v>2</v>
      </c>
      <c r="I873" s="12" t="s">
        <v>251</v>
      </c>
      <c r="J873" s="12" t="s">
        <v>252</v>
      </c>
      <c r="K873" s="12" t="s">
        <v>253</v>
      </c>
      <c r="L873" s="12" t="s">
        <v>254</v>
      </c>
      <c r="Q873">
        <f>F873</f>
        <v>1</v>
      </c>
      <c r="R873">
        <f>G873</f>
        <v>2</v>
      </c>
    </row>
    <row r="874" spans="1:18" x14ac:dyDescent="0.35">
      <c r="A874" s="110">
        <f t="array" ref="A874:A882">IF(A873=$Q860,$Q861:$Q869,IF(A873=$R860,$R861:$R869,A861:A869))</f>
        <v>-0.1104561382182184</v>
      </c>
      <c r="B874" s="111">
        <f t="array" ref="B874:B882">IF(B873=$Q860,$Q861:$Q869,IF(B873=$R860,$R861:$R869,B861:B869))</f>
        <v>-0.88893225340340243</v>
      </c>
      <c r="C874" s="111">
        <f t="array" ref="C874:C882">IF(C873=$Q860,$Q861:$Q869,IF(C873=$R860,$R861:$R869,C861:C869))</f>
        <v>-0.34203241697662384</v>
      </c>
      <c r="D874" s="112">
        <f t="array" ref="D874:D882">IF(D873=$Q860,$Q861:$Q869,IF(D873=$R860,$R861:$R869,D861:D869))</f>
        <v>-0.28392378577040006</v>
      </c>
      <c r="F874" s="94">
        <f>INDEX(A874:D882,,F873)</f>
        <v>-0.1104561382182184</v>
      </c>
      <c r="G874" s="96">
        <f>INDEX(A874:D882,,G873)</f>
        <v>-0.88893225340340243</v>
      </c>
      <c r="I874" s="94">
        <f>F874^2-G874^2</f>
        <v>-0.77799999267076869</v>
      </c>
      <c r="J874" s="95">
        <f>2*F874*G874</f>
        <v>0.19637604769711711</v>
      </c>
      <c r="K874" s="95">
        <f>I874^2-J874^2</f>
        <v>0.56672043648657577</v>
      </c>
      <c r="L874" s="96">
        <f t="shared" ref="L874:L882" si="276">I874*J874</f>
        <v>-0.15278056366907164</v>
      </c>
      <c r="N874" t="s">
        <v>12</v>
      </c>
      <c r="O874" s="51">
        <f>L883*B884-2*I883*J883</f>
        <v>9.7210973903814057E-3</v>
      </c>
      <c r="Q874" s="94">
        <f t="array" ref="Q874:R882">MMULT(F874:G882,N878:O879)</f>
        <v>-0.11056324607154844</v>
      </c>
      <c r="R874" s="96">
        <v>-0.88891893794038124</v>
      </c>
    </row>
    <row r="875" spans="1:18" x14ac:dyDescent="0.35">
      <c r="A875" s="113">
        <v>-0.79378865441891344</v>
      </c>
      <c r="B875" s="114">
        <v>0.60185336705735482</v>
      </c>
      <c r="C875" s="114">
        <v>8.4789579948187324E-2</v>
      </c>
      <c r="D875" s="115">
        <v>2.1973252143144772E-2</v>
      </c>
      <c r="F875" s="30">
        <f>INDEX(A875:D883,,F873)</f>
        <v>-0.79378865441891344</v>
      </c>
      <c r="G875" s="26">
        <f>INDEX(A874:D882,,G873)</f>
        <v>0.60185336705735482</v>
      </c>
      <c r="I875" s="30">
        <f t="shared" ref="I875:I882" si="277">F875^2-G875^2</f>
        <v>0.26787295244591414</v>
      </c>
      <c r="J875">
        <f t="shared" ref="J875:J882" si="278">2*F875*G875</f>
        <v>-0.95548874878790013</v>
      </c>
      <c r="K875">
        <f t="shared" ref="K875:K882" si="279">I875^2-J875^2</f>
        <v>-0.84120283040817601</v>
      </c>
      <c r="L875" s="26">
        <f t="shared" si="276"/>
        <v>-0.25594959216666718</v>
      </c>
      <c r="N875" t="s">
        <v>255</v>
      </c>
      <c r="O875" s="52">
        <f>K883*B884-(I883^2-J883^2)</f>
        <v>20.169696621255476</v>
      </c>
      <c r="Q875" s="30">
        <v>-0.79371613052670842</v>
      </c>
      <c r="R875" s="26">
        <v>0.60194900736206347</v>
      </c>
    </row>
    <row r="876" spans="1:18" x14ac:dyDescent="0.35">
      <c r="A876" s="113">
        <v>-0.98392204434755592</v>
      </c>
      <c r="B876" s="114">
        <v>-0.11723861572987379</v>
      </c>
      <c r="C876" s="114">
        <v>0.11366122843112918</v>
      </c>
      <c r="D876" s="115">
        <v>-7.2343920132909884E-2</v>
      </c>
      <c r="F876" s="30">
        <f>INDEX(A876:D884,,F873)</f>
        <v>-0.98392204434755592</v>
      </c>
      <c r="G876" s="26">
        <f>INDEX(A874:D882,,G873)</f>
        <v>-0.11723861572987379</v>
      </c>
      <c r="I876" s="30">
        <f t="shared" si="277"/>
        <v>0.95435769633481682</v>
      </c>
      <c r="J876">
        <f t="shared" si="278"/>
        <v>0.23070731693082991</v>
      </c>
      <c r="K876">
        <f t="shared" si="279"/>
        <v>0.85757274646807613</v>
      </c>
      <c r="L876" s="26">
        <f t="shared" si="276"/>
        <v>0.2201773035136933</v>
      </c>
      <c r="N876" t="s">
        <v>256</v>
      </c>
      <c r="O876" s="53">
        <f>0.25*ATAN(O874/O875)</f>
        <v>1.2049135914407122E-4</v>
      </c>
      <c r="Q876" s="30">
        <v>-0.98393616344530266</v>
      </c>
      <c r="R876" s="26">
        <v>-0.11712006077470048</v>
      </c>
    </row>
    <row r="877" spans="1:18" x14ac:dyDescent="0.35">
      <c r="A877" s="113">
        <v>-4.8926048372298032E-2</v>
      </c>
      <c r="B877" s="114">
        <v>1.7405133915684068E-3</v>
      </c>
      <c r="C877" s="114">
        <v>8.0717409728190553E-2</v>
      </c>
      <c r="D877" s="115">
        <v>-0.99553398343330157</v>
      </c>
      <c r="F877" s="30">
        <f>INDEX(A877:D885,,F873)</f>
        <v>-4.8926048372298032E-2</v>
      </c>
      <c r="G877" s="26">
        <f>INDEX(A874:D882,,G873)</f>
        <v>1.7405133915684068E-3</v>
      </c>
      <c r="I877" s="30">
        <f t="shared" si="277"/>
        <v>2.3907288224622181E-3</v>
      </c>
      <c r="J877">
        <f t="shared" si="278"/>
        <v>-1.7031288477701675E-4</v>
      </c>
      <c r="K877">
        <f t="shared" si="279"/>
        <v>5.6865778238305146E-6</v>
      </c>
      <c r="L877" s="26">
        <f t="shared" si="276"/>
        <v>-4.0717192247310067E-7</v>
      </c>
      <c r="Q877" s="30">
        <v>-4.8925838300316098E-2</v>
      </c>
      <c r="R877" s="26">
        <v>1.7464085449855366E-3</v>
      </c>
    </row>
    <row r="878" spans="1:18" x14ac:dyDescent="0.35">
      <c r="A878" s="113">
        <v>-0.35397387172521505</v>
      </c>
      <c r="B878" s="114">
        <v>0.11087999436325303</v>
      </c>
      <c r="C878" s="114">
        <v>0.88632719701853224</v>
      </c>
      <c r="D878" s="115">
        <v>-0.27718626374901495</v>
      </c>
      <c r="F878" s="30">
        <f>INDEX(A878:D886,,F873)</f>
        <v>-0.35397387172521505</v>
      </c>
      <c r="G878" s="26">
        <f>INDEX(A874:D882,,G873)</f>
        <v>0.11087999436325303</v>
      </c>
      <c r="I878" s="30">
        <f t="shared" si="277"/>
        <v>0.11300312871414396</v>
      </c>
      <c r="J878">
        <f t="shared" si="278"/>
        <v>-7.8497241803261397E-2</v>
      </c>
      <c r="K878">
        <f t="shared" si="279"/>
        <v>6.607890128465699E-3</v>
      </c>
      <c r="L878" s="26">
        <f t="shared" si="276"/>
        <v>-8.8704339191992294E-3</v>
      </c>
      <c r="N878" s="94">
        <f>COS(O876)</f>
        <v>0.99999999274091622</v>
      </c>
      <c r="O878" s="96">
        <f>-N879</f>
        <v>-1.2049135885251893E-4</v>
      </c>
      <c r="Q878" s="30">
        <v>-0.35396050907449866</v>
      </c>
      <c r="R878" s="26">
        <v>0.11092264435116832</v>
      </c>
    </row>
    <row r="879" spans="1:18" x14ac:dyDescent="0.35">
      <c r="A879" s="113">
        <v>3.1016454552804298E-2</v>
      </c>
      <c r="B879" s="114">
        <v>-2.3118517180785048E-2</v>
      </c>
      <c r="C879" s="114">
        <v>0.99755043407365707</v>
      </c>
      <c r="D879" s="115">
        <v>5.8280744588534904E-2</v>
      </c>
      <c r="F879" s="30">
        <f>INDEX(A879:D887,,F873)</f>
        <v>3.1016454552804298E-2</v>
      </c>
      <c r="G879" s="26">
        <f>INDEX(A874:D882,,G873)</f>
        <v>-2.3118517180785048E-2</v>
      </c>
      <c r="I879" s="30">
        <f t="shared" si="277"/>
        <v>4.2755461638792098E-4</v>
      </c>
      <c r="J879">
        <f t="shared" si="278"/>
        <v>-1.4341088749320896E-3</v>
      </c>
      <c r="K879">
        <f t="shared" si="279"/>
        <v>-1.8738653151643613E-6</v>
      </c>
      <c r="L879" s="26">
        <f t="shared" si="276"/>
        <v>-6.1315986988010251E-7</v>
      </c>
      <c r="N879" s="27">
        <f>SIN(O876)</f>
        <v>1.2049135885251893E-4</v>
      </c>
      <c r="O879" s="29">
        <f>N878</f>
        <v>0.99999999274091622</v>
      </c>
      <c r="Q879" s="30">
        <v>3.1013668746103486E-2</v>
      </c>
      <c r="R879" s="26">
        <v>-2.3122254227721652E-2</v>
      </c>
    </row>
    <row r="880" spans="1:18" x14ac:dyDescent="0.35">
      <c r="A880" s="113">
        <v>-0.96176318580338116</v>
      </c>
      <c r="B880" s="114">
        <v>2.2545261091004902E-2</v>
      </c>
      <c r="C880" s="114">
        <v>0.16744104968212178</v>
      </c>
      <c r="D880" s="115">
        <v>-0.2155615469350215</v>
      </c>
      <c r="F880" s="30">
        <f>INDEX(A880:D888,,F873)</f>
        <v>-0.96176318580338116</v>
      </c>
      <c r="G880" s="26">
        <f>INDEX(A874:D882,,G873)</f>
        <v>2.2545261091004902E-2</v>
      </c>
      <c r="I880" s="30">
        <f t="shared" si="277"/>
        <v>0.92448013676900742</v>
      </c>
      <c r="J880">
        <f t="shared" si="278"/>
        <v>-4.3366404263307776E-2</v>
      </c>
      <c r="K880">
        <f t="shared" si="279"/>
        <v>0.85278287826171406</v>
      </c>
      <c r="L880" s="26">
        <f t="shared" si="276"/>
        <v>-4.0091379344522837E-2</v>
      </c>
      <c r="Q880" s="30">
        <v>-0.96176046231271706</v>
      </c>
      <c r="R880" s="26">
        <v>2.266114508049874E-2</v>
      </c>
    </row>
    <row r="881" spans="1:18" x14ac:dyDescent="0.35">
      <c r="A881" s="113">
        <v>-0.67525653092713833</v>
      </c>
      <c r="B881" s="114">
        <v>0.22035434538678239</v>
      </c>
      <c r="C881" s="114">
        <v>0.56888875278080953</v>
      </c>
      <c r="D881" s="115">
        <v>-0.41453367398669111</v>
      </c>
      <c r="F881" s="30">
        <f>INDEX(A881:D889,,F873)</f>
        <v>-0.67525653092713833</v>
      </c>
      <c r="G881" s="26">
        <f>INDEX(A874:D882,,G873)</f>
        <v>0.22035434538678239</v>
      </c>
      <c r="I881" s="30">
        <f t="shared" si="277"/>
        <v>0.40741534502891597</v>
      </c>
      <c r="J881">
        <f t="shared" si="278"/>
        <v>-0.29759142168119829</v>
      </c>
      <c r="K881">
        <f t="shared" si="279"/>
        <v>7.7426609106793873E-2</v>
      </c>
      <c r="L881" s="26">
        <f t="shared" si="276"/>
        <v>-0.12124331174189103</v>
      </c>
      <c r="Q881" s="30">
        <v>-0.6752299752308899</v>
      </c>
      <c r="R881" s="26">
        <v>0.22043570636419721</v>
      </c>
    </row>
    <row r="882" spans="1:18" x14ac:dyDescent="0.35">
      <c r="A882" s="116">
        <v>-7.0046546488314251E-2</v>
      </c>
      <c r="B882" s="117">
        <v>0.92648758990650337</v>
      </c>
      <c r="C882" s="117">
        <v>-0.20281379145361272</v>
      </c>
      <c r="D882" s="118">
        <v>-0.30916143528989892</v>
      </c>
      <c r="F882" s="27">
        <f>INDEX(A882:D890,,F873)</f>
        <v>-7.0046546488314251E-2</v>
      </c>
      <c r="G882" s="29">
        <f>INDEX(A874:D882,,G873)</f>
        <v>0.92648758990650337</v>
      </c>
      <c r="I882" s="27">
        <f t="shared" si="277"/>
        <v>-0.85347273557582171</v>
      </c>
      <c r="J882" s="28">
        <f t="shared" si="278"/>
        <v>-0.12979451207446424</v>
      </c>
      <c r="K882" s="28">
        <f t="shared" si="279"/>
        <v>0.71156909500662824</v>
      </c>
      <c r="L882" s="29">
        <f t="shared" si="276"/>
        <v>0.11077607728292202</v>
      </c>
      <c r="Q882" s="27">
        <v>-6.9934912231172666E-2</v>
      </c>
      <c r="R882" s="29">
        <v>0.92649602318462154</v>
      </c>
    </row>
    <row r="883" spans="1:18" x14ac:dyDescent="0.35">
      <c r="I883">
        <f>SUM(I874:I882)</f>
        <v>1.038474814485058</v>
      </c>
      <c r="J883">
        <f>SUM(J874:J882)</f>
        <v>-1.079259385741894</v>
      </c>
      <c r="K883">
        <f>SUM(K874:K882)</f>
        <v>2.2314806377625866</v>
      </c>
      <c r="L883">
        <f>SUM(L874:L882)</f>
        <v>-0.24798292037652894</v>
      </c>
    </row>
    <row r="884" spans="1:18" x14ac:dyDescent="0.35">
      <c r="A884" s="12" t="s">
        <v>2</v>
      </c>
      <c r="B884">
        <f>COUNT(A874:A882)</f>
        <v>9</v>
      </c>
      <c r="I884" s="12" t="s">
        <v>16</v>
      </c>
      <c r="J884" s="12" t="s">
        <v>258</v>
      </c>
      <c r="K884" s="12" t="s">
        <v>18</v>
      </c>
      <c r="L884" s="12" t="s">
        <v>19</v>
      </c>
      <c r="N884" s="12"/>
    </row>
    <row r="886" spans="1:18" x14ac:dyDescent="0.35">
      <c r="A886">
        <v>1</v>
      </c>
      <c r="B886">
        <v>2</v>
      </c>
      <c r="C886">
        <v>3</v>
      </c>
      <c r="D886">
        <v>4</v>
      </c>
      <c r="F886">
        <v>1</v>
      </c>
      <c r="G886">
        <v>3</v>
      </c>
      <c r="I886" s="12" t="s">
        <v>251</v>
      </c>
      <c r="J886" s="12" t="s">
        <v>252</v>
      </c>
      <c r="K886" s="12" t="s">
        <v>253</v>
      </c>
      <c r="L886" s="12" t="s">
        <v>254</v>
      </c>
      <c r="Q886">
        <f>F886</f>
        <v>1</v>
      </c>
      <c r="R886">
        <f>G886</f>
        <v>3</v>
      </c>
    </row>
    <row r="887" spans="1:18" x14ac:dyDescent="0.35">
      <c r="A887" s="110">
        <f t="array" ref="A887:A895">IF(A886=$Q873,$Q874:$Q882,IF(A886=$R873,$R874:$R882,A874:A882))</f>
        <v>-0.11056324607154844</v>
      </c>
      <c r="B887" s="111">
        <f t="array" ref="B887:B895">IF(B886=$Q873,$Q874:$Q882,IF(B886=$R873,$R874:$R882,B874:B882))</f>
        <v>-0.88891893794038124</v>
      </c>
      <c r="C887" s="111">
        <f t="array" ref="C887:C895">IF(C886=$Q873,$Q874:$Q882,IF(C886=$R873,$R874:$R882,C874:C882))</f>
        <v>-0.34203241697662384</v>
      </c>
      <c r="D887" s="112">
        <f t="array" ref="D887:D895">IF(D886=$Q873,$Q874:$Q882,IF(D886=$R873,$R874:$R882,D874:D882))</f>
        <v>-0.28392378577040006</v>
      </c>
      <c r="F887" s="94">
        <f>INDEX(A887:D895,,F886)</f>
        <v>-0.11056324607154844</v>
      </c>
      <c r="G887" s="96">
        <f>INDEX(A887:D895,,G886)</f>
        <v>-0.34203241697662384</v>
      </c>
      <c r="I887" s="94">
        <f>F887^2-G887^2</f>
        <v>-0.10476194288099332</v>
      </c>
      <c r="J887" s="95">
        <f>2*F887*G887</f>
        <v>7.563242856526585E-2</v>
      </c>
      <c r="K887" s="95">
        <f>I887^2-J887^2</f>
        <v>5.2548004255204648E-3</v>
      </c>
      <c r="L887" s="96">
        <f t="shared" ref="L887:L895" si="280">I887*J887</f>
        <v>-7.9234001613051885E-3</v>
      </c>
      <c r="N887" t="s">
        <v>12</v>
      </c>
      <c r="O887" s="51">
        <f>L896*B897-2*I896*J896</f>
        <v>1.175720678554093E-3</v>
      </c>
      <c r="Q887" s="94">
        <f t="array" ref="Q887:R895">MMULT(F887:G895,N891:O892)</f>
        <v>-0.11056733926762112</v>
      </c>
      <c r="R887" s="96">
        <v>-0.34203109380877583</v>
      </c>
    </row>
    <row r="888" spans="1:18" x14ac:dyDescent="0.35">
      <c r="A888" s="113">
        <v>-0.79371613052670842</v>
      </c>
      <c r="B888" s="114">
        <v>0.60194900736206347</v>
      </c>
      <c r="C888" s="114">
        <v>8.4789579948187324E-2</v>
      </c>
      <c r="D888" s="115">
        <v>2.1973252143144772E-2</v>
      </c>
      <c r="F888" s="30">
        <f>INDEX(A888:D896,,F886)</f>
        <v>-0.79371613052670842</v>
      </c>
      <c r="G888" s="26">
        <f>INDEX(A887:D895,,G886)</f>
        <v>8.4789579948187324E-2</v>
      </c>
      <c r="I888" s="30">
        <f t="shared" ref="I888:I895" si="281">F888^2-G888^2</f>
        <v>0.62279602299050085</v>
      </c>
      <c r="J888">
        <f t="shared" ref="J888:J895" si="282">2*F888*G888</f>
        <v>-0.13459771461092046</v>
      </c>
      <c r="K888">
        <f t="shared" ref="K888:K895" si="283">I888^2-J888^2</f>
        <v>0.3697583414743017</v>
      </c>
      <c r="L888" s="26">
        <f t="shared" si="280"/>
        <v>-8.3826921363291687E-2</v>
      </c>
      <c r="N888" t="s">
        <v>255</v>
      </c>
      <c r="O888" s="52">
        <f>K896*B897-(I896^2-J896^2)</f>
        <v>24.561113131018665</v>
      </c>
      <c r="Q888" s="30">
        <v>-0.79371511576766907</v>
      </c>
      <c r="R888" s="26">
        <v>8.4799078579879478E-2</v>
      </c>
    </row>
    <row r="889" spans="1:18" x14ac:dyDescent="0.35">
      <c r="A889" s="113">
        <v>-0.98393616344530266</v>
      </c>
      <c r="B889" s="114">
        <v>-0.11712006077470048</v>
      </c>
      <c r="C889" s="114">
        <v>0.11366122843112918</v>
      </c>
      <c r="D889" s="115">
        <v>-7.2343920132909884E-2</v>
      </c>
      <c r="F889" s="30">
        <f>INDEX(A889:D897,,F886)</f>
        <v>-0.98393616344530266</v>
      </c>
      <c r="G889" s="26">
        <f>INDEX(A887:D895,,G886)</f>
        <v>0.11366122843112918</v>
      </c>
      <c r="I889" s="30">
        <f t="shared" si="281"/>
        <v>0.95521149888698809</v>
      </c>
      <c r="J889">
        <f t="shared" si="282"/>
        <v>-0.22367078607001079</v>
      </c>
      <c r="K889">
        <f t="shared" si="283"/>
        <v>0.86240038706474997</v>
      </c>
      <c r="L889" s="26">
        <f t="shared" si="280"/>
        <v>-0.21365290681916585</v>
      </c>
      <c r="N889" t="s">
        <v>256</v>
      </c>
      <c r="O889" s="53">
        <f>0.25*ATAN(O887/O888)</f>
        <v>1.1967298381228655E-5</v>
      </c>
      <c r="Q889" s="30">
        <v>-0.98393480315700976</v>
      </c>
      <c r="R889" s="26">
        <v>0.11367300348064585</v>
      </c>
    </row>
    <row r="890" spans="1:18" x14ac:dyDescent="0.35">
      <c r="A890" s="113">
        <v>-4.8925838300316098E-2</v>
      </c>
      <c r="B890" s="114">
        <v>1.7464085449855366E-3</v>
      </c>
      <c r="C890" s="114">
        <v>8.0717409728190553E-2</v>
      </c>
      <c r="D890" s="115">
        <v>-0.99553398343330157</v>
      </c>
      <c r="F890" s="30">
        <f>INDEX(A890:D898,,F886)</f>
        <v>-4.8925838300316098E-2</v>
      </c>
      <c r="G890" s="26">
        <f>INDEX(A887:D895,,G886)</f>
        <v>8.0717409728190553E-2</v>
      </c>
      <c r="I890" s="30">
        <f t="shared" si="281"/>
        <v>-4.1215625798399127E-3</v>
      </c>
      <c r="J890">
        <f t="shared" si="282"/>
        <v>-7.8983338727636257E-3</v>
      </c>
      <c r="K890">
        <f t="shared" si="283"/>
        <v>-4.5396399866108619E-5</v>
      </c>
      <c r="L890" s="26">
        <f t="shared" si="280"/>
        <v>3.255347733306462E-5</v>
      </c>
      <c r="Q890" s="30">
        <v>-4.8924872327485852E-2</v>
      </c>
      <c r="R890" s="26">
        <v>8.0717995232516007E-2</v>
      </c>
    </row>
    <row r="891" spans="1:18" x14ac:dyDescent="0.35">
      <c r="A891" s="113">
        <v>-0.35396050907449866</v>
      </c>
      <c r="B891" s="114">
        <v>0.11092264435116832</v>
      </c>
      <c r="C891" s="114">
        <v>0.88632719701853224</v>
      </c>
      <c r="D891" s="115">
        <v>-0.27718626374901495</v>
      </c>
      <c r="F891" s="30">
        <f>INDEX(A891:D899,,F886)</f>
        <v>-0.35396050907449866</v>
      </c>
      <c r="G891" s="26">
        <f>INDEX(A887:D895,,G886)</f>
        <v>0.88632719701853224</v>
      </c>
      <c r="I891" s="30">
        <f t="shared" si="281"/>
        <v>-0.66028785819044988</v>
      </c>
      <c r="J891">
        <f t="shared" si="282"/>
        <v>-0.62744965172650624</v>
      </c>
      <c r="K891">
        <f t="shared" si="283"/>
        <v>4.2286990222017706E-2</v>
      </c>
      <c r="L891" s="26">
        <f t="shared" si="280"/>
        <v>0.41429738666083854</v>
      </c>
      <c r="N891" s="94">
        <f>COS(O889)</f>
        <v>0.99999999992839184</v>
      </c>
      <c r="O891" s="96">
        <f>-N892</f>
        <v>-1.1967298380943003E-5</v>
      </c>
      <c r="Q891" s="30">
        <v>-0.35394990210712235</v>
      </c>
      <c r="R891" s="26">
        <v>0.88633143290609118</v>
      </c>
    </row>
    <row r="892" spans="1:18" x14ac:dyDescent="0.35">
      <c r="A892" s="113">
        <v>3.1013668746103486E-2</v>
      </c>
      <c r="B892" s="114">
        <v>-2.3122254227721652E-2</v>
      </c>
      <c r="C892" s="114">
        <v>0.99755043407365707</v>
      </c>
      <c r="D892" s="115">
        <v>5.8280744588534904E-2</v>
      </c>
      <c r="F892" s="30">
        <f>INDEX(A892:D900,,F886)</f>
        <v>3.1013668746103486E-2</v>
      </c>
      <c r="G892" s="26">
        <f>INDEX(A887:D895,,G886)</f>
        <v>0.99755043407365707</v>
      </c>
      <c r="I892" s="30">
        <f t="shared" si="281"/>
        <v>-0.99414502087144863</v>
      </c>
      <c r="J892">
        <f t="shared" si="282"/>
        <v>6.1875397439784291E-2</v>
      </c>
      <c r="K892">
        <f t="shared" si="283"/>
        <v>0.98449575771516173</v>
      </c>
      <c r="L892" s="26">
        <f t="shared" si="280"/>
        <v>-6.1513118279203534E-2</v>
      </c>
      <c r="N892" s="27">
        <f>SIN(O889)</f>
        <v>1.1967298380943003E-5</v>
      </c>
      <c r="O892" s="29">
        <f>N891</f>
        <v>0.99999999992839184</v>
      </c>
      <c r="Q892" s="30">
        <v>3.1025606727577253E-2</v>
      </c>
      <c r="R892" s="26">
        <v>0.99755006285239656</v>
      </c>
    </row>
    <row r="893" spans="1:18" x14ac:dyDescent="0.35">
      <c r="A893" s="113">
        <v>-0.96176046231271706</v>
      </c>
      <c r="B893" s="114">
        <v>2.266114508049874E-2</v>
      </c>
      <c r="C893" s="114">
        <v>0.16744104968212178</v>
      </c>
      <c r="D893" s="115">
        <v>-0.2155615469350215</v>
      </c>
      <c r="F893" s="30">
        <f>INDEX(A893:D901,,F886)</f>
        <v>-0.96176046231271706</v>
      </c>
      <c r="G893" s="26">
        <f>INDEX(A887:D895,,G886)</f>
        <v>0.16744104968212178</v>
      </c>
      <c r="I893" s="30">
        <f t="shared" si="281"/>
        <v>0.89694668174932046</v>
      </c>
      <c r="J893">
        <f t="shared" si="282"/>
        <v>-0.32207636270480816</v>
      </c>
      <c r="K893">
        <f t="shared" si="283"/>
        <v>0.7007801664879576</v>
      </c>
      <c r="L893" s="26">
        <f t="shared" si="280"/>
        <v>-0.28888532479796825</v>
      </c>
      <c r="Q893" s="30">
        <v>-0.96175845842684438</v>
      </c>
      <c r="R893" s="26">
        <v>0.16745255934455511</v>
      </c>
    </row>
    <row r="894" spans="1:18" x14ac:dyDescent="0.35">
      <c r="A894" s="113">
        <v>-0.6752299752308899</v>
      </c>
      <c r="B894" s="114">
        <v>0.22043570636419721</v>
      </c>
      <c r="C894" s="114">
        <v>0.56888875278080953</v>
      </c>
      <c r="D894" s="115">
        <v>-0.41453367398669111</v>
      </c>
      <c r="F894" s="30">
        <f>INDEX(A894:D902,,F886)</f>
        <v>-0.6752299752308899</v>
      </c>
      <c r="G894" s="26">
        <f>INDEX(A887:D895,,G886)</f>
        <v>0.56888875278080953</v>
      </c>
      <c r="I894" s="30">
        <f t="shared" si="281"/>
        <v>0.13230110640980319</v>
      </c>
      <c r="J894">
        <f t="shared" si="282"/>
        <v>-0.76826147689863578</v>
      </c>
      <c r="K894">
        <f t="shared" si="283"/>
        <v>-0.57272211412921503</v>
      </c>
      <c r="L894" s="26">
        <f t="shared" si="280"/>
        <v>-0.10164184340571897</v>
      </c>
      <c r="Q894" s="30">
        <v>-0.67522316712108787</v>
      </c>
      <c r="R894" s="26">
        <v>0.56889683341866182</v>
      </c>
    </row>
    <row r="895" spans="1:18" x14ac:dyDescent="0.35">
      <c r="A895" s="116">
        <v>-6.9934912231172666E-2</v>
      </c>
      <c r="B895" s="117">
        <v>0.92649602318462154</v>
      </c>
      <c r="C895" s="117">
        <v>-0.20281379145361272</v>
      </c>
      <c r="D895" s="118">
        <v>-0.30916143528989892</v>
      </c>
      <c r="F895" s="27">
        <f>INDEX(A895:D903,,F886)</f>
        <v>-6.9934912231172666E-2</v>
      </c>
      <c r="G895" s="29">
        <f>INDEX(A887:D895,,G886)</f>
        <v>-0.20281379145361272</v>
      </c>
      <c r="I895" s="27">
        <f t="shared" si="281"/>
        <v>-3.6242542055007688E-2</v>
      </c>
      <c r="J895" s="28">
        <f t="shared" si="282"/>
        <v>2.8367529409159525E-2</v>
      </c>
      <c r="K895" s="28">
        <f t="shared" si="283"/>
        <v>5.0880512982947039E-4</v>
      </c>
      <c r="L895" s="29">
        <f t="shared" si="280"/>
        <v>-1.0281113776081316E-3</v>
      </c>
      <c r="Q895" s="27">
        <v>-6.993733935932285E-2</v>
      </c>
      <c r="R895" s="29">
        <v>-0.20281295450712766</v>
      </c>
    </row>
    <row r="896" spans="1:18" x14ac:dyDescent="0.35">
      <c r="I896">
        <f>SUM(I887:I895)</f>
        <v>0.80769638345887318</v>
      </c>
      <c r="J896">
        <f>SUM(J887:J895)</f>
        <v>-1.9180789704694354</v>
      </c>
      <c r="K896">
        <f>SUM(K887:K895)</f>
        <v>2.3927177379904574</v>
      </c>
      <c r="L896">
        <f>SUM(L887:L895)</f>
        <v>-0.34414168606608997</v>
      </c>
    </row>
    <row r="897" spans="1:18" x14ac:dyDescent="0.35">
      <c r="A897" s="12" t="s">
        <v>2</v>
      </c>
      <c r="B897">
        <f>COUNT(A887:A895)</f>
        <v>9</v>
      </c>
      <c r="I897" s="12" t="s">
        <v>16</v>
      </c>
      <c r="J897" s="12" t="s">
        <v>258</v>
      </c>
      <c r="K897" s="12" t="s">
        <v>18</v>
      </c>
      <c r="L897" s="12" t="s">
        <v>19</v>
      </c>
      <c r="N897" s="12"/>
    </row>
    <row r="899" spans="1:18" x14ac:dyDescent="0.35">
      <c r="A899">
        <v>1</v>
      </c>
      <c r="B899">
        <v>2</v>
      </c>
      <c r="C899">
        <v>3</v>
      </c>
      <c r="D899">
        <v>4</v>
      </c>
      <c r="F899">
        <v>1</v>
      </c>
      <c r="G899">
        <v>4</v>
      </c>
      <c r="I899" s="12" t="s">
        <v>251</v>
      </c>
      <c r="J899" s="12" t="s">
        <v>252</v>
      </c>
      <c r="K899" s="12" t="s">
        <v>253</v>
      </c>
      <c r="L899" s="12" t="s">
        <v>254</v>
      </c>
      <c r="Q899">
        <f>F899</f>
        <v>1</v>
      </c>
      <c r="R899">
        <f>G899</f>
        <v>4</v>
      </c>
    </row>
    <row r="900" spans="1:18" x14ac:dyDescent="0.35">
      <c r="A900" s="110">
        <f t="array" ref="A900:A908">IF(A899=$Q886,$Q887:$Q895,IF(A899=$R886,$R887:$R895,A887:A895))</f>
        <v>-0.11056733926762112</v>
      </c>
      <c r="B900" s="111">
        <f t="array" ref="B900:B908">IF(B899=$Q886,$Q887:$Q895,IF(B899=$R886,$R887:$R895,B887:B895))</f>
        <v>-0.88891893794038124</v>
      </c>
      <c r="C900" s="111">
        <f t="array" ref="C900:C908">IF(C899=$Q886,$Q887:$Q895,IF(C899=$R886,$R887:$R895,C887:C895))</f>
        <v>-0.34203109380877583</v>
      </c>
      <c r="D900" s="112">
        <f t="array" ref="D900:D908">IF(D899=$Q886,$Q887:$Q895,IF(D899=$R886,$R887:$R895,D887:D895))</f>
        <v>-0.28392378577040006</v>
      </c>
      <c r="F900" s="94">
        <f>INDEX(A900:D908,,F899)</f>
        <v>-0.11056733926762112</v>
      </c>
      <c r="G900" s="96">
        <f>INDEX(A900:D908,,G899)</f>
        <v>-0.28392378577040006</v>
      </c>
      <c r="I900" s="94">
        <f>F900^2-G900^2</f>
        <v>-6.8387579613474803E-2</v>
      </c>
      <c r="J900" s="95">
        <f>2*F900*G900</f>
        <v>6.2785395094846402E-2</v>
      </c>
      <c r="K900" s="95">
        <f>I900^2-J900^2</f>
        <v>7.3485520817339212E-4</v>
      </c>
      <c r="L900" s="96">
        <f t="shared" ref="L900:L908" si="284">I900*J900</f>
        <v>-4.2937412056122783E-3</v>
      </c>
      <c r="N900" t="s">
        <v>12</v>
      </c>
      <c r="O900" s="51">
        <f>L909*B910-2*I909*J909</f>
        <v>-2.026628885582582E-2</v>
      </c>
      <c r="Q900" s="94">
        <f t="array" ref="Q900:R908">MMULT(F900:G908,N904:O905)</f>
        <v>-0.11050464354254877</v>
      </c>
      <c r="R900" s="96">
        <v>-0.28394819315229231</v>
      </c>
    </row>
    <row r="901" spans="1:18" x14ac:dyDescent="0.35">
      <c r="A901" s="113">
        <v>-0.79371511576766907</v>
      </c>
      <c r="B901" s="114">
        <v>0.60194900736206347</v>
      </c>
      <c r="C901" s="114">
        <v>8.4799078579879478E-2</v>
      </c>
      <c r="D901" s="115">
        <v>2.1973252143144772E-2</v>
      </c>
      <c r="F901" s="30">
        <f>INDEX(A901:D909,,F899)</f>
        <v>-0.79371511576766907</v>
      </c>
      <c r="G901" s="26">
        <f>INDEX(A900:D908,,G899)</f>
        <v>2.1973252143144772E-2</v>
      </c>
      <c r="I901" s="30">
        <f t="shared" ref="I901:I908" si="285">F901^2-G901^2</f>
        <v>0.62950086118833815</v>
      </c>
      <c r="J901">
        <f t="shared" ref="J901:J908" si="286">2*F901*G901</f>
        <v>-3.4881004737176674E-2</v>
      </c>
      <c r="K901">
        <f t="shared" ref="K901:K908" si="287">I901^2-J901^2</f>
        <v>0.39505464974538446</v>
      </c>
      <c r="L901" s="26">
        <f t="shared" si="284"/>
        <v>-2.195762252116722E-2</v>
      </c>
      <c r="N901" t="s">
        <v>255</v>
      </c>
      <c r="O901" s="52">
        <f>K909*B910-(I909^2-J909^2)</f>
        <v>22.945453216282527</v>
      </c>
      <c r="Q901" s="30">
        <v>-0.79371994831793247</v>
      </c>
      <c r="R901" s="26">
        <v>2.1797991880194406E-2</v>
      </c>
    </row>
    <row r="902" spans="1:18" x14ac:dyDescent="0.35">
      <c r="A902" s="113">
        <v>-0.98393480315700976</v>
      </c>
      <c r="B902" s="114">
        <v>-0.11712006077470048</v>
      </c>
      <c r="C902" s="114">
        <v>0.11367300348064585</v>
      </c>
      <c r="D902" s="115">
        <v>-7.2343920132909884E-2</v>
      </c>
      <c r="F902" s="30">
        <f>INDEX(A902:D910,,F899)</f>
        <v>-0.98393480315700976</v>
      </c>
      <c r="G902" s="26">
        <f>INDEX(A900:D908,,G899)</f>
        <v>-7.2343920132909884E-2</v>
      </c>
      <c r="I902" s="30">
        <f t="shared" si="285"/>
        <v>0.96289405408342665</v>
      </c>
      <c r="J902">
        <f t="shared" si="286"/>
        <v>0.14236340163116223</v>
      </c>
      <c r="K902">
        <f t="shared" si="287"/>
        <v>0.90689762126522133</v>
      </c>
      <c r="L902" s="26">
        <f t="shared" si="284"/>
        <v>0.13708087294973692</v>
      </c>
      <c r="N902" t="s">
        <v>256</v>
      </c>
      <c r="O902" s="53">
        <f>0.25*ATAN(O900/O901)</f>
        <v>-2.2080936247836745E-4</v>
      </c>
      <c r="Q902" s="30">
        <v>-0.98391880495551221</v>
      </c>
      <c r="R902" s="26">
        <v>-7.2561180384121668E-2</v>
      </c>
    </row>
    <row r="903" spans="1:18" x14ac:dyDescent="0.35">
      <c r="A903" s="113">
        <v>-4.8924872327485852E-2</v>
      </c>
      <c r="B903" s="114">
        <v>1.7464085449855366E-3</v>
      </c>
      <c r="C903" s="114">
        <v>8.0717995232516007E-2</v>
      </c>
      <c r="D903" s="115">
        <v>-0.99553398343330157</v>
      </c>
      <c r="F903" s="30">
        <f>INDEX(A903:D911,,F899)</f>
        <v>-4.8924872327485852E-2</v>
      </c>
      <c r="G903" s="26">
        <f>INDEX(A900:D908,,G899)</f>
        <v>-0.99553398343330157</v>
      </c>
      <c r="I903" s="30">
        <f t="shared" si="285"/>
        <v>-0.98869426903831636</v>
      </c>
      <c r="J903">
        <f t="shared" si="286"/>
        <v>9.7412746074295384E-2</v>
      </c>
      <c r="K903">
        <f t="shared" si="287"/>
        <v>0.96802711453147561</v>
      </c>
      <c r="L903" s="26">
        <f t="shared" si="284"/>
        <v>-9.6311423774940591E-2</v>
      </c>
      <c r="Q903" s="30">
        <v>-4.8705047912355227E-2</v>
      </c>
      <c r="R903" s="26">
        <v>-0.9955447622335688</v>
      </c>
    </row>
    <row r="904" spans="1:18" x14ac:dyDescent="0.35">
      <c r="A904" s="113">
        <v>-0.35394990210712235</v>
      </c>
      <c r="B904" s="114">
        <v>0.11092264435116832</v>
      </c>
      <c r="C904" s="114">
        <v>0.88633143290609118</v>
      </c>
      <c r="D904" s="115">
        <v>-0.27718626374901495</v>
      </c>
      <c r="F904" s="30">
        <f>INDEX(A904:D912,,F899)</f>
        <v>-0.35394990210712235</v>
      </c>
      <c r="G904" s="26">
        <f>INDEX(A900:D908,,G899)</f>
        <v>-0.27718626374901495</v>
      </c>
      <c r="I904" s="30">
        <f t="shared" si="285"/>
        <v>4.8448308390503E-2</v>
      </c>
      <c r="J904">
        <f t="shared" si="286"/>
        <v>0.19622010183880567</v>
      </c>
      <c r="K904">
        <f t="shared" si="287"/>
        <v>-3.615508977972999E-2</v>
      </c>
      <c r="L904" s="26">
        <f t="shared" si="284"/>
        <v>9.5065320063023612E-3</v>
      </c>
      <c r="N904" s="94">
        <f>COS(O902)</f>
        <v>0.9999999756216128</v>
      </c>
      <c r="O904" s="96">
        <f>-N905</f>
        <v>2.2080936068404207E-4</v>
      </c>
      <c r="Q904" s="30">
        <v>-0.35388868815670577</v>
      </c>
      <c r="R904" s="26">
        <v>-0.27726441244325933</v>
      </c>
    </row>
    <row r="905" spans="1:18" x14ac:dyDescent="0.35">
      <c r="A905" s="113">
        <v>3.1025606727577253E-2</v>
      </c>
      <c r="B905" s="114">
        <v>-2.3122254227721652E-2</v>
      </c>
      <c r="C905" s="114">
        <v>0.99755006285239656</v>
      </c>
      <c r="D905" s="115">
        <v>5.8280744588534904E-2</v>
      </c>
      <c r="F905" s="30">
        <f>INDEX(A905:D913,,F899)</f>
        <v>3.1025606727577253E-2</v>
      </c>
      <c r="G905" s="26">
        <f>INDEX(A900:D908,,G899)</f>
        <v>5.8280744588534904E-2</v>
      </c>
      <c r="I905" s="30">
        <f t="shared" si="285"/>
        <v>-2.4340569169797538E-3</v>
      </c>
      <c r="J905">
        <f t="shared" si="286"/>
        <v>3.6163909227885202E-3</v>
      </c>
      <c r="K905">
        <f t="shared" si="287"/>
        <v>-7.1536502313302202E-6</v>
      </c>
      <c r="L905" s="26">
        <f t="shared" si="284"/>
        <v>-8.8025013401161919E-6</v>
      </c>
      <c r="N905" s="27">
        <f>SIN(O902)</f>
        <v>-2.2080936068404207E-4</v>
      </c>
      <c r="O905" s="29">
        <f>N904</f>
        <v>0.9999999756216128</v>
      </c>
      <c r="Q905" s="30">
        <v>3.1012737037270213E-2</v>
      </c>
      <c r="R905" s="26">
        <v>5.8287593912130703E-2</v>
      </c>
    </row>
    <row r="906" spans="1:18" x14ac:dyDescent="0.35">
      <c r="A906" s="113">
        <v>-0.96175845842684438</v>
      </c>
      <c r="B906" s="114">
        <v>2.266114508049874E-2</v>
      </c>
      <c r="C906" s="114">
        <v>0.16745255934455511</v>
      </c>
      <c r="D906" s="115">
        <v>-0.2155615469350215</v>
      </c>
      <c r="F906" s="30">
        <f>INDEX(A906:D914,,F899)</f>
        <v>-0.96175845842684438</v>
      </c>
      <c r="G906" s="26">
        <f>INDEX(A900:D908,,G899)</f>
        <v>-0.2155615469350215</v>
      </c>
      <c r="I906" s="30">
        <f t="shared" si="285"/>
        <v>0.8785125518385607</v>
      </c>
      <c r="J906">
        <f t="shared" si="286"/>
        <v>0.41463628215266429</v>
      </c>
      <c r="K906">
        <f t="shared" si="287"/>
        <v>0.59986105726051586</v>
      </c>
      <c r="L906" s="26">
        <f t="shared" si="284"/>
        <v>0.36426317831879057</v>
      </c>
      <c r="Q906" s="30">
        <v>-0.96171083697335757</v>
      </c>
      <c r="R906" s="26">
        <v>-0.21577390695031634</v>
      </c>
    </row>
    <row r="907" spans="1:18" x14ac:dyDescent="0.35">
      <c r="A907" s="113">
        <v>-0.67522316712108787</v>
      </c>
      <c r="B907" s="114">
        <v>0.22043570636419721</v>
      </c>
      <c r="C907" s="114">
        <v>0.56889683341866182</v>
      </c>
      <c r="D907" s="115">
        <v>-0.41453367398669111</v>
      </c>
      <c r="F907" s="30">
        <f>INDEX(A907:D915,,F899)</f>
        <v>-0.67522316712108787</v>
      </c>
      <c r="G907" s="26">
        <f>INDEX(A900:D908,,G899)</f>
        <v>-0.41453367398669111</v>
      </c>
      <c r="I907" s="30">
        <f t="shared" si="285"/>
        <v>0.28408815854812824</v>
      </c>
      <c r="J907">
        <f t="shared" si="286"/>
        <v>0.55980548045526812</v>
      </c>
      <c r="K907">
        <f t="shared" si="287"/>
        <v>-0.23267609412048712</v>
      </c>
      <c r="L907" s="26">
        <f t="shared" si="284"/>
        <v>0.15903410808768731</v>
      </c>
      <c r="Q907" s="30">
        <v>-0.6751316177447011</v>
      </c>
      <c r="R907" s="26">
        <v>-0.41468275947687977</v>
      </c>
    </row>
    <row r="908" spans="1:18" x14ac:dyDescent="0.35">
      <c r="A908" s="116">
        <v>-6.993733935932285E-2</v>
      </c>
      <c r="B908" s="117">
        <v>0.92649602318462154</v>
      </c>
      <c r="C908" s="117">
        <v>-0.20281295450712766</v>
      </c>
      <c r="D908" s="118">
        <v>-0.30916143528989892</v>
      </c>
      <c r="F908" s="27">
        <f>INDEX(A908:D916,,F899)</f>
        <v>-6.993733935932285E-2</v>
      </c>
      <c r="G908" s="29">
        <f>INDEX(A900:D908,,G899)</f>
        <v>-0.30916143528989892</v>
      </c>
      <c r="I908" s="27">
        <f t="shared" si="285"/>
        <v>-9.0689561633849267E-2</v>
      </c>
      <c r="J908" s="28">
        <f t="shared" si="286"/>
        <v>4.3243856433369983E-2</v>
      </c>
      <c r="K908" s="28">
        <f t="shared" si="287"/>
        <v>6.3545654701098299E-3</v>
      </c>
      <c r="L908" s="29">
        <f t="shared" si="284"/>
        <v>-3.9217663832994366E-3</v>
      </c>
      <c r="Q908" s="27">
        <v>-6.9869071915488787E-2</v>
      </c>
      <c r="R908" s="29">
        <v>-0.30917687057223359</v>
      </c>
    </row>
    <row r="909" spans="1:18" x14ac:dyDescent="0.35">
      <c r="I909">
        <f>SUM(I900:I908)</f>
        <v>1.6532384668463367</v>
      </c>
      <c r="J909">
        <f>SUM(J900:J908)</f>
        <v>1.4852026498660238</v>
      </c>
      <c r="K909">
        <f>SUM(K900:K908)</f>
        <v>2.6080915259304325</v>
      </c>
      <c r="L909">
        <f>SUM(L900:L908)</f>
        <v>0.54339133497615755</v>
      </c>
    </row>
    <row r="910" spans="1:18" x14ac:dyDescent="0.35">
      <c r="A910" s="12" t="s">
        <v>2</v>
      </c>
      <c r="B910">
        <f>COUNT(A900:A908)</f>
        <v>9</v>
      </c>
      <c r="I910" s="12" t="s">
        <v>16</v>
      </c>
      <c r="J910" s="12" t="s">
        <v>258</v>
      </c>
      <c r="K910" s="12" t="s">
        <v>18</v>
      </c>
      <c r="L910" s="12" t="s">
        <v>19</v>
      </c>
      <c r="N910" s="12"/>
    </row>
    <row r="912" spans="1:18" x14ac:dyDescent="0.35">
      <c r="A912">
        <v>1</v>
      </c>
      <c r="B912">
        <v>2</v>
      </c>
      <c r="C912">
        <v>3</v>
      </c>
      <c r="D912">
        <v>4</v>
      </c>
      <c r="F912">
        <v>2</v>
      </c>
      <c r="G912">
        <v>3</v>
      </c>
      <c r="I912" s="12" t="s">
        <v>251</v>
      </c>
      <c r="J912" s="12" t="s">
        <v>252</v>
      </c>
      <c r="K912" s="12" t="s">
        <v>253</v>
      </c>
      <c r="L912" s="12" t="s">
        <v>254</v>
      </c>
      <c r="Q912">
        <f>F912</f>
        <v>2</v>
      </c>
      <c r="R912">
        <f>G912</f>
        <v>3</v>
      </c>
    </row>
    <row r="913" spans="1:18" x14ac:dyDescent="0.35">
      <c r="A913" s="110">
        <f t="array" ref="A913:A921">IF(A912=$Q899,$Q900:$Q908,IF(A912=$R899,$R900:$R908,A900:A908))</f>
        <v>-0.11050464354254877</v>
      </c>
      <c r="B913" s="111">
        <f t="array" ref="B913:B921">IF(B912=$Q899,$Q900:$Q908,IF(B912=$R899,$R900:$R908,B900:B908))</f>
        <v>-0.88891893794038124</v>
      </c>
      <c r="C913" s="111">
        <f t="array" ref="C913:C921">IF(C912=$Q899,$Q900:$Q908,IF(C912=$R899,$R900:$R908,C900:C908))</f>
        <v>-0.34203109380877583</v>
      </c>
      <c r="D913" s="112">
        <f t="array" ref="D913:D921">IF(D912=$Q899,$Q900:$Q908,IF(D912=$R899,$R900:$R908,D900:D908))</f>
        <v>-0.28394819315229231</v>
      </c>
      <c r="F913" s="94">
        <f>INDEX(A913:D921,,F912)</f>
        <v>-0.88891893794038124</v>
      </c>
      <c r="G913" s="96">
        <f>INDEX(A913:D921,,G912)</f>
        <v>-0.34203109380877583</v>
      </c>
      <c r="I913" s="94">
        <f>F913^2-G913^2</f>
        <v>0.6731916090970278</v>
      </c>
      <c r="J913" s="95">
        <f>2*F913*G913</f>
        <v>0.60807583330216786</v>
      </c>
      <c r="K913" s="95">
        <f>I913^2-J913^2</f>
        <v>8.3430723512519678E-2</v>
      </c>
      <c r="L913" s="96">
        <f t="shared" ref="L913:L921" si="288">I913*J913</f>
        <v>0.40935154867370244</v>
      </c>
      <c r="N913" t="s">
        <v>12</v>
      </c>
      <c r="O913" s="51">
        <f>L922*B923-2*I922*J922</f>
        <v>-1.6614776902509898E-3</v>
      </c>
      <c r="Q913" s="94">
        <f t="array" ref="Q913:R921">MMULT(F913:G921,N917:O918)</f>
        <v>-0.88891218071961753</v>
      </c>
      <c r="R913" s="96">
        <v>-0.34204865491531594</v>
      </c>
    </row>
    <row r="914" spans="1:18" x14ac:dyDescent="0.35">
      <c r="A914" s="113">
        <v>-0.79371994831793247</v>
      </c>
      <c r="B914" s="114">
        <v>0.60194900736206347</v>
      </c>
      <c r="C914" s="114">
        <v>8.4799078579879478E-2</v>
      </c>
      <c r="D914" s="115">
        <v>2.1797991880194406E-2</v>
      </c>
      <c r="F914" s="30">
        <f>INDEX(A914:D922,,F912)</f>
        <v>0.60194900736206347</v>
      </c>
      <c r="G914" s="26">
        <f>INDEX(A913:D921,,G912)</f>
        <v>8.4799078579879478E-2</v>
      </c>
      <c r="I914" s="30">
        <f t="shared" ref="I914:I921" si="289">F914^2-G914^2</f>
        <v>0.35515172373617693</v>
      </c>
      <c r="J914">
        <f t="shared" ref="J914:J921" si="290">2*F914*G914</f>
        <v>0.10208944235275214</v>
      </c>
      <c r="K914">
        <f t="shared" ref="K914:K921" si="291">I914^2-J914^2</f>
        <v>0.11571049263288183</v>
      </c>
      <c r="L914" s="26">
        <f t="shared" si="288"/>
        <v>3.6257241426844986E-2</v>
      </c>
      <c r="N914" t="s">
        <v>255</v>
      </c>
      <c r="O914" s="52">
        <f>K922*B923-(I922^2-J922^2)</f>
        <v>21.025346038758659</v>
      </c>
      <c r="Q914" s="30">
        <v>0.60194733198350237</v>
      </c>
      <c r="R914" s="26">
        <v>8.4810970458504276E-2</v>
      </c>
    </row>
    <row r="915" spans="1:18" x14ac:dyDescent="0.35">
      <c r="A915" s="113">
        <v>-0.98391880495551221</v>
      </c>
      <c r="B915" s="114">
        <v>-0.11712006077470048</v>
      </c>
      <c r="C915" s="114">
        <v>0.11367300348064585</v>
      </c>
      <c r="D915" s="115">
        <v>-7.2561180384121668E-2</v>
      </c>
      <c r="F915" s="30">
        <f>INDEX(A915:D923,,F912)</f>
        <v>-0.11712006077470048</v>
      </c>
      <c r="G915" s="26">
        <f>INDEX(A913:D921,,G912)</f>
        <v>0.11367300348064585</v>
      </c>
      <c r="I915" s="30">
        <f t="shared" si="289"/>
        <v>7.9555691555861091E-4</v>
      </c>
      <c r="J915">
        <f t="shared" si="290"/>
        <v>-2.6626778152191964E-2</v>
      </c>
      <c r="K915">
        <f t="shared" si="291"/>
        <v>-7.0835240396015416E-4</v>
      </c>
      <c r="L915" s="26">
        <f t="shared" si="288"/>
        <v>-2.1183117498021248E-5</v>
      </c>
      <c r="N915" t="s">
        <v>256</v>
      </c>
      <c r="O915" s="53">
        <f>0.25*ATAN(O913/O914)</f>
        <v>-1.9755652103534626E-5</v>
      </c>
      <c r="Q915" s="30">
        <v>-0.11712230643615551</v>
      </c>
      <c r="R915" s="26">
        <v>0.11367068967528851</v>
      </c>
    </row>
    <row r="916" spans="1:18" x14ac:dyDescent="0.35">
      <c r="A916" s="113">
        <v>-4.8705047912355227E-2</v>
      </c>
      <c r="B916" s="114">
        <v>1.7464085449855366E-3</v>
      </c>
      <c r="C916" s="114">
        <v>8.0717995232516007E-2</v>
      </c>
      <c r="D916" s="115">
        <v>-0.9955447622335688</v>
      </c>
      <c r="F916" s="30">
        <f>INDEX(A916:D924,,F912)</f>
        <v>1.7464085449855366E-3</v>
      </c>
      <c r="G916" s="26">
        <f>INDEX(A913:D921,,G912)</f>
        <v>8.0717995232516007E-2</v>
      </c>
      <c r="I916" s="30">
        <f t="shared" si="289"/>
        <v>-6.5123448115504776E-3</v>
      </c>
      <c r="J916">
        <f t="shared" si="290"/>
        <v>2.8193319321633551E-4</v>
      </c>
      <c r="K916">
        <f t="shared" si="291"/>
        <v>4.2331148619091268E-5</v>
      </c>
      <c r="L916" s="26">
        <f t="shared" si="288"/>
        <v>-1.8360461680462608E-6</v>
      </c>
      <c r="Q916" s="30">
        <v>1.7448139080125328E-3</v>
      </c>
      <c r="R916" s="26">
        <v>8.0718029718204118E-2</v>
      </c>
    </row>
    <row r="917" spans="1:18" x14ac:dyDescent="0.35">
      <c r="A917" s="113">
        <v>-0.35388868815670577</v>
      </c>
      <c r="B917" s="114">
        <v>0.11092264435116832</v>
      </c>
      <c r="C917" s="114">
        <v>0.88633143290609118</v>
      </c>
      <c r="D917" s="115">
        <v>-0.27726441244325933</v>
      </c>
      <c r="F917" s="30">
        <f>INDEX(A917:D925,,F912)</f>
        <v>0.11092264435116832</v>
      </c>
      <c r="G917" s="26">
        <f>INDEX(A913:D921,,G912)</f>
        <v>0.88633143290609118</v>
      </c>
      <c r="I917" s="30">
        <f t="shared" si="289"/>
        <v>-0.77327957592750896</v>
      </c>
      <c r="J917">
        <f t="shared" si="290"/>
        <v>0.19662845261900752</v>
      </c>
      <c r="K917">
        <f t="shared" si="291"/>
        <v>0.5592985541672828</v>
      </c>
      <c r="L917" s="26">
        <f t="shared" si="288"/>
        <v>-0.15204876645650842</v>
      </c>
      <c r="N917" s="94">
        <f>COS(O915)</f>
        <v>0.9999999998048571</v>
      </c>
      <c r="O917" s="96">
        <f>-N918</f>
        <v>1.9755652102249569E-5</v>
      </c>
      <c r="Q917" s="30">
        <v>0.11090513427408677</v>
      </c>
      <c r="R917" s="26">
        <v>0.88633362408230187</v>
      </c>
    </row>
    <row r="918" spans="1:18" x14ac:dyDescent="0.35">
      <c r="A918" s="113">
        <v>3.1012737037270213E-2</v>
      </c>
      <c r="B918" s="114">
        <v>-2.3122254227721652E-2</v>
      </c>
      <c r="C918" s="114">
        <v>0.99755006285239656</v>
      </c>
      <c r="D918" s="115">
        <v>5.8287593912130703E-2</v>
      </c>
      <c r="F918" s="30">
        <f>INDEX(A918:D926,,F912)</f>
        <v>-2.3122254227721652E-2</v>
      </c>
      <c r="G918" s="26">
        <f>INDEX(A913:D921,,G912)</f>
        <v>0.99755006285239656</v>
      </c>
      <c r="I918" s="30">
        <f t="shared" si="289"/>
        <v>-0.99457148925624894</v>
      </c>
      <c r="J918">
        <f t="shared" si="290"/>
        <v>-4.6131212316305653E-2</v>
      </c>
      <c r="K918">
        <f t="shared" si="291"/>
        <v>0.98704435849162075</v>
      </c>
      <c r="L918" s="26">
        <f t="shared" si="288"/>
        <v>4.588078853462433E-2</v>
      </c>
      <c r="N918" s="27">
        <f>SIN(O915)</f>
        <v>-1.9755652102249569E-5</v>
      </c>
      <c r="O918" s="29">
        <f>N917</f>
        <v>0.9999999998048571</v>
      </c>
      <c r="Q918" s="30">
        <v>-2.3141961475205797E-2</v>
      </c>
      <c r="R918" s="26">
        <v>0.99754960586252139</v>
      </c>
    </row>
    <row r="919" spans="1:18" x14ac:dyDescent="0.35">
      <c r="A919" s="113">
        <v>-0.96171083697335757</v>
      </c>
      <c r="B919" s="114">
        <v>2.266114508049874E-2</v>
      </c>
      <c r="C919" s="114">
        <v>0.16745255934455511</v>
      </c>
      <c r="D919" s="115">
        <v>-0.21577390695031634</v>
      </c>
      <c r="F919" s="30">
        <f>INDEX(A919:D927,,F912)</f>
        <v>2.266114508049874E-2</v>
      </c>
      <c r="G919" s="26">
        <f>INDEX(A913:D921,,G912)</f>
        <v>0.16745255934455511</v>
      </c>
      <c r="I919" s="30">
        <f t="shared" si="289"/>
        <v>-2.7526832134682339E-2</v>
      </c>
      <c r="J919">
        <f t="shared" si="290"/>
        <v>7.5893334828155768E-3</v>
      </c>
      <c r="K919">
        <f t="shared" si="291"/>
        <v>7.0012850465759463E-4</v>
      </c>
      <c r="L919" s="26">
        <f t="shared" si="288"/>
        <v>-2.0891030879558847E-4</v>
      </c>
      <c r="Q919" s="30">
        <v>2.2657836941570537E-2</v>
      </c>
      <c r="R919" s="26">
        <v>0.1674530069975764</v>
      </c>
    </row>
    <row r="920" spans="1:18" x14ac:dyDescent="0.35">
      <c r="A920" s="113">
        <v>-0.6751316177447011</v>
      </c>
      <c r="B920" s="114">
        <v>0.22043570636419721</v>
      </c>
      <c r="C920" s="114">
        <v>0.56889683341866182</v>
      </c>
      <c r="D920" s="115">
        <v>-0.41468275947687977</v>
      </c>
      <c r="F920" s="30">
        <f>INDEX(A920:D928,,F912)</f>
        <v>0.22043570636419721</v>
      </c>
      <c r="G920" s="26">
        <f>INDEX(A913:D921,,G912)</f>
        <v>0.56889683341866182</v>
      </c>
      <c r="I920" s="30">
        <f t="shared" si="289"/>
        <v>-0.27505170643349808</v>
      </c>
      <c r="J920">
        <f t="shared" si="290"/>
        <v>0.25081035064599549</v>
      </c>
      <c r="K920">
        <f t="shared" si="291"/>
        <v>1.2747609220812001E-2</v>
      </c>
      <c r="L920" s="26">
        <f t="shared" si="288"/>
        <v>-6.8985814936365061E-2</v>
      </c>
      <c r="Q920" s="30">
        <v>0.22042446739325766</v>
      </c>
      <c r="R920" s="26">
        <v>0.56890118815877144</v>
      </c>
    </row>
    <row r="921" spans="1:18" x14ac:dyDescent="0.35">
      <c r="A921" s="116">
        <v>-6.9869071915488787E-2</v>
      </c>
      <c r="B921" s="117">
        <v>0.92649602318462154</v>
      </c>
      <c r="C921" s="117">
        <v>-0.20281295450712766</v>
      </c>
      <c r="D921" s="118">
        <v>-0.30917687057223359</v>
      </c>
      <c r="F921" s="27">
        <f>INDEX(A921:D929,,F912)</f>
        <v>0.92649602318462154</v>
      </c>
      <c r="G921" s="29">
        <f>INDEX(A913:D921,,G912)</f>
        <v>-0.20281295450712766</v>
      </c>
      <c r="I921" s="27">
        <f t="shared" si="289"/>
        <v>0.81726178646100855</v>
      </c>
      <c r="J921" s="28">
        <f t="shared" si="290"/>
        <v>-0.3758107916023547</v>
      </c>
      <c r="K921" s="28">
        <f t="shared" si="291"/>
        <v>0.52668307652465063</v>
      </c>
      <c r="L921" s="29">
        <f t="shared" si="288"/>
        <v>-0.30713579891626619</v>
      </c>
      <c r="Q921" s="27">
        <v>0.92650002970599343</v>
      </c>
      <c r="R921" s="29">
        <v>-0.20279465093444199</v>
      </c>
    </row>
    <row r="922" spans="1:18" x14ac:dyDescent="0.35">
      <c r="I922">
        <f>SUM(I913:I921)</f>
        <v>-0.2305412723537168</v>
      </c>
      <c r="J922">
        <f>SUM(J913:J921)</f>
        <v>0.7169065635251024</v>
      </c>
      <c r="K922">
        <f>SUM(K913:K921)</f>
        <v>2.2849489217990842</v>
      </c>
      <c r="L922">
        <f>SUM(L913:L921)</f>
        <v>-3.6912731146429623E-2</v>
      </c>
    </row>
    <row r="923" spans="1:18" x14ac:dyDescent="0.35">
      <c r="A923" s="12" t="s">
        <v>2</v>
      </c>
      <c r="B923">
        <f>COUNT(A913:A921)</f>
        <v>9</v>
      </c>
      <c r="I923" s="12" t="s">
        <v>16</v>
      </c>
      <c r="J923" s="12" t="s">
        <v>258</v>
      </c>
      <c r="K923" s="12" t="s">
        <v>18</v>
      </c>
      <c r="L923" s="12" t="s">
        <v>19</v>
      </c>
      <c r="N923" s="12"/>
    </row>
    <row r="925" spans="1:18" x14ac:dyDescent="0.35">
      <c r="A925">
        <v>1</v>
      </c>
      <c r="B925">
        <v>2</v>
      </c>
      <c r="C925">
        <v>3</v>
      </c>
      <c r="D925">
        <v>4</v>
      </c>
      <c r="F925">
        <v>2</v>
      </c>
      <c r="G925">
        <v>4</v>
      </c>
      <c r="I925" s="12" t="s">
        <v>251</v>
      </c>
      <c r="J925" s="12" t="s">
        <v>252</v>
      </c>
      <c r="K925" s="12" t="s">
        <v>253</v>
      </c>
      <c r="L925" s="12" t="s">
        <v>254</v>
      </c>
      <c r="Q925">
        <f>F925</f>
        <v>2</v>
      </c>
      <c r="R925">
        <f>G925</f>
        <v>4</v>
      </c>
    </row>
    <row r="926" spans="1:18" x14ac:dyDescent="0.35">
      <c r="A926" s="110">
        <f t="array" ref="A926:A934">IF(A925=$Q912,$Q913:$Q921,IF(A925=$R912,$R913:$R921,A913:A921))</f>
        <v>-0.11050464354254877</v>
      </c>
      <c r="B926" s="111">
        <f t="array" ref="B926:B934">IF(B925=$Q912,$Q913:$Q921,IF(B925=$R912,$R913:$R921,B913:B921))</f>
        <v>-0.88891218071961753</v>
      </c>
      <c r="C926" s="111">
        <f t="array" ref="C926:C934">IF(C925=$Q912,$Q913:$Q921,IF(C925=$R912,$R913:$R921,C913:C921))</f>
        <v>-0.34204865491531594</v>
      </c>
      <c r="D926" s="112">
        <f t="array" ref="D926:D934">IF(D925=$Q912,$Q913:$Q921,IF(D925=$R912,$R913:$R921,D913:D921))</f>
        <v>-0.28394819315229231</v>
      </c>
      <c r="F926" s="94">
        <f>INDEX(A926:D934,,F925)</f>
        <v>-0.88891218071961753</v>
      </c>
      <c r="G926" s="96">
        <f>INDEX(A926:D934,,G925)</f>
        <v>-0.28394819315229231</v>
      </c>
      <c r="I926" s="94">
        <f>F926^2-G926^2</f>
        <v>0.70953828863725454</v>
      </c>
      <c r="J926" s="95">
        <f>2*F926*G926</f>
        <v>0.50481001517279867</v>
      </c>
      <c r="K926" s="95">
        <f>I926^2-J926^2</f>
        <v>0.24861143162352267</v>
      </c>
      <c r="L926" s="96">
        <f t="shared" ref="L926:L934" si="292">I926*J926</f>
        <v>0.35818203425265405</v>
      </c>
      <c r="N926" t="s">
        <v>12</v>
      </c>
      <c r="O926" s="51">
        <f>L935*B936-2*I935*J935</f>
        <v>1.5991188403731149E-3</v>
      </c>
      <c r="Q926" s="94">
        <f t="array" ref="Q926:R934">MMULT(F926:G934,N930:O931)</f>
        <v>-0.88892023536265663</v>
      </c>
      <c r="R926" s="96">
        <v>-0.28392297650763754</v>
      </c>
    </row>
    <row r="927" spans="1:18" x14ac:dyDescent="0.35">
      <c r="A927" s="113">
        <v>-0.79371994831793247</v>
      </c>
      <c r="B927" s="114">
        <v>0.60194733198350237</v>
      </c>
      <c r="C927" s="114">
        <v>8.4810970458504276E-2</v>
      </c>
      <c r="D927" s="115">
        <v>2.1797991880194406E-2</v>
      </c>
      <c r="F927" s="30">
        <f>INDEX(A927:D935,,F925)</f>
        <v>0.60194733198350237</v>
      </c>
      <c r="G927" s="26">
        <f>INDEX(A926:D934,,G925)</f>
        <v>2.1797991880194406E-2</v>
      </c>
      <c r="I927" s="30">
        <f t="shared" ref="I927:I934" si="293">F927^2-G927^2</f>
        <v>0.36186543803204779</v>
      </c>
      <c r="J927">
        <f t="shared" ref="J927:J934" si="294">2*F927*G927</f>
        <v>2.6242486109762143E-2</v>
      </c>
      <c r="K927">
        <f t="shared" ref="K927:K934" si="295">I927^2-J927^2</f>
        <v>0.13025792716490475</v>
      </c>
      <c r="L927" s="26">
        <f t="shared" si="292"/>
        <v>9.4962487311590071E-3</v>
      </c>
      <c r="N927" t="s">
        <v>255</v>
      </c>
      <c r="O927" s="52">
        <f>K935*B936-(I935^2-J935^2)</f>
        <v>14.092702154143071</v>
      </c>
      <c r="Q927" s="30">
        <v>0.60194795010353563</v>
      </c>
      <c r="R927" s="26">
        <v>2.1780915917772231E-2</v>
      </c>
    </row>
    <row r="928" spans="1:18" x14ac:dyDescent="0.35">
      <c r="A928" s="113">
        <v>-0.98391880495551221</v>
      </c>
      <c r="B928" s="114">
        <v>-0.11712230643615551</v>
      </c>
      <c r="C928" s="114">
        <v>0.11367068967528851</v>
      </c>
      <c r="D928" s="115">
        <v>-7.2561180384121668E-2</v>
      </c>
      <c r="F928" s="30">
        <f>INDEX(A928:D936,,F925)</f>
        <v>-0.11712230643615551</v>
      </c>
      <c r="G928" s="26">
        <f>INDEX(A926:D934,,G925)</f>
        <v>-7.2561180384121668E-2</v>
      </c>
      <c r="I928" s="30">
        <f t="shared" si="293"/>
        <v>8.4525097661876693E-3</v>
      </c>
      <c r="J928">
        <f t="shared" si="294"/>
        <v>1.6997065608636508E-2</v>
      </c>
      <c r="K928">
        <f t="shared" si="295"/>
        <v>-2.1745531795679603E-4</v>
      </c>
      <c r="L928" s="26">
        <f t="shared" si="292"/>
        <v>1.4366786305353266E-4</v>
      </c>
      <c r="N928" t="s">
        <v>256</v>
      </c>
      <c r="O928" s="53">
        <f>0.25*ATAN(O926/O927)</f>
        <v>2.8367853375793226E-5</v>
      </c>
      <c r="Q928" s="30">
        <v>-0.11712436479395492</v>
      </c>
      <c r="R928" s="26">
        <v>-7.2557857846509824E-2</v>
      </c>
    </row>
    <row r="929" spans="1:18" x14ac:dyDescent="0.35">
      <c r="A929" s="113">
        <v>-4.8705047912355227E-2</v>
      </c>
      <c r="B929" s="114">
        <v>1.7448139080125328E-3</v>
      </c>
      <c r="C929" s="114">
        <v>8.0718029718204118E-2</v>
      </c>
      <c r="D929" s="115">
        <v>-0.9955447622335688</v>
      </c>
      <c r="F929" s="30">
        <f>INDEX(A929:D937,,F925)</f>
        <v>1.7448139080125328E-3</v>
      </c>
      <c r="G929" s="26">
        <f>INDEX(A926:D934,,G925)</f>
        <v>-0.9955447622335688</v>
      </c>
      <c r="I929" s="30">
        <f t="shared" si="293"/>
        <v>-0.99110632923511943</v>
      </c>
      <c r="J929">
        <f t="shared" si="294"/>
        <v>-3.4740806943883221E-3</v>
      </c>
      <c r="K929">
        <f t="shared" si="295"/>
        <v>0.98227968661324183</v>
      </c>
      <c r="L929" s="26">
        <f t="shared" si="292"/>
        <v>3.4431833644818048E-3</v>
      </c>
      <c r="Q929" s="30">
        <v>1.7165724394701833E-3</v>
      </c>
      <c r="R929" s="26">
        <v>-0.99554481132961903</v>
      </c>
    </row>
    <row r="930" spans="1:18" x14ac:dyDescent="0.35">
      <c r="A930" s="113">
        <v>-0.35388868815670577</v>
      </c>
      <c r="B930" s="114">
        <v>0.11090513427408677</v>
      </c>
      <c r="C930" s="114">
        <v>0.88633362408230187</v>
      </c>
      <c r="D930" s="115">
        <v>-0.27726441244325933</v>
      </c>
      <c r="F930" s="30">
        <f>INDEX(A930:D938,,F925)</f>
        <v>0.11090513427408677</v>
      </c>
      <c r="G930" s="26">
        <f>INDEX(A926:D934,,G925)</f>
        <v>-0.27726441244325933</v>
      </c>
      <c r="I930" s="30">
        <f t="shared" si="293"/>
        <v>-6.4575605599152597E-2</v>
      </c>
      <c r="J930">
        <f t="shared" si="294"/>
        <v>-6.1500093782890904E-2</v>
      </c>
      <c r="K930">
        <f t="shared" si="295"/>
        <v>3.8774730319293205E-4</v>
      </c>
      <c r="L930" s="26">
        <f t="shared" si="292"/>
        <v>3.9714058004348598E-3</v>
      </c>
      <c r="N930" s="94">
        <f>COS(O928)</f>
        <v>0.99999999959763242</v>
      </c>
      <c r="O930" s="96">
        <f>-N931</f>
        <v>-2.8367853371988459E-5</v>
      </c>
      <c r="Q930" s="30">
        <v>0.11089726883326467</v>
      </c>
      <c r="R930" s="26">
        <v>-0.2772675584722844</v>
      </c>
    </row>
    <row r="931" spans="1:18" x14ac:dyDescent="0.35">
      <c r="A931" s="113">
        <v>3.1012737037270213E-2</v>
      </c>
      <c r="B931" s="114">
        <v>-2.3141961475205797E-2</v>
      </c>
      <c r="C931" s="114">
        <v>0.99754960586252139</v>
      </c>
      <c r="D931" s="115">
        <v>5.8287593912130703E-2</v>
      </c>
      <c r="F931" s="30">
        <f>INDEX(A931:D939,,F925)</f>
        <v>-2.3141961475205797E-2</v>
      </c>
      <c r="G931" s="26">
        <f>INDEX(A926:D934,,G925)</f>
        <v>5.8287593912130703E-2</v>
      </c>
      <c r="I931" s="30">
        <f t="shared" si="293"/>
        <v>-2.8618932231455466E-3</v>
      </c>
      <c r="J931">
        <f t="shared" si="294"/>
        <v>-2.6977785055939374E-3</v>
      </c>
      <c r="K931">
        <f t="shared" si="295"/>
        <v>9.1242395544174686E-7</v>
      </c>
      <c r="L931" s="26">
        <f t="shared" si="292"/>
        <v>7.7207540227070101E-6</v>
      </c>
      <c r="N931" s="27">
        <f>SIN(O928)</f>
        <v>2.8367853371988459E-5</v>
      </c>
      <c r="O931" s="29">
        <f>N930</f>
        <v>0.99999999959763242</v>
      </c>
      <c r="Q931" s="30">
        <v>-2.3140307971976717E-2</v>
      </c>
      <c r="R931" s="26">
        <v>5.8288250376447533E-2</v>
      </c>
    </row>
    <row r="932" spans="1:18" x14ac:dyDescent="0.35">
      <c r="A932" s="113">
        <v>-0.96171083697335757</v>
      </c>
      <c r="B932" s="114">
        <v>2.2657836941570537E-2</v>
      </c>
      <c r="C932" s="114">
        <v>0.1674530069975764</v>
      </c>
      <c r="D932" s="115">
        <v>-0.21577390695031634</v>
      </c>
      <c r="F932" s="30">
        <f>INDEX(A932:D940,,F925)</f>
        <v>2.2657836941570537E-2</v>
      </c>
      <c r="G932" s="26">
        <f>INDEX(A926:D934,,G925)</f>
        <v>-0.21577390695031634</v>
      </c>
      <c r="I932" s="30">
        <f t="shared" si="293"/>
        <v>-4.6045001345732972E-2</v>
      </c>
      <c r="J932">
        <f t="shared" si="294"/>
        <v>-9.7779399998517633E-3</v>
      </c>
      <c r="K932">
        <f t="shared" si="295"/>
        <v>2.02453403828785E-3</v>
      </c>
      <c r="L932" s="26">
        <f t="shared" si="292"/>
        <v>4.5022526045167071E-4</v>
      </c>
      <c r="Q932" s="30">
        <v>2.2651715889899889E-2</v>
      </c>
      <c r="R932" s="26">
        <v>-0.21577454961769202</v>
      </c>
    </row>
    <row r="933" spans="1:18" x14ac:dyDescent="0.35">
      <c r="A933" s="113">
        <v>-0.6751316177447011</v>
      </c>
      <c r="B933" s="114">
        <v>0.22042446739325766</v>
      </c>
      <c r="C933" s="114">
        <v>0.56890118815877144</v>
      </c>
      <c r="D933" s="115">
        <v>-0.41468275947687977</v>
      </c>
      <c r="F933" s="30">
        <f>INDEX(A933:D941,,F925)</f>
        <v>0.22042446739325766</v>
      </c>
      <c r="G933" s="26">
        <f>INDEX(A926:D934,,G925)</f>
        <v>-0.41468275947687977</v>
      </c>
      <c r="I933" s="30">
        <f t="shared" si="293"/>
        <v>-0.12337484518175842</v>
      </c>
      <c r="J933">
        <f t="shared" si="294"/>
        <v>-0.1828124527897152</v>
      </c>
      <c r="K933">
        <f t="shared" si="295"/>
        <v>-1.8199040471368985E-2</v>
      </c>
      <c r="L933" s="26">
        <f t="shared" si="292"/>
        <v>2.2554458060228634E-2</v>
      </c>
      <c r="Q933" s="30">
        <v>0.22041270364484927</v>
      </c>
      <c r="R933" s="26">
        <v>-0.41468901227899546</v>
      </c>
    </row>
    <row r="934" spans="1:18" x14ac:dyDescent="0.35">
      <c r="A934" s="116">
        <v>-6.9869071915488787E-2</v>
      </c>
      <c r="B934" s="117">
        <v>0.92650002970599343</v>
      </c>
      <c r="C934" s="117">
        <v>-0.20279465093444199</v>
      </c>
      <c r="D934" s="118">
        <v>-0.30917687057223359</v>
      </c>
      <c r="F934" s="27">
        <f>INDEX(A934:D942,,F925)</f>
        <v>0.92650002970599343</v>
      </c>
      <c r="G934" s="29">
        <f>INDEX(A926:D934,,G925)</f>
        <v>-0.30917687057223359</v>
      </c>
      <c r="I934" s="27">
        <f t="shared" si="293"/>
        <v>0.76281196774836713</v>
      </c>
      <c r="J934" s="28">
        <f t="shared" si="294"/>
        <v>-0.57290475953916098</v>
      </c>
      <c r="K934" s="28">
        <f t="shared" si="295"/>
        <v>0.25366223463751203</v>
      </c>
      <c r="L934" s="29">
        <f t="shared" si="292"/>
        <v>-0.43701860695647249</v>
      </c>
      <c r="Q934" s="27">
        <v>0.92649125864906945</v>
      </c>
      <c r="R934" s="29">
        <v>-0.30920315326482267</v>
      </c>
    </row>
    <row r="935" spans="1:18" x14ac:dyDescent="0.35">
      <c r="I935">
        <f>SUM(I926:I934)</f>
        <v>0.61470452959894817</v>
      </c>
      <c r="J935">
        <f>SUM(J926:J934)</f>
        <v>-0.28511753842040383</v>
      </c>
      <c r="K935">
        <f>SUM(K926:K934)</f>
        <v>1.5988079780152917</v>
      </c>
      <c r="L935">
        <f>SUM(L926:L934)</f>
        <v>-3.8769662869986177E-2</v>
      </c>
    </row>
    <row r="936" spans="1:18" x14ac:dyDescent="0.35">
      <c r="A936" s="12" t="s">
        <v>2</v>
      </c>
      <c r="B936">
        <f>COUNT(A926:A934)</f>
        <v>9</v>
      </c>
      <c r="I936" s="12" t="s">
        <v>16</v>
      </c>
      <c r="J936" s="12" t="s">
        <v>258</v>
      </c>
      <c r="K936" s="12" t="s">
        <v>18</v>
      </c>
      <c r="L936" s="12" t="s">
        <v>19</v>
      </c>
      <c r="N936" s="12"/>
    </row>
    <row r="938" spans="1:18" x14ac:dyDescent="0.35">
      <c r="A938">
        <v>1</v>
      </c>
      <c r="B938">
        <v>2</v>
      </c>
      <c r="C938">
        <v>3</v>
      </c>
      <c r="D938">
        <v>4</v>
      </c>
      <c r="F938">
        <v>3</v>
      </c>
      <c r="G938">
        <v>4</v>
      </c>
      <c r="I938" s="12" t="s">
        <v>251</v>
      </c>
      <c r="J938" s="12" t="s">
        <v>252</v>
      </c>
      <c r="K938" s="12" t="s">
        <v>253</v>
      </c>
      <c r="L938" s="12" t="s">
        <v>254</v>
      </c>
      <c r="Q938">
        <f>F938</f>
        <v>3</v>
      </c>
      <c r="R938">
        <f>G938</f>
        <v>4</v>
      </c>
    </row>
    <row r="939" spans="1:18" x14ac:dyDescent="0.35">
      <c r="A939" s="110">
        <f t="array" ref="A939:A947">IF(A938=$Q925,$Q926:$Q934,IF(A938=$R925,$R926:$R934,A926:A934))</f>
        <v>-0.11050464354254877</v>
      </c>
      <c r="B939" s="111">
        <f t="array" ref="B939:B947">IF(B938=$Q925,$Q926:$Q934,IF(B938=$R925,$R926:$R934,B926:B934))</f>
        <v>-0.88892023536265663</v>
      </c>
      <c r="C939" s="111">
        <f t="array" ref="C939:C947">IF(C938=$Q925,$Q926:$Q934,IF(C938=$R925,$R926:$R934,C926:C934))</f>
        <v>-0.34204865491531594</v>
      </c>
      <c r="D939" s="112">
        <f t="array" ref="D939:D947">IF(D938=$Q925,$Q926:$Q934,IF(D938=$R925,$R926:$R934,D926:D934))</f>
        <v>-0.28392297650763754</v>
      </c>
      <c r="F939" s="94">
        <f>INDEX(A939:D947,,F938)</f>
        <v>-0.34204865491531594</v>
      </c>
      <c r="G939" s="96">
        <f>INDEX(A939:D947,,G938)</f>
        <v>-0.28392297650763754</v>
      </c>
      <c r="I939" s="94">
        <f>F939^2-G939^2</f>
        <v>3.6385025740420393E-2</v>
      </c>
      <c r="J939" s="95">
        <f>2*F939*G939</f>
        <v>0.19423094442798053</v>
      </c>
      <c r="K939" s="95">
        <f>I939^2-J939^2</f>
        <v>-3.6401789675254204E-2</v>
      </c>
      <c r="L939" s="96">
        <f t="shared" ref="L939:L947" si="296">I939*J939</f>
        <v>7.0670979125982344E-3</v>
      </c>
      <c r="N939" t="s">
        <v>12</v>
      </c>
      <c r="O939" s="51">
        <f>L948*B949-2*I948*J948</f>
        <v>3.3322745873933801E-3</v>
      </c>
      <c r="Q939" s="94">
        <f t="array" ref="Q939:R947">MMULT(F939:G947,N943:O944)</f>
        <v>-0.34206243252080176</v>
      </c>
      <c r="R939" s="96">
        <v>-0.28390637748434844</v>
      </c>
    </row>
    <row r="940" spans="1:18" x14ac:dyDescent="0.35">
      <c r="A940" s="113">
        <v>-0.79371994831793247</v>
      </c>
      <c r="B940" s="114">
        <v>0.60194795010353563</v>
      </c>
      <c r="C940" s="114">
        <v>8.4810970458504276E-2</v>
      </c>
      <c r="D940" s="115">
        <v>2.1780915917772231E-2</v>
      </c>
      <c r="F940" s="30">
        <f>INDEX(A940:D948,,F938)</f>
        <v>8.4810970458504276E-2</v>
      </c>
      <c r="G940" s="26">
        <f>INDEX(A939:D947,,G938)</f>
        <v>2.1780915917772231E-2</v>
      </c>
      <c r="I940" s="30">
        <f t="shared" ref="I940:I947" si="297">F940^2-G940^2</f>
        <v>6.7184924118962215E-3</v>
      </c>
      <c r="J940">
        <f t="shared" ref="J940:J947" si="298">2*F940*G940</f>
        <v>3.6945212329226925E-3</v>
      </c>
      <c r="K940">
        <f t="shared" ref="K940:K947" si="299">I940^2-J940^2</f>
        <v>3.1488653148190502E-5</v>
      </c>
      <c r="L940" s="26">
        <f t="shared" si="296"/>
        <v>2.4821612868980583E-5</v>
      </c>
      <c r="N940" t="s">
        <v>255</v>
      </c>
      <c r="O940" s="52">
        <f>K948*B949-(I948^2-J948^2)</f>
        <v>17.167018833942162</v>
      </c>
      <c r="Q940" s="30">
        <v>8.4812027327130321E-2</v>
      </c>
      <c r="R940" s="26">
        <v>2.1776800246878541E-2</v>
      </c>
    </row>
    <row r="941" spans="1:18" x14ac:dyDescent="0.35">
      <c r="A941" s="113">
        <v>-0.98391880495551221</v>
      </c>
      <c r="B941" s="114">
        <v>-0.11712436479395492</v>
      </c>
      <c r="C941" s="114">
        <v>0.11367068967528851</v>
      </c>
      <c r="D941" s="115">
        <v>-7.2557857846509824E-2</v>
      </c>
      <c r="F941" s="30">
        <f>INDEX(A941:D949,,F938)</f>
        <v>0.11367068967528851</v>
      </c>
      <c r="G941" s="26">
        <f>INDEX(A939:D947,,G938)</f>
        <v>-7.2557857846509824E-2</v>
      </c>
      <c r="I941" s="30">
        <f t="shared" si="297"/>
        <v>7.6563829559814153E-3</v>
      </c>
      <c r="J941">
        <f t="shared" si="298"/>
        <v>-1.6495403485548631E-2</v>
      </c>
      <c r="K941">
        <f t="shared" si="299"/>
        <v>-2.1347813618240722E-4</v>
      </c>
      <c r="L941" s="26">
        <f t="shared" si="296"/>
        <v>-1.2629512609879098E-4</v>
      </c>
      <c r="N941" t="s">
        <v>256</v>
      </c>
      <c r="O941" s="53">
        <f>0.25*ATAN(O939/O940)</f>
        <v>4.8527274563149111E-5</v>
      </c>
      <c r="Q941" s="30">
        <v>0.11366716850635912</v>
      </c>
      <c r="R941" s="26">
        <v>-7.25633738898422E-2</v>
      </c>
    </row>
    <row r="942" spans="1:18" x14ac:dyDescent="0.35">
      <c r="A942" s="113">
        <v>-4.8705047912355227E-2</v>
      </c>
      <c r="B942" s="114">
        <v>1.7165724394701833E-3</v>
      </c>
      <c r="C942" s="114">
        <v>8.0718029718204118E-2</v>
      </c>
      <c r="D942" s="115">
        <v>-0.99554481132961903</v>
      </c>
      <c r="F942" s="30">
        <f>INDEX(A942:D950,,F938)</f>
        <v>8.0718029718204118E-2</v>
      </c>
      <c r="G942" s="26">
        <f>INDEX(A939:D947,,G938)</f>
        <v>-0.99554481132961903</v>
      </c>
      <c r="I942" s="30">
        <f t="shared" si="297"/>
        <v>-0.98459407104373786</v>
      </c>
      <c r="J942">
        <f t="shared" si="298"/>
        <v>-0.16071683133341619</v>
      </c>
      <c r="K942">
        <f t="shared" si="299"/>
        <v>0.94359558486062733</v>
      </c>
      <c r="L942" s="26">
        <f t="shared" si="296"/>
        <v>0.15824083924781801</v>
      </c>
      <c r="Q942" s="30">
        <v>8.0669718546782468E-2</v>
      </c>
      <c r="R942" s="26">
        <v>-0.99554872718340548</v>
      </c>
    </row>
    <row r="943" spans="1:18" x14ac:dyDescent="0.35">
      <c r="A943" s="113">
        <v>-0.35388868815670577</v>
      </c>
      <c r="B943" s="114">
        <v>0.11089726883326467</v>
      </c>
      <c r="C943" s="114">
        <v>0.88633362408230187</v>
      </c>
      <c r="D943" s="115">
        <v>-0.2772675584722844</v>
      </c>
      <c r="F943" s="30">
        <f>INDEX(A943:D951,,F938)</f>
        <v>0.88633362408230187</v>
      </c>
      <c r="G943" s="26">
        <f>INDEX(A939:D947,,G938)</f>
        <v>-0.2772675584722844</v>
      </c>
      <c r="I943" s="30">
        <f t="shared" si="297"/>
        <v>0.70870999419768554</v>
      </c>
      <c r="J943">
        <f t="shared" si="298"/>
        <v>-0.49150311988238277</v>
      </c>
      <c r="K943">
        <f t="shared" si="299"/>
        <v>0.26069453902156758</v>
      </c>
      <c r="L943" s="26">
        <f t="shared" si="296"/>
        <v>-0.34833317323998786</v>
      </c>
      <c r="N943" s="94">
        <f>COS(O941)</f>
        <v>0.99999999882255186</v>
      </c>
      <c r="O943" s="96">
        <f>-N944</f>
        <v>-4.8527274544102992E-5</v>
      </c>
      <c r="Q943" s="30">
        <v>0.88632016799975788</v>
      </c>
      <c r="R943" s="26">
        <v>-0.27731056950092975</v>
      </c>
    </row>
    <row r="944" spans="1:18" x14ac:dyDescent="0.35">
      <c r="A944" s="113">
        <v>3.1012737037270213E-2</v>
      </c>
      <c r="B944" s="114">
        <v>-2.3140307971976717E-2</v>
      </c>
      <c r="C944" s="114">
        <v>0.99754960586252139</v>
      </c>
      <c r="D944" s="115">
        <v>5.8288250376447533E-2</v>
      </c>
      <c r="F944" s="30">
        <f>INDEX(A944:D952,,F938)</f>
        <v>0.99754960586252139</v>
      </c>
      <c r="G944" s="26">
        <f>INDEX(A939:D947,,G938)</f>
        <v>5.8288250376447533E-2</v>
      </c>
      <c r="I944" s="30">
        <f t="shared" si="297"/>
        <v>0.99170769602452435</v>
      </c>
      <c r="J944">
        <f t="shared" si="298"/>
        <v>0.1162908423788824</v>
      </c>
      <c r="K944">
        <f t="shared" si="299"/>
        <v>0.96996059433308035</v>
      </c>
      <c r="L944" s="26">
        <f t="shared" si="296"/>
        <v>0.11532652336431258</v>
      </c>
      <c r="N944" s="27">
        <f>SIN(O941)</f>
        <v>4.8527274544102992E-5</v>
      </c>
      <c r="O944" s="29">
        <f>N943</f>
        <v>0.99999999882255186</v>
      </c>
      <c r="Q944" s="30">
        <v>0.99755243325788723</v>
      </c>
      <c r="R944" s="26">
        <v>5.8239841944221091E-2</v>
      </c>
    </row>
    <row r="945" spans="1:18" x14ac:dyDescent="0.35">
      <c r="A945" s="113">
        <v>-0.96171083697335757</v>
      </c>
      <c r="B945" s="114">
        <v>2.2651715889899889E-2</v>
      </c>
      <c r="C945" s="114">
        <v>0.1674530069975764</v>
      </c>
      <c r="D945" s="115">
        <v>-0.21577454961769202</v>
      </c>
      <c r="F945" s="30">
        <f>INDEX(A945:D953,,F938)</f>
        <v>0.1674530069975764</v>
      </c>
      <c r="G945" s="26">
        <f>INDEX(A939:D947,,G938)</f>
        <v>-0.21577454961769202</v>
      </c>
      <c r="I945" s="30">
        <f t="shared" si="297"/>
        <v>-1.8518146710187467E-2</v>
      </c>
      <c r="J945">
        <f t="shared" si="298"/>
        <v>-7.2264194334060561E-2</v>
      </c>
      <c r="K945">
        <f t="shared" si="299"/>
        <v>-4.8791920251708438E-3</v>
      </c>
      <c r="L945" s="26">
        <f t="shared" si="296"/>
        <v>1.3381989525716315E-3</v>
      </c>
      <c r="Q945" s="30">
        <v>0.16744253584960025</v>
      </c>
      <c r="R945" s="26">
        <v>-0.21578267540167248</v>
      </c>
    </row>
    <row r="946" spans="1:18" x14ac:dyDescent="0.35">
      <c r="A946" s="113">
        <v>-0.6751316177447011</v>
      </c>
      <c r="B946" s="114">
        <v>0.22041270364484927</v>
      </c>
      <c r="C946" s="114">
        <v>0.56890118815877144</v>
      </c>
      <c r="D946" s="115">
        <v>-0.41468901227899546</v>
      </c>
      <c r="F946" s="30">
        <f>INDEX(A946:D954,,F938)</f>
        <v>0.56890118815877144</v>
      </c>
      <c r="G946" s="26">
        <f>INDEX(A939:D947,,G938)</f>
        <v>-0.41468901227899546</v>
      </c>
      <c r="I946" s="30">
        <f t="shared" si="297"/>
        <v>0.15168158498353301</v>
      </c>
      <c r="J946">
        <f t="shared" si="298"/>
        <v>-0.47183414360381576</v>
      </c>
      <c r="K946">
        <f t="shared" si="299"/>
        <v>-0.19962015584722947</v>
      </c>
      <c r="L946" s="26">
        <f t="shared" si="296"/>
        <v>-7.15685507511747E-2</v>
      </c>
      <c r="Q946" s="30">
        <v>0.56888106376137049</v>
      </c>
      <c r="R946" s="26">
        <v>-0.41471661901486689</v>
      </c>
    </row>
    <row r="947" spans="1:18" x14ac:dyDescent="0.35">
      <c r="A947" s="116">
        <v>-6.9869071915488787E-2</v>
      </c>
      <c r="B947" s="117">
        <v>0.92649125864906945</v>
      </c>
      <c r="C947" s="117">
        <v>-0.20279465093444199</v>
      </c>
      <c r="D947" s="118">
        <v>-0.30920315326482267</v>
      </c>
      <c r="F947" s="27">
        <f>INDEX(A947:D955,,F938)</f>
        <v>-0.20279465093444199</v>
      </c>
      <c r="G947" s="29">
        <f>INDEX(A939:D947,,G938)</f>
        <v>-0.30920315326482267</v>
      </c>
      <c r="I947" s="27">
        <f t="shared" si="297"/>
        <v>-5.4480919541287247E-2</v>
      </c>
      <c r="J947" s="28">
        <f t="shared" si="298"/>
        <v>0.12540949106833696</v>
      </c>
      <c r="K947" s="28">
        <f t="shared" si="299"/>
        <v>-1.2759369855955074E-2</v>
      </c>
      <c r="L947" s="29">
        <f t="shared" si="296"/>
        <v>-6.8324243926078474E-3</v>
      </c>
      <c r="Q947" s="27">
        <v>-0.20280965548197019</v>
      </c>
      <c r="R947" s="29">
        <v>-0.30919331182905002</v>
      </c>
    </row>
    <row r="948" spans="1:18" x14ac:dyDescent="0.35">
      <c r="I948">
        <f>SUM(I939:I947)</f>
        <v>0.84526603901882835</v>
      </c>
      <c r="J948">
        <f>SUM(J939:J947)</f>
        <v>-0.77318789353110129</v>
      </c>
      <c r="K948">
        <f>SUM(K939:K947)</f>
        <v>1.9204082213286313</v>
      </c>
      <c r="L948">
        <f>SUM(L939:L947)</f>
        <v>-0.14486296241969976</v>
      </c>
    </row>
    <row r="949" spans="1:18" x14ac:dyDescent="0.35">
      <c r="A949" s="12" t="s">
        <v>2</v>
      </c>
      <c r="B949">
        <f>COUNT(A939:A947)</f>
        <v>9</v>
      </c>
      <c r="I949" s="12" t="s">
        <v>16</v>
      </c>
      <c r="J949" s="12" t="s">
        <v>258</v>
      </c>
      <c r="K949" s="12" t="s">
        <v>18</v>
      </c>
      <c r="L949" s="12" t="s">
        <v>19</v>
      </c>
      <c r="N949" s="12"/>
    </row>
    <row r="951" spans="1:18" x14ac:dyDescent="0.35">
      <c r="A951">
        <v>1</v>
      </c>
      <c r="B951">
        <v>2</v>
      </c>
      <c r="C951">
        <v>3</v>
      </c>
      <c r="D951">
        <v>4</v>
      </c>
      <c r="F951">
        <v>1</v>
      </c>
      <c r="G951">
        <v>2</v>
      </c>
      <c r="I951" s="12" t="s">
        <v>251</v>
      </c>
      <c r="J951" s="12" t="s">
        <v>252</v>
      </c>
      <c r="K951" s="12" t="s">
        <v>253</v>
      </c>
      <c r="L951" s="12" t="s">
        <v>254</v>
      </c>
      <c r="Q951">
        <f>F951</f>
        <v>1</v>
      </c>
      <c r="R951">
        <f>G951</f>
        <v>2</v>
      </c>
    </row>
    <row r="952" spans="1:18" x14ac:dyDescent="0.35">
      <c r="A952" s="110">
        <f t="array" ref="A952:A960">IF(A951=$Q938,$Q939:$Q947,IF(A951=$R938,$R939:$R947,A939:A947))</f>
        <v>-0.11050464354254877</v>
      </c>
      <c r="B952" s="111">
        <f t="array" ref="B952:B960">IF(B951=$Q938,$Q939:$Q947,IF(B951=$R938,$R939:$R947,B939:B947))</f>
        <v>-0.88892023536265663</v>
      </c>
      <c r="C952" s="111">
        <f t="array" ref="C952:C960">IF(C951=$Q938,$Q939:$Q947,IF(C951=$R938,$R939:$R947,C939:C947))</f>
        <v>-0.34206243252080176</v>
      </c>
      <c r="D952" s="112">
        <f t="array" ref="D952:D960">IF(D951=$Q938,$Q939:$Q947,IF(D951=$R938,$R939:$R947,D939:D947))</f>
        <v>-0.28390637748434844</v>
      </c>
      <c r="F952" s="94">
        <f>INDEX(A952:D960,,F951)</f>
        <v>-0.11050464354254877</v>
      </c>
      <c r="G952" s="96">
        <f>INDEX(A952:D960,,G951)</f>
        <v>-0.88892023536265663</v>
      </c>
      <c r="I952" s="94">
        <f>F952^2-G952^2</f>
        <v>-0.77796790859273512</v>
      </c>
      <c r="J952" s="95">
        <f>2*F952*G952</f>
        <v>0.19645962749301785</v>
      </c>
      <c r="K952" s="95">
        <f>I952^2-J952^2</f>
        <v>0.56663768156545891</v>
      </c>
      <c r="L952" s="96">
        <f t="shared" ref="L952:L960" si="300">I952*J952</f>
        <v>-0.15283928552365089</v>
      </c>
      <c r="N952" t="s">
        <v>12</v>
      </c>
      <c r="O952" s="51">
        <f>L961*B962-2*I961*J961</f>
        <v>4.3436512464678501E-3</v>
      </c>
      <c r="Q952" s="94">
        <f t="array" ref="Q952:R960">MMULT(F952:G960,N956:O957)</f>
        <v>-0.11055250795822413</v>
      </c>
      <c r="R952" s="96">
        <v>-0.88891428386870541</v>
      </c>
    </row>
    <row r="953" spans="1:18" x14ac:dyDescent="0.35">
      <c r="A953" s="113">
        <v>-0.79371994831793247</v>
      </c>
      <c r="B953" s="114">
        <v>0.60194795010353563</v>
      </c>
      <c r="C953" s="114">
        <v>8.4812027327130321E-2</v>
      </c>
      <c r="D953" s="115">
        <v>2.1776800246878541E-2</v>
      </c>
      <c r="F953" s="30">
        <f>INDEX(A953:D961,,F951)</f>
        <v>-0.79371994831793247</v>
      </c>
      <c r="G953" s="26">
        <f>INDEX(A952:D960,,G951)</f>
        <v>0.60194795010353563</v>
      </c>
      <c r="I953" s="30">
        <f t="shared" ref="I953:I960" si="301">F953^2-G953^2</f>
        <v>0.26765002172397273</v>
      </c>
      <c r="J953">
        <f t="shared" ref="J953:J960" si="302">2*F953*G953</f>
        <v>-0.95555619169252737</v>
      </c>
      <c r="K953">
        <f t="shared" ref="K953:K960" si="303">I953^2-J953^2</f>
        <v>-0.84145110135308299</v>
      </c>
      <c r="L953" s="26">
        <f t="shared" si="300"/>
        <v>-0.25575463546498162</v>
      </c>
      <c r="N953" t="s">
        <v>255</v>
      </c>
      <c r="O953" s="52">
        <f>K961*B962-(I961^2-J961^2)</f>
        <v>20.167103522955415</v>
      </c>
      <c r="Q953" s="30">
        <v>-0.79368753482905996</v>
      </c>
      <c r="R953" s="26">
        <v>0.6019906876760136</v>
      </c>
    </row>
    <row r="954" spans="1:18" x14ac:dyDescent="0.35">
      <c r="A954" s="113">
        <v>-0.98391880495551221</v>
      </c>
      <c r="B954" s="114">
        <v>-0.11712436479395492</v>
      </c>
      <c r="C954" s="114">
        <v>0.11366716850635912</v>
      </c>
      <c r="D954" s="115">
        <v>-7.25633738898422E-2</v>
      </c>
      <c r="F954" s="30">
        <f>INDEX(A954:D962,,F951)</f>
        <v>-0.98391880495551221</v>
      </c>
      <c r="G954" s="26">
        <f>INDEX(A952:D960,,G951)</f>
        <v>-0.11712436479395492</v>
      </c>
      <c r="I954" s="30">
        <f t="shared" si="301"/>
        <v>0.95437809791669581</v>
      </c>
      <c r="J954">
        <f t="shared" si="302"/>
        <v>0.23048173007848319</v>
      </c>
      <c r="K954">
        <f t="shared" si="303"/>
        <v>0.8577157258831194</v>
      </c>
      <c r="L954" s="26">
        <f t="shared" si="300"/>
        <v>0.21996671515685209</v>
      </c>
      <c r="N954" t="s">
        <v>256</v>
      </c>
      <c r="O954" s="53">
        <f>0.25*ATAN(O952/O953)</f>
        <v>5.3845749023360687E-5</v>
      </c>
      <c r="Q954" s="30">
        <v>-0.98392511017829054</v>
      </c>
      <c r="R954" s="26">
        <v>-0.11707138477915641</v>
      </c>
    </row>
    <row r="955" spans="1:18" x14ac:dyDescent="0.35">
      <c r="A955" s="113">
        <v>-4.8705047912355227E-2</v>
      </c>
      <c r="B955" s="114">
        <v>1.7165724394701833E-3</v>
      </c>
      <c r="C955" s="114">
        <v>8.0669718546782468E-2</v>
      </c>
      <c r="D955" s="115">
        <v>-0.99554872718340548</v>
      </c>
      <c r="F955" s="30">
        <f>INDEX(A955:D963,,F951)</f>
        <v>-4.8705047912355227E-2</v>
      </c>
      <c r="G955" s="26">
        <f>INDEX(A952:D960,,G951)</f>
        <v>1.7165724394701833E-3</v>
      </c>
      <c r="I955" s="30">
        <f t="shared" si="301"/>
        <v>2.3692350712048696E-3</v>
      </c>
      <c r="J955">
        <f t="shared" si="302"/>
        <v>-1.6721148581884754E-4</v>
      </c>
      <c r="K955">
        <f t="shared" si="303"/>
        <v>5.5853151416373968E-6</v>
      </c>
      <c r="L955" s="26">
        <f t="shared" si="300"/>
        <v>-3.9616331651028926E-7</v>
      </c>
      <c r="Q955" s="30">
        <v>-4.870495541161967E-2</v>
      </c>
      <c r="R955" s="26">
        <v>1.7191949967664906E-3</v>
      </c>
    </row>
    <row r="956" spans="1:18" x14ac:dyDescent="0.35">
      <c r="A956" s="113">
        <v>-0.35388868815670577</v>
      </c>
      <c r="B956" s="114">
        <v>0.11089726883326467</v>
      </c>
      <c r="C956" s="114">
        <v>0.88632016799975788</v>
      </c>
      <c r="D956" s="115">
        <v>-0.27731056950092975</v>
      </c>
      <c r="F956" s="30">
        <f>INDEX(A956:D964,,F951)</f>
        <v>-0.35388868815670577</v>
      </c>
      <c r="G956" s="26">
        <f>INDEX(A952:D960,,G951)</f>
        <v>0.11089726883326467</v>
      </c>
      <c r="I956" s="30">
        <f t="shared" si="301"/>
        <v>0.11293899937059675</v>
      </c>
      <c r="J956">
        <f t="shared" si="302"/>
        <v>-7.8490577975131134E-2</v>
      </c>
      <c r="K956">
        <f t="shared" si="303"/>
        <v>6.5944467479615116E-3</v>
      </c>
      <c r="L956" s="26">
        <f t="shared" si="300"/>
        <v>-8.8646473365311101E-3</v>
      </c>
      <c r="N956" s="94">
        <f>COS(O954)</f>
        <v>0.99999999855031763</v>
      </c>
      <c r="O956" s="96">
        <f>-N957</f>
        <v>-5.3845748997340946E-5</v>
      </c>
      <c r="Q956" s="30">
        <v>-0.35388271629717749</v>
      </c>
      <c r="R956" s="26">
        <v>0.11091632407397434</v>
      </c>
    </row>
    <row r="957" spans="1:18" x14ac:dyDescent="0.35">
      <c r="A957" s="113">
        <v>3.1012737037270213E-2</v>
      </c>
      <c r="B957" s="114">
        <v>-2.3140307971976717E-2</v>
      </c>
      <c r="C957" s="114">
        <v>0.99755243325788723</v>
      </c>
      <c r="D957" s="115">
        <v>5.8239841944221091E-2</v>
      </c>
      <c r="F957" s="30">
        <f>INDEX(A957:D965,,F951)</f>
        <v>3.1012737037270213E-2</v>
      </c>
      <c r="G957" s="26">
        <f>INDEX(A952:D960,,G951)</f>
        <v>-2.3140307971976717E-2</v>
      </c>
      <c r="I957" s="30">
        <f t="shared" si="301"/>
        <v>4.2631600550494247E-4</v>
      </c>
      <c r="J957">
        <f t="shared" si="302"/>
        <v>-1.4352885721927229E-3</v>
      </c>
      <c r="K957">
        <f t="shared" si="303"/>
        <v>-1.8783079489173353E-6</v>
      </c>
      <c r="L957" s="26">
        <f t="shared" si="300"/>
        <v>-6.1188649084409388E-7</v>
      </c>
      <c r="N957" s="27">
        <f>SIN(O954)</f>
        <v>5.3845748997340946E-5</v>
      </c>
      <c r="O957" s="29">
        <f>N956</f>
        <v>0.99999999855031763</v>
      </c>
      <c r="Q957" s="30">
        <v>3.1011490985096816E-2</v>
      </c>
      <c r="R957" s="26">
        <v>-2.314197784248485E-2</v>
      </c>
    </row>
    <row r="958" spans="1:18" x14ac:dyDescent="0.35">
      <c r="A958" s="113">
        <v>-0.96171083697335757</v>
      </c>
      <c r="B958" s="114">
        <v>2.2651715889899889E-2</v>
      </c>
      <c r="C958" s="114">
        <v>0.16744253584960025</v>
      </c>
      <c r="D958" s="115">
        <v>-0.21578267540167248</v>
      </c>
      <c r="F958" s="30">
        <f>INDEX(A958:D966,,F951)</f>
        <v>-0.96171083697335757</v>
      </c>
      <c r="G958" s="26">
        <f>INDEX(A952:D960,,G951)</f>
        <v>2.2651715889899889E-2</v>
      </c>
      <c r="I958" s="30">
        <f t="shared" si="301"/>
        <v>0.92437463371923922</v>
      </c>
      <c r="J958">
        <f t="shared" si="302"/>
        <v>-4.3568801294716651E-2</v>
      </c>
      <c r="K958">
        <f t="shared" si="303"/>
        <v>0.85257022301731911</v>
      </c>
      <c r="L958" s="26">
        <f t="shared" si="300"/>
        <v>-4.027389473839002E-2</v>
      </c>
      <c r="Q958" s="30">
        <v>-0.96170961588057424</v>
      </c>
      <c r="R958" s="26">
        <v>2.2703499897397783E-2</v>
      </c>
    </row>
    <row r="959" spans="1:18" x14ac:dyDescent="0.35">
      <c r="A959" s="113">
        <v>-0.6751316177447011</v>
      </c>
      <c r="B959" s="114">
        <v>0.22041270364484927</v>
      </c>
      <c r="C959" s="114">
        <v>0.56888106376137049</v>
      </c>
      <c r="D959" s="115">
        <v>-0.41471661901486689</v>
      </c>
      <c r="F959" s="30">
        <f>INDEX(A959:D967,,F951)</f>
        <v>-0.6751316177447011</v>
      </c>
      <c r="G959" s="26">
        <f>INDEX(A952:D960,,G951)</f>
        <v>0.22041270364484927</v>
      </c>
      <c r="I959" s="30">
        <f t="shared" si="301"/>
        <v>0.40722094135054504</v>
      </c>
      <c r="J959">
        <f t="shared" si="302"/>
        <v>-0.29761517036646096</v>
      </c>
      <c r="K959">
        <f t="shared" si="303"/>
        <v>7.7254105442166474E-2</v>
      </c>
      <c r="L959" s="26">
        <f t="shared" si="300"/>
        <v>-0.12119512983683307</v>
      </c>
      <c r="Q959" s="30">
        <v>-0.67511974847885836</v>
      </c>
      <c r="R959" s="26">
        <v>0.22044905629295011</v>
      </c>
    </row>
    <row r="960" spans="1:18" x14ac:dyDescent="0.35">
      <c r="A960" s="116">
        <v>-6.9869071915488787E-2</v>
      </c>
      <c r="B960" s="117">
        <v>0.92649125864906945</v>
      </c>
      <c r="C960" s="117">
        <v>-0.20280965548197019</v>
      </c>
      <c r="D960" s="118">
        <v>-0.30919331182905002</v>
      </c>
      <c r="F960" s="27">
        <f>INDEX(A960:D968,,F951)</f>
        <v>-6.9869071915488787E-2</v>
      </c>
      <c r="G960" s="29">
        <f>INDEX(A952:D960,,G951)</f>
        <v>0.92649125864906945</v>
      </c>
      <c r="I960" s="27">
        <f t="shared" si="301"/>
        <v>-0.85350436514280514</v>
      </c>
      <c r="J960" s="28">
        <f t="shared" si="302"/>
        <v>-0.1294661687592471</v>
      </c>
      <c r="K960" s="28">
        <f t="shared" si="303"/>
        <v>0.71170821246462501</v>
      </c>
      <c r="L960" s="29">
        <f t="shared" si="300"/>
        <v>0.11049994017433247</v>
      </c>
      <c r="Q960" s="27">
        <v>-6.9819184198439369E-2</v>
      </c>
      <c r="R960" s="29">
        <v>0.92649501945846047</v>
      </c>
    </row>
    <row r="961" spans="1:14" x14ac:dyDescent="0.35">
      <c r="I961">
        <f>SUM(I952:I960)</f>
        <v>1.0378859714222191</v>
      </c>
      <c r="J961">
        <f>SUM(J952:J960)</f>
        <v>-1.0793580525745938</v>
      </c>
      <c r="K961">
        <f>SUM(K952:K960)</f>
        <v>2.2310330007747599</v>
      </c>
      <c r="L961">
        <f>SUM(L952:L960)</f>
        <v>-0.24846194561900953</v>
      </c>
    </row>
    <row r="962" spans="1:14" x14ac:dyDescent="0.35">
      <c r="A962" s="12" t="s">
        <v>2</v>
      </c>
      <c r="B962">
        <f>COUNT(A952:A960)</f>
        <v>9</v>
      </c>
      <c r="I962" s="12" t="s">
        <v>16</v>
      </c>
      <c r="J962" s="12" t="s">
        <v>258</v>
      </c>
      <c r="K962" s="12" t="s">
        <v>18</v>
      </c>
      <c r="L962" s="12" t="s">
        <v>19</v>
      </c>
      <c r="N962" s="1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3D2A-70DA-4578-8CE5-85429AD4B3AB}">
  <sheetPr codeName="Sheet2"/>
  <dimension ref="A1:I17"/>
  <sheetViews>
    <sheetView workbookViewId="0">
      <selection activeCell="E4" sqref="E4"/>
    </sheetView>
  </sheetViews>
  <sheetFormatPr defaultRowHeight="14.5" x14ac:dyDescent="0.35"/>
  <cols>
    <col min="1" max="3" width="7.26953125" customWidth="1"/>
  </cols>
  <sheetData>
    <row r="1" spans="1:9" x14ac:dyDescent="0.35">
      <c r="A1" s="10" t="s">
        <v>209</v>
      </c>
    </row>
    <row r="3" spans="1:9" x14ac:dyDescent="0.35">
      <c r="A3" s="103" t="s">
        <v>210</v>
      </c>
      <c r="B3" s="103" t="s">
        <v>211</v>
      </c>
      <c r="C3" s="103" t="s">
        <v>212</v>
      </c>
    </row>
    <row r="4" spans="1:9" x14ac:dyDescent="0.35">
      <c r="A4">
        <v>1</v>
      </c>
      <c r="B4">
        <v>2</v>
      </c>
      <c r="C4">
        <v>4</v>
      </c>
      <c r="E4" t="e" cm="1">
        <f t="array" aca="1" ref="E4" ca="1">MSTKruskal(A4:C17)</f>
        <v>#NAME?</v>
      </c>
      <c r="I4" t="e" cm="1">
        <f t="array" aca="1" ref="I4" ca="1">MSTPrim(A4:C17)</f>
        <v>#NAME?</v>
      </c>
    </row>
    <row r="5" spans="1:9" x14ac:dyDescent="0.35">
      <c r="A5">
        <v>1</v>
      </c>
      <c r="B5">
        <v>8</v>
      </c>
      <c r="C5">
        <v>8</v>
      </c>
    </row>
    <row r="6" spans="1:9" x14ac:dyDescent="0.35">
      <c r="A6">
        <v>2</v>
      </c>
      <c r="B6">
        <v>3</v>
      </c>
      <c r="C6">
        <v>8</v>
      </c>
    </row>
    <row r="7" spans="1:9" x14ac:dyDescent="0.35">
      <c r="A7">
        <v>2</v>
      </c>
      <c r="B7">
        <v>8</v>
      </c>
      <c r="C7">
        <v>11</v>
      </c>
    </row>
    <row r="8" spans="1:9" x14ac:dyDescent="0.35">
      <c r="A8">
        <v>3</v>
      </c>
      <c r="B8">
        <v>4</v>
      </c>
      <c r="C8">
        <v>7</v>
      </c>
    </row>
    <row r="9" spans="1:9" x14ac:dyDescent="0.35">
      <c r="A9">
        <v>3</v>
      </c>
      <c r="B9">
        <v>6</v>
      </c>
      <c r="C9">
        <v>4</v>
      </c>
    </row>
    <row r="10" spans="1:9" x14ac:dyDescent="0.35">
      <c r="A10">
        <v>3</v>
      </c>
      <c r="B10">
        <v>9</v>
      </c>
      <c r="C10">
        <v>2</v>
      </c>
    </row>
    <row r="11" spans="1:9" x14ac:dyDescent="0.35">
      <c r="A11">
        <v>4</v>
      </c>
      <c r="B11">
        <v>5</v>
      </c>
      <c r="C11">
        <v>9</v>
      </c>
    </row>
    <row r="12" spans="1:9" x14ac:dyDescent="0.35">
      <c r="A12">
        <v>4</v>
      </c>
      <c r="B12">
        <v>6</v>
      </c>
      <c r="C12">
        <v>14</v>
      </c>
    </row>
    <row r="13" spans="1:9" x14ac:dyDescent="0.35">
      <c r="A13">
        <v>5</v>
      </c>
      <c r="B13">
        <v>6</v>
      </c>
      <c r="C13">
        <v>10</v>
      </c>
    </row>
    <row r="14" spans="1:9" x14ac:dyDescent="0.35">
      <c r="A14">
        <v>6</v>
      </c>
      <c r="B14">
        <v>7</v>
      </c>
      <c r="C14">
        <v>2</v>
      </c>
    </row>
    <row r="15" spans="1:9" x14ac:dyDescent="0.35">
      <c r="A15">
        <v>7</v>
      </c>
      <c r="B15">
        <v>8</v>
      </c>
      <c r="C15">
        <v>1</v>
      </c>
    </row>
    <row r="16" spans="1:9" x14ac:dyDescent="0.35">
      <c r="A16">
        <v>7</v>
      </c>
      <c r="B16">
        <v>9</v>
      </c>
      <c r="C16">
        <v>6</v>
      </c>
    </row>
    <row r="17" spans="1:3" x14ac:dyDescent="0.35">
      <c r="A17" s="28">
        <v>8</v>
      </c>
      <c r="B17" s="28">
        <v>9</v>
      </c>
      <c r="C17" s="28">
        <v>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8982-DEE8-41B9-9B54-73DB6BF5E226}">
  <sheetPr codeName="Sheet20"/>
  <dimension ref="A1:BS26"/>
  <sheetViews>
    <sheetView workbookViewId="0">
      <selection activeCell="E4" sqref="E4"/>
    </sheetView>
  </sheetViews>
  <sheetFormatPr defaultRowHeight="14.5" x14ac:dyDescent="0.35"/>
  <cols>
    <col min="1" max="3" width="7.26953125" customWidth="1"/>
    <col min="4" max="4" width="4.6328125" customWidth="1"/>
    <col min="5" max="7" width="7.26953125" customWidth="1"/>
    <col min="8" max="8" width="5.6328125" customWidth="1"/>
    <col min="9" max="11" width="7" customWidth="1"/>
    <col min="12" max="12" width="2.6328125" customWidth="1"/>
    <col min="13" max="15" width="7" customWidth="1"/>
    <col min="16" max="16" width="2.6328125" customWidth="1"/>
    <col min="17" max="19" width="7" customWidth="1"/>
    <col min="20" max="20" width="2.6328125" customWidth="1"/>
    <col min="21" max="23" width="7" customWidth="1"/>
    <col min="24" max="24" width="2.6328125" customWidth="1"/>
    <col min="25" max="27" width="7" customWidth="1"/>
    <col min="28" max="28" width="2.6328125" customWidth="1"/>
    <col min="29" max="31" width="7" customWidth="1"/>
    <col min="32" max="32" width="2.6328125" customWidth="1"/>
    <col min="33" max="35" width="7" customWidth="1"/>
    <col min="36" max="36" width="2.6328125" customWidth="1"/>
    <col min="37" max="39" width="7" customWidth="1"/>
    <col min="40" max="40" width="2.6328125" customWidth="1"/>
    <col min="41" max="43" width="7" customWidth="1"/>
    <col min="44" max="44" width="2.6328125" customWidth="1"/>
    <col min="45" max="47" width="7" customWidth="1"/>
    <col min="48" max="48" width="2.6328125" customWidth="1"/>
    <col min="49" max="51" width="7" customWidth="1"/>
    <col min="52" max="52" width="2.6328125" customWidth="1"/>
    <col min="53" max="55" width="7" customWidth="1"/>
    <col min="56" max="56" width="2.6328125" customWidth="1"/>
    <col min="57" max="59" width="7" customWidth="1"/>
    <col min="60" max="60" width="2.6328125" customWidth="1"/>
    <col min="61" max="63" width="7" customWidth="1"/>
    <col min="64" max="64" width="2.6328125" customWidth="1"/>
    <col min="65" max="67" width="7" customWidth="1"/>
    <col min="68" max="68" width="4.36328125" customWidth="1"/>
    <col min="69" max="71" width="6.6328125" customWidth="1"/>
    <col min="72" max="72" width="5.54296875" customWidth="1"/>
  </cols>
  <sheetData>
    <row r="1" spans="1:71" x14ac:dyDescent="0.35">
      <c r="A1" s="10" t="s">
        <v>209</v>
      </c>
    </row>
    <row r="3" spans="1:71" x14ac:dyDescent="0.35">
      <c r="A3" s="103" t="s">
        <v>210</v>
      </c>
      <c r="B3" s="103" t="s">
        <v>211</v>
      </c>
      <c r="C3" s="103" t="s">
        <v>212</v>
      </c>
      <c r="E3" s="103" t="s">
        <v>210</v>
      </c>
      <c r="F3" s="103" t="s">
        <v>211</v>
      </c>
      <c r="G3" s="103" t="s">
        <v>212</v>
      </c>
      <c r="I3" s="3" t="s">
        <v>213</v>
      </c>
      <c r="J3" s="3">
        <v>0</v>
      </c>
      <c r="M3" s="3" t="s">
        <v>213</v>
      </c>
      <c r="N3" s="3">
        <f>J3+1</f>
        <v>1</v>
      </c>
      <c r="O3" s="104" t="s">
        <v>214</v>
      </c>
      <c r="Q3" s="93" t="s">
        <v>213</v>
      </c>
      <c r="R3" s="93">
        <f>N3+1</f>
        <v>2</v>
      </c>
      <c r="S3" s="104" t="s">
        <v>215</v>
      </c>
      <c r="U3" s="93" t="s">
        <v>213</v>
      </c>
      <c r="V3" s="93">
        <f>R3+1</f>
        <v>3</v>
      </c>
      <c r="W3" s="104" t="s">
        <v>216</v>
      </c>
      <c r="Y3" s="93" t="s">
        <v>213</v>
      </c>
      <c r="Z3" s="93">
        <f>V3+1</f>
        <v>4</v>
      </c>
      <c r="AA3" s="104" t="s">
        <v>217</v>
      </c>
      <c r="AC3" s="93" t="s">
        <v>213</v>
      </c>
      <c r="AD3" s="93">
        <f>Z3+1</f>
        <v>5</v>
      </c>
      <c r="AE3" s="104" t="s">
        <v>218</v>
      </c>
      <c r="AG3" s="93" t="s">
        <v>213</v>
      </c>
      <c r="AH3" s="93">
        <f>AD3+1</f>
        <v>6</v>
      </c>
      <c r="AI3" s="105" t="s">
        <v>219</v>
      </c>
      <c r="AK3" s="93" t="s">
        <v>213</v>
      </c>
      <c r="AL3" s="93">
        <f>AH3+1</f>
        <v>7</v>
      </c>
      <c r="AM3" s="105" t="s">
        <v>220</v>
      </c>
      <c r="AO3" s="93" t="s">
        <v>213</v>
      </c>
      <c r="AP3" s="93">
        <f>AL3+1</f>
        <v>8</v>
      </c>
      <c r="AQ3" s="104" t="s">
        <v>221</v>
      </c>
      <c r="AS3" s="93" t="s">
        <v>213</v>
      </c>
      <c r="AT3" s="93">
        <f>AP3+1</f>
        <v>9</v>
      </c>
      <c r="AU3" s="104" t="s">
        <v>222</v>
      </c>
      <c r="AW3" s="93" t="s">
        <v>213</v>
      </c>
      <c r="AX3" s="93">
        <f>AT3+1</f>
        <v>10</v>
      </c>
      <c r="AY3" s="105" t="s">
        <v>223</v>
      </c>
      <c r="BA3" s="93" t="s">
        <v>213</v>
      </c>
      <c r="BB3" s="93">
        <f>AX3+1</f>
        <v>11</v>
      </c>
      <c r="BC3" s="104" t="s">
        <v>224</v>
      </c>
      <c r="BE3" s="93" t="s">
        <v>213</v>
      </c>
      <c r="BF3" s="93">
        <f>BB3+1</f>
        <v>12</v>
      </c>
      <c r="BG3" s="105" t="s">
        <v>225</v>
      </c>
      <c r="BI3" s="93" t="s">
        <v>213</v>
      </c>
      <c r="BJ3" s="93">
        <f>BF3+1</f>
        <v>13</v>
      </c>
      <c r="BK3" s="105" t="s">
        <v>226</v>
      </c>
      <c r="BM3" s="93" t="s">
        <v>213</v>
      </c>
      <c r="BN3" s="93">
        <f>BJ3+1</f>
        <v>14</v>
      </c>
      <c r="BO3" s="105" t="s">
        <v>227</v>
      </c>
      <c r="BQ3" t="s">
        <v>228</v>
      </c>
    </row>
    <row r="4" spans="1:71" x14ac:dyDescent="0.35">
      <c r="A4">
        <v>1</v>
      </c>
      <c r="B4">
        <v>2</v>
      </c>
      <c r="C4">
        <v>4</v>
      </c>
      <c r="E4" t="e" cm="1">
        <f t="array" aca="1" ref="E4" ca="1">QSORTRows(A4:C17,3)</f>
        <v>#NAME?</v>
      </c>
    </row>
    <row r="5" spans="1:71" x14ac:dyDescent="0.35">
      <c r="A5">
        <v>1</v>
      </c>
      <c r="B5">
        <v>8</v>
      </c>
      <c r="C5">
        <v>8</v>
      </c>
      <c r="I5" s="92" t="s">
        <v>229</v>
      </c>
      <c r="J5" s="92" t="s">
        <v>230</v>
      </c>
      <c r="K5" s="92" t="s">
        <v>231</v>
      </c>
      <c r="M5" s="92" t="s">
        <v>229</v>
      </c>
      <c r="N5" s="92" t="s">
        <v>230</v>
      </c>
      <c r="O5" s="92" t="s">
        <v>231</v>
      </c>
      <c r="Q5" s="92" t="s">
        <v>229</v>
      </c>
      <c r="R5" s="92" t="s">
        <v>230</v>
      </c>
      <c r="S5" s="92" t="s">
        <v>231</v>
      </c>
      <c r="U5" s="92" t="s">
        <v>229</v>
      </c>
      <c r="V5" s="92" t="s">
        <v>230</v>
      </c>
      <c r="W5" s="92" t="s">
        <v>231</v>
      </c>
      <c r="Y5" s="92" t="s">
        <v>229</v>
      </c>
      <c r="Z5" s="92" t="s">
        <v>230</v>
      </c>
      <c r="AA5" s="92" t="s">
        <v>231</v>
      </c>
      <c r="AC5" s="92" t="s">
        <v>229</v>
      </c>
      <c r="AD5" s="92" t="s">
        <v>230</v>
      </c>
      <c r="AE5" s="92" t="s">
        <v>231</v>
      </c>
      <c r="AG5" s="92" t="s">
        <v>229</v>
      </c>
      <c r="AH5" s="92" t="s">
        <v>230</v>
      </c>
      <c r="AI5" s="92" t="s">
        <v>231</v>
      </c>
      <c r="AK5" s="92" t="s">
        <v>229</v>
      </c>
      <c r="AL5" s="92" t="s">
        <v>230</v>
      </c>
      <c r="AM5" s="92" t="s">
        <v>231</v>
      </c>
      <c r="AO5" s="92" t="s">
        <v>229</v>
      </c>
      <c r="AP5" s="92" t="s">
        <v>230</v>
      </c>
      <c r="AQ5" s="92" t="s">
        <v>231</v>
      </c>
      <c r="AS5" s="92" t="s">
        <v>229</v>
      </c>
      <c r="AT5" s="92" t="s">
        <v>230</v>
      </c>
      <c r="AU5" s="92" t="s">
        <v>231</v>
      </c>
      <c r="AW5" s="92" t="s">
        <v>229</v>
      </c>
      <c r="AX5" s="92" t="s">
        <v>230</v>
      </c>
      <c r="AY5" s="92" t="s">
        <v>231</v>
      </c>
      <c r="BA5" s="92" t="s">
        <v>229</v>
      </c>
      <c r="BB5" s="92" t="s">
        <v>230</v>
      </c>
      <c r="BC5" s="92" t="s">
        <v>231</v>
      </c>
      <c r="BE5" s="92" t="s">
        <v>229</v>
      </c>
      <c r="BF5" s="92" t="s">
        <v>230</v>
      </c>
      <c r="BG5" s="92" t="s">
        <v>231</v>
      </c>
      <c r="BI5" s="92" t="s">
        <v>229</v>
      </c>
      <c r="BJ5" s="92" t="s">
        <v>230</v>
      </c>
      <c r="BK5" s="92" t="s">
        <v>231</v>
      </c>
      <c r="BM5" s="92" t="s">
        <v>229</v>
      </c>
      <c r="BN5" s="92" t="s">
        <v>230</v>
      </c>
      <c r="BO5" s="92" t="s">
        <v>231</v>
      </c>
      <c r="BQ5" s="3" t="s">
        <v>210</v>
      </c>
      <c r="BR5" s="3" t="s">
        <v>211</v>
      </c>
      <c r="BS5" s="3" t="s">
        <v>212</v>
      </c>
    </row>
    <row r="6" spans="1:71" x14ac:dyDescent="0.35">
      <c r="A6">
        <v>2</v>
      </c>
      <c r="B6">
        <v>3</v>
      </c>
      <c r="C6">
        <v>8</v>
      </c>
      <c r="I6" s="3">
        <v>1</v>
      </c>
      <c r="J6" s="3">
        <f>I6</f>
        <v>1</v>
      </c>
      <c r="K6" s="3">
        <v>0</v>
      </c>
      <c r="M6" s="3">
        <v>1</v>
      </c>
      <c r="N6" s="3">
        <f>M6</f>
        <v>1</v>
      </c>
      <c r="O6" s="3">
        <v>0</v>
      </c>
      <c r="Q6" s="3">
        <v>1</v>
      </c>
      <c r="R6" s="3">
        <f>Q6</f>
        <v>1</v>
      </c>
      <c r="S6" s="3">
        <v>0</v>
      </c>
      <c r="U6" s="3">
        <v>1</v>
      </c>
      <c r="V6" s="3">
        <f>U6</f>
        <v>1</v>
      </c>
      <c r="W6" s="3">
        <v>0</v>
      </c>
      <c r="Y6" s="3">
        <v>1</v>
      </c>
      <c r="Z6" s="3">
        <f>Y6</f>
        <v>1</v>
      </c>
      <c r="AA6" s="3">
        <v>0</v>
      </c>
      <c r="AC6" s="3">
        <v>1</v>
      </c>
      <c r="AD6" s="3">
        <v>2</v>
      </c>
      <c r="AE6" s="3">
        <v>0</v>
      </c>
      <c r="AG6" s="3">
        <v>1</v>
      </c>
      <c r="AH6" s="3">
        <v>2</v>
      </c>
      <c r="AI6" s="3">
        <v>0</v>
      </c>
      <c r="AK6" s="3">
        <v>1</v>
      </c>
      <c r="AL6" s="3">
        <v>2</v>
      </c>
      <c r="AM6" s="3">
        <v>0</v>
      </c>
      <c r="AO6" s="3">
        <v>1</v>
      </c>
      <c r="AP6" s="3">
        <v>2</v>
      </c>
      <c r="AQ6" s="3">
        <v>0</v>
      </c>
      <c r="AS6" s="3">
        <v>1</v>
      </c>
      <c r="AT6" s="3">
        <v>2</v>
      </c>
      <c r="AU6" s="3">
        <v>0</v>
      </c>
      <c r="AW6" s="3">
        <v>1</v>
      </c>
      <c r="AX6" s="3">
        <v>2</v>
      </c>
      <c r="AY6" s="3">
        <v>0</v>
      </c>
      <c r="BA6" s="3">
        <v>1</v>
      </c>
      <c r="BB6" s="3">
        <v>2</v>
      </c>
      <c r="BC6" s="3">
        <v>0</v>
      </c>
      <c r="BE6" s="3">
        <v>1</v>
      </c>
      <c r="BF6" s="3">
        <v>2</v>
      </c>
      <c r="BG6" s="3">
        <v>0</v>
      </c>
      <c r="BI6" s="3">
        <v>1</v>
      </c>
      <c r="BJ6" s="3">
        <v>2</v>
      </c>
      <c r="BK6" s="3">
        <v>0</v>
      </c>
      <c r="BM6" s="3">
        <v>1</v>
      </c>
      <c r="BN6" s="3">
        <v>2</v>
      </c>
      <c r="BO6" s="3">
        <v>0</v>
      </c>
      <c r="BQ6" s="97" t="e" cm="1">
        <f t="array" aca="1" ref="BQ6" ca="1">MSTKruskal(A4:C17)</f>
        <v>#NAME?</v>
      </c>
      <c r="BR6" s="97"/>
      <c r="BS6" s="97"/>
    </row>
    <row r="7" spans="1:71" x14ac:dyDescent="0.35">
      <c r="A7">
        <v>2</v>
      </c>
      <c r="B7">
        <v>8</v>
      </c>
      <c r="C7">
        <v>11</v>
      </c>
      <c r="I7" s="3">
        <f>I6+1</f>
        <v>2</v>
      </c>
      <c r="J7" s="3">
        <f t="shared" ref="J7:J14" si="0">I7</f>
        <v>2</v>
      </c>
      <c r="K7" s="3">
        <v>0</v>
      </c>
      <c r="M7" s="3">
        <f>M6+1</f>
        <v>2</v>
      </c>
      <c r="N7" s="3">
        <f t="shared" ref="N7:N14" si="1">M7</f>
        <v>2</v>
      </c>
      <c r="O7" s="3">
        <v>0</v>
      </c>
      <c r="Q7" s="3">
        <f>Q6+1</f>
        <v>2</v>
      </c>
      <c r="R7" s="3">
        <v>2</v>
      </c>
      <c r="S7" s="3">
        <v>0</v>
      </c>
      <c r="U7" s="3">
        <f>U6+1</f>
        <v>2</v>
      </c>
      <c r="V7" s="3">
        <v>2</v>
      </c>
      <c r="W7" s="3">
        <v>0</v>
      </c>
      <c r="Y7" s="3">
        <f>Y6+1</f>
        <v>2</v>
      </c>
      <c r="Z7" s="3">
        <v>2</v>
      </c>
      <c r="AA7" s="3">
        <v>0</v>
      </c>
      <c r="AC7" s="3">
        <f>AC6+1</f>
        <v>2</v>
      </c>
      <c r="AD7" s="3">
        <v>2</v>
      </c>
      <c r="AE7" s="3">
        <v>1</v>
      </c>
      <c r="AG7" s="3">
        <f>AG6+1</f>
        <v>2</v>
      </c>
      <c r="AH7" s="3">
        <v>2</v>
      </c>
      <c r="AI7" s="3">
        <v>1</v>
      </c>
      <c r="AK7" s="3">
        <f>AK6+1</f>
        <v>2</v>
      </c>
      <c r="AL7" s="3">
        <v>2</v>
      </c>
      <c r="AM7" s="3">
        <v>1</v>
      </c>
      <c r="AO7" s="3">
        <f>AO6+1</f>
        <v>2</v>
      </c>
      <c r="AP7" s="3">
        <v>2</v>
      </c>
      <c r="AQ7" s="3">
        <v>1</v>
      </c>
      <c r="AS7" s="3">
        <f>AS6+1</f>
        <v>2</v>
      </c>
      <c r="AT7" s="3">
        <v>8</v>
      </c>
      <c r="AU7" s="3">
        <v>1</v>
      </c>
      <c r="AW7" s="3">
        <f>AW6+1</f>
        <v>2</v>
      </c>
      <c r="AX7" s="3">
        <v>8</v>
      </c>
      <c r="AY7" s="3">
        <v>1</v>
      </c>
      <c r="BA7" s="3">
        <f>BA6+1</f>
        <v>2</v>
      </c>
      <c r="BB7" s="3">
        <v>8</v>
      </c>
      <c r="BC7" s="3">
        <v>1</v>
      </c>
      <c r="BE7" s="3">
        <f>BE6+1</f>
        <v>2</v>
      </c>
      <c r="BF7" s="3">
        <v>8</v>
      </c>
      <c r="BG7" s="3">
        <v>1</v>
      </c>
      <c r="BI7" s="3">
        <f>BI6+1</f>
        <v>2</v>
      </c>
      <c r="BJ7" s="3">
        <v>8</v>
      </c>
      <c r="BK7" s="3">
        <v>1</v>
      </c>
      <c r="BM7" s="3">
        <f>BM6+1</f>
        <v>2</v>
      </c>
      <c r="BN7" s="3">
        <v>8</v>
      </c>
      <c r="BO7" s="3">
        <v>1</v>
      </c>
      <c r="BQ7" s="3"/>
      <c r="BR7" s="3"/>
      <c r="BS7" s="3"/>
    </row>
    <row r="8" spans="1:71" x14ac:dyDescent="0.35">
      <c r="A8">
        <v>3</v>
      </c>
      <c r="B8">
        <v>4</v>
      </c>
      <c r="C8">
        <v>7</v>
      </c>
      <c r="I8" s="3">
        <f t="shared" ref="I8:I14" si="2">I7+1</f>
        <v>3</v>
      </c>
      <c r="J8" s="3">
        <f t="shared" si="0"/>
        <v>3</v>
      </c>
      <c r="K8" s="3">
        <v>0</v>
      </c>
      <c r="M8" s="3">
        <f t="shared" ref="M8:M14" si="3">M7+1</f>
        <v>3</v>
      </c>
      <c r="N8" s="3">
        <f t="shared" si="1"/>
        <v>3</v>
      </c>
      <c r="O8" s="3">
        <v>0</v>
      </c>
      <c r="Q8" s="3">
        <f t="shared" ref="Q8:Q14" si="4">Q7+1</f>
        <v>3</v>
      </c>
      <c r="R8" s="3">
        <v>9</v>
      </c>
      <c r="S8" s="3">
        <v>0</v>
      </c>
      <c r="U8" s="3">
        <f t="shared" ref="U8:U14" si="5">U7+1</f>
        <v>3</v>
      </c>
      <c r="V8" s="3">
        <v>9</v>
      </c>
      <c r="W8" s="3">
        <v>0</v>
      </c>
      <c r="Y8" s="3">
        <f t="shared" ref="Y8:Y14" si="6">Y7+1</f>
        <v>3</v>
      </c>
      <c r="Z8" s="3">
        <v>9</v>
      </c>
      <c r="AA8" s="3">
        <v>0</v>
      </c>
      <c r="AC8" s="3">
        <f t="shared" ref="AC8:AC14" si="7">AC7+1</f>
        <v>3</v>
      </c>
      <c r="AD8" s="3">
        <v>9</v>
      </c>
      <c r="AE8" s="3">
        <v>0</v>
      </c>
      <c r="AG8" s="3">
        <f t="shared" ref="AG8:AG14" si="8">AG7+1</f>
        <v>3</v>
      </c>
      <c r="AH8" s="3">
        <v>9</v>
      </c>
      <c r="AI8" s="3">
        <v>0</v>
      </c>
      <c r="AK8" s="3">
        <f t="shared" ref="AK8:AK14" si="9">AK7+1</f>
        <v>3</v>
      </c>
      <c r="AL8" s="3">
        <v>9</v>
      </c>
      <c r="AM8" s="3">
        <v>0</v>
      </c>
      <c r="AO8" s="3">
        <f t="shared" ref="AO8:AO14" si="10">AO7+1</f>
        <v>3</v>
      </c>
      <c r="AP8" s="3">
        <v>8</v>
      </c>
      <c r="AQ8" s="3">
        <v>0</v>
      </c>
      <c r="AS8" s="3">
        <f t="shared" ref="AS8:AS14" si="11">AS7+1</f>
        <v>3</v>
      </c>
      <c r="AT8" s="3">
        <v>8</v>
      </c>
      <c r="AU8" s="3">
        <v>0</v>
      </c>
      <c r="AW8" s="3">
        <f t="shared" ref="AW8:AW14" si="12">AW7+1</f>
        <v>3</v>
      </c>
      <c r="AX8" s="3">
        <v>8</v>
      </c>
      <c r="AY8" s="3">
        <v>0</v>
      </c>
      <c r="BA8" s="3">
        <f t="shared" ref="BA8:BA14" si="13">BA7+1</f>
        <v>3</v>
      </c>
      <c r="BB8" s="3">
        <v>8</v>
      </c>
      <c r="BC8" s="3">
        <v>0</v>
      </c>
      <c r="BE8" s="3">
        <f t="shared" ref="BE8:BE14" si="14">BE7+1</f>
        <v>3</v>
      </c>
      <c r="BF8" s="3">
        <v>8</v>
      </c>
      <c r="BG8" s="3">
        <v>0</v>
      </c>
      <c r="BI8" s="3">
        <f t="shared" ref="BI8:BI14" si="15">BI7+1</f>
        <v>3</v>
      </c>
      <c r="BJ8" s="3">
        <v>8</v>
      </c>
      <c r="BK8" s="3">
        <v>0</v>
      </c>
      <c r="BM8" s="3">
        <f t="shared" ref="BM8:BM14" si="16">BM7+1</f>
        <v>3</v>
      </c>
      <c r="BN8" s="3">
        <v>8</v>
      </c>
      <c r="BO8" s="3">
        <v>0</v>
      </c>
      <c r="BQ8" s="3"/>
      <c r="BR8" s="3"/>
      <c r="BS8" s="3"/>
    </row>
    <row r="9" spans="1:71" x14ac:dyDescent="0.35">
      <c r="A9">
        <v>3</v>
      </c>
      <c r="B9">
        <v>6</v>
      </c>
      <c r="C9">
        <v>4</v>
      </c>
      <c r="I9" s="3">
        <f t="shared" si="2"/>
        <v>4</v>
      </c>
      <c r="J9" s="3">
        <f t="shared" si="0"/>
        <v>4</v>
      </c>
      <c r="K9" s="3">
        <v>0</v>
      </c>
      <c r="M9" s="3">
        <f t="shared" si="3"/>
        <v>4</v>
      </c>
      <c r="N9" s="3">
        <f t="shared" si="1"/>
        <v>4</v>
      </c>
      <c r="O9" s="3">
        <v>0</v>
      </c>
      <c r="Q9" s="3">
        <f t="shared" si="4"/>
        <v>4</v>
      </c>
      <c r="R9" s="3">
        <f t="shared" ref="R9:R14" si="17">Q9</f>
        <v>4</v>
      </c>
      <c r="S9" s="3">
        <v>0</v>
      </c>
      <c r="U9" s="3">
        <f t="shared" si="5"/>
        <v>4</v>
      </c>
      <c r="V9" s="3">
        <f t="shared" ref="V9:V14" si="18">U9</f>
        <v>4</v>
      </c>
      <c r="W9" s="3">
        <v>0</v>
      </c>
      <c r="Y9" s="3">
        <f t="shared" si="6"/>
        <v>4</v>
      </c>
      <c r="Z9" s="3">
        <f t="shared" ref="Z9:Z13" si="19">Y9</f>
        <v>4</v>
      </c>
      <c r="AA9" s="3">
        <v>0</v>
      </c>
      <c r="AC9" s="3">
        <f t="shared" si="7"/>
        <v>4</v>
      </c>
      <c r="AD9" s="3">
        <f t="shared" ref="AD9:AD13" si="20">AC9</f>
        <v>4</v>
      </c>
      <c r="AE9" s="3">
        <v>0</v>
      </c>
      <c r="AG9" s="3">
        <f t="shared" si="8"/>
        <v>4</v>
      </c>
      <c r="AH9" s="3">
        <f t="shared" ref="AH9:AH13" si="21">AG9</f>
        <v>4</v>
      </c>
      <c r="AI9" s="3">
        <v>0</v>
      </c>
      <c r="AK9" s="3">
        <f t="shared" si="9"/>
        <v>4</v>
      </c>
      <c r="AL9" s="3">
        <f t="shared" ref="AL9:AL13" si="22">AK9</f>
        <v>4</v>
      </c>
      <c r="AM9" s="3">
        <v>0</v>
      </c>
      <c r="AO9" s="3">
        <f t="shared" si="10"/>
        <v>4</v>
      </c>
      <c r="AP9" s="3">
        <v>8</v>
      </c>
      <c r="AQ9" s="3">
        <v>0</v>
      </c>
      <c r="AS9" s="3">
        <f t="shared" si="11"/>
        <v>4</v>
      </c>
      <c r="AT9" s="3">
        <v>8</v>
      </c>
      <c r="AU9" s="3">
        <v>0</v>
      </c>
      <c r="AW9" s="3">
        <f t="shared" si="12"/>
        <v>4</v>
      </c>
      <c r="AX9" s="3">
        <v>8</v>
      </c>
      <c r="AY9" s="3">
        <v>0</v>
      </c>
      <c r="BA9" s="3">
        <f t="shared" si="13"/>
        <v>4</v>
      </c>
      <c r="BB9" s="3">
        <v>8</v>
      </c>
      <c r="BC9" s="3">
        <v>0</v>
      </c>
      <c r="BE9" s="3">
        <f t="shared" si="14"/>
        <v>4</v>
      </c>
      <c r="BF9" s="3">
        <v>8</v>
      </c>
      <c r="BG9" s="3">
        <v>0</v>
      </c>
      <c r="BI9" s="3">
        <f t="shared" si="15"/>
        <v>4</v>
      </c>
      <c r="BJ9" s="3">
        <v>8</v>
      </c>
      <c r="BK9" s="3">
        <v>0</v>
      </c>
      <c r="BM9" s="3">
        <f t="shared" si="16"/>
        <v>4</v>
      </c>
      <c r="BN9" s="3">
        <v>8</v>
      </c>
      <c r="BO9" s="3">
        <v>0</v>
      </c>
      <c r="BQ9" s="3"/>
      <c r="BR9" s="3"/>
      <c r="BS9" s="3"/>
    </row>
    <row r="10" spans="1:71" x14ac:dyDescent="0.35">
      <c r="A10">
        <v>3</v>
      </c>
      <c r="B10">
        <v>9</v>
      </c>
      <c r="C10">
        <v>2</v>
      </c>
      <c r="I10" s="3">
        <f t="shared" si="2"/>
        <v>5</v>
      </c>
      <c r="J10" s="3">
        <f t="shared" si="0"/>
        <v>5</v>
      </c>
      <c r="K10" s="3">
        <v>0</v>
      </c>
      <c r="M10" s="3">
        <f t="shared" si="3"/>
        <v>5</v>
      </c>
      <c r="N10" s="3">
        <f t="shared" si="1"/>
        <v>5</v>
      </c>
      <c r="O10" s="3">
        <v>0</v>
      </c>
      <c r="Q10" s="3">
        <f t="shared" si="4"/>
        <v>5</v>
      </c>
      <c r="R10" s="3">
        <f t="shared" si="17"/>
        <v>5</v>
      </c>
      <c r="S10" s="3">
        <v>0</v>
      </c>
      <c r="U10" s="3">
        <f t="shared" si="5"/>
        <v>5</v>
      </c>
      <c r="V10" s="3">
        <f t="shared" si="18"/>
        <v>5</v>
      </c>
      <c r="W10" s="3">
        <v>0</v>
      </c>
      <c r="Y10" s="3">
        <f t="shared" si="6"/>
        <v>5</v>
      </c>
      <c r="Z10" s="3">
        <f t="shared" si="19"/>
        <v>5</v>
      </c>
      <c r="AA10" s="3">
        <v>0</v>
      </c>
      <c r="AC10" s="3">
        <f t="shared" si="7"/>
        <v>5</v>
      </c>
      <c r="AD10" s="3">
        <f t="shared" si="20"/>
        <v>5</v>
      </c>
      <c r="AE10" s="3">
        <v>0</v>
      </c>
      <c r="AG10" s="3">
        <f t="shared" si="8"/>
        <v>5</v>
      </c>
      <c r="AH10" s="3">
        <f t="shared" si="21"/>
        <v>5</v>
      </c>
      <c r="AI10" s="3">
        <v>0</v>
      </c>
      <c r="AK10" s="3">
        <f t="shared" si="9"/>
        <v>5</v>
      </c>
      <c r="AL10" s="3">
        <f t="shared" si="22"/>
        <v>5</v>
      </c>
      <c r="AM10" s="3">
        <v>0</v>
      </c>
      <c r="AO10" s="3">
        <f t="shared" si="10"/>
        <v>5</v>
      </c>
      <c r="AP10" s="3">
        <f t="shared" ref="AP10:AP13" si="23">AO10</f>
        <v>5</v>
      </c>
      <c r="AQ10" s="3">
        <v>0</v>
      </c>
      <c r="AS10" s="3">
        <f t="shared" si="11"/>
        <v>5</v>
      </c>
      <c r="AT10" s="3">
        <f t="shared" ref="AT10:AT13" si="24">AS10</f>
        <v>5</v>
      </c>
      <c r="AU10" s="3">
        <v>0</v>
      </c>
      <c r="AW10" s="3">
        <f t="shared" si="12"/>
        <v>5</v>
      </c>
      <c r="AX10" s="3">
        <f t="shared" ref="AX10:AX13" si="25">AW10</f>
        <v>5</v>
      </c>
      <c r="AY10" s="3">
        <v>0</v>
      </c>
      <c r="BA10" s="3">
        <f t="shared" si="13"/>
        <v>5</v>
      </c>
      <c r="BB10" s="3">
        <v>8</v>
      </c>
      <c r="BC10" s="3">
        <v>0</v>
      </c>
      <c r="BE10" s="3">
        <f t="shared" si="14"/>
        <v>5</v>
      </c>
      <c r="BF10" s="3">
        <v>8</v>
      </c>
      <c r="BG10" s="3">
        <v>0</v>
      </c>
      <c r="BI10" s="3">
        <f t="shared" si="15"/>
        <v>5</v>
      </c>
      <c r="BJ10" s="3">
        <v>8</v>
      </c>
      <c r="BK10" s="3">
        <v>0</v>
      </c>
      <c r="BM10" s="3">
        <f t="shared" si="16"/>
        <v>5</v>
      </c>
      <c r="BN10" s="3">
        <v>8</v>
      </c>
      <c r="BO10" s="3">
        <v>0</v>
      </c>
      <c r="BQ10" s="3"/>
      <c r="BR10" s="3"/>
      <c r="BS10" s="3"/>
    </row>
    <row r="11" spans="1:71" x14ac:dyDescent="0.35">
      <c r="A11">
        <v>4</v>
      </c>
      <c r="B11">
        <v>5</v>
      </c>
      <c r="C11">
        <v>9</v>
      </c>
      <c r="I11" s="3">
        <f t="shared" si="2"/>
        <v>6</v>
      </c>
      <c r="J11" s="3">
        <f t="shared" si="0"/>
        <v>6</v>
      </c>
      <c r="K11" s="3">
        <v>0</v>
      </c>
      <c r="M11" s="3">
        <f t="shared" si="3"/>
        <v>6</v>
      </c>
      <c r="N11" s="3">
        <f t="shared" si="1"/>
        <v>6</v>
      </c>
      <c r="O11" s="3">
        <v>0</v>
      </c>
      <c r="Q11" s="3">
        <f t="shared" si="4"/>
        <v>6</v>
      </c>
      <c r="R11" s="3">
        <f t="shared" si="17"/>
        <v>6</v>
      </c>
      <c r="S11" s="3">
        <v>0</v>
      </c>
      <c r="U11" s="3">
        <f t="shared" si="5"/>
        <v>6</v>
      </c>
      <c r="V11" s="3">
        <v>8</v>
      </c>
      <c r="W11" s="3">
        <v>0</v>
      </c>
      <c r="Y11" s="3">
        <f t="shared" si="6"/>
        <v>6</v>
      </c>
      <c r="Z11" s="3">
        <v>8</v>
      </c>
      <c r="AA11" s="3">
        <v>0</v>
      </c>
      <c r="AC11" s="3">
        <f t="shared" si="7"/>
        <v>6</v>
      </c>
      <c r="AD11" s="3">
        <v>8</v>
      </c>
      <c r="AE11" s="3">
        <v>0</v>
      </c>
      <c r="AG11" s="3">
        <f t="shared" si="8"/>
        <v>6</v>
      </c>
      <c r="AH11" s="3">
        <v>8</v>
      </c>
      <c r="AI11" s="3">
        <v>0</v>
      </c>
      <c r="AK11" s="3">
        <f t="shared" si="9"/>
        <v>6</v>
      </c>
      <c r="AL11" s="3">
        <v>8</v>
      </c>
      <c r="AM11" s="3">
        <v>0</v>
      </c>
      <c r="AO11" s="3">
        <f t="shared" si="10"/>
        <v>6</v>
      </c>
      <c r="AP11" s="3">
        <v>8</v>
      </c>
      <c r="AQ11" s="3">
        <v>0</v>
      </c>
      <c r="AS11" s="3">
        <f t="shared" si="11"/>
        <v>6</v>
      </c>
      <c r="AT11" s="3">
        <v>8</v>
      </c>
      <c r="AU11" s="3">
        <v>0</v>
      </c>
      <c r="AW11" s="3">
        <f t="shared" si="12"/>
        <v>6</v>
      </c>
      <c r="AX11" s="3">
        <v>8</v>
      </c>
      <c r="AY11" s="3">
        <v>0</v>
      </c>
      <c r="BA11" s="3">
        <f t="shared" si="13"/>
        <v>6</v>
      </c>
      <c r="BB11" s="3">
        <v>8</v>
      </c>
      <c r="BC11" s="3">
        <v>0</v>
      </c>
      <c r="BE11" s="3">
        <f t="shared" si="14"/>
        <v>6</v>
      </c>
      <c r="BF11" s="3">
        <v>8</v>
      </c>
      <c r="BG11" s="3">
        <v>0</v>
      </c>
      <c r="BI11" s="3">
        <f t="shared" si="15"/>
        <v>6</v>
      </c>
      <c r="BJ11" s="3">
        <v>8</v>
      </c>
      <c r="BK11" s="3">
        <v>0</v>
      </c>
      <c r="BM11" s="3">
        <f t="shared" si="16"/>
        <v>6</v>
      </c>
      <c r="BN11" s="3">
        <v>8</v>
      </c>
      <c r="BO11" s="3">
        <v>0</v>
      </c>
      <c r="BQ11" s="3"/>
      <c r="BR11" s="3"/>
      <c r="BS11" s="3"/>
    </row>
    <row r="12" spans="1:71" x14ac:dyDescent="0.35">
      <c r="A12">
        <v>4</v>
      </c>
      <c r="B12">
        <v>6</v>
      </c>
      <c r="C12">
        <v>14</v>
      </c>
      <c r="I12" s="3">
        <f t="shared" si="2"/>
        <v>7</v>
      </c>
      <c r="J12" s="3">
        <f t="shared" si="0"/>
        <v>7</v>
      </c>
      <c r="K12" s="3">
        <v>0</v>
      </c>
      <c r="M12" s="3">
        <f t="shared" si="3"/>
        <v>7</v>
      </c>
      <c r="N12" s="3">
        <v>8</v>
      </c>
      <c r="O12" s="3">
        <v>0</v>
      </c>
      <c r="Q12" s="3">
        <f t="shared" si="4"/>
        <v>7</v>
      </c>
      <c r="R12" s="3">
        <v>8</v>
      </c>
      <c r="S12" s="3">
        <v>0</v>
      </c>
      <c r="U12" s="3">
        <f t="shared" si="5"/>
        <v>7</v>
      </c>
      <c r="V12" s="3">
        <v>8</v>
      </c>
      <c r="W12" s="3">
        <v>0</v>
      </c>
      <c r="Y12" s="3">
        <f t="shared" si="6"/>
        <v>7</v>
      </c>
      <c r="Z12" s="3">
        <v>8</v>
      </c>
      <c r="AA12" s="3">
        <v>0</v>
      </c>
      <c r="AC12" s="3">
        <f t="shared" si="7"/>
        <v>7</v>
      </c>
      <c r="AD12" s="3">
        <v>8</v>
      </c>
      <c r="AE12" s="3">
        <v>0</v>
      </c>
      <c r="AG12" s="3">
        <f t="shared" si="8"/>
        <v>7</v>
      </c>
      <c r="AH12" s="3">
        <v>8</v>
      </c>
      <c r="AI12" s="3">
        <v>0</v>
      </c>
      <c r="AK12" s="3">
        <f t="shared" si="9"/>
        <v>7</v>
      </c>
      <c r="AL12" s="3">
        <v>8</v>
      </c>
      <c r="AM12" s="3">
        <v>0</v>
      </c>
      <c r="AO12" s="3">
        <f t="shared" si="10"/>
        <v>7</v>
      </c>
      <c r="AP12" s="3">
        <v>8</v>
      </c>
      <c r="AQ12" s="3">
        <v>0</v>
      </c>
      <c r="AS12" s="3">
        <f t="shared" si="11"/>
        <v>7</v>
      </c>
      <c r="AT12" s="3">
        <v>8</v>
      </c>
      <c r="AU12" s="3">
        <v>0</v>
      </c>
      <c r="AW12" s="3">
        <f t="shared" si="12"/>
        <v>7</v>
      </c>
      <c r="AX12" s="3">
        <v>8</v>
      </c>
      <c r="AY12" s="3">
        <v>0</v>
      </c>
      <c r="BA12" s="3">
        <f t="shared" si="13"/>
        <v>7</v>
      </c>
      <c r="BB12" s="3">
        <v>8</v>
      </c>
      <c r="BC12" s="3">
        <v>0</v>
      </c>
      <c r="BE12" s="3">
        <f t="shared" si="14"/>
        <v>7</v>
      </c>
      <c r="BF12" s="3">
        <v>8</v>
      </c>
      <c r="BG12" s="3">
        <v>0</v>
      </c>
      <c r="BI12" s="3">
        <f t="shared" si="15"/>
        <v>7</v>
      </c>
      <c r="BJ12" s="3">
        <v>8</v>
      </c>
      <c r="BK12" s="3">
        <v>0</v>
      </c>
      <c r="BM12" s="3">
        <f t="shared" si="16"/>
        <v>7</v>
      </c>
      <c r="BN12" s="3">
        <v>8</v>
      </c>
      <c r="BO12" s="3">
        <v>0</v>
      </c>
      <c r="BQ12" s="3"/>
      <c r="BR12" s="3"/>
      <c r="BS12" s="3"/>
    </row>
    <row r="13" spans="1:71" x14ac:dyDescent="0.35">
      <c r="A13">
        <v>5</v>
      </c>
      <c r="B13">
        <v>6</v>
      </c>
      <c r="C13">
        <v>10</v>
      </c>
      <c r="I13" s="3">
        <f t="shared" si="2"/>
        <v>8</v>
      </c>
      <c r="J13" s="3">
        <f t="shared" si="0"/>
        <v>8</v>
      </c>
      <c r="K13" s="3">
        <v>0</v>
      </c>
      <c r="M13" s="3">
        <f t="shared" si="3"/>
        <v>8</v>
      </c>
      <c r="N13" s="3">
        <f t="shared" si="1"/>
        <v>8</v>
      </c>
      <c r="O13" s="3">
        <v>1</v>
      </c>
      <c r="Q13" s="3">
        <f t="shared" si="4"/>
        <v>8</v>
      </c>
      <c r="R13" s="3">
        <f t="shared" si="17"/>
        <v>8</v>
      </c>
      <c r="S13" s="3">
        <v>1</v>
      </c>
      <c r="U13" s="3">
        <f t="shared" si="5"/>
        <v>8</v>
      </c>
      <c r="V13" s="3">
        <f t="shared" si="18"/>
        <v>8</v>
      </c>
      <c r="W13" s="3">
        <v>1</v>
      </c>
      <c r="Y13" s="3">
        <f t="shared" si="6"/>
        <v>8</v>
      </c>
      <c r="Z13" s="3">
        <f t="shared" si="19"/>
        <v>8</v>
      </c>
      <c r="AA13" s="3">
        <v>2</v>
      </c>
      <c r="AC13" s="3">
        <f t="shared" si="7"/>
        <v>8</v>
      </c>
      <c r="AD13" s="3">
        <f t="shared" si="20"/>
        <v>8</v>
      </c>
      <c r="AE13" s="3">
        <v>2</v>
      </c>
      <c r="AG13" s="3">
        <f t="shared" si="8"/>
        <v>8</v>
      </c>
      <c r="AH13" s="3">
        <f t="shared" si="21"/>
        <v>8</v>
      </c>
      <c r="AI13" s="3">
        <v>2</v>
      </c>
      <c r="AK13" s="3">
        <f t="shared" si="9"/>
        <v>8</v>
      </c>
      <c r="AL13" s="3">
        <f t="shared" si="22"/>
        <v>8</v>
      </c>
      <c r="AM13" s="3">
        <v>2</v>
      </c>
      <c r="AO13" s="3">
        <f t="shared" si="10"/>
        <v>8</v>
      </c>
      <c r="AP13" s="3">
        <f t="shared" si="23"/>
        <v>8</v>
      </c>
      <c r="AQ13" s="3">
        <v>2</v>
      </c>
      <c r="AS13" s="3">
        <f t="shared" si="11"/>
        <v>8</v>
      </c>
      <c r="AT13" s="3">
        <f t="shared" si="24"/>
        <v>8</v>
      </c>
      <c r="AU13" s="3">
        <v>2</v>
      </c>
      <c r="AW13" s="3">
        <f t="shared" si="12"/>
        <v>8</v>
      </c>
      <c r="AX13" s="3">
        <f t="shared" si="25"/>
        <v>8</v>
      </c>
      <c r="AY13" s="3">
        <v>2</v>
      </c>
      <c r="BA13" s="3">
        <f t="shared" si="13"/>
        <v>8</v>
      </c>
      <c r="BB13" s="3">
        <f t="shared" ref="BB13" si="26">BA13</f>
        <v>8</v>
      </c>
      <c r="BC13" s="3">
        <v>2</v>
      </c>
      <c r="BE13" s="3">
        <f t="shared" si="14"/>
        <v>8</v>
      </c>
      <c r="BF13" s="3">
        <f t="shared" ref="BF13" si="27">BE13</f>
        <v>8</v>
      </c>
      <c r="BG13" s="3">
        <v>2</v>
      </c>
      <c r="BI13" s="3">
        <f t="shared" si="15"/>
        <v>8</v>
      </c>
      <c r="BJ13" s="3">
        <f t="shared" ref="BJ13" si="28">BI13</f>
        <v>8</v>
      </c>
      <c r="BK13" s="3">
        <v>2</v>
      </c>
      <c r="BM13" s="3">
        <f t="shared" si="16"/>
        <v>8</v>
      </c>
      <c r="BN13" s="3">
        <f t="shared" ref="BN13" si="29">BM13</f>
        <v>8</v>
      </c>
      <c r="BO13" s="3">
        <v>2</v>
      </c>
      <c r="BQ13" s="92"/>
      <c r="BR13" s="92"/>
      <c r="BS13" s="92"/>
    </row>
    <row r="14" spans="1:71" x14ac:dyDescent="0.35">
      <c r="A14">
        <v>6</v>
      </c>
      <c r="B14">
        <v>7</v>
      </c>
      <c r="C14">
        <v>2</v>
      </c>
      <c r="I14" s="92">
        <f t="shared" si="2"/>
        <v>9</v>
      </c>
      <c r="J14" s="92">
        <f t="shared" si="0"/>
        <v>9</v>
      </c>
      <c r="K14" s="92">
        <v>0</v>
      </c>
      <c r="M14" s="92">
        <f t="shared" si="3"/>
        <v>9</v>
      </c>
      <c r="N14" s="92">
        <f t="shared" si="1"/>
        <v>9</v>
      </c>
      <c r="O14" s="92">
        <v>0</v>
      </c>
      <c r="Q14" s="92">
        <f t="shared" si="4"/>
        <v>9</v>
      </c>
      <c r="R14" s="92">
        <f t="shared" si="17"/>
        <v>9</v>
      </c>
      <c r="S14" s="92">
        <v>1</v>
      </c>
      <c r="U14" s="92">
        <f t="shared" si="5"/>
        <v>9</v>
      </c>
      <c r="V14" s="92">
        <f t="shared" si="18"/>
        <v>9</v>
      </c>
      <c r="W14" s="92">
        <v>1</v>
      </c>
      <c r="Y14" s="92">
        <f t="shared" si="6"/>
        <v>9</v>
      </c>
      <c r="Z14" s="92">
        <v>8</v>
      </c>
      <c r="AA14" s="92">
        <v>1</v>
      </c>
      <c r="AC14" s="92">
        <f t="shared" si="7"/>
        <v>9</v>
      </c>
      <c r="AD14" s="92">
        <v>8</v>
      </c>
      <c r="AE14" s="92">
        <v>1</v>
      </c>
      <c r="AG14" s="92">
        <f t="shared" si="8"/>
        <v>9</v>
      </c>
      <c r="AH14" s="92">
        <v>8</v>
      </c>
      <c r="AI14" s="92">
        <v>1</v>
      </c>
      <c r="AK14" s="92">
        <f t="shared" si="9"/>
        <v>9</v>
      </c>
      <c r="AL14" s="92">
        <v>8</v>
      </c>
      <c r="AM14" s="92">
        <v>1</v>
      </c>
      <c r="AO14" s="92">
        <f t="shared" si="10"/>
        <v>9</v>
      </c>
      <c r="AP14" s="92">
        <v>8</v>
      </c>
      <c r="AQ14" s="92">
        <v>1</v>
      </c>
      <c r="AS14" s="92">
        <f t="shared" si="11"/>
        <v>9</v>
      </c>
      <c r="AT14" s="92">
        <v>8</v>
      </c>
      <c r="AU14" s="92">
        <v>1</v>
      </c>
      <c r="AW14" s="92">
        <f t="shared" si="12"/>
        <v>9</v>
      </c>
      <c r="AX14" s="92">
        <v>8</v>
      </c>
      <c r="AY14" s="92">
        <v>1</v>
      </c>
      <c r="BA14" s="92">
        <f t="shared" si="13"/>
        <v>9</v>
      </c>
      <c r="BB14" s="92">
        <v>8</v>
      </c>
      <c r="BC14" s="92">
        <v>1</v>
      </c>
      <c r="BE14" s="92">
        <f t="shared" si="14"/>
        <v>9</v>
      </c>
      <c r="BF14" s="92">
        <v>8</v>
      </c>
      <c r="BG14" s="92">
        <v>1</v>
      </c>
      <c r="BI14" s="92">
        <f t="shared" si="15"/>
        <v>9</v>
      </c>
      <c r="BJ14" s="92">
        <v>8</v>
      </c>
      <c r="BK14" s="92">
        <v>1</v>
      </c>
      <c r="BM14" s="92">
        <f t="shared" si="16"/>
        <v>9</v>
      </c>
      <c r="BN14" s="92">
        <v>8</v>
      </c>
      <c r="BO14" s="92">
        <v>1</v>
      </c>
    </row>
    <row r="15" spans="1:71" x14ac:dyDescent="0.35">
      <c r="A15">
        <v>7</v>
      </c>
      <c r="B15">
        <v>8</v>
      </c>
      <c r="C15">
        <v>1</v>
      </c>
    </row>
    <row r="16" spans="1:71" x14ac:dyDescent="0.35">
      <c r="A16">
        <v>7</v>
      </c>
      <c r="B16">
        <v>9</v>
      </c>
      <c r="C16">
        <v>6</v>
      </c>
    </row>
    <row r="17" spans="1:11" x14ac:dyDescent="0.35">
      <c r="A17" s="28">
        <v>8</v>
      </c>
      <c r="B17" s="28">
        <v>9</v>
      </c>
      <c r="C17" s="28">
        <v>7</v>
      </c>
      <c r="E17" s="28"/>
      <c r="F17" s="28"/>
      <c r="G17" s="28"/>
      <c r="I17" s="106"/>
      <c r="J17" s="106"/>
      <c r="K17" s="106"/>
    </row>
    <row r="26" spans="1:11" x14ac:dyDescent="0.35">
      <c r="I26" s="106">
        <v>7</v>
      </c>
      <c r="J26" s="106">
        <v>9</v>
      </c>
      <c r="K26" s="10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6A58-B243-41EE-967B-1A3204133E7A}">
  <sheetPr codeName="Sheet21"/>
  <dimension ref="A1:BG23"/>
  <sheetViews>
    <sheetView workbookViewId="0"/>
  </sheetViews>
  <sheetFormatPr defaultRowHeight="14.5" x14ac:dyDescent="0.35"/>
  <cols>
    <col min="1" max="3" width="7.26953125" customWidth="1"/>
    <col min="4" max="4" width="4.6328125" customWidth="1"/>
    <col min="5" max="7" width="7.26953125" customWidth="1"/>
    <col min="8" max="8" width="5.6328125" customWidth="1"/>
    <col min="9" max="11" width="7" customWidth="1"/>
    <col min="12" max="12" width="2.6328125" customWidth="1"/>
    <col min="13" max="15" width="7" customWidth="1"/>
    <col min="16" max="16" width="2.6328125" customWidth="1"/>
    <col min="17" max="19" width="7" customWidth="1"/>
    <col min="20" max="20" width="2.6328125" customWidth="1"/>
    <col min="21" max="23" width="7" customWidth="1"/>
    <col min="24" max="24" width="2.6328125" customWidth="1"/>
    <col min="25" max="27" width="7" customWidth="1"/>
    <col min="28" max="28" width="2.6328125" customWidth="1"/>
    <col min="29" max="31" width="7" customWidth="1"/>
    <col min="32" max="32" width="2.6328125" customWidth="1"/>
    <col min="33" max="35" width="7" customWidth="1"/>
    <col min="36" max="36" width="2.6328125" customWidth="1"/>
    <col min="37" max="39" width="7" customWidth="1"/>
    <col min="40" max="40" width="2.6328125" customWidth="1"/>
    <col min="41" max="43" width="7" customWidth="1"/>
    <col min="44" max="44" width="2.6328125" customWidth="1"/>
    <col min="45" max="47" width="7" customWidth="1"/>
    <col min="48" max="48" width="2.6328125" customWidth="1"/>
    <col min="49" max="51" width="7" customWidth="1"/>
    <col min="52" max="52" width="2.6328125" customWidth="1"/>
    <col min="53" max="55" width="7" customWidth="1"/>
    <col min="56" max="56" width="4.36328125" customWidth="1"/>
    <col min="57" max="59" width="6.6328125" customWidth="1"/>
    <col min="60" max="60" width="5.54296875" customWidth="1"/>
  </cols>
  <sheetData>
    <row r="1" spans="1:59" x14ac:dyDescent="0.35">
      <c r="A1" s="10" t="s">
        <v>232</v>
      </c>
    </row>
    <row r="3" spans="1:59" x14ac:dyDescent="0.35">
      <c r="A3" s="103" t="s">
        <v>210</v>
      </c>
      <c r="B3" s="103" t="s">
        <v>211</v>
      </c>
      <c r="C3" s="103" t="s">
        <v>212</v>
      </c>
      <c r="E3" s="103" t="s">
        <v>210</v>
      </c>
      <c r="F3" s="103" t="s">
        <v>211</v>
      </c>
      <c r="G3" s="103" t="s">
        <v>212</v>
      </c>
      <c r="I3" s="3" t="s">
        <v>213</v>
      </c>
      <c r="J3" s="3">
        <v>0</v>
      </c>
      <c r="M3" s="3" t="s">
        <v>213</v>
      </c>
      <c r="N3" s="3">
        <f>J3+1</f>
        <v>1</v>
      </c>
      <c r="O3" s="104" t="s">
        <v>233</v>
      </c>
      <c r="Q3" s="93" t="s">
        <v>213</v>
      </c>
      <c r="R3" s="93">
        <f>N3+1</f>
        <v>2</v>
      </c>
      <c r="S3" s="104" t="s">
        <v>234</v>
      </c>
      <c r="U3" s="93" t="s">
        <v>213</v>
      </c>
      <c r="V3" s="93">
        <f>R3+1</f>
        <v>3</v>
      </c>
      <c r="W3" s="104" t="s">
        <v>227</v>
      </c>
      <c r="Y3" s="93" t="s">
        <v>213</v>
      </c>
      <c r="Z3" s="93">
        <f>V3+1</f>
        <v>4</v>
      </c>
      <c r="AA3" s="104" t="s">
        <v>235</v>
      </c>
      <c r="AC3" s="93" t="s">
        <v>213</v>
      </c>
      <c r="AD3" s="93">
        <f>Z3+1</f>
        <v>5</v>
      </c>
      <c r="AE3" s="104" t="s">
        <v>218</v>
      </c>
      <c r="AG3" s="93" t="s">
        <v>213</v>
      </c>
      <c r="AH3" s="93">
        <f>AD3+1</f>
        <v>6</v>
      </c>
      <c r="AI3" s="105" t="s">
        <v>225</v>
      </c>
      <c r="AK3" s="93" t="s">
        <v>213</v>
      </c>
      <c r="AL3" s="93">
        <f>AH3+1</f>
        <v>7</v>
      </c>
      <c r="AM3" s="105" t="s">
        <v>223</v>
      </c>
      <c r="AO3" s="93" t="s">
        <v>213</v>
      </c>
      <c r="AP3" s="93">
        <f>AL3+1</f>
        <v>8</v>
      </c>
      <c r="AQ3" s="104" t="s">
        <v>236</v>
      </c>
      <c r="AS3" s="93" t="s">
        <v>213</v>
      </c>
      <c r="AT3" s="93">
        <f>AP3+1</f>
        <v>9</v>
      </c>
      <c r="AU3" s="105" t="s">
        <v>237</v>
      </c>
      <c r="AW3" s="93" t="s">
        <v>213</v>
      </c>
      <c r="AX3" s="93">
        <f>AT3+1</f>
        <v>10</v>
      </c>
      <c r="AY3" s="105" t="s">
        <v>216</v>
      </c>
      <c r="BA3" s="93" t="s">
        <v>213</v>
      </c>
      <c r="BB3" s="93">
        <f>AX3+1</f>
        <v>11</v>
      </c>
      <c r="BC3" s="105" t="s">
        <v>224</v>
      </c>
      <c r="BE3" t="s">
        <v>228</v>
      </c>
    </row>
    <row r="4" spans="1:59" x14ac:dyDescent="0.35">
      <c r="A4">
        <v>1</v>
      </c>
      <c r="B4">
        <v>2</v>
      </c>
      <c r="C4">
        <v>7</v>
      </c>
      <c r="E4" t="e" cm="1">
        <f t="array" aca="1" ref="E4" ca="1">QSORTRows(A4:C14,3)</f>
        <v>#NAME?</v>
      </c>
    </row>
    <row r="5" spans="1:59" x14ac:dyDescent="0.35">
      <c r="A5">
        <v>1</v>
      </c>
      <c r="B5">
        <v>4</v>
      </c>
      <c r="C5">
        <v>5</v>
      </c>
      <c r="I5" s="92" t="s">
        <v>229</v>
      </c>
      <c r="J5" s="92" t="s">
        <v>230</v>
      </c>
      <c r="K5" s="92" t="s">
        <v>231</v>
      </c>
      <c r="M5" s="92" t="s">
        <v>229</v>
      </c>
      <c r="N5" s="92" t="s">
        <v>230</v>
      </c>
      <c r="O5" s="92" t="s">
        <v>231</v>
      </c>
      <c r="Q5" s="92" t="s">
        <v>229</v>
      </c>
      <c r="R5" s="92" t="s">
        <v>230</v>
      </c>
      <c r="S5" s="92" t="s">
        <v>231</v>
      </c>
      <c r="U5" s="92" t="s">
        <v>229</v>
      </c>
      <c r="V5" s="92" t="s">
        <v>230</v>
      </c>
      <c r="W5" s="92" t="s">
        <v>231</v>
      </c>
      <c r="Y5" s="92" t="s">
        <v>229</v>
      </c>
      <c r="Z5" s="92" t="s">
        <v>230</v>
      </c>
      <c r="AA5" s="92" t="s">
        <v>231</v>
      </c>
      <c r="AC5" s="92" t="s">
        <v>229</v>
      </c>
      <c r="AD5" s="92" t="s">
        <v>230</v>
      </c>
      <c r="AE5" s="92" t="s">
        <v>231</v>
      </c>
      <c r="AG5" s="92" t="s">
        <v>229</v>
      </c>
      <c r="AH5" s="92" t="s">
        <v>230</v>
      </c>
      <c r="AI5" s="92" t="s">
        <v>231</v>
      </c>
      <c r="AK5" s="92" t="s">
        <v>229</v>
      </c>
      <c r="AL5" s="92" t="s">
        <v>230</v>
      </c>
      <c r="AM5" s="92" t="s">
        <v>231</v>
      </c>
      <c r="AO5" s="92" t="s">
        <v>229</v>
      </c>
      <c r="AP5" s="92" t="s">
        <v>230</v>
      </c>
      <c r="AQ5" s="92" t="s">
        <v>231</v>
      </c>
      <c r="AS5" s="92" t="s">
        <v>229</v>
      </c>
      <c r="AT5" s="92" t="s">
        <v>230</v>
      </c>
      <c r="AU5" s="92" t="s">
        <v>231</v>
      </c>
      <c r="AW5" s="92" t="s">
        <v>229</v>
      </c>
      <c r="AX5" s="92" t="s">
        <v>230</v>
      </c>
      <c r="AY5" s="92" t="s">
        <v>231</v>
      </c>
      <c r="BA5" s="92" t="s">
        <v>229</v>
      </c>
      <c r="BB5" s="92" t="s">
        <v>230</v>
      </c>
      <c r="BC5" s="92" t="s">
        <v>231</v>
      </c>
      <c r="BE5" s="3" t="s">
        <v>210</v>
      </c>
      <c r="BF5" s="3" t="s">
        <v>211</v>
      </c>
      <c r="BG5" s="3" t="s">
        <v>212</v>
      </c>
    </row>
    <row r="6" spans="1:59" x14ac:dyDescent="0.35">
      <c r="A6">
        <v>2</v>
      </c>
      <c r="B6">
        <v>4</v>
      </c>
      <c r="C6">
        <v>9</v>
      </c>
      <c r="I6" s="3">
        <v>1</v>
      </c>
      <c r="J6" s="3">
        <f>I6</f>
        <v>1</v>
      </c>
      <c r="K6" s="3">
        <v>0</v>
      </c>
      <c r="M6" s="3">
        <v>1</v>
      </c>
      <c r="N6" s="3">
        <v>4</v>
      </c>
      <c r="O6" s="3">
        <v>0</v>
      </c>
      <c r="Q6" s="3">
        <v>1</v>
      </c>
      <c r="R6" s="3">
        <v>4</v>
      </c>
      <c r="S6" s="3">
        <v>0</v>
      </c>
      <c r="U6" s="3">
        <v>1</v>
      </c>
      <c r="V6" s="3">
        <v>4</v>
      </c>
      <c r="W6" s="3">
        <v>0</v>
      </c>
      <c r="Y6" s="3">
        <v>1</v>
      </c>
      <c r="Z6" s="3">
        <v>4</v>
      </c>
      <c r="AA6" s="3">
        <v>0</v>
      </c>
      <c r="AC6" s="3">
        <v>1</v>
      </c>
      <c r="AD6" s="3">
        <v>4</v>
      </c>
      <c r="AE6" s="3">
        <v>0</v>
      </c>
      <c r="AG6" s="3">
        <v>1</v>
      </c>
      <c r="AH6" s="3">
        <v>4</v>
      </c>
      <c r="AI6" s="3">
        <v>0</v>
      </c>
      <c r="AK6" s="3">
        <v>1</v>
      </c>
      <c r="AL6" s="3">
        <v>4</v>
      </c>
      <c r="AM6" s="3">
        <v>0</v>
      </c>
      <c r="AO6" s="3">
        <v>1</v>
      </c>
      <c r="AP6" s="3">
        <v>4</v>
      </c>
      <c r="AQ6" s="3">
        <v>0</v>
      </c>
      <c r="AS6" s="3">
        <v>1</v>
      </c>
      <c r="AT6" s="3">
        <v>4</v>
      </c>
      <c r="AU6" s="3">
        <v>0</v>
      </c>
      <c r="AW6" s="3">
        <v>1</v>
      </c>
      <c r="AX6" s="3">
        <v>4</v>
      </c>
      <c r="AY6" s="3">
        <v>0</v>
      </c>
      <c r="BA6" s="3">
        <v>1</v>
      </c>
      <c r="BB6" s="3">
        <v>4</v>
      </c>
      <c r="BC6" s="3">
        <v>0</v>
      </c>
      <c r="BE6" s="97" t="e" cm="1">
        <f t="array" aca="1" ref="BE6" ca="1">MSTKruskal(A4:C14)</f>
        <v>#NAME?</v>
      </c>
      <c r="BF6" s="97"/>
      <c r="BG6" s="97"/>
    </row>
    <row r="7" spans="1:59" x14ac:dyDescent="0.35">
      <c r="A7">
        <v>2</v>
      </c>
      <c r="B7">
        <v>3</v>
      </c>
      <c r="C7">
        <v>8</v>
      </c>
      <c r="I7" s="3">
        <f>I6+1</f>
        <v>2</v>
      </c>
      <c r="J7" s="3">
        <f t="shared" ref="J7:J12" si="0">I7</f>
        <v>2</v>
      </c>
      <c r="K7" s="3">
        <v>0</v>
      </c>
      <c r="M7" s="3">
        <f>M6+1</f>
        <v>2</v>
      </c>
      <c r="N7" s="3">
        <f t="shared" ref="N7:N11" si="1">M7</f>
        <v>2</v>
      </c>
      <c r="O7" s="3">
        <v>0</v>
      </c>
      <c r="Q7" s="3">
        <f>Q6+1</f>
        <v>2</v>
      </c>
      <c r="R7" s="3">
        <f t="shared" ref="R7:R11" si="2">Q7</f>
        <v>2</v>
      </c>
      <c r="S7" s="3">
        <v>0</v>
      </c>
      <c r="U7" s="3">
        <f>U6+1</f>
        <v>2</v>
      </c>
      <c r="V7" s="3">
        <f t="shared" ref="V7:V10" si="3">U7</f>
        <v>2</v>
      </c>
      <c r="W7" s="3">
        <v>0</v>
      </c>
      <c r="Y7" s="3">
        <f>Y6+1</f>
        <v>2</v>
      </c>
      <c r="Z7" s="3">
        <v>5</v>
      </c>
      <c r="AA7" s="3">
        <v>0</v>
      </c>
      <c r="AC7" s="3">
        <f>AC6+1</f>
        <v>2</v>
      </c>
      <c r="AD7" s="3">
        <v>5</v>
      </c>
      <c r="AE7" s="3">
        <v>0</v>
      </c>
      <c r="AG7" s="3">
        <f>AG6+1</f>
        <v>2</v>
      </c>
      <c r="AH7" s="3">
        <v>5</v>
      </c>
      <c r="AI7" s="3">
        <v>0</v>
      </c>
      <c r="AK7" s="3">
        <f>AK6+1</f>
        <v>2</v>
      </c>
      <c r="AL7" s="3">
        <v>5</v>
      </c>
      <c r="AM7" s="3">
        <v>0</v>
      </c>
      <c r="AO7" s="3">
        <f>AO6+1</f>
        <v>2</v>
      </c>
      <c r="AP7" s="3">
        <v>5</v>
      </c>
      <c r="AQ7" s="3">
        <v>0</v>
      </c>
      <c r="AS7" s="3">
        <f>AS6+1</f>
        <v>2</v>
      </c>
      <c r="AT7" s="3">
        <v>5</v>
      </c>
      <c r="AU7" s="3">
        <v>0</v>
      </c>
      <c r="AW7" s="3">
        <f>AW6+1</f>
        <v>2</v>
      </c>
      <c r="AX7" s="3">
        <v>5</v>
      </c>
      <c r="AY7" s="3">
        <v>0</v>
      </c>
      <c r="BA7" s="3">
        <f>BA6+1</f>
        <v>2</v>
      </c>
      <c r="BB7" s="3">
        <v>5</v>
      </c>
      <c r="BC7" s="3">
        <v>0</v>
      </c>
      <c r="BE7" s="3"/>
      <c r="BF7" s="3"/>
      <c r="BG7" s="3"/>
    </row>
    <row r="8" spans="1:59" x14ac:dyDescent="0.35">
      <c r="A8">
        <v>2</v>
      </c>
      <c r="B8">
        <v>5</v>
      </c>
      <c r="C8">
        <v>7</v>
      </c>
      <c r="I8" s="3">
        <f t="shared" ref="I8:I12" si="4">I7+1</f>
        <v>3</v>
      </c>
      <c r="J8" s="3">
        <f t="shared" si="0"/>
        <v>3</v>
      </c>
      <c r="K8" s="3">
        <v>0</v>
      </c>
      <c r="M8" s="3">
        <f t="shared" ref="M8:M12" si="5">M7+1</f>
        <v>3</v>
      </c>
      <c r="N8" s="3">
        <f t="shared" si="1"/>
        <v>3</v>
      </c>
      <c r="O8" s="3">
        <v>0</v>
      </c>
      <c r="Q8" s="3">
        <f t="shared" ref="Q8:Q12" si="6">Q7+1</f>
        <v>3</v>
      </c>
      <c r="R8" s="3">
        <v>5</v>
      </c>
      <c r="S8" s="3">
        <v>0</v>
      </c>
      <c r="U8" s="3">
        <f t="shared" ref="U8:U12" si="7">U7+1</f>
        <v>3</v>
      </c>
      <c r="V8" s="3">
        <v>5</v>
      </c>
      <c r="W8" s="3">
        <v>0</v>
      </c>
      <c r="Y8" s="3">
        <f t="shared" ref="Y8:Y12" si="8">Y7+1</f>
        <v>3</v>
      </c>
      <c r="Z8" s="3">
        <v>5</v>
      </c>
      <c r="AA8" s="3">
        <v>0</v>
      </c>
      <c r="AC8" s="3">
        <f t="shared" ref="AC8:AC12" si="9">AC7+1</f>
        <v>3</v>
      </c>
      <c r="AD8" s="3">
        <v>5</v>
      </c>
      <c r="AE8" s="3">
        <v>0</v>
      </c>
      <c r="AG8" s="3">
        <f t="shared" ref="AG8:AG12" si="10">AG7+1</f>
        <v>3</v>
      </c>
      <c r="AH8" s="3">
        <v>5</v>
      </c>
      <c r="AI8" s="3">
        <v>0</v>
      </c>
      <c r="AK8" s="3">
        <f t="shared" ref="AK8:AK12" si="11">AK7+1</f>
        <v>3</v>
      </c>
      <c r="AL8" s="3">
        <v>5</v>
      </c>
      <c r="AM8" s="3">
        <v>0</v>
      </c>
      <c r="AO8" s="3">
        <f t="shared" ref="AO8:AO12" si="12">AO7+1</f>
        <v>3</v>
      </c>
      <c r="AP8" s="3">
        <v>5</v>
      </c>
      <c r="AQ8" s="3">
        <v>0</v>
      </c>
      <c r="AS8" s="3">
        <f t="shared" ref="AS8:AS12" si="13">AS7+1</f>
        <v>3</v>
      </c>
      <c r="AT8" s="3">
        <v>5</v>
      </c>
      <c r="AU8" s="3">
        <v>0</v>
      </c>
      <c r="AW8" s="3">
        <f t="shared" ref="AW8:AW12" si="14">AW7+1</f>
        <v>3</v>
      </c>
      <c r="AX8" s="3">
        <v>5</v>
      </c>
      <c r="AY8" s="3">
        <v>0</v>
      </c>
      <c r="BA8" s="3">
        <f t="shared" ref="BA8:BA12" si="15">BA7+1</f>
        <v>3</v>
      </c>
      <c r="BB8" s="3">
        <v>5</v>
      </c>
      <c r="BC8" s="3">
        <v>0</v>
      </c>
      <c r="BE8" s="3"/>
      <c r="BF8" s="3"/>
      <c r="BG8" s="3"/>
    </row>
    <row r="9" spans="1:59" x14ac:dyDescent="0.35">
      <c r="A9">
        <v>3</v>
      </c>
      <c r="B9">
        <v>5</v>
      </c>
      <c r="C9">
        <v>5</v>
      </c>
      <c r="I9" s="3">
        <f t="shared" si="4"/>
        <v>4</v>
      </c>
      <c r="J9" s="3">
        <f t="shared" si="0"/>
        <v>4</v>
      </c>
      <c r="K9" s="3">
        <v>0</v>
      </c>
      <c r="M9" s="3">
        <f t="shared" si="5"/>
        <v>4</v>
      </c>
      <c r="N9" s="3">
        <f t="shared" si="1"/>
        <v>4</v>
      </c>
      <c r="O9" s="3">
        <v>1</v>
      </c>
      <c r="Q9" s="3">
        <f t="shared" si="6"/>
        <v>4</v>
      </c>
      <c r="R9" s="3">
        <f t="shared" si="2"/>
        <v>4</v>
      </c>
      <c r="S9" s="3">
        <v>1</v>
      </c>
      <c r="U9" s="3">
        <f t="shared" si="7"/>
        <v>4</v>
      </c>
      <c r="V9" s="3">
        <f t="shared" si="3"/>
        <v>4</v>
      </c>
      <c r="W9" s="3">
        <v>1</v>
      </c>
      <c r="Y9" s="3">
        <f t="shared" si="8"/>
        <v>4</v>
      </c>
      <c r="Z9" s="3">
        <f t="shared" ref="Z9:Z10" si="16">Y9</f>
        <v>4</v>
      </c>
      <c r="AA9" s="3">
        <v>1</v>
      </c>
      <c r="AC9" s="3">
        <f t="shared" si="9"/>
        <v>4</v>
      </c>
      <c r="AD9" s="3">
        <v>5</v>
      </c>
      <c r="AE9" s="3">
        <v>1</v>
      </c>
      <c r="AG9" s="3">
        <f t="shared" si="10"/>
        <v>4</v>
      </c>
      <c r="AH9" s="3">
        <v>5</v>
      </c>
      <c r="AI9" s="3">
        <v>1</v>
      </c>
      <c r="AK9" s="3">
        <f t="shared" si="11"/>
        <v>4</v>
      </c>
      <c r="AL9" s="3">
        <v>5</v>
      </c>
      <c r="AM9" s="3">
        <v>1</v>
      </c>
      <c r="AO9" s="3">
        <f t="shared" si="12"/>
        <v>4</v>
      </c>
      <c r="AP9" s="3">
        <v>5</v>
      </c>
      <c r="AQ9" s="3">
        <v>1</v>
      </c>
      <c r="AS9" s="3">
        <f t="shared" si="13"/>
        <v>4</v>
      </c>
      <c r="AT9" s="3">
        <v>5</v>
      </c>
      <c r="AU9" s="3">
        <v>1</v>
      </c>
      <c r="AW9" s="3">
        <f t="shared" si="14"/>
        <v>4</v>
      </c>
      <c r="AX9" s="3">
        <v>5</v>
      </c>
      <c r="AY9" s="3">
        <v>1</v>
      </c>
      <c r="BA9" s="3">
        <f t="shared" si="15"/>
        <v>4</v>
      </c>
      <c r="BB9" s="3">
        <v>5</v>
      </c>
      <c r="BC9" s="3">
        <v>1</v>
      </c>
      <c r="BE9" s="3"/>
      <c r="BF9" s="3"/>
      <c r="BG9" s="3"/>
    </row>
    <row r="10" spans="1:59" x14ac:dyDescent="0.35">
      <c r="A10">
        <v>4</v>
      </c>
      <c r="B10">
        <v>5</v>
      </c>
      <c r="C10">
        <v>12</v>
      </c>
      <c r="I10" s="3">
        <f t="shared" si="4"/>
        <v>5</v>
      </c>
      <c r="J10" s="3">
        <f t="shared" si="0"/>
        <v>5</v>
      </c>
      <c r="K10" s="3">
        <v>0</v>
      </c>
      <c r="M10" s="3">
        <f t="shared" si="5"/>
        <v>5</v>
      </c>
      <c r="N10" s="3">
        <f t="shared" si="1"/>
        <v>5</v>
      </c>
      <c r="O10" s="3">
        <v>0</v>
      </c>
      <c r="Q10" s="3">
        <f t="shared" si="6"/>
        <v>5</v>
      </c>
      <c r="R10" s="3">
        <f t="shared" si="2"/>
        <v>5</v>
      </c>
      <c r="S10" s="3">
        <v>1</v>
      </c>
      <c r="U10" s="3">
        <f t="shared" si="7"/>
        <v>5</v>
      </c>
      <c r="V10" s="3">
        <f t="shared" si="3"/>
        <v>5</v>
      </c>
      <c r="W10" s="3">
        <v>1</v>
      </c>
      <c r="Y10" s="3">
        <f t="shared" si="8"/>
        <v>5</v>
      </c>
      <c r="Z10" s="3">
        <f t="shared" si="16"/>
        <v>5</v>
      </c>
      <c r="AA10" s="3">
        <v>1</v>
      </c>
      <c r="AC10" s="3">
        <f t="shared" si="9"/>
        <v>5</v>
      </c>
      <c r="AD10" s="3">
        <f t="shared" ref="AD10" si="17">AC10</f>
        <v>5</v>
      </c>
      <c r="AE10" s="3">
        <v>2</v>
      </c>
      <c r="AG10" s="3">
        <f t="shared" si="10"/>
        <v>5</v>
      </c>
      <c r="AH10" s="3">
        <f t="shared" ref="AH10" si="18">AG10</f>
        <v>5</v>
      </c>
      <c r="AI10" s="3">
        <v>2</v>
      </c>
      <c r="AK10" s="3">
        <f t="shared" si="11"/>
        <v>5</v>
      </c>
      <c r="AL10" s="3">
        <f t="shared" ref="AL10" si="19">AK10</f>
        <v>5</v>
      </c>
      <c r="AM10" s="3">
        <v>2</v>
      </c>
      <c r="AO10" s="3">
        <f t="shared" si="12"/>
        <v>5</v>
      </c>
      <c r="AP10" s="3">
        <f t="shared" ref="AP10" si="20">AO10</f>
        <v>5</v>
      </c>
      <c r="AQ10" s="3">
        <v>2</v>
      </c>
      <c r="AS10" s="3">
        <f t="shared" si="13"/>
        <v>5</v>
      </c>
      <c r="AT10" s="3">
        <f t="shared" ref="AT10" si="21">AS10</f>
        <v>5</v>
      </c>
      <c r="AU10" s="3">
        <v>2</v>
      </c>
      <c r="AW10" s="3">
        <f t="shared" si="14"/>
        <v>5</v>
      </c>
      <c r="AX10" s="3">
        <f t="shared" ref="AX10" si="22">AW10</f>
        <v>5</v>
      </c>
      <c r="AY10" s="3">
        <v>2</v>
      </c>
      <c r="BA10" s="3">
        <f t="shared" si="15"/>
        <v>5</v>
      </c>
      <c r="BB10" s="3">
        <f t="shared" ref="BB10" si="23">BA10</f>
        <v>5</v>
      </c>
      <c r="BC10" s="3">
        <v>2</v>
      </c>
      <c r="BE10" s="3"/>
      <c r="BF10" s="3"/>
      <c r="BG10" s="3"/>
    </row>
    <row r="11" spans="1:59" x14ac:dyDescent="0.35">
      <c r="A11">
        <v>4</v>
      </c>
      <c r="B11">
        <v>6</v>
      </c>
      <c r="C11">
        <v>6</v>
      </c>
      <c r="I11" s="3">
        <f t="shared" si="4"/>
        <v>6</v>
      </c>
      <c r="J11" s="3">
        <f t="shared" si="0"/>
        <v>6</v>
      </c>
      <c r="K11" s="3">
        <v>0</v>
      </c>
      <c r="M11" s="3">
        <f t="shared" si="5"/>
        <v>6</v>
      </c>
      <c r="N11" s="3">
        <f t="shared" si="1"/>
        <v>6</v>
      </c>
      <c r="O11" s="3">
        <v>0</v>
      </c>
      <c r="Q11" s="3">
        <f t="shared" si="6"/>
        <v>6</v>
      </c>
      <c r="R11" s="3">
        <f t="shared" si="2"/>
        <v>6</v>
      </c>
      <c r="S11" s="3">
        <v>0</v>
      </c>
      <c r="U11" s="3">
        <f t="shared" si="7"/>
        <v>6</v>
      </c>
      <c r="V11" s="3">
        <v>4</v>
      </c>
      <c r="W11" s="3">
        <v>0</v>
      </c>
      <c r="Y11" s="3">
        <f t="shared" si="8"/>
        <v>6</v>
      </c>
      <c r="Z11" s="3">
        <v>4</v>
      </c>
      <c r="AA11" s="3">
        <v>0</v>
      </c>
      <c r="AC11" s="3">
        <f t="shared" si="9"/>
        <v>6</v>
      </c>
      <c r="AD11" s="3">
        <v>4</v>
      </c>
      <c r="AE11" s="3">
        <v>0</v>
      </c>
      <c r="AG11" s="3">
        <f t="shared" si="10"/>
        <v>6</v>
      </c>
      <c r="AH11" s="3">
        <v>5</v>
      </c>
      <c r="AI11" s="3">
        <v>0</v>
      </c>
      <c r="AK11" s="3">
        <f t="shared" si="11"/>
        <v>6</v>
      </c>
      <c r="AL11" s="3">
        <v>5</v>
      </c>
      <c r="AM11" s="3">
        <v>0</v>
      </c>
      <c r="AO11" s="3">
        <f t="shared" si="12"/>
        <v>6</v>
      </c>
      <c r="AP11" s="3">
        <v>5</v>
      </c>
      <c r="AQ11" s="3">
        <v>0</v>
      </c>
      <c r="AS11" s="3">
        <f t="shared" si="13"/>
        <v>6</v>
      </c>
      <c r="AT11" s="3">
        <v>5</v>
      </c>
      <c r="AU11" s="3">
        <v>0</v>
      </c>
      <c r="AW11" s="3">
        <f t="shared" si="14"/>
        <v>6</v>
      </c>
      <c r="AX11" s="3">
        <v>5</v>
      </c>
      <c r="AY11" s="3">
        <v>0</v>
      </c>
      <c r="BA11" s="3">
        <f t="shared" si="15"/>
        <v>6</v>
      </c>
      <c r="BB11" s="3">
        <v>5</v>
      </c>
      <c r="BC11" s="3">
        <v>0</v>
      </c>
      <c r="BE11" s="92"/>
      <c r="BF11" s="92"/>
      <c r="BG11" s="92"/>
    </row>
    <row r="12" spans="1:59" x14ac:dyDescent="0.35">
      <c r="A12">
        <v>5</v>
      </c>
      <c r="B12">
        <v>6</v>
      </c>
      <c r="C12">
        <v>8</v>
      </c>
      <c r="I12" s="92">
        <f t="shared" si="4"/>
        <v>7</v>
      </c>
      <c r="J12" s="92">
        <f t="shared" si="0"/>
        <v>7</v>
      </c>
      <c r="K12" s="92">
        <v>0</v>
      </c>
      <c r="M12" s="92">
        <f t="shared" si="5"/>
        <v>7</v>
      </c>
      <c r="N12" s="92">
        <v>7</v>
      </c>
      <c r="O12" s="92">
        <v>0</v>
      </c>
      <c r="Q12" s="92">
        <f t="shared" si="6"/>
        <v>7</v>
      </c>
      <c r="R12" s="92">
        <v>7</v>
      </c>
      <c r="S12" s="92">
        <v>0</v>
      </c>
      <c r="U12" s="92">
        <f t="shared" si="7"/>
        <v>7</v>
      </c>
      <c r="V12" s="92">
        <v>7</v>
      </c>
      <c r="W12" s="92">
        <v>0</v>
      </c>
      <c r="Y12" s="92">
        <f t="shared" si="8"/>
        <v>7</v>
      </c>
      <c r="Z12" s="92">
        <v>7</v>
      </c>
      <c r="AA12" s="92">
        <v>0</v>
      </c>
      <c r="AC12" s="92">
        <f t="shared" si="9"/>
        <v>7</v>
      </c>
      <c r="AD12" s="92">
        <v>7</v>
      </c>
      <c r="AE12" s="92">
        <v>0</v>
      </c>
      <c r="AG12" s="92">
        <f t="shared" si="10"/>
        <v>7</v>
      </c>
      <c r="AH12" s="92">
        <v>7</v>
      </c>
      <c r="AI12" s="92">
        <v>0</v>
      </c>
      <c r="AK12" s="92">
        <f t="shared" si="11"/>
        <v>7</v>
      </c>
      <c r="AL12" s="92">
        <v>7</v>
      </c>
      <c r="AM12" s="92">
        <v>0</v>
      </c>
      <c r="AO12" s="92">
        <f t="shared" si="12"/>
        <v>7</v>
      </c>
      <c r="AP12" s="92">
        <v>5</v>
      </c>
      <c r="AQ12" s="92">
        <v>0</v>
      </c>
      <c r="AS12" s="92">
        <f t="shared" si="13"/>
        <v>7</v>
      </c>
      <c r="AT12" s="92">
        <v>5</v>
      </c>
      <c r="AU12" s="92">
        <v>0</v>
      </c>
      <c r="AW12" s="92">
        <f t="shared" si="14"/>
        <v>7</v>
      </c>
      <c r="AX12" s="92">
        <v>5</v>
      </c>
      <c r="AY12" s="92">
        <v>0</v>
      </c>
      <c r="BA12" s="92">
        <f t="shared" si="15"/>
        <v>7</v>
      </c>
      <c r="BB12" s="92">
        <v>5</v>
      </c>
      <c r="BC12" s="92">
        <v>0</v>
      </c>
      <c r="BE12" s="3"/>
      <c r="BF12" s="3"/>
      <c r="BG12" s="3"/>
    </row>
    <row r="13" spans="1:59" x14ac:dyDescent="0.35">
      <c r="A13">
        <v>5</v>
      </c>
      <c r="B13">
        <v>7</v>
      </c>
      <c r="C13">
        <v>9</v>
      </c>
    </row>
    <row r="14" spans="1:59" x14ac:dyDescent="0.35">
      <c r="A14" s="28">
        <v>6</v>
      </c>
      <c r="B14" s="28">
        <v>7</v>
      </c>
      <c r="C14" s="28">
        <v>11</v>
      </c>
      <c r="E14" s="28"/>
      <c r="F14" s="28"/>
      <c r="G14" s="28"/>
      <c r="K14" s="3"/>
      <c r="L14" s="3"/>
      <c r="M14" s="3" t="s">
        <v>213</v>
      </c>
      <c r="N14" s="3">
        <v>5</v>
      </c>
      <c r="O14" s="107" t="s">
        <v>218</v>
      </c>
      <c r="P14" s="3"/>
      <c r="Q14" s="3" t="s">
        <v>213</v>
      </c>
      <c r="R14" s="3">
        <v>6</v>
      </c>
      <c r="S14" s="3" t="s">
        <v>225</v>
      </c>
      <c r="T14" s="3"/>
      <c r="U14" s="3" t="s">
        <v>213</v>
      </c>
      <c r="V14" s="3">
        <v>7</v>
      </c>
      <c r="W14" s="3" t="s">
        <v>223</v>
      </c>
      <c r="X14" s="3"/>
      <c r="Y14" s="3" t="s">
        <v>213</v>
      </c>
      <c r="Z14" s="3">
        <v>8</v>
      </c>
      <c r="AA14" s="107" t="s">
        <v>236</v>
      </c>
    </row>
    <row r="16" spans="1:59" x14ac:dyDescent="0.35">
      <c r="M16" s="92" t="s">
        <v>229</v>
      </c>
      <c r="N16" s="92" t="s">
        <v>230</v>
      </c>
      <c r="O16" s="92" t="s">
        <v>231</v>
      </c>
      <c r="P16" s="3"/>
      <c r="Q16" s="92" t="s">
        <v>229</v>
      </c>
      <c r="R16" s="92" t="s">
        <v>230</v>
      </c>
      <c r="S16" s="92" t="s">
        <v>231</v>
      </c>
      <c r="T16" s="3"/>
      <c r="U16" s="92" t="s">
        <v>229</v>
      </c>
      <c r="V16" s="92" t="s">
        <v>230</v>
      </c>
      <c r="W16" s="92" t="s">
        <v>231</v>
      </c>
      <c r="X16" s="3"/>
      <c r="Y16" s="92" t="s">
        <v>229</v>
      </c>
      <c r="Z16" s="92" t="s">
        <v>230</v>
      </c>
      <c r="AA16" s="92" t="s">
        <v>231</v>
      </c>
    </row>
    <row r="17" spans="13:27" x14ac:dyDescent="0.35">
      <c r="M17" s="3">
        <v>1</v>
      </c>
      <c r="N17" s="3">
        <v>4</v>
      </c>
      <c r="O17" s="3">
        <v>0</v>
      </c>
      <c r="P17" s="3"/>
      <c r="Q17" s="3">
        <v>1</v>
      </c>
      <c r="R17" s="3">
        <v>4</v>
      </c>
      <c r="S17" s="3">
        <v>0</v>
      </c>
      <c r="T17" s="3"/>
      <c r="U17" s="3">
        <v>1</v>
      </c>
      <c r="V17" s="3">
        <v>4</v>
      </c>
      <c r="W17" s="3">
        <v>0</v>
      </c>
      <c r="X17" s="3"/>
      <c r="Y17" s="3">
        <v>1</v>
      </c>
      <c r="Z17" s="3">
        <v>4</v>
      </c>
      <c r="AA17" s="3">
        <v>0</v>
      </c>
    </row>
    <row r="18" spans="13:27" x14ac:dyDescent="0.35">
      <c r="M18" s="3">
        <v>2</v>
      </c>
      <c r="N18" s="3">
        <v>5</v>
      </c>
      <c r="O18" s="3">
        <v>0</v>
      </c>
      <c r="P18" s="3"/>
      <c r="Q18" s="3">
        <v>2</v>
      </c>
      <c r="R18" s="3">
        <v>5</v>
      </c>
      <c r="S18" s="3">
        <v>0</v>
      </c>
      <c r="T18" s="3"/>
      <c r="U18" s="3">
        <v>2</v>
      </c>
      <c r="V18" s="3">
        <v>5</v>
      </c>
      <c r="W18" s="3">
        <v>0</v>
      </c>
      <c r="X18" s="3"/>
      <c r="Y18" s="3">
        <v>2</v>
      </c>
      <c r="Z18" s="3">
        <v>5</v>
      </c>
      <c r="AA18" s="3">
        <v>0</v>
      </c>
    </row>
    <row r="19" spans="13:27" x14ac:dyDescent="0.35">
      <c r="M19" s="3">
        <v>3</v>
      </c>
      <c r="N19" s="3">
        <v>5</v>
      </c>
      <c r="O19" s="3">
        <v>0</v>
      </c>
      <c r="P19" s="3"/>
      <c r="Q19" s="3">
        <v>3</v>
      </c>
      <c r="R19" s="3">
        <v>5</v>
      </c>
      <c r="S19" s="3">
        <v>0</v>
      </c>
      <c r="T19" s="3"/>
      <c r="U19" s="3">
        <v>3</v>
      </c>
      <c r="V19" s="3">
        <v>5</v>
      </c>
      <c r="W19" s="3">
        <v>0</v>
      </c>
      <c r="X19" s="3"/>
      <c r="Y19" s="3">
        <v>3</v>
      </c>
      <c r="Z19" s="3">
        <v>5</v>
      </c>
      <c r="AA19" s="3">
        <v>0</v>
      </c>
    </row>
    <row r="20" spans="13:27" x14ac:dyDescent="0.35">
      <c r="M20" s="3">
        <v>4</v>
      </c>
      <c r="N20" s="3">
        <v>5</v>
      </c>
      <c r="O20" s="3">
        <v>1</v>
      </c>
      <c r="P20" s="3"/>
      <c r="Q20" s="3">
        <v>4</v>
      </c>
      <c r="R20" s="3">
        <v>5</v>
      </c>
      <c r="S20" s="3">
        <v>1</v>
      </c>
      <c r="T20" s="3"/>
      <c r="U20" s="3">
        <v>4</v>
      </c>
      <c r="V20" s="3">
        <v>5</v>
      </c>
      <c r="W20" s="3">
        <v>1</v>
      </c>
      <c r="X20" s="3"/>
      <c r="Y20" s="3">
        <v>4</v>
      </c>
      <c r="Z20" s="3">
        <v>5</v>
      </c>
      <c r="AA20" s="3">
        <v>1</v>
      </c>
    </row>
    <row r="21" spans="13:27" x14ac:dyDescent="0.35">
      <c r="M21" s="3">
        <v>5</v>
      </c>
      <c r="N21" s="3">
        <v>5</v>
      </c>
      <c r="O21" s="3">
        <v>2</v>
      </c>
      <c r="P21" s="3"/>
      <c r="Q21" s="3">
        <v>5</v>
      </c>
      <c r="R21" s="3">
        <v>5</v>
      </c>
      <c r="S21" s="3">
        <v>2</v>
      </c>
      <c r="T21" s="3"/>
      <c r="U21" s="3">
        <v>5</v>
      </c>
      <c r="V21" s="3">
        <v>5</v>
      </c>
      <c r="W21" s="3">
        <v>2</v>
      </c>
      <c r="X21" s="3"/>
      <c r="Y21" s="3">
        <v>5</v>
      </c>
      <c r="Z21" s="3">
        <v>5</v>
      </c>
      <c r="AA21" s="3">
        <v>2</v>
      </c>
    </row>
    <row r="22" spans="13:27" x14ac:dyDescent="0.35">
      <c r="M22" s="3">
        <v>6</v>
      </c>
      <c r="N22" s="3">
        <v>4</v>
      </c>
      <c r="O22" s="3">
        <v>0</v>
      </c>
      <c r="P22" s="3"/>
      <c r="Q22" s="3">
        <v>6</v>
      </c>
      <c r="R22" s="3">
        <v>5</v>
      </c>
      <c r="S22" s="3">
        <v>0</v>
      </c>
      <c r="T22" s="3"/>
      <c r="U22" s="3">
        <v>6</v>
      </c>
      <c r="V22" s="3">
        <v>5</v>
      </c>
      <c r="W22" s="3">
        <v>0</v>
      </c>
      <c r="X22" s="3"/>
      <c r="Y22" s="3">
        <v>6</v>
      </c>
      <c r="Z22" s="3">
        <v>5</v>
      </c>
      <c r="AA22" s="3">
        <v>0</v>
      </c>
    </row>
    <row r="23" spans="13:27" x14ac:dyDescent="0.35">
      <c r="M23" s="92">
        <v>7</v>
      </c>
      <c r="N23" s="92">
        <v>7</v>
      </c>
      <c r="O23" s="92">
        <v>0</v>
      </c>
      <c r="P23" s="3"/>
      <c r="Q23" s="92">
        <v>7</v>
      </c>
      <c r="R23" s="92">
        <v>7</v>
      </c>
      <c r="S23" s="92">
        <v>0</v>
      </c>
      <c r="T23" s="3"/>
      <c r="U23" s="92">
        <v>7</v>
      </c>
      <c r="V23" s="92">
        <v>7</v>
      </c>
      <c r="W23" s="92">
        <v>0</v>
      </c>
      <c r="X23" s="3"/>
      <c r="Y23" s="92">
        <v>7</v>
      </c>
      <c r="Z23" s="92">
        <v>5</v>
      </c>
      <c r="AA23" s="9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D938-BB2D-4227-897E-E936506AAE3B}">
  <sheetPr codeName="Sheet22"/>
  <dimension ref="A1:AP23"/>
  <sheetViews>
    <sheetView workbookViewId="0">
      <selection activeCell="E4" sqref="E4"/>
    </sheetView>
  </sheetViews>
  <sheetFormatPr defaultRowHeight="14.5" x14ac:dyDescent="0.35"/>
  <cols>
    <col min="1" max="3" width="7.26953125" customWidth="1"/>
    <col min="5" max="6" width="5.6328125" customWidth="1"/>
    <col min="7" max="7" width="8.6328125" customWidth="1"/>
    <col min="8" max="8" width="6.54296875" customWidth="1"/>
    <col min="9" max="9" width="2.90625" customWidth="1"/>
    <col min="10" max="11" width="5.6328125" customWidth="1"/>
    <col min="12" max="12" width="8.6328125" customWidth="1"/>
    <col min="13" max="13" width="6.54296875" customWidth="1"/>
    <col min="14" max="14" width="2.90625" customWidth="1"/>
    <col min="15" max="16" width="5.6328125" customWidth="1"/>
    <col min="17" max="17" width="8.6328125" customWidth="1"/>
    <col min="18" max="18" width="6.54296875" customWidth="1"/>
    <col min="19" max="19" width="2.90625" customWidth="1"/>
    <col min="20" max="21" width="5.6328125" customWidth="1"/>
    <col min="22" max="22" width="8.6328125" customWidth="1"/>
    <col min="23" max="23" width="6.54296875" customWidth="1"/>
    <col min="24" max="24" width="2.90625" customWidth="1"/>
    <col min="25" max="26" width="5.6328125" customWidth="1"/>
    <col min="27" max="27" width="8.6328125" customWidth="1"/>
    <col min="28" max="28" width="6.54296875" customWidth="1"/>
    <col min="29" max="29" width="2.90625" customWidth="1"/>
    <col min="30" max="31" width="5.6328125" customWidth="1"/>
    <col min="32" max="32" width="8.6328125" customWidth="1"/>
    <col min="33" max="33" width="6.54296875" customWidth="1"/>
    <col min="34" max="34" width="2.90625" customWidth="1"/>
    <col min="35" max="36" width="5.6328125" customWidth="1"/>
    <col min="37" max="37" width="8.6328125" customWidth="1"/>
    <col min="38" max="38" width="6.54296875" customWidth="1"/>
    <col min="40" max="42" width="7.26953125" customWidth="1"/>
  </cols>
  <sheetData>
    <row r="1" spans="1:42" x14ac:dyDescent="0.35">
      <c r="A1" s="10" t="s">
        <v>238</v>
      </c>
    </row>
    <row r="3" spans="1:42" x14ac:dyDescent="0.35">
      <c r="A3" s="103" t="s">
        <v>210</v>
      </c>
      <c r="B3" s="103" t="s">
        <v>211</v>
      </c>
      <c r="C3" s="103" t="s">
        <v>212</v>
      </c>
      <c r="E3" s="3" t="s">
        <v>213</v>
      </c>
      <c r="F3" s="3">
        <v>0</v>
      </c>
      <c r="J3" s="3" t="s">
        <v>213</v>
      </c>
      <c r="K3" s="3">
        <f>F3+1</f>
        <v>1</v>
      </c>
      <c r="L3" s="3" t="s">
        <v>229</v>
      </c>
      <c r="M3" s="3">
        <v>1</v>
      </c>
      <c r="O3" s="3" t="s">
        <v>213</v>
      </c>
      <c r="P3" s="3">
        <f>K3+1</f>
        <v>2</v>
      </c>
      <c r="Q3" s="3" t="s">
        <v>229</v>
      </c>
      <c r="R3" s="3">
        <v>4</v>
      </c>
      <c r="T3" s="3" t="s">
        <v>213</v>
      </c>
      <c r="U3" s="3">
        <f>P3+1</f>
        <v>3</v>
      </c>
      <c r="V3" s="3" t="s">
        <v>229</v>
      </c>
      <c r="W3" s="3">
        <v>6</v>
      </c>
      <c r="Y3" s="3" t="s">
        <v>213</v>
      </c>
      <c r="Z3" s="3">
        <f>U3+1</f>
        <v>4</v>
      </c>
      <c r="AA3" s="3" t="s">
        <v>229</v>
      </c>
      <c r="AB3" s="3">
        <v>2</v>
      </c>
      <c r="AD3" s="3" t="s">
        <v>213</v>
      </c>
      <c r="AE3" s="3">
        <f>Z3+1</f>
        <v>5</v>
      </c>
      <c r="AF3" s="3" t="s">
        <v>229</v>
      </c>
      <c r="AG3" s="3">
        <v>5</v>
      </c>
      <c r="AI3" s="3" t="s">
        <v>213</v>
      </c>
      <c r="AJ3" s="3">
        <f>AE3+1</f>
        <v>6</v>
      </c>
      <c r="AK3" s="3" t="s">
        <v>229</v>
      </c>
      <c r="AL3" s="3">
        <v>3</v>
      </c>
    </row>
    <row r="4" spans="1:42" x14ac:dyDescent="0.35">
      <c r="A4">
        <v>1</v>
      </c>
      <c r="B4">
        <v>2</v>
      </c>
      <c r="C4">
        <v>7</v>
      </c>
    </row>
    <row r="5" spans="1:42" x14ac:dyDescent="0.35">
      <c r="A5">
        <v>1</v>
      </c>
      <c r="B5">
        <v>4</v>
      </c>
      <c r="C5">
        <v>5</v>
      </c>
      <c r="E5" s="92" t="s">
        <v>229</v>
      </c>
      <c r="F5" s="92" t="s">
        <v>3</v>
      </c>
      <c r="G5" s="92" t="s">
        <v>2</v>
      </c>
      <c r="H5" s="92" t="s">
        <v>239</v>
      </c>
      <c r="J5" s="92" t="s">
        <v>229</v>
      </c>
      <c r="K5" s="92" t="s">
        <v>3</v>
      </c>
      <c r="L5" s="92" t="s">
        <v>2</v>
      </c>
      <c r="M5" s="92" t="s">
        <v>239</v>
      </c>
      <c r="O5" s="92" t="s">
        <v>229</v>
      </c>
      <c r="P5" s="92" t="s">
        <v>3</v>
      </c>
      <c r="Q5" s="92" t="s">
        <v>2</v>
      </c>
      <c r="R5" s="92" t="s">
        <v>239</v>
      </c>
      <c r="T5" s="92" t="s">
        <v>229</v>
      </c>
      <c r="U5" s="92" t="s">
        <v>3</v>
      </c>
      <c r="V5" s="92" t="s">
        <v>2</v>
      </c>
      <c r="W5" s="92" t="s">
        <v>239</v>
      </c>
      <c r="Y5" s="92" t="s">
        <v>229</v>
      </c>
      <c r="Z5" s="92" t="s">
        <v>3</v>
      </c>
      <c r="AA5" s="92" t="s">
        <v>2</v>
      </c>
      <c r="AB5" s="92" t="s">
        <v>239</v>
      </c>
      <c r="AD5" s="92" t="s">
        <v>229</v>
      </c>
      <c r="AE5" s="92" t="s">
        <v>3</v>
      </c>
      <c r="AF5" s="92" t="s">
        <v>2</v>
      </c>
      <c r="AG5" s="92" t="s">
        <v>239</v>
      </c>
      <c r="AI5" s="92" t="s">
        <v>229</v>
      </c>
      <c r="AJ5" s="92" t="s">
        <v>3</v>
      </c>
      <c r="AK5" s="92" t="s">
        <v>2</v>
      </c>
      <c r="AL5" s="92" t="s">
        <v>239</v>
      </c>
      <c r="AN5" s="92" t="s">
        <v>210</v>
      </c>
      <c r="AO5" s="92" t="s">
        <v>211</v>
      </c>
      <c r="AP5" s="92" t="s">
        <v>212</v>
      </c>
    </row>
    <row r="6" spans="1:42" x14ac:dyDescent="0.35">
      <c r="A6">
        <v>2</v>
      </c>
      <c r="B6">
        <v>4</v>
      </c>
      <c r="C6">
        <v>9</v>
      </c>
      <c r="E6" s="3">
        <v>1</v>
      </c>
      <c r="F6" s="3">
        <v>0</v>
      </c>
      <c r="G6" s="108" t="s">
        <v>240</v>
      </c>
      <c r="H6" t="b">
        <v>1</v>
      </c>
      <c r="J6" s="3">
        <v>1</v>
      </c>
      <c r="K6" s="3">
        <v>0</v>
      </c>
      <c r="L6" s="3">
        <v>0</v>
      </c>
      <c r="M6" t="b">
        <v>0</v>
      </c>
      <c r="O6" s="3">
        <v>1</v>
      </c>
      <c r="P6" s="3">
        <v>0</v>
      </c>
      <c r="Q6" s="3">
        <v>0</v>
      </c>
      <c r="R6" t="b">
        <v>0</v>
      </c>
      <c r="T6" s="3">
        <v>1</v>
      </c>
      <c r="U6" s="3">
        <v>0</v>
      </c>
      <c r="V6" s="3">
        <v>0</v>
      </c>
      <c r="W6" t="b">
        <v>0</v>
      </c>
      <c r="Y6" s="3">
        <v>1</v>
      </c>
      <c r="Z6" s="3">
        <v>0</v>
      </c>
      <c r="AA6" s="3">
        <v>0</v>
      </c>
      <c r="AB6" t="b">
        <v>0</v>
      </c>
      <c r="AD6" s="3">
        <v>1</v>
      </c>
      <c r="AE6" s="3">
        <v>0</v>
      </c>
      <c r="AF6" s="3">
        <v>0</v>
      </c>
      <c r="AG6" t="b">
        <v>0</v>
      </c>
      <c r="AI6" s="3">
        <v>1</v>
      </c>
      <c r="AJ6" s="3">
        <v>0</v>
      </c>
      <c r="AK6" s="3">
        <v>0</v>
      </c>
      <c r="AL6" t="b">
        <v>0</v>
      </c>
      <c r="AN6" s="3" t="e" cm="1">
        <f t="array" aca="1" ref="AN6" ca="1">MSTPrim(A4:C14)</f>
        <v>#NAME?</v>
      </c>
      <c r="AO6" s="3"/>
      <c r="AP6" s="3"/>
    </row>
    <row r="7" spans="1:42" x14ac:dyDescent="0.35">
      <c r="A7">
        <v>2</v>
      </c>
      <c r="B7">
        <v>3</v>
      </c>
      <c r="C7">
        <v>8</v>
      </c>
      <c r="E7" s="3">
        <f>E6+1</f>
        <v>2</v>
      </c>
      <c r="F7" s="3">
        <v>0</v>
      </c>
      <c r="G7" s="108" t="s">
        <v>240</v>
      </c>
      <c r="H7" t="b">
        <v>1</v>
      </c>
      <c r="J7" s="3">
        <f>J6+1</f>
        <v>2</v>
      </c>
      <c r="K7" s="3">
        <v>1</v>
      </c>
      <c r="L7" s="3">
        <v>7</v>
      </c>
      <c r="M7" t="b">
        <v>1</v>
      </c>
      <c r="O7" s="3">
        <f>O6+1</f>
        <v>2</v>
      </c>
      <c r="P7" s="3">
        <v>1</v>
      </c>
      <c r="Q7" s="3">
        <v>7</v>
      </c>
      <c r="R7" t="b">
        <v>1</v>
      </c>
      <c r="T7" s="3">
        <f>T6+1</f>
        <v>2</v>
      </c>
      <c r="U7" s="3">
        <v>1</v>
      </c>
      <c r="V7" s="3">
        <v>7</v>
      </c>
      <c r="W7" t="b">
        <v>1</v>
      </c>
      <c r="Y7" s="3">
        <f>Y6+1</f>
        <v>2</v>
      </c>
      <c r="Z7" s="3">
        <v>1</v>
      </c>
      <c r="AA7" s="3">
        <v>7</v>
      </c>
      <c r="AB7" t="b">
        <v>0</v>
      </c>
      <c r="AD7" s="3">
        <f>AD6+1</f>
        <v>2</v>
      </c>
      <c r="AE7" s="3">
        <v>1</v>
      </c>
      <c r="AF7" s="3">
        <v>7</v>
      </c>
      <c r="AG7" t="b">
        <v>0</v>
      </c>
      <c r="AI7" s="3">
        <f>AI6+1</f>
        <v>2</v>
      </c>
      <c r="AJ7" s="3">
        <v>1</v>
      </c>
      <c r="AK7" s="3">
        <v>7</v>
      </c>
      <c r="AL7" t="b">
        <v>0</v>
      </c>
      <c r="AN7" s="3"/>
      <c r="AO7" s="3"/>
      <c r="AP7" s="3"/>
    </row>
    <row r="8" spans="1:42" x14ac:dyDescent="0.35">
      <c r="A8">
        <v>2</v>
      </c>
      <c r="B8">
        <v>5</v>
      </c>
      <c r="C8">
        <v>7</v>
      </c>
      <c r="E8" s="3">
        <f t="shared" ref="E8:E12" si="0">E7+1</f>
        <v>3</v>
      </c>
      <c r="F8" s="3">
        <v>0</v>
      </c>
      <c r="G8" s="108" t="s">
        <v>240</v>
      </c>
      <c r="H8" t="b">
        <v>1</v>
      </c>
      <c r="J8" s="3">
        <f t="shared" ref="J8:J12" si="1">J7+1</f>
        <v>3</v>
      </c>
      <c r="K8" s="3">
        <v>0</v>
      </c>
      <c r="L8" s="3" t="s">
        <v>240</v>
      </c>
      <c r="M8" t="b">
        <v>1</v>
      </c>
      <c r="O8" s="3">
        <f t="shared" ref="O8:O12" si="2">O7+1</f>
        <v>3</v>
      </c>
      <c r="P8" s="3">
        <v>0</v>
      </c>
      <c r="Q8" s="3" t="s">
        <v>240</v>
      </c>
      <c r="R8" t="b">
        <v>1</v>
      </c>
      <c r="T8" s="3">
        <f t="shared" ref="T8:T12" si="3">T7+1</f>
        <v>3</v>
      </c>
      <c r="U8" s="3">
        <v>0</v>
      </c>
      <c r="V8" s="3" t="s">
        <v>240</v>
      </c>
      <c r="W8" t="b">
        <v>1</v>
      </c>
      <c r="Y8" s="3">
        <f t="shared" ref="Y8:Y12" si="4">Y7+1</f>
        <v>3</v>
      </c>
      <c r="Z8" s="3">
        <v>2</v>
      </c>
      <c r="AA8" s="3">
        <v>8</v>
      </c>
      <c r="AB8" t="b">
        <v>1</v>
      </c>
      <c r="AD8" s="3">
        <f t="shared" ref="AD8:AD12" si="5">AD7+1</f>
        <v>3</v>
      </c>
      <c r="AE8" s="3">
        <v>2</v>
      </c>
      <c r="AF8" s="3">
        <v>8</v>
      </c>
      <c r="AG8" t="b">
        <v>1</v>
      </c>
      <c r="AI8" s="3">
        <f t="shared" ref="AI8:AI12" si="6">AI7+1</f>
        <v>3</v>
      </c>
      <c r="AJ8" s="3">
        <v>2</v>
      </c>
      <c r="AK8" s="3">
        <v>8</v>
      </c>
      <c r="AL8" t="b">
        <v>0</v>
      </c>
      <c r="AN8" s="3"/>
      <c r="AO8" s="3"/>
      <c r="AP8" s="3"/>
    </row>
    <row r="9" spans="1:42" x14ac:dyDescent="0.35">
      <c r="A9">
        <v>3</v>
      </c>
      <c r="B9">
        <v>5</v>
      </c>
      <c r="C9">
        <v>5</v>
      </c>
      <c r="E9" s="3">
        <f t="shared" si="0"/>
        <v>4</v>
      </c>
      <c r="F9" s="3">
        <v>0</v>
      </c>
      <c r="G9" s="108" t="s">
        <v>240</v>
      </c>
      <c r="H9" t="b">
        <v>1</v>
      </c>
      <c r="J9" s="3">
        <f t="shared" si="1"/>
        <v>4</v>
      </c>
      <c r="K9" s="3">
        <v>1</v>
      </c>
      <c r="L9" s="3">
        <v>5</v>
      </c>
      <c r="M9" t="b">
        <v>1</v>
      </c>
      <c r="O9" s="3">
        <f t="shared" si="2"/>
        <v>4</v>
      </c>
      <c r="P9" s="3">
        <v>1</v>
      </c>
      <c r="Q9" s="3">
        <v>5</v>
      </c>
      <c r="R9" t="b">
        <v>0</v>
      </c>
      <c r="T9" s="3">
        <f t="shared" si="3"/>
        <v>4</v>
      </c>
      <c r="U9" s="3">
        <v>1</v>
      </c>
      <c r="V9" s="3">
        <v>5</v>
      </c>
      <c r="W9" t="b">
        <v>0</v>
      </c>
      <c r="Y9" s="3">
        <f t="shared" si="4"/>
        <v>4</v>
      </c>
      <c r="Z9" s="3">
        <v>1</v>
      </c>
      <c r="AA9" s="3">
        <v>5</v>
      </c>
      <c r="AB9" t="b">
        <v>0</v>
      </c>
      <c r="AD9" s="3">
        <f t="shared" si="5"/>
        <v>4</v>
      </c>
      <c r="AE9" s="3">
        <v>1</v>
      </c>
      <c r="AF9" s="3">
        <v>5</v>
      </c>
      <c r="AG9" t="b">
        <v>0</v>
      </c>
      <c r="AI9" s="3">
        <f t="shared" si="6"/>
        <v>4</v>
      </c>
      <c r="AJ9" s="3">
        <v>1</v>
      </c>
      <c r="AK9" s="3">
        <v>5</v>
      </c>
      <c r="AL9" t="b">
        <v>0</v>
      </c>
      <c r="AN9" s="3"/>
      <c r="AO9" s="3"/>
      <c r="AP9" s="3"/>
    </row>
    <row r="10" spans="1:42" x14ac:dyDescent="0.35">
      <c r="A10">
        <v>4</v>
      </c>
      <c r="B10">
        <v>5</v>
      </c>
      <c r="C10">
        <v>12</v>
      </c>
      <c r="E10" s="3">
        <f t="shared" si="0"/>
        <v>5</v>
      </c>
      <c r="F10" s="3">
        <v>0</v>
      </c>
      <c r="G10" s="108" t="s">
        <v>240</v>
      </c>
      <c r="H10" t="b">
        <v>1</v>
      </c>
      <c r="J10" s="3">
        <f t="shared" si="1"/>
        <v>5</v>
      </c>
      <c r="K10" s="3">
        <v>0</v>
      </c>
      <c r="L10" s="3" t="s">
        <v>240</v>
      </c>
      <c r="M10" t="b">
        <v>1</v>
      </c>
      <c r="O10" s="3">
        <f t="shared" si="2"/>
        <v>5</v>
      </c>
      <c r="P10" s="3">
        <v>4</v>
      </c>
      <c r="Q10" s="3">
        <v>12</v>
      </c>
      <c r="R10" t="b">
        <v>1</v>
      </c>
      <c r="T10" s="3">
        <f t="shared" si="3"/>
        <v>5</v>
      </c>
      <c r="U10" s="3">
        <v>4</v>
      </c>
      <c r="V10" s="3">
        <v>12</v>
      </c>
      <c r="W10" t="b">
        <v>1</v>
      </c>
      <c r="Y10" s="3">
        <f t="shared" si="4"/>
        <v>5</v>
      </c>
      <c r="Z10" s="3">
        <v>2</v>
      </c>
      <c r="AA10" s="3">
        <v>7</v>
      </c>
      <c r="AB10" t="b">
        <v>1</v>
      </c>
      <c r="AD10" s="3">
        <f t="shared" si="5"/>
        <v>5</v>
      </c>
      <c r="AE10" s="3">
        <v>2</v>
      </c>
      <c r="AF10" s="3">
        <v>7</v>
      </c>
      <c r="AG10" t="b">
        <v>0</v>
      </c>
      <c r="AI10" s="3">
        <f t="shared" si="6"/>
        <v>5</v>
      </c>
      <c r="AJ10" s="3">
        <v>2</v>
      </c>
      <c r="AK10" s="3">
        <v>7</v>
      </c>
      <c r="AL10" t="b">
        <v>0</v>
      </c>
      <c r="AN10" s="3"/>
      <c r="AO10" s="3"/>
      <c r="AP10" s="3"/>
    </row>
    <row r="11" spans="1:42" x14ac:dyDescent="0.35">
      <c r="A11">
        <v>4</v>
      </c>
      <c r="B11">
        <v>6</v>
      </c>
      <c r="C11">
        <v>6</v>
      </c>
      <c r="E11" s="3">
        <f t="shared" si="0"/>
        <v>6</v>
      </c>
      <c r="F11" s="3">
        <v>0</v>
      </c>
      <c r="G11" s="108" t="s">
        <v>240</v>
      </c>
      <c r="H11" t="b">
        <v>1</v>
      </c>
      <c r="J11" s="3">
        <f t="shared" si="1"/>
        <v>6</v>
      </c>
      <c r="K11" s="3">
        <v>0</v>
      </c>
      <c r="L11" s="3" t="s">
        <v>240</v>
      </c>
      <c r="M11" t="b">
        <v>1</v>
      </c>
      <c r="O11" s="3">
        <f t="shared" si="2"/>
        <v>6</v>
      </c>
      <c r="P11" s="3">
        <v>4</v>
      </c>
      <c r="Q11" s="3">
        <v>6</v>
      </c>
      <c r="R11" t="b">
        <v>1</v>
      </c>
      <c r="T11" s="3">
        <f t="shared" si="3"/>
        <v>6</v>
      </c>
      <c r="U11" s="3">
        <v>4</v>
      </c>
      <c r="V11" s="3">
        <v>6</v>
      </c>
      <c r="W11" t="b">
        <v>0</v>
      </c>
      <c r="Y11" s="3">
        <f t="shared" si="4"/>
        <v>6</v>
      </c>
      <c r="Z11" s="3">
        <v>4</v>
      </c>
      <c r="AA11" s="3">
        <v>6</v>
      </c>
      <c r="AB11" t="b">
        <v>0</v>
      </c>
      <c r="AD11" s="3">
        <f t="shared" si="5"/>
        <v>6</v>
      </c>
      <c r="AE11" s="3">
        <v>4</v>
      </c>
      <c r="AF11" s="3">
        <v>6</v>
      </c>
      <c r="AG11" t="b">
        <v>0</v>
      </c>
      <c r="AI11" s="3">
        <f t="shared" si="6"/>
        <v>6</v>
      </c>
      <c r="AJ11" s="3">
        <v>4</v>
      </c>
      <c r="AK11" s="3">
        <v>6</v>
      </c>
      <c r="AL11" t="b">
        <v>0</v>
      </c>
      <c r="AN11" s="92"/>
      <c r="AO11" s="92"/>
      <c r="AP11" s="92"/>
    </row>
    <row r="12" spans="1:42" x14ac:dyDescent="0.35">
      <c r="A12">
        <v>5</v>
      </c>
      <c r="B12">
        <v>6</v>
      </c>
      <c r="C12">
        <v>8</v>
      </c>
      <c r="E12" s="92">
        <f t="shared" si="0"/>
        <v>7</v>
      </c>
      <c r="F12" s="92">
        <v>0</v>
      </c>
      <c r="G12" s="109" t="s">
        <v>240</v>
      </c>
      <c r="H12" s="28" t="b">
        <v>1</v>
      </c>
      <c r="J12" s="92">
        <f t="shared" si="1"/>
        <v>7</v>
      </c>
      <c r="K12" s="92">
        <v>0</v>
      </c>
      <c r="L12" s="92" t="s">
        <v>240</v>
      </c>
      <c r="M12" s="28" t="b">
        <v>1</v>
      </c>
      <c r="O12" s="92">
        <f t="shared" si="2"/>
        <v>7</v>
      </c>
      <c r="P12" s="92">
        <v>0</v>
      </c>
      <c r="Q12" s="92" t="s">
        <v>240</v>
      </c>
      <c r="R12" s="28" t="b">
        <v>1</v>
      </c>
      <c r="T12" s="92">
        <f t="shared" si="3"/>
        <v>7</v>
      </c>
      <c r="U12" s="92">
        <v>6</v>
      </c>
      <c r="V12" s="92">
        <v>11</v>
      </c>
      <c r="W12" s="28" t="b">
        <v>1</v>
      </c>
      <c r="Y12" s="92">
        <f t="shared" si="4"/>
        <v>7</v>
      </c>
      <c r="Z12" s="92">
        <v>6</v>
      </c>
      <c r="AA12" s="92">
        <v>11</v>
      </c>
      <c r="AB12" s="28" t="b">
        <v>1</v>
      </c>
      <c r="AD12" s="92">
        <f t="shared" si="5"/>
        <v>7</v>
      </c>
      <c r="AE12" s="92">
        <v>5</v>
      </c>
      <c r="AF12" s="92">
        <v>9</v>
      </c>
      <c r="AG12" s="28" t="b">
        <v>1</v>
      </c>
      <c r="AI12" s="92">
        <f t="shared" si="6"/>
        <v>7</v>
      </c>
      <c r="AJ12" s="92">
        <v>5</v>
      </c>
      <c r="AK12" s="92">
        <v>9</v>
      </c>
      <c r="AL12" s="28" t="b">
        <v>1</v>
      </c>
    </row>
    <row r="13" spans="1:42" x14ac:dyDescent="0.35">
      <c r="A13">
        <v>5</v>
      </c>
      <c r="B13">
        <v>7</v>
      </c>
      <c r="C13">
        <v>9</v>
      </c>
    </row>
    <row r="14" spans="1:42" x14ac:dyDescent="0.35">
      <c r="A14" s="28">
        <v>6</v>
      </c>
      <c r="B14" s="28">
        <v>7</v>
      </c>
      <c r="C14" s="28">
        <v>11</v>
      </c>
      <c r="G14" s="3"/>
      <c r="J14" s="3" t="s">
        <v>213</v>
      </c>
      <c r="K14" s="3">
        <v>4</v>
      </c>
      <c r="L14" s="3" t="s">
        <v>229</v>
      </c>
      <c r="M14" s="3">
        <v>2</v>
      </c>
      <c r="O14" s="3" t="s">
        <v>213</v>
      </c>
      <c r="P14" s="3">
        <v>5</v>
      </c>
      <c r="Q14" s="3" t="s">
        <v>229</v>
      </c>
      <c r="R14" s="3">
        <v>5</v>
      </c>
      <c r="T14" s="3" t="s">
        <v>213</v>
      </c>
      <c r="U14" s="3">
        <v>6</v>
      </c>
      <c r="V14" s="3" t="s">
        <v>229</v>
      </c>
      <c r="W14" s="3">
        <v>3</v>
      </c>
    </row>
    <row r="16" spans="1:42" x14ac:dyDescent="0.35">
      <c r="J16" s="92" t="s">
        <v>229</v>
      </c>
      <c r="K16" s="92" t="s">
        <v>3</v>
      </c>
      <c r="L16" s="92" t="s">
        <v>2</v>
      </c>
      <c r="M16" s="92" t="s">
        <v>239</v>
      </c>
      <c r="O16" s="92" t="s">
        <v>229</v>
      </c>
      <c r="P16" s="92" t="s">
        <v>3</v>
      </c>
      <c r="Q16" s="92" t="s">
        <v>2</v>
      </c>
      <c r="R16" s="92" t="s">
        <v>239</v>
      </c>
      <c r="T16" s="92" t="s">
        <v>229</v>
      </c>
      <c r="U16" s="92" t="s">
        <v>3</v>
      </c>
      <c r="V16" s="92" t="s">
        <v>2</v>
      </c>
      <c r="W16" s="92" t="s">
        <v>239</v>
      </c>
    </row>
    <row r="17" spans="10:23" x14ac:dyDescent="0.35">
      <c r="J17" s="3">
        <v>1</v>
      </c>
      <c r="K17" s="3">
        <v>0</v>
      </c>
      <c r="L17" s="3">
        <v>0</v>
      </c>
      <c r="M17" t="b">
        <v>0</v>
      </c>
      <c r="O17" s="3">
        <v>1</v>
      </c>
      <c r="P17" s="3">
        <v>0</v>
      </c>
      <c r="Q17" s="3">
        <v>0</v>
      </c>
      <c r="R17" t="b">
        <v>0</v>
      </c>
      <c r="T17" s="3">
        <v>1</v>
      </c>
      <c r="U17" s="3">
        <v>0</v>
      </c>
      <c r="V17" s="3">
        <v>0</v>
      </c>
      <c r="W17" t="b">
        <v>0</v>
      </c>
    </row>
    <row r="18" spans="10:23" x14ac:dyDescent="0.35">
      <c r="J18" s="3">
        <v>2</v>
      </c>
      <c r="K18" s="3">
        <v>1</v>
      </c>
      <c r="L18" s="3">
        <v>7</v>
      </c>
      <c r="M18" t="b">
        <v>0</v>
      </c>
      <c r="O18" s="3">
        <v>2</v>
      </c>
      <c r="P18" s="3">
        <v>1</v>
      </c>
      <c r="Q18" s="3">
        <v>7</v>
      </c>
      <c r="R18" t="b">
        <v>0</v>
      </c>
      <c r="T18" s="3">
        <v>2</v>
      </c>
      <c r="U18" s="3">
        <v>1</v>
      </c>
      <c r="V18" s="3">
        <v>7</v>
      </c>
      <c r="W18" t="b">
        <v>0</v>
      </c>
    </row>
    <row r="19" spans="10:23" x14ac:dyDescent="0.35">
      <c r="J19" s="3">
        <v>3</v>
      </c>
      <c r="K19" s="3">
        <v>2</v>
      </c>
      <c r="L19" s="3">
        <v>8</v>
      </c>
      <c r="M19" t="b">
        <v>1</v>
      </c>
      <c r="O19" s="3">
        <v>3</v>
      </c>
      <c r="P19" s="3">
        <v>2</v>
      </c>
      <c r="Q19" s="3">
        <v>8</v>
      </c>
      <c r="R19" t="b">
        <v>1</v>
      </c>
      <c r="T19" s="3">
        <v>3</v>
      </c>
      <c r="U19" s="3">
        <v>2</v>
      </c>
      <c r="V19" s="3">
        <v>8</v>
      </c>
      <c r="W19" t="b">
        <v>0</v>
      </c>
    </row>
    <row r="20" spans="10:23" x14ac:dyDescent="0.35">
      <c r="J20" s="3">
        <v>4</v>
      </c>
      <c r="K20" s="3">
        <v>1</v>
      </c>
      <c r="L20" s="3">
        <v>5</v>
      </c>
      <c r="M20" t="b">
        <v>0</v>
      </c>
      <c r="O20" s="3">
        <v>4</v>
      </c>
      <c r="P20" s="3">
        <v>1</v>
      </c>
      <c r="Q20" s="3">
        <v>5</v>
      </c>
      <c r="R20" t="b">
        <v>0</v>
      </c>
      <c r="T20" s="3">
        <v>4</v>
      </c>
      <c r="U20" s="3">
        <v>1</v>
      </c>
      <c r="V20" s="3">
        <v>5</v>
      </c>
      <c r="W20" t="b">
        <v>0</v>
      </c>
    </row>
    <row r="21" spans="10:23" x14ac:dyDescent="0.35">
      <c r="J21" s="3">
        <v>5</v>
      </c>
      <c r="K21" s="3">
        <v>2</v>
      </c>
      <c r="L21" s="3">
        <v>7</v>
      </c>
      <c r="M21" t="b">
        <v>1</v>
      </c>
      <c r="O21" s="3">
        <v>5</v>
      </c>
      <c r="P21" s="3">
        <v>2</v>
      </c>
      <c r="Q21" s="3">
        <v>7</v>
      </c>
      <c r="R21" t="b">
        <v>0</v>
      </c>
      <c r="T21" s="3">
        <v>5</v>
      </c>
      <c r="U21" s="3">
        <v>2</v>
      </c>
      <c r="V21" s="3">
        <v>7</v>
      </c>
      <c r="W21" t="b">
        <v>0</v>
      </c>
    </row>
    <row r="22" spans="10:23" x14ac:dyDescent="0.35">
      <c r="J22" s="3">
        <v>6</v>
      </c>
      <c r="K22" s="3">
        <v>4</v>
      </c>
      <c r="L22" s="3">
        <v>6</v>
      </c>
      <c r="M22" t="b">
        <v>0</v>
      </c>
      <c r="O22" s="3">
        <v>6</v>
      </c>
      <c r="P22" s="3">
        <v>4</v>
      </c>
      <c r="Q22" s="3">
        <v>6</v>
      </c>
      <c r="R22" t="b">
        <v>0</v>
      </c>
      <c r="T22" s="3">
        <v>6</v>
      </c>
      <c r="U22" s="3">
        <v>4</v>
      </c>
      <c r="V22" s="3">
        <v>6</v>
      </c>
      <c r="W22" t="b">
        <v>0</v>
      </c>
    </row>
    <row r="23" spans="10:23" x14ac:dyDescent="0.35">
      <c r="J23" s="92">
        <v>7</v>
      </c>
      <c r="K23" s="92">
        <v>6</v>
      </c>
      <c r="L23" s="92">
        <v>11</v>
      </c>
      <c r="M23" s="28" t="b">
        <v>1</v>
      </c>
      <c r="O23" s="92">
        <v>7</v>
      </c>
      <c r="P23" s="92">
        <v>5</v>
      </c>
      <c r="Q23" s="92">
        <v>9</v>
      </c>
      <c r="R23" s="28" t="b">
        <v>1</v>
      </c>
      <c r="T23" s="92">
        <v>7</v>
      </c>
      <c r="U23" s="92">
        <v>5</v>
      </c>
      <c r="V23" s="92">
        <v>9</v>
      </c>
      <c r="W23" s="28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ABC8-7602-48DD-B486-7276AB602ABE}">
  <sheetPr codeName="Sheet23"/>
  <dimension ref="A1:K15"/>
  <sheetViews>
    <sheetView topLeftCell="A3" workbookViewId="0">
      <selection activeCell="R22" sqref="R22"/>
    </sheetView>
  </sheetViews>
  <sheetFormatPr defaultRowHeight="14.5" x14ac:dyDescent="0.35"/>
  <cols>
    <col min="1" max="1" width="6.90625" customWidth="1"/>
    <col min="2" max="3" width="7.26953125" customWidth="1"/>
    <col min="4" max="4" width="5.7265625" customWidth="1"/>
    <col min="5" max="7" width="7.6328125" customWidth="1"/>
    <col min="8" max="8" width="5.54296875" customWidth="1"/>
    <col min="9" max="11" width="7.6328125" customWidth="1"/>
  </cols>
  <sheetData>
    <row r="1" spans="1:11" x14ac:dyDescent="0.35">
      <c r="A1" s="10" t="s">
        <v>245</v>
      </c>
    </row>
    <row r="2" spans="1:11" x14ac:dyDescent="0.35">
      <c r="A2" s="10"/>
    </row>
    <row r="3" spans="1:11" x14ac:dyDescent="0.35">
      <c r="A3" s="12" t="s">
        <v>244</v>
      </c>
      <c r="B3" s="12" t="s">
        <v>243</v>
      </c>
      <c r="C3" s="12" t="s">
        <v>242</v>
      </c>
      <c r="E3" s="103" t="s">
        <v>210</v>
      </c>
      <c r="F3" s="103" t="s">
        <v>211</v>
      </c>
      <c r="G3" s="103" t="s">
        <v>162</v>
      </c>
      <c r="I3" s="103" t="s">
        <v>210</v>
      </c>
      <c r="J3" s="103" t="s">
        <v>211</v>
      </c>
      <c r="K3" s="103" t="s">
        <v>162</v>
      </c>
    </row>
    <row r="4" spans="1:11" x14ac:dyDescent="0.35">
      <c r="A4" s="95">
        <v>1</v>
      </c>
      <c r="B4" s="95">
        <v>3</v>
      </c>
      <c r="C4" s="95">
        <v>4.5</v>
      </c>
      <c r="E4" t="e" cm="1">
        <f t="array" aca="1" ref="E4" ca="1">MSTVectors(B4:C15)</f>
        <v>#NAME?</v>
      </c>
      <c r="I4" t="e" cm="1">
        <f t="array" aca="1" ref="I4" ca="1">MSTVectors(B4:C15,,1)</f>
        <v>#NAME?</v>
      </c>
    </row>
    <row r="5" spans="1:11" x14ac:dyDescent="0.35">
      <c r="A5">
        <f t="shared" ref="A5:A15" si="0">A4+1</f>
        <v>2</v>
      </c>
      <c r="B5">
        <v>1</v>
      </c>
      <c r="C5">
        <v>5</v>
      </c>
    </row>
    <row r="6" spans="1:11" x14ac:dyDescent="0.35">
      <c r="A6">
        <f t="shared" si="0"/>
        <v>3</v>
      </c>
      <c r="B6">
        <v>5</v>
      </c>
      <c r="C6">
        <v>6.5</v>
      </c>
    </row>
    <row r="7" spans="1:11" x14ac:dyDescent="0.35">
      <c r="A7">
        <f t="shared" si="0"/>
        <v>4</v>
      </c>
      <c r="B7">
        <v>2.5</v>
      </c>
      <c r="C7">
        <v>5</v>
      </c>
    </row>
    <row r="8" spans="1:11" x14ac:dyDescent="0.35">
      <c r="A8">
        <f t="shared" si="0"/>
        <v>5</v>
      </c>
      <c r="B8">
        <v>7</v>
      </c>
      <c r="C8">
        <v>3</v>
      </c>
    </row>
    <row r="9" spans="1:11" x14ac:dyDescent="0.35">
      <c r="A9">
        <f t="shared" si="0"/>
        <v>6</v>
      </c>
      <c r="B9">
        <v>1.5</v>
      </c>
      <c r="C9">
        <v>1</v>
      </c>
    </row>
    <row r="10" spans="1:11" x14ac:dyDescent="0.35">
      <c r="A10">
        <f t="shared" si="0"/>
        <v>7</v>
      </c>
      <c r="B10">
        <v>4</v>
      </c>
      <c r="C10">
        <v>2.5</v>
      </c>
    </row>
    <row r="11" spans="1:11" x14ac:dyDescent="0.35">
      <c r="A11">
        <f t="shared" si="0"/>
        <v>8</v>
      </c>
      <c r="B11">
        <v>2</v>
      </c>
      <c r="C11">
        <v>2</v>
      </c>
    </row>
    <row r="12" spans="1:11" x14ac:dyDescent="0.35">
      <c r="A12">
        <f t="shared" si="0"/>
        <v>9</v>
      </c>
      <c r="B12">
        <v>8</v>
      </c>
      <c r="C12">
        <v>4</v>
      </c>
    </row>
    <row r="13" spans="1:11" x14ac:dyDescent="0.35">
      <c r="A13">
        <f t="shared" si="0"/>
        <v>10</v>
      </c>
      <c r="B13">
        <v>3</v>
      </c>
      <c r="C13">
        <v>9</v>
      </c>
    </row>
    <row r="14" spans="1:11" x14ac:dyDescent="0.35">
      <c r="A14">
        <f t="shared" si="0"/>
        <v>11</v>
      </c>
      <c r="B14">
        <v>4.5</v>
      </c>
      <c r="C14">
        <v>0.5</v>
      </c>
      <c r="E14" s="28"/>
      <c r="F14" s="28"/>
      <c r="G14" s="28"/>
      <c r="I14" s="28"/>
      <c r="J14" s="28"/>
      <c r="K14" s="28"/>
    </row>
    <row r="15" spans="1:11" x14ac:dyDescent="0.35">
      <c r="A15" s="28">
        <f t="shared" si="0"/>
        <v>12</v>
      </c>
      <c r="B15" s="28">
        <v>5</v>
      </c>
      <c r="C15" s="28">
        <v>2</v>
      </c>
      <c r="E15" t="e" cm="1">
        <f t="array" aca="1" ref="E15" ca="1">FTEXT(E4)</f>
        <v>#NAME?</v>
      </c>
      <c r="I15" t="e" cm="1">
        <f t="array" aca="1" ref="I15" ca="1">FTEXT(I4)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F0D4-A198-4FF5-8B8A-BC5B4373301E}">
  <sheetPr codeName="Sheet9"/>
  <dimension ref="A1:F14"/>
  <sheetViews>
    <sheetView workbookViewId="0">
      <selection activeCell="P12" sqref="P12"/>
    </sheetView>
  </sheetViews>
  <sheetFormatPr defaultRowHeight="14.5" x14ac:dyDescent="0.35"/>
  <cols>
    <col min="1" max="1" width="3.6328125" customWidth="1"/>
    <col min="2" max="3" width="5.1796875" customWidth="1"/>
    <col min="4" max="4" width="5.08984375" customWidth="1"/>
    <col min="5" max="6" width="6.453125" customWidth="1"/>
  </cols>
  <sheetData>
    <row r="1" spans="1:6" x14ac:dyDescent="0.35">
      <c r="A1" s="10" t="s">
        <v>241</v>
      </c>
    </row>
    <row r="3" spans="1:6" x14ac:dyDescent="0.35">
      <c r="B3" s="103" t="s">
        <v>159</v>
      </c>
      <c r="C3" s="103" t="s">
        <v>160</v>
      </c>
      <c r="E3" s="103" t="s">
        <v>210</v>
      </c>
      <c r="F3" s="103" t="s">
        <v>211</v>
      </c>
    </row>
    <row r="4" spans="1:6" x14ac:dyDescent="0.35">
      <c r="A4">
        <v>1</v>
      </c>
      <c r="B4">
        <v>1</v>
      </c>
      <c r="C4">
        <v>5</v>
      </c>
      <c r="E4">
        <v>2</v>
      </c>
      <c r="F4">
        <v>3</v>
      </c>
    </row>
    <row r="5" spans="1:6" x14ac:dyDescent="0.35">
      <c r="A5">
        <v>2</v>
      </c>
      <c r="B5">
        <v>2</v>
      </c>
      <c r="C5">
        <v>8</v>
      </c>
      <c r="E5">
        <v>1</v>
      </c>
      <c r="F5">
        <v>3</v>
      </c>
    </row>
    <row r="6" spans="1:6" x14ac:dyDescent="0.35">
      <c r="A6">
        <v>3</v>
      </c>
      <c r="B6">
        <v>3</v>
      </c>
      <c r="C6">
        <v>7</v>
      </c>
      <c r="E6">
        <v>1</v>
      </c>
      <c r="F6">
        <v>4</v>
      </c>
    </row>
    <row r="7" spans="1:6" x14ac:dyDescent="0.35">
      <c r="A7">
        <v>4</v>
      </c>
      <c r="B7">
        <v>5</v>
      </c>
      <c r="C7">
        <v>1</v>
      </c>
      <c r="E7">
        <v>4</v>
      </c>
      <c r="F7">
        <v>5</v>
      </c>
    </row>
    <row r="8" spans="1:6" x14ac:dyDescent="0.35">
      <c r="A8">
        <v>5</v>
      </c>
      <c r="B8">
        <v>6</v>
      </c>
      <c r="C8">
        <v>0</v>
      </c>
      <c r="E8">
        <v>5</v>
      </c>
      <c r="F8">
        <v>6</v>
      </c>
    </row>
    <row r="9" spans="1:6" x14ac:dyDescent="0.35">
      <c r="A9">
        <v>6</v>
      </c>
      <c r="B9">
        <v>8</v>
      </c>
      <c r="C9">
        <v>1</v>
      </c>
      <c r="E9">
        <v>6</v>
      </c>
      <c r="F9">
        <v>7</v>
      </c>
    </row>
    <row r="10" spans="1:6" x14ac:dyDescent="0.35">
      <c r="A10">
        <v>7</v>
      </c>
      <c r="B10">
        <v>9</v>
      </c>
      <c r="C10">
        <v>4</v>
      </c>
      <c r="E10">
        <v>8</v>
      </c>
      <c r="F10">
        <v>10</v>
      </c>
    </row>
    <row r="11" spans="1:6" x14ac:dyDescent="0.35">
      <c r="A11">
        <v>8</v>
      </c>
      <c r="B11">
        <v>12</v>
      </c>
      <c r="C11">
        <v>10</v>
      </c>
      <c r="E11">
        <v>7</v>
      </c>
      <c r="F11">
        <v>9</v>
      </c>
    </row>
    <row r="12" spans="1:6" x14ac:dyDescent="0.35">
      <c r="A12">
        <v>9</v>
      </c>
      <c r="B12">
        <v>13</v>
      </c>
      <c r="C12">
        <v>2</v>
      </c>
      <c r="E12">
        <v>9</v>
      </c>
      <c r="F12">
        <v>10</v>
      </c>
    </row>
    <row r="13" spans="1:6" x14ac:dyDescent="0.35">
      <c r="A13">
        <v>10</v>
      </c>
      <c r="B13" s="28">
        <v>15</v>
      </c>
      <c r="C13" s="28">
        <v>6</v>
      </c>
      <c r="E13">
        <v>4</v>
      </c>
      <c r="F13">
        <v>8</v>
      </c>
    </row>
    <row r="14" spans="1:6" x14ac:dyDescent="0.35">
      <c r="E14" s="28">
        <v>3</v>
      </c>
      <c r="F14" s="28">
        <v>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EDBE-7566-4FDE-B45F-7399D6554677}">
  <sheetPr codeName="Sheet74"/>
  <dimension ref="A1:K17"/>
  <sheetViews>
    <sheetView workbookViewId="0"/>
  </sheetViews>
  <sheetFormatPr defaultRowHeight="14.5" x14ac:dyDescent="0.35"/>
  <cols>
    <col min="1" max="1" width="4.26953125" customWidth="1"/>
    <col min="3" max="3" width="5.7265625" customWidth="1"/>
    <col min="6" max="6" width="3.7265625" customWidth="1"/>
    <col min="7" max="7" width="30.453125" customWidth="1"/>
    <col min="8" max="8" width="9.26953125" bestFit="1" customWidth="1"/>
    <col min="9" max="9" width="9.1796875" customWidth="1"/>
    <col min="10" max="10" width="3.7265625" customWidth="1"/>
    <col min="11" max="11" width="18.81640625" customWidth="1"/>
    <col min="14" max="14" width="15" customWidth="1"/>
    <col min="21" max="21" width="3.26953125" customWidth="1"/>
    <col min="22" max="22" width="24.453125" customWidth="1"/>
  </cols>
  <sheetData>
    <row r="1" spans="1:11" x14ac:dyDescent="0.35">
      <c r="A1" s="10" t="s">
        <v>265</v>
      </c>
    </row>
    <row r="3" spans="1:11" x14ac:dyDescent="0.35">
      <c r="A3" t="s">
        <v>266</v>
      </c>
      <c r="B3" s="85" t="s">
        <v>267</v>
      </c>
      <c r="D3" t="s">
        <v>268</v>
      </c>
      <c r="E3" s="85" t="str">
        <f>IMSUM(B3,B5)</f>
        <v>3+2i</v>
      </c>
      <c r="G3" t="e">
        <f ca="1">FTEXT(E3)</f>
        <v>#NAME?</v>
      </c>
      <c r="H3" t="s">
        <v>269</v>
      </c>
      <c r="I3" s="85">
        <f>IMREAL(B5)</f>
        <v>2</v>
      </c>
      <c r="K3" t="e">
        <f ca="1">FTEXT(I3)</f>
        <v>#NAME?</v>
      </c>
    </row>
    <row r="5" spans="1:11" x14ac:dyDescent="0.35">
      <c r="A5" t="s">
        <v>270</v>
      </c>
      <c r="B5" s="85" t="s">
        <v>271</v>
      </c>
      <c r="D5" t="s">
        <v>272</v>
      </c>
      <c r="E5" s="85" t="str">
        <f>IMSUB(B3,B5)</f>
        <v>-1</v>
      </c>
      <c r="G5" t="e">
        <f ca="1">FTEXT(E5)</f>
        <v>#NAME?</v>
      </c>
      <c r="H5" t="s">
        <v>273</v>
      </c>
      <c r="I5" s="85">
        <f>IMAGINARY(B5)</f>
        <v>1</v>
      </c>
      <c r="K5" t="e">
        <f ca="1">FTEXT(I5)</f>
        <v>#NAME?</v>
      </c>
    </row>
    <row r="7" spans="1:11" x14ac:dyDescent="0.35">
      <c r="A7" t="s">
        <v>274</v>
      </c>
      <c r="B7" s="85">
        <f>1+2</f>
        <v>3</v>
      </c>
      <c r="D7" t="s">
        <v>275</v>
      </c>
      <c r="E7" s="85" t="str">
        <f>IMPRODUCT(B3,B5)</f>
        <v>1+3i</v>
      </c>
      <c r="G7" t="e">
        <f ca="1">FTEXT(E7)</f>
        <v>#NAME?</v>
      </c>
      <c r="H7" t="s">
        <v>276</v>
      </c>
      <c r="I7" s="85">
        <f>IMABS(B5)</f>
        <v>2.2360679774997898</v>
      </c>
      <c r="K7" t="e">
        <f ca="1">FTEXT(I7)</f>
        <v>#NAME?</v>
      </c>
    </row>
    <row r="9" spans="1:11" x14ac:dyDescent="0.35">
      <c r="D9" t="s">
        <v>277</v>
      </c>
      <c r="E9" s="85" t="str">
        <f>IMDIV(B3,B5)</f>
        <v>0.6+0.2i</v>
      </c>
      <c r="G9" t="e">
        <f ca="1">FTEXT(E9)</f>
        <v>#NAME?</v>
      </c>
      <c r="H9" t="s">
        <v>278</v>
      </c>
      <c r="I9" s="85" t="str">
        <f>IMCONJUGATE(B5)</f>
        <v>2-i</v>
      </c>
      <c r="K9" t="e">
        <f ca="1">FTEXT(I9)</f>
        <v>#NAME?</v>
      </c>
    </row>
    <row r="11" spans="1:11" x14ac:dyDescent="0.35">
      <c r="D11" t="s">
        <v>279</v>
      </c>
      <c r="E11" s="85" t="str">
        <f>IMPRODUCT(B7,B5)</f>
        <v>6+3i</v>
      </c>
      <c r="G11" t="e">
        <f ca="1">FTEXT(E11)</f>
        <v>#NAME?</v>
      </c>
      <c r="H11" t="s">
        <v>270</v>
      </c>
      <c r="I11" s="85" t="str">
        <f>COMPLEX(2,1)</f>
        <v>2+i</v>
      </c>
      <c r="K11" t="e">
        <f ca="1">FTEXT(I11)</f>
        <v>#NAME?</v>
      </c>
    </row>
    <row r="13" spans="1:11" x14ac:dyDescent="0.35">
      <c r="D13" t="s">
        <v>280</v>
      </c>
      <c r="E13" s="85" t="str">
        <f>IMDIV(1,B5)</f>
        <v>0.4-0.2i</v>
      </c>
      <c r="G13" t="e">
        <f ca="1">FTEXT(E13)</f>
        <v>#NAME?</v>
      </c>
      <c r="H13" t="s">
        <v>281</v>
      </c>
      <c r="I13" s="85">
        <f>IMABS("-3+4i")</f>
        <v>5</v>
      </c>
      <c r="K13" t="e">
        <f ca="1">FTEXT(I13)</f>
        <v>#NAME?</v>
      </c>
    </row>
    <row r="15" spans="1:11" x14ac:dyDescent="0.35">
      <c r="D15" t="s">
        <v>282</v>
      </c>
      <c r="E15" s="85" t="str">
        <f>IMPRODUCT(IMSUM(B3,B5),B3)</f>
        <v>1+5i</v>
      </c>
      <c r="G15" t="e">
        <f ca="1">FTEXT(E15)</f>
        <v>#NAME?</v>
      </c>
      <c r="H15" t="s">
        <v>283</v>
      </c>
      <c r="I15" s="85" t="str">
        <f>IMSQRT("3+4i")</f>
        <v>2+i</v>
      </c>
      <c r="K15" t="e">
        <f ca="1">FTEXT(I15)</f>
        <v>#NAME?</v>
      </c>
    </row>
    <row r="17" spans="4:7" x14ac:dyDescent="0.35">
      <c r="D17" t="s">
        <v>284</v>
      </c>
      <c r="E17" s="85" t="str">
        <f>IMPOWER(B5,3)</f>
        <v>2+11i</v>
      </c>
      <c r="G17" t="e">
        <f ca="1">FTEXT(E17)</f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BA12-180A-4AD8-BE32-08658EB3ABE9}">
  <sheetPr codeName="Sheet38"/>
  <dimension ref="A1:N21"/>
  <sheetViews>
    <sheetView workbookViewId="0"/>
  </sheetViews>
  <sheetFormatPr defaultRowHeight="14.5" x14ac:dyDescent="0.35"/>
  <cols>
    <col min="1" max="1" width="4.26953125" customWidth="1"/>
    <col min="4" max="4" width="5.453125" customWidth="1"/>
    <col min="5" max="5" width="9.81640625" customWidth="1"/>
    <col min="8" max="8" width="3.54296875" customWidth="1"/>
    <col min="9" max="9" width="31.1796875" customWidth="1"/>
    <col min="13" max="13" width="3.26953125" customWidth="1"/>
    <col min="14" max="14" width="15.453125" customWidth="1"/>
  </cols>
  <sheetData>
    <row r="1" spans="1:14" x14ac:dyDescent="0.35">
      <c r="A1" s="10" t="s">
        <v>265</v>
      </c>
    </row>
    <row r="3" spans="1:14" x14ac:dyDescent="0.35">
      <c r="A3" t="s">
        <v>266</v>
      </c>
      <c r="B3" s="15">
        <v>1</v>
      </c>
      <c r="C3" s="38">
        <v>1</v>
      </c>
      <c r="E3" t="s">
        <v>268</v>
      </c>
      <c r="F3" s="15" t="e">
        <f t="array" aca="1" ref="F3:G3" ca="1">CAdd(B3:C3,B5:C5)</f>
        <v>#NAME?</v>
      </c>
      <c r="G3" s="38" t="e">
        <f ca="1"/>
        <v>#NAME?</v>
      </c>
      <c r="I3" t="e">
        <f ca="1">FTEXT(F3)</f>
        <v>#NAME?</v>
      </c>
      <c r="J3" t="s">
        <v>269</v>
      </c>
      <c r="K3" s="85" t="e">
        <f ca="1">CReal(B5:C5)</f>
        <v>#NAME?</v>
      </c>
      <c r="N3" t="e">
        <f ca="1">FTEXT(K3)</f>
        <v>#NAME?</v>
      </c>
    </row>
    <row r="5" spans="1:14" x14ac:dyDescent="0.35">
      <c r="A5" t="s">
        <v>270</v>
      </c>
      <c r="B5" s="15">
        <v>2</v>
      </c>
      <c r="C5" s="38">
        <v>1</v>
      </c>
      <c r="E5" t="s">
        <v>272</v>
      </c>
      <c r="F5" s="15" t="e">
        <f t="array" aca="1" ref="F5:G5" ca="1">CSub(B3:C3,B5:C5)</f>
        <v>#NAME?</v>
      </c>
      <c r="G5" s="38" t="e">
        <f ca="1"/>
        <v>#NAME?</v>
      </c>
      <c r="I5" t="e">
        <f ca="1">FTEXT(F5)</f>
        <v>#NAME?</v>
      </c>
      <c r="J5" t="s">
        <v>273</v>
      </c>
      <c r="K5" s="85" t="e">
        <f ca="1">CImag(B5:C5)</f>
        <v>#NAME?</v>
      </c>
      <c r="N5" t="e">
        <f ca="1">FTEXT(K5)</f>
        <v>#NAME?</v>
      </c>
    </row>
    <row r="7" spans="1:14" x14ac:dyDescent="0.35">
      <c r="A7" t="s">
        <v>274</v>
      </c>
      <c r="B7" s="15">
        <v>3</v>
      </c>
      <c r="C7" s="38">
        <v>0</v>
      </c>
      <c r="E7" t="s">
        <v>275</v>
      </c>
      <c r="F7" s="15" t="e">
        <f t="array" aca="1" ref="F7:G7" ca="1">CMult(B3:C3,B5:C5)</f>
        <v>#NAME?</v>
      </c>
      <c r="G7" s="38" t="e">
        <f ca="1"/>
        <v>#NAME?</v>
      </c>
      <c r="I7" t="e">
        <f ca="1">FTEXT(F7)</f>
        <v>#NAME?</v>
      </c>
      <c r="J7" t="s">
        <v>276</v>
      </c>
      <c r="K7" s="85" t="e">
        <f ca="1">CAbs(B5:C5)</f>
        <v>#NAME?</v>
      </c>
      <c r="N7" t="e">
        <f ca="1">FTEXT(K7)</f>
        <v>#NAME?</v>
      </c>
    </row>
    <row r="9" spans="1:14" x14ac:dyDescent="0.35">
      <c r="E9" t="s">
        <v>277</v>
      </c>
      <c r="F9" s="15" t="e">
        <f t="array" aca="1" ref="F9:G9" ca="1">CDiv(B3:C3,B5:C5)</f>
        <v>#NAME?</v>
      </c>
      <c r="G9" s="38" t="e">
        <f ca="1"/>
        <v>#NAME?</v>
      </c>
      <c r="I9" t="e">
        <f ca="1">FTEXT(F9)</f>
        <v>#NAME?</v>
      </c>
      <c r="J9" t="s">
        <v>278</v>
      </c>
      <c r="K9" s="15" t="e">
        <f t="array" aca="1" ref="K9:L9" ca="1">CConj(B5:C5)</f>
        <v>#NAME?</v>
      </c>
      <c r="L9" s="38" t="e">
        <f ca="1"/>
        <v>#NAME?</v>
      </c>
      <c r="N9" t="e">
        <f ca="1">FTEXT(K9)</f>
        <v>#NAME?</v>
      </c>
    </row>
    <row r="11" spans="1:14" x14ac:dyDescent="0.35">
      <c r="E11" t="s">
        <v>285</v>
      </c>
      <c r="F11" s="15" t="e">
        <f t="array" aca="1" ref="F11:G11" ca="1">CMult(B7:C7,B5:C5)</f>
        <v>#NAME?</v>
      </c>
      <c r="G11" s="38" t="e">
        <f ca="1"/>
        <v>#NAME?</v>
      </c>
      <c r="I11" t="e">
        <f ca="1">FTEXT(F11)</f>
        <v>#NAME?</v>
      </c>
      <c r="J11" t="s">
        <v>270</v>
      </c>
      <c r="K11" s="15">
        <f t="array" ref="K11:L11">{2,1}</f>
        <v>2</v>
      </c>
      <c r="L11" s="38">
        <v>1</v>
      </c>
      <c r="N11" t="e">
        <f ca="1">FTEXT(K11)</f>
        <v>#NAME?</v>
      </c>
    </row>
    <row r="13" spans="1:14" x14ac:dyDescent="0.35">
      <c r="E13" t="s">
        <v>286</v>
      </c>
      <c r="F13" s="15" t="e">
        <f t="array" aca="1" ref="F13:G13" ca="1">CMult({0,1},B5:C5)</f>
        <v>#NAME?</v>
      </c>
      <c r="G13" s="38" t="e">
        <f ca="1"/>
        <v>#NAME?</v>
      </c>
      <c r="I13" t="e">
        <f ca="1">FTEXT(F13)</f>
        <v>#NAME?</v>
      </c>
      <c r="J13" t="s">
        <v>281</v>
      </c>
      <c r="K13" s="85" t="e">
        <f ca="1">CAbs({-3,4})</f>
        <v>#NAME?</v>
      </c>
      <c r="N13" t="e">
        <f ca="1">FTEXT(K13)</f>
        <v>#NAME?</v>
      </c>
    </row>
    <row r="15" spans="1:14" x14ac:dyDescent="0.35">
      <c r="E15" t="s">
        <v>280</v>
      </c>
      <c r="F15" s="15" t="e">
        <f t="array" aca="1" ref="F15:G15" ca="1">CDiv({1,0},B5:C5)</f>
        <v>#NAME?</v>
      </c>
      <c r="G15" s="38" t="e">
        <f ca="1"/>
        <v>#NAME?</v>
      </c>
      <c r="I15" t="e">
        <f ca="1">FTEXT(F15)</f>
        <v>#NAME?</v>
      </c>
      <c r="J15" t="s">
        <v>270</v>
      </c>
      <c r="K15" s="15" t="e">
        <f t="array" aca="1" ref="K15:L15" ca="1">CSet(B5,C5)</f>
        <v>#NAME?</v>
      </c>
      <c r="L15" s="38" t="e">
        <f ca="1"/>
        <v>#NAME?</v>
      </c>
      <c r="N15" t="e">
        <f ca="1">FTEXT(K15)</f>
        <v>#NAME?</v>
      </c>
    </row>
    <row r="17" spans="5:14" x14ac:dyDescent="0.35">
      <c r="E17" t="s">
        <v>282</v>
      </c>
      <c r="F17" s="15" t="e">
        <f t="array" aca="1" ref="F17:G17" ca="1">CMult(CAdd(B3:C3,B5:C5),B3:C3)</f>
        <v>#NAME?</v>
      </c>
      <c r="G17" s="38" t="e">
        <f ca="1"/>
        <v>#NAME?</v>
      </c>
      <c r="I17" t="e">
        <f ca="1">FTEXT(F17)</f>
        <v>#NAME?</v>
      </c>
      <c r="J17" t="s">
        <v>271</v>
      </c>
      <c r="K17" s="15" t="e">
        <f t="array" aca="1" ref="K17:L17" ca="1">CMap(J17)</f>
        <v>#NAME?</v>
      </c>
      <c r="L17" s="38" t="e">
        <f ca="1"/>
        <v>#NAME?</v>
      </c>
      <c r="N17" t="e">
        <f ca="1">FTEXT(K17)</f>
        <v>#NAME?</v>
      </c>
    </row>
    <row r="19" spans="5:14" x14ac:dyDescent="0.35">
      <c r="E19" t="s">
        <v>287</v>
      </c>
      <c r="F19" s="15" t="e">
        <f t="array" aca="1" ref="F19:G19" ca="1">CPower(B5:C5,3)</f>
        <v>#NAME?</v>
      </c>
      <c r="G19" s="38" t="e">
        <f ca="1"/>
        <v>#NAME?</v>
      </c>
      <c r="I19" t="e">
        <f ca="1">FTEXT(F19)</f>
        <v>#NAME?</v>
      </c>
      <c r="J19" t="s">
        <v>270</v>
      </c>
      <c r="K19" s="85" t="e">
        <f ca="1">CText(B5:C5)</f>
        <v>#NAME?</v>
      </c>
      <c r="N19" t="e">
        <f ca="1">FTEXT(K19)</f>
        <v>#NAME?</v>
      </c>
    </row>
    <row r="21" spans="5:14" x14ac:dyDescent="0.35">
      <c r="E21" t="s">
        <v>283</v>
      </c>
      <c r="F21" s="15" t="e">
        <f t="array" aca="1" ref="F21:G21" ca="1">CPower({3,4},0.5)</f>
        <v>#NAME?</v>
      </c>
      <c r="G21" s="38" t="e">
        <f ca="1"/>
        <v>#NAME?</v>
      </c>
      <c r="I21" t="e">
        <f ca="1">FTEXT(F21)</f>
        <v>#NAME?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AEB3-9088-4C93-B03D-5A65D0BAF89E}">
  <sheetPr codeName="Sheet39"/>
  <dimension ref="A1:K9"/>
  <sheetViews>
    <sheetView workbookViewId="0"/>
  </sheetViews>
  <sheetFormatPr defaultRowHeight="14.5" x14ac:dyDescent="0.35"/>
  <cols>
    <col min="1" max="1" width="10.81640625" customWidth="1"/>
    <col min="4" max="4" width="3.453125" customWidth="1"/>
    <col min="7" max="7" width="3.453125" customWidth="1"/>
    <col min="10" max="10" width="3.453125" customWidth="1"/>
    <col min="11" max="11" width="16.7265625" customWidth="1"/>
  </cols>
  <sheetData>
    <row r="1" spans="1:11" x14ac:dyDescent="0.35">
      <c r="A1" s="10" t="s">
        <v>288</v>
      </c>
    </row>
    <row r="3" spans="1:11" x14ac:dyDescent="0.35">
      <c r="A3" t="s">
        <v>289</v>
      </c>
      <c r="B3" s="94">
        <v>1</v>
      </c>
      <c r="C3" s="96">
        <v>0</v>
      </c>
      <c r="E3" s="94">
        <v>0</v>
      </c>
      <c r="F3" s="96">
        <v>-1</v>
      </c>
      <c r="H3" s="94">
        <v>1</v>
      </c>
      <c r="I3" s="96">
        <v>1</v>
      </c>
    </row>
    <row r="4" spans="1:11" x14ac:dyDescent="0.35">
      <c r="A4" t="s">
        <v>290</v>
      </c>
      <c r="B4" s="30" t="e">
        <f t="array" aca="1" ref="B4:C4" ca="1">CPolar(B3:C3)</f>
        <v>#NAME?</v>
      </c>
      <c r="C4" s="26" t="e">
        <f ca="1"/>
        <v>#NAME?</v>
      </c>
      <c r="E4" s="30" t="e">
        <f t="array" aca="1" ref="E4:F4" ca="1">CPolar(E3:F3)</f>
        <v>#NAME?</v>
      </c>
      <c r="F4" s="26" t="e">
        <f ca="1"/>
        <v>#NAME?</v>
      </c>
      <c r="H4" s="30" t="e">
        <f t="array" aca="1" ref="H4:I4" ca="1">CPolar(H3:I3)</f>
        <v>#NAME?</v>
      </c>
      <c r="I4" s="26" t="e">
        <f ca="1"/>
        <v>#NAME?</v>
      </c>
      <c r="K4" t="e">
        <f ca="1">FTEXT(B4)</f>
        <v>#NAME?</v>
      </c>
    </row>
    <row r="5" spans="1:11" x14ac:dyDescent="0.35">
      <c r="A5" t="s">
        <v>291</v>
      </c>
      <c r="B5" s="7" t="e">
        <f t="array" aca="1" ref="B5:C5" ca="1">CRect(B4:C4)</f>
        <v>#NAME?</v>
      </c>
      <c r="C5" s="9" t="e">
        <f ca="1"/>
        <v>#NAME?</v>
      </c>
      <c r="E5" s="7" t="e">
        <f t="array" aca="1" ref="E5:F5" ca="1">CRect(E4:F4)</f>
        <v>#NAME?</v>
      </c>
      <c r="F5" s="9" t="e">
        <f ca="1"/>
        <v>#NAME?</v>
      </c>
      <c r="H5" s="7" t="e">
        <f t="array" aca="1" ref="H5:I5" ca="1">CRect(H4:I4)</f>
        <v>#NAME?</v>
      </c>
      <c r="I5" s="9" t="e">
        <f ca="1"/>
        <v>#NAME?</v>
      </c>
      <c r="K5" t="e">
        <f ca="1">FTEXT(B5)</f>
        <v>#NAME?</v>
      </c>
    </row>
    <row r="6" spans="1:11" x14ac:dyDescent="0.35">
      <c r="K6" t="e">
        <f ca="1">FTEXT(B6)</f>
        <v>#NAME?</v>
      </c>
    </row>
    <row r="7" spans="1:11" x14ac:dyDescent="0.35">
      <c r="A7" t="s">
        <v>292</v>
      </c>
      <c r="B7" s="94" t="e">
        <f t="array" aca="1" ref="B7:C9" ca="1">CRoots(B3:C3,3)</f>
        <v>#NAME?</v>
      </c>
      <c r="C7" s="96" t="e">
        <f ca="1"/>
        <v>#NAME?</v>
      </c>
      <c r="E7" s="94" t="e">
        <f t="array" aca="1" ref="E7:F9" ca="1">CRoots(E3:F3,3)</f>
        <v>#NAME?</v>
      </c>
      <c r="F7" s="96" t="e">
        <f ca="1"/>
        <v>#NAME?</v>
      </c>
      <c r="H7" s="94" t="e">
        <f t="array" aca="1" ref="H7:I9" ca="1">CRoots(H3:I3,3)</f>
        <v>#NAME?</v>
      </c>
      <c r="I7" s="96" t="e">
        <f ca="1"/>
        <v>#NAME?</v>
      </c>
      <c r="K7" t="e">
        <f ca="1">FTEXT(B7)</f>
        <v>#NAME?</v>
      </c>
    </row>
    <row r="8" spans="1:11" x14ac:dyDescent="0.35">
      <c r="B8" s="30" t="e">
        <f ca="1"/>
        <v>#NAME?</v>
      </c>
      <c r="C8" s="26" t="e">
        <f ca="1"/>
        <v>#NAME?</v>
      </c>
      <c r="E8" s="30" t="e">
        <f ca="1"/>
        <v>#NAME?</v>
      </c>
      <c r="F8" s="26" t="e">
        <f ca="1"/>
        <v>#NAME?</v>
      </c>
      <c r="H8" s="30" t="e">
        <f ca="1"/>
        <v>#NAME?</v>
      </c>
      <c r="I8" s="26" t="e">
        <f ca="1"/>
        <v>#NAME?</v>
      </c>
    </row>
    <row r="9" spans="1:11" x14ac:dyDescent="0.35">
      <c r="B9" s="7" t="e">
        <f ca="1"/>
        <v>#NAME?</v>
      </c>
      <c r="C9" s="9" t="e">
        <f ca="1"/>
        <v>#NAME?</v>
      </c>
      <c r="E9" s="7" t="e">
        <f ca="1"/>
        <v>#NAME?</v>
      </c>
      <c r="F9" s="9" t="e">
        <f ca="1"/>
        <v>#NAME?</v>
      </c>
      <c r="H9" s="7" t="e">
        <f ca="1"/>
        <v>#NAME?</v>
      </c>
      <c r="I9" s="9" t="e">
        <f ca="1"/>
        <v>#NAME?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48B4-EC35-4833-83F1-219F688D4869}">
  <sheetPr codeName="Sheet42"/>
  <dimension ref="A1:U25"/>
  <sheetViews>
    <sheetView topLeftCell="A2" workbookViewId="0"/>
  </sheetViews>
  <sheetFormatPr defaultRowHeight="14.5" x14ac:dyDescent="0.35"/>
  <cols>
    <col min="1" max="1" width="3.26953125" customWidth="1"/>
    <col min="2" max="6" width="5.7265625" customWidth="1"/>
    <col min="7" max="7" width="8" customWidth="1"/>
    <col min="8" max="11" width="5.7265625" customWidth="1"/>
    <col min="12" max="12" width="2.26953125" customWidth="1"/>
    <col min="13" max="13" width="18.54296875" customWidth="1"/>
    <col min="14" max="14" width="3.1796875" customWidth="1"/>
    <col min="15" max="15" width="7.453125" customWidth="1"/>
    <col min="20" max="20" width="2.26953125" customWidth="1"/>
    <col min="21" max="21" width="25.453125" customWidth="1"/>
  </cols>
  <sheetData>
    <row r="1" spans="1:21" s="120" customFormat="1" ht="15" customHeight="1" x14ac:dyDescent="0.35">
      <c r="A1" s="119" t="s">
        <v>293</v>
      </c>
    </row>
    <row r="2" spans="1:21" s="120" customFormat="1" ht="15" customHeight="1" x14ac:dyDescent="0.35"/>
    <row r="3" spans="1:21" s="120" customFormat="1" ht="15" customHeight="1" x14ac:dyDescent="0.35">
      <c r="A3" s="120" t="s">
        <v>255</v>
      </c>
      <c r="B3" s="121">
        <v>1</v>
      </c>
      <c r="C3" s="122">
        <v>4</v>
      </c>
      <c r="D3" s="121">
        <v>1</v>
      </c>
      <c r="E3" s="123">
        <v>0</v>
      </c>
      <c r="G3" s="120" t="s">
        <v>294</v>
      </c>
      <c r="H3" s="121" t="e">
        <f t="array" aca="1" ref="H3:K4" ca="1">ZAdd(B3:E4,B6:E7)</f>
        <v>#NAME?</v>
      </c>
      <c r="I3" s="122" t="e">
        <f ca="1"/>
        <v>#NAME?</v>
      </c>
      <c r="J3" s="121" t="e">
        <f ca="1"/>
        <v>#NAME?</v>
      </c>
      <c r="K3" s="123" t="e">
        <f ca="1"/>
        <v>#NAME?</v>
      </c>
      <c r="M3" s="120" t="e">
        <f ca="1">FTEXT(H3)</f>
        <v>#NAME?</v>
      </c>
      <c r="O3" s="120" t="s">
        <v>295</v>
      </c>
      <c r="P3" s="121" t="e">
        <f t="array" aca="1" ref="P3:S4" ca="1">ZInverse(B3:E4)</f>
        <v>#NAME?</v>
      </c>
      <c r="Q3" s="122" t="e">
        <f ca="1"/>
        <v>#NAME?</v>
      </c>
      <c r="R3" s="121" t="e">
        <f ca="1"/>
        <v>#NAME?</v>
      </c>
      <c r="S3" s="123" t="e">
        <f ca="1"/>
        <v>#NAME?</v>
      </c>
      <c r="U3" s="120" t="e">
        <f ca="1">FTEXT(P3)</f>
        <v>#NAME?</v>
      </c>
    </row>
    <row r="4" spans="1:21" s="120" customFormat="1" ht="15" customHeight="1" x14ac:dyDescent="0.35">
      <c r="B4" s="124">
        <v>2</v>
      </c>
      <c r="C4" s="125">
        <v>0</v>
      </c>
      <c r="D4" s="124">
        <v>-1</v>
      </c>
      <c r="E4" s="126">
        <v>1</v>
      </c>
      <c r="H4" s="124" t="e">
        <f ca="1"/>
        <v>#NAME?</v>
      </c>
      <c r="I4" s="125" t="e">
        <f ca="1"/>
        <v>#NAME?</v>
      </c>
      <c r="J4" s="124" t="e">
        <f ca="1"/>
        <v>#NAME?</v>
      </c>
      <c r="K4" s="126" t="e">
        <f ca="1"/>
        <v>#NAME?</v>
      </c>
      <c r="P4" s="124" t="e">
        <f ca="1"/>
        <v>#NAME?</v>
      </c>
      <c r="Q4" s="125" t="e">
        <f ca="1"/>
        <v>#NAME?</v>
      </c>
      <c r="R4" s="124" t="e">
        <f ca="1"/>
        <v>#NAME?</v>
      </c>
      <c r="S4" s="126" t="e">
        <f ca="1"/>
        <v>#NAME?</v>
      </c>
    </row>
    <row r="5" spans="1:21" s="120" customFormat="1" ht="15" customHeight="1" x14ac:dyDescent="0.35"/>
    <row r="6" spans="1:21" s="120" customFormat="1" ht="15" customHeight="1" x14ac:dyDescent="0.35">
      <c r="A6" s="120" t="s">
        <v>296</v>
      </c>
      <c r="B6" s="121">
        <v>1</v>
      </c>
      <c r="C6" s="122">
        <v>3</v>
      </c>
      <c r="D6" s="121">
        <v>4</v>
      </c>
      <c r="E6" s="123">
        <v>1</v>
      </c>
      <c r="G6" s="120" t="s">
        <v>297</v>
      </c>
      <c r="H6" s="121" t="e">
        <f t="array" aca="1" ref="H6:K7" ca="1">ZSub(B3:E4,B6:E7)</f>
        <v>#NAME?</v>
      </c>
      <c r="I6" s="122" t="e">
        <f ca="1"/>
        <v>#NAME?</v>
      </c>
      <c r="J6" s="121" t="e">
        <f ca="1"/>
        <v>#NAME?</v>
      </c>
      <c r="K6" s="123" t="e">
        <f ca="1"/>
        <v>#NAME?</v>
      </c>
      <c r="M6" s="120" t="e">
        <f ca="1">FTEXT(H6)</f>
        <v>#NAME?</v>
      </c>
      <c r="O6" s="120" t="s">
        <v>298</v>
      </c>
      <c r="P6" s="121" t="e">
        <f t="array" aca="1" ref="P6:S7" ca="1">ZMult(ZInverse(B3:E4),B3:E4)</f>
        <v>#NAME?</v>
      </c>
      <c r="Q6" s="122" t="e">
        <f ca="1"/>
        <v>#NAME?</v>
      </c>
      <c r="R6" s="121" t="e">
        <f ca="1"/>
        <v>#NAME?</v>
      </c>
      <c r="S6" s="123" t="e">
        <f ca="1"/>
        <v>#NAME?</v>
      </c>
      <c r="U6" s="120" t="e">
        <f ca="1">FTEXT(P6)</f>
        <v>#NAME?</v>
      </c>
    </row>
    <row r="7" spans="1:21" s="120" customFormat="1" ht="15" customHeight="1" x14ac:dyDescent="0.35">
      <c r="B7" s="124">
        <v>0</v>
      </c>
      <c r="C7" s="125">
        <v>5</v>
      </c>
      <c r="D7" s="124">
        <v>2</v>
      </c>
      <c r="E7" s="126">
        <v>7</v>
      </c>
      <c r="H7" s="124" t="e">
        <f ca="1"/>
        <v>#NAME?</v>
      </c>
      <c r="I7" s="125" t="e">
        <f ca="1"/>
        <v>#NAME?</v>
      </c>
      <c r="J7" s="124" t="e">
        <f ca="1"/>
        <v>#NAME?</v>
      </c>
      <c r="K7" s="126" t="e">
        <f ca="1"/>
        <v>#NAME?</v>
      </c>
      <c r="P7" s="124" t="e">
        <f ca="1"/>
        <v>#NAME?</v>
      </c>
      <c r="Q7" s="125" t="e">
        <f ca="1"/>
        <v>#NAME?</v>
      </c>
      <c r="R7" s="124" t="e">
        <f ca="1"/>
        <v>#NAME?</v>
      </c>
      <c r="S7" s="126" t="e">
        <f ca="1"/>
        <v>#NAME?</v>
      </c>
    </row>
    <row r="8" spans="1:21" s="120" customFormat="1" ht="15" customHeight="1" x14ac:dyDescent="0.35"/>
    <row r="9" spans="1:21" s="120" customFormat="1" ht="15" customHeight="1" x14ac:dyDescent="0.35">
      <c r="A9" s="120" t="s">
        <v>160</v>
      </c>
      <c r="B9" s="127">
        <v>1</v>
      </c>
      <c r="C9" s="128">
        <v>1</v>
      </c>
      <c r="G9" s="120" t="s">
        <v>299</v>
      </c>
      <c r="H9" s="121" t="e">
        <f t="array" aca="1" ref="H9:K10" ca="1">ZMult(B3:E4,B6:E7)</f>
        <v>#NAME?</v>
      </c>
      <c r="I9" s="122" t="e">
        <f ca="1"/>
        <v>#NAME?</v>
      </c>
      <c r="J9" s="121" t="e">
        <f ca="1"/>
        <v>#NAME?</v>
      </c>
      <c r="K9" s="123" t="e">
        <f ca="1"/>
        <v>#NAME?</v>
      </c>
      <c r="M9" s="120" t="e">
        <f ca="1">FTEXT(H9)</f>
        <v>#NAME?</v>
      </c>
      <c r="O9" s="120" t="s">
        <v>300</v>
      </c>
      <c r="P9" s="121" t="e">
        <f t="array" aca="1" ref="P9:S10" ca="1">ZMultScalar(B3:E4,{2,1})</f>
        <v>#NAME?</v>
      </c>
      <c r="Q9" s="122" t="e">
        <f ca="1"/>
        <v>#NAME?</v>
      </c>
      <c r="R9" s="121" t="e">
        <f ca="1"/>
        <v>#NAME?</v>
      </c>
      <c r="S9" s="123" t="e">
        <f ca="1"/>
        <v>#NAME?</v>
      </c>
      <c r="U9" s="120" t="e">
        <f ca="1">FTEXT(P9)</f>
        <v>#NAME?</v>
      </c>
    </row>
    <row r="10" spans="1:21" s="120" customFormat="1" ht="15" customHeight="1" x14ac:dyDescent="0.35">
      <c r="H10" s="124" t="e">
        <f ca="1"/>
        <v>#NAME?</v>
      </c>
      <c r="I10" s="125" t="e">
        <f ca="1"/>
        <v>#NAME?</v>
      </c>
      <c r="J10" s="124" t="e">
        <f ca="1"/>
        <v>#NAME?</v>
      </c>
      <c r="K10" s="126" t="e">
        <f ca="1"/>
        <v>#NAME?</v>
      </c>
      <c r="P10" s="124" t="e">
        <f ca="1"/>
        <v>#NAME?</v>
      </c>
      <c r="Q10" s="125" t="e">
        <f ca="1"/>
        <v>#NAME?</v>
      </c>
      <c r="R10" s="124" t="e">
        <f ca="1"/>
        <v>#NAME?</v>
      </c>
      <c r="S10" s="126" t="e">
        <f ca="1"/>
        <v>#NAME?</v>
      </c>
    </row>
    <row r="11" spans="1:21" s="120" customFormat="1" ht="15" customHeight="1" x14ac:dyDescent="0.35">
      <c r="A11" s="120" t="s">
        <v>301</v>
      </c>
      <c r="B11" s="127">
        <v>2</v>
      </c>
      <c r="C11" s="128">
        <v>1</v>
      </c>
    </row>
    <row r="12" spans="1:21" s="120" customFormat="1" ht="15" customHeight="1" x14ac:dyDescent="0.35">
      <c r="G12" s="120" t="s">
        <v>302</v>
      </c>
      <c r="H12" s="121" t="e">
        <f t="array" aca="1" ref="H12:K13" ca="1">ZIdentity()</f>
        <v>#NAME?</v>
      </c>
      <c r="I12" s="122" t="e">
        <f ca="1"/>
        <v>#NAME?</v>
      </c>
      <c r="J12" s="121" t="e">
        <f ca="1"/>
        <v>#NAME?</v>
      </c>
      <c r="K12" s="123" t="e">
        <f ca="1"/>
        <v>#NAME?</v>
      </c>
      <c r="M12" s="120" t="e">
        <f ca="1">FTEXT(H12)</f>
        <v>#NAME?</v>
      </c>
      <c r="O12" s="120" t="s">
        <v>303</v>
      </c>
      <c r="P12" s="121" t="e">
        <f t="array" aca="1" ref="P12:S13" ca="1">ZMultScalar(B3:E4,CAdd(B9:C9,B11:C11))</f>
        <v>#NAME?</v>
      </c>
      <c r="Q12" s="122" t="e">
        <f ca="1"/>
        <v>#NAME?</v>
      </c>
      <c r="R12" s="121" t="e">
        <f ca="1"/>
        <v>#NAME?</v>
      </c>
      <c r="S12" s="123" t="e">
        <f ca="1"/>
        <v>#NAME?</v>
      </c>
      <c r="U12" s="120" t="e">
        <f ca="1">FTEXT(P12)</f>
        <v>#NAME?</v>
      </c>
    </row>
    <row r="13" spans="1:21" s="120" customFormat="1" ht="15" customHeight="1" x14ac:dyDescent="0.35">
      <c r="H13" s="124" t="e">
        <f ca="1"/>
        <v>#NAME?</v>
      </c>
      <c r="I13" s="125" t="e">
        <f ca="1"/>
        <v>#NAME?</v>
      </c>
      <c r="J13" s="124" t="e">
        <f ca="1"/>
        <v>#NAME?</v>
      </c>
      <c r="K13" s="126" t="e">
        <f ca="1"/>
        <v>#NAME?</v>
      </c>
      <c r="P13" s="124" t="e">
        <f ca="1"/>
        <v>#NAME?</v>
      </c>
      <c r="Q13" s="125" t="e">
        <f ca="1"/>
        <v>#NAME?</v>
      </c>
      <c r="R13" s="124" t="e">
        <f ca="1"/>
        <v>#NAME?</v>
      </c>
      <c r="S13" s="126" t="e">
        <f ca="1"/>
        <v>#NAME?</v>
      </c>
    </row>
    <row r="14" spans="1:21" s="120" customFormat="1" ht="15" customHeight="1" x14ac:dyDescent="0.35"/>
    <row r="15" spans="1:21" s="120" customFormat="1" ht="15" customHeight="1" x14ac:dyDescent="0.35">
      <c r="G15" s="120" t="s">
        <v>304</v>
      </c>
      <c r="H15" s="127" t="e">
        <f t="array" aca="1" ref="H15:I15" ca="1">ZINDEX(B3:E4,1,2)</f>
        <v>#NAME?</v>
      </c>
      <c r="I15" s="128" t="e">
        <f ca="1"/>
        <v>#NAME?</v>
      </c>
      <c r="M15" s="120" t="e">
        <f ca="1">FTEXT(H15)</f>
        <v>#NAME?</v>
      </c>
      <c r="O15" s="120" t="s">
        <v>305</v>
      </c>
      <c r="P15" s="121">
        <f t="array" ref="P15:S16">2*B3:E4</f>
        <v>2</v>
      </c>
      <c r="Q15" s="122">
        <v>8</v>
      </c>
      <c r="R15" s="121">
        <v>2</v>
      </c>
      <c r="S15" s="123">
        <v>0</v>
      </c>
      <c r="U15" s="120" t="e">
        <f ca="1">FTEXT(P15)</f>
        <v>#NAME?</v>
      </c>
    </row>
    <row r="16" spans="1:21" s="120" customFormat="1" ht="15" customHeight="1" x14ac:dyDescent="0.35">
      <c r="P16" s="124">
        <v>4</v>
      </c>
      <c r="Q16" s="125">
        <v>0</v>
      </c>
      <c r="R16" s="124">
        <v>-2</v>
      </c>
      <c r="S16" s="126">
        <v>2</v>
      </c>
    </row>
    <row r="17" spans="2:21" s="120" customFormat="1" ht="15" customHeight="1" x14ac:dyDescent="0.35">
      <c r="G17" s="120" t="s">
        <v>306</v>
      </c>
      <c r="H17" s="127" t="e">
        <f t="array" aca="1" ref="H17:I17" ca="1">ZDET(B3:E4)</f>
        <v>#NAME?</v>
      </c>
      <c r="I17" s="128" t="e">
        <f ca="1"/>
        <v>#NAME?</v>
      </c>
      <c r="M17" s="120" t="e">
        <f ca="1">FTEXT(H17)</f>
        <v>#NAME?</v>
      </c>
    </row>
    <row r="18" spans="2:21" s="120" customFormat="1" ht="15" customHeight="1" x14ac:dyDescent="0.35">
      <c r="O18" s="120" t="s">
        <v>307</v>
      </c>
      <c r="P18" s="121" t="e">
        <f t="array" aca="1" ref="P18:S19" ca="1">ZTranspose(B3:E4)</f>
        <v>#NAME?</v>
      </c>
      <c r="Q18" s="122" t="e">
        <f ca="1"/>
        <v>#NAME?</v>
      </c>
      <c r="R18" s="121" t="e">
        <f ca="1"/>
        <v>#NAME?</v>
      </c>
      <c r="S18" s="123" t="e">
        <f ca="1"/>
        <v>#NAME?</v>
      </c>
      <c r="U18" s="120" t="e">
        <f ca="1">FTEXT(P18)</f>
        <v>#NAME?</v>
      </c>
    </row>
    <row r="19" spans="2:21" x14ac:dyDescent="0.35">
      <c r="O19" s="120"/>
      <c r="P19" s="124" t="e">
        <f ca="1"/>
        <v>#NAME?</v>
      </c>
      <c r="Q19" s="125" t="e">
        <f ca="1"/>
        <v>#NAME?</v>
      </c>
      <c r="R19" s="124" t="e">
        <f ca="1"/>
        <v>#NAME?</v>
      </c>
      <c r="S19" s="126" t="e">
        <f ca="1"/>
        <v>#NAME?</v>
      </c>
      <c r="T19" s="120"/>
      <c r="U19" s="120"/>
    </row>
    <row r="20" spans="2:21" s="120" customFormat="1" x14ac:dyDescent="0.35">
      <c r="B20"/>
      <c r="C20"/>
    </row>
    <row r="21" spans="2:21" s="120" customFormat="1" ht="15" customHeight="1" x14ac:dyDescent="0.35">
      <c r="B21"/>
      <c r="C21"/>
      <c r="O21" s="120" t="s">
        <v>308</v>
      </c>
      <c r="P21" s="121" t="e">
        <f t="array" aca="1" ref="P21:S22" ca="1">ZConj(B3:E4)</f>
        <v>#NAME?</v>
      </c>
      <c r="Q21" s="122" t="e">
        <f ca="1"/>
        <v>#NAME?</v>
      </c>
      <c r="R21" s="121" t="e">
        <f ca="1"/>
        <v>#NAME?</v>
      </c>
      <c r="S21" s="123" t="e">
        <f ca="1"/>
        <v>#NAME?</v>
      </c>
      <c r="U21" s="120" t="e">
        <f ca="1">FTEXT(P21)</f>
        <v>#NAME?</v>
      </c>
    </row>
    <row r="22" spans="2:21" s="120" customFormat="1" x14ac:dyDescent="0.35">
      <c r="B22"/>
      <c r="C22"/>
      <c r="O22"/>
      <c r="P22" s="7" t="e">
        <f ca="1"/>
        <v>#NAME?</v>
      </c>
      <c r="Q22" s="8" t="e">
        <f ca="1"/>
        <v>#NAME?</v>
      </c>
      <c r="R22" s="7" t="e">
        <f ca="1"/>
        <v>#NAME?</v>
      </c>
      <c r="S22" s="9" t="e">
        <f ca="1"/>
        <v>#NAME?</v>
      </c>
      <c r="T22"/>
      <c r="U22"/>
    </row>
    <row r="23" spans="2:21" x14ac:dyDescent="0.35">
      <c r="O23" s="120"/>
      <c r="P23" s="120"/>
      <c r="Q23" s="120"/>
      <c r="R23" s="120"/>
      <c r="S23" s="120"/>
      <c r="T23" s="120"/>
      <c r="U23" s="120"/>
    </row>
    <row r="24" spans="2:21" ht="16.5" x14ac:dyDescent="0.35">
      <c r="O24" s="120" t="s">
        <v>309</v>
      </c>
      <c r="P24" s="121" t="e">
        <f t="array" aca="1" ref="P24:S25" ca="1">ZTranspose(ZConj(B3:E4))</f>
        <v>#NAME?</v>
      </c>
      <c r="Q24" s="122" t="e">
        <f ca="1"/>
        <v>#NAME?</v>
      </c>
      <c r="R24" s="121" t="e">
        <f ca="1"/>
        <v>#NAME?</v>
      </c>
      <c r="S24" s="123" t="e">
        <f ca="1"/>
        <v>#NAME?</v>
      </c>
      <c r="T24" s="120"/>
      <c r="U24" s="120" t="e">
        <f ca="1">FTEXT(P24)</f>
        <v>#NAME?</v>
      </c>
    </row>
    <row r="25" spans="2:21" x14ac:dyDescent="0.35">
      <c r="O25" s="120"/>
      <c r="P25" s="124" t="e">
        <f ca="1"/>
        <v>#NAME?</v>
      </c>
      <c r="Q25" s="125" t="e">
        <f ca="1"/>
        <v>#NAME?</v>
      </c>
      <c r="R25" s="124" t="e">
        <f ca="1"/>
        <v>#NAME?</v>
      </c>
      <c r="S25" s="126" t="e">
        <f ca="1"/>
        <v>#NAME?</v>
      </c>
      <c r="T25" s="120"/>
      <c r="U25" s="120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E79-493B-4CEE-B64A-8DC288FEB7C7}">
  <sheetPr codeName="Sheet89"/>
  <dimension ref="A1:O12"/>
  <sheetViews>
    <sheetView workbookViewId="0"/>
  </sheetViews>
  <sheetFormatPr defaultRowHeight="14.5" x14ac:dyDescent="0.35"/>
  <cols>
    <col min="1" max="1" width="4.453125" customWidth="1"/>
    <col min="2" max="4" width="6.7265625" customWidth="1"/>
    <col min="5" max="5" width="4.453125" customWidth="1"/>
    <col min="6" max="7" width="6.7265625" customWidth="1"/>
    <col min="8" max="8" width="3.26953125" customWidth="1"/>
    <col min="9" max="9" width="21.7265625" customWidth="1"/>
    <col min="10" max="10" width="3.26953125" customWidth="1"/>
    <col min="14" max="14" width="3.26953125" customWidth="1"/>
    <col min="15" max="15" width="32.7265625" customWidth="1"/>
  </cols>
  <sheetData>
    <row r="1" spans="1:15" x14ac:dyDescent="0.35">
      <c r="A1" s="10" t="s">
        <v>293</v>
      </c>
    </row>
    <row r="3" spans="1:15" x14ac:dyDescent="0.35">
      <c r="A3" t="s">
        <v>255</v>
      </c>
      <c r="B3" s="129" t="s">
        <v>310</v>
      </c>
      <c r="C3" s="130" t="s">
        <v>311</v>
      </c>
      <c r="D3" s="131">
        <v>5</v>
      </c>
      <c r="F3" s="132" t="e">
        <f t="array" aca="1" ref="F3:F4" ca="1">ZMMULT(B3:D4,B6:B8)</f>
        <v>#NAME?</v>
      </c>
      <c r="I3" t="e">
        <f ca="1">FTEXT(F3)</f>
        <v>#NAME?</v>
      </c>
      <c r="K3" s="134" t="e">
        <f t="array" aca="1" ref="K3:M3" ca="1">ZText(ZTranspose(F6:G8))</f>
        <v>#NAME?</v>
      </c>
      <c r="L3" s="135" t="e">
        <f ca="1"/>
        <v>#NAME?</v>
      </c>
      <c r="M3" s="136" t="e">
        <f ca="1"/>
        <v>#NAME?</v>
      </c>
      <c r="O3" t="e">
        <f ca="1">FTEXT(K3)</f>
        <v>#NAME?</v>
      </c>
    </row>
    <row r="4" spans="1:15" x14ac:dyDescent="0.35">
      <c r="B4" s="137" t="s">
        <v>312</v>
      </c>
      <c r="C4" s="138" t="s">
        <v>313</v>
      </c>
      <c r="D4" s="139" t="s">
        <v>314</v>
      </c>
      <c r="F4" s="133" t="e">
        <f ca="1"/>
        <v>#NAME?</v>
      </c>
    </row>
    <row r="5" spans="1:15" x14ac:dyDescent="0.35">
      <c r="K5" s="129" t="e">
        <f t="array" aca="1" ref="K5:L6" ca="1">ZMROUND(ZMINVERSE(B10:C11),2)</f>
        <v>#NAME?</v>
      </c>
      <c r="L5" s="131" t="e">
        <f ca="1"/>
        <v>#NAME?</v>
      </c>
      <c r="O5" t="e">
        <f ca="1">FTEXT(K5)</f>
        <v>#NAME?</v>
      </c>
    </row>
    <row r="6" spans="1:15" x14ac:dyDescent="0.35">
      <c r="A6" t="s">
        <v>296</v>
      </c>
      <c r="B6" s="142" t="s">
        <v>315</v>
      </c>
      <c r="F6" s="129" t="e">
        <f t="array" aca="1" ref="F6:G8" ca="1">ZMap(B6:B8)</f>
        <v>#NAME?</v>
      </c>
      <c r="G6" s="131" t="e">
        <f ca="1"/>
        <v>#NAME?</v>
      </c>
      <c r="I6" t="e">
        <f ca="1">FTEXT(F6)</f>
        <v>#NAME?</v>
      </c>
      <c r="K6" s="140" t="e">
        <f ca="1"/>
        <v>#NAME?</v>
      </c>
      <c r="L6" s="141" t="e">
        <f ca="1"/>
        <v>#NAME?</v>
      </c>
    </row>
    <row r="7" spans="1:15" x14ac:dyDescent="0.35">
      <c r="B7" s="145">
        <v>3</v>
      </c>
      <c r="F7" s="143" t="e">
        <f ca="1"/>
        <v>#NAME?</v>
      </c>
      <c r="G7" s="144" t="e">
        <f ca="1"/>
        <v>#NAME?</v>
      </c>
    </row>
    <row r="8" spans="1:15" x14ac:dyDescent="0.35">
      <c r="B8" s="133" t="s">
        <v>316</v>
      </c>
      <c r="F8" s="140" t="e">
        <f ca="1"/>
        <v>#NAME?</v>
      </c>
      <c r="G8" s="141" t="e">
        <f ca="1"/>
        <v>#NAME?</v>
      </c>
      <c r="K8" s="129" t="e">
        <f t="array" aca="1" ref="K8:L9" ca="1">ZMMULTSCALAR(B10:C11,"i")</f>
        <v>#NAME?</v>
      </c>
      <c r="L8" s="131" t="e">
        <f ca="1"/>
        <v>#NAME?</v>
      </c>
      <c r="O8" t="e">
        <f ca="1">FTEXT(K8)</f>
        <v>#NAME?</v>
      </c>
    </row>
    <row r="9" spans="1:15" x14ac:dyDescent="0.35">
      <c r="K9" s="140" t="e">
        <f ca="1"/>
        <v>#NAME?</v>
      </c>
      <c r="L9" s="141" t="e">
        <f ca="1"/>
        <v>#NAME?</v>
      </c>
    </row>
    <row r="10" spans="1:15" x14ac:dyDescent="0.35">
      <c r="A10" t="s">
        <v>49</v>
      </c>
      <c r="B10" s="129" t="s">
        <v>317</v>
      </c>
      <c r="C10" s="131">
        <v>3</v>
      </c>
      <c r="F10" s="146" t="e">
        <f ca="1">ZMDETERM(B10:C11)</f>
        <v>#NAME?</v>
      </c>
      <c r="I10" t="e">
        <f ca="1">FTEXT(F10)</f>
        <v>#NAME?</v>
      </c>
    </row>
    <row r="11" spans="1:15" x14ac:dyDescent="0.35">
      <c r="B11" s="140" t="s">
        <v>318</v>
      </c>
      <c r="C11" s="141" t="s">
        <v>319</v>
      </c>
      <c r="K11" s="132" t="e">
        <f t="array" aca="1" ref="K11:K12" ca="1">ZMROUND(IMROOTS("i",2),1)</f>
        <v>#NAME?</v>
      </c>
      <c r="O11" t="e">
        <f t="array" aca="1" ref="O11" ca="1">FTEXT(K11)</f>
        <v>#NAME?</v>
      </c>
    </row>
    <row r="12" spans="1:15" x14ac:dyDescent="0.35">
      <c r="K12" s="133" t="e">
        <f ca="1"/>
        <v>#NAME?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6994-4AFE-4D76-A1FB-6EE9146E9FB5}">
  <sheetPr codeName="Sheet103"/>
  <dimension ref="A1:O15"/>
  <sheetViews>
    <sheetView workbookViewId="0"/>
  </sheetViews>
  <sheetFormatPr defaultRowHeight="14.5" x14ac:dyDescent="0.35"/>
  <cols>
    <col min="1" max="1" width="5.1796875" customWidth="1"/>
    <col min="2" max="2" width="4.54296875" customWidth="1"/>
    <col min="3" max="3" width="5.1796875" customWidth="1"/>
    <col min="4" max="4" width="6" customWidth="1"/>
  </cols>
  <sheetData>
    <row r="1" spans="1:15" x14ac:dyDescent="0.35">
      <c r="A1" s="10" t="s">
        <v>320</v>
      </c>
    </row>
    <row r="3" spans="1:15" x14ac:dyDescent="0.35">
      <c r="A3" s="135" t="s">
        <v>159</v>
      </c>
      <c r="B3" s="135" t="s">
        <v>160</v>
      </c>
      <c r="D3" s="135" t="s">
        <v>159</v>
      </c>
      <c r="E3" s="135" t="s">
        <v>160</v>
      </c>
      <c r="N3" s="135" t="s">
        <v>159</v>
      </c>
      <c r="O3" s="135" t="s">
        <v>160</v>
      </c>
    </row>
    <row r="4" spans="1:15" x14ac:dyDescent="0.35">
      <c r="A4" s="3">
        <v>2</v>
      </c>
      <c r="B4" s="3">
        <v>3</v>
      </c>
      <c r="D4" s="3">
        <v>1</v>
      </c>
      <c r="E4" t="e">
        <f t="array" aca="1" ref="E4:E15" ca="1">SPLINE(D4:D15,A4:A7,B4:B7)</f>
        <v>#NAME?</v>
      </c>
      <c r="N4" s="3" t="e">
        <f t="array" aca="1" ref="N4:O15" ca="1">SPLINE0(1,$A$4:$A$7,$B$4:$B$7)</f>
        <v>#NAME?</v>
      </c>
      <c r="O4" t="e">
        <f ca="1"/>
        <v>#NAME?</v>
      </c>
    </row>
    <row r="5" spans="1:15" x14ac:dyDescent="0.35">
      <c r="A5" s="3">
        <v>5</v>
      </c>
      <c r="B5" s="3">
        <v>-1</v>
      </c>
      <c r="D5" s="3">
        <f>D4+1</f>
        <v>2</v>
      </c>
      <c r="E5" t="e">
        <f ca="1"/>
        <v>#NAME?</v>
      </c>
      <c r="N5" s="3" t="e">
        <f ca="1"/>
        <v>#NAME?</v>
      </c>
      <c r="O5" t="e">
        <f ca="1"/>
        <v>#NAME?</v>
      </c>
    </row>
    <row r="6" spans="1:15" x14ac:dyDescent="0.35">
      <c r="A6" s="3">
        <v>7</v>
      </c>
      <c r="B6" s="3">
        <v>4</v>
      </c>
      <c r="D6" s="3">
        <f t="shared" ref="D6:D15" si="0">D5+1</f>
        <v>3</v>
      </c>
      <c r="E6" t="e">
        <f ca="1"/>
        <v>#NAME?</v>
      </c>
      <c r="N6" s="3" t="e">
        <f ca="1"/>
        <v>#NAME?</v>
      </c>
      <c r="O6" t="e">
        <f ca="1"/>
        <v>#NAME?</v>
      </c>
    </row>
    <row r="7" spans="1:15" x14ac:dyDescent="0.35">
      <c r="A7" s="138">
        <v>10</v>
      </c>
      <c r="B7" s="138">
        <v>1</v>
      </c>
      <c r="D7" s="3">
        <f t="shared" si="0"/>
        <v>4</v>
      </c>
      <c r="E7" t="e">
        <f ca="1"/>
        <v>#NAME?</v>
      </c>
      <c r="N7" s="3" t="e">
        <f ca="1"/>
        <v>#NAME?</v>
      </c>
      <c r="O7" t="e">
        <f ca="1"/>
        <v>#NAME?</v>
      </c>
    </row>
    <row r="8" spans="1:15" x14ac:dyDescent="0.35">
      <c r="D8" s="3">
        <f t="shared" si="0"/>
        <v>5</v>
      </c>
      <c r="E8" t="e">
        <f ca="1"/>
        <v>#NAME?</v>
      </c>
      <c r="N8" s="3" t="e">
        <f ca="1"/>
        <v>#NAME?</v>
      </c>
      <c r="O8" t="e">
        <f ca="1"/>
        <v>#NAME?</v>
      </c>
    </row>
    <row r="9" spans="1:15" x14ac:dyDescent="0.35">
      <c r="D9" s="3">
        <f t="shared" si="0"/>
        <v>6</v>
      </c>
      <c r="E9" t="e">
        <f ca="1"/>
        <v>#NAME?</v>
      </c>
      <c r="N9" s="3" t="e">
        <f ca="1"/>
        <v>#NAME?</v>
      </c>
      <c r="O9" t="e">
        <f ca="1"/>
        <v>#NAME?</v>
      </c>
    </row>
    <row r="10" spans="1:15" x14ac:dyDescent="0.35">
      <c r="D10" s="3">
        <f t="shared" si="0"/>
        <v>7</v>
      </c>
      <c r="E10" t="e">
        <f ca="1"/>
        <v>#NAME?</v>
      </c>
      <c r="N10" s="3" t="e">
        <f ca="1"/>
        <v>#NAME?</v>
      </c>
      <c r="O10" t="e">
        <f ca="1"/>
        <v>#NAME?</v>
      </c>
    </row>
    <row r="11" spans="1:15" x14ac:dyDescent="0.35">
      <c r="D11" s="3">
        <f t="shared" si="0"/>
        <v>8</v>
      </c>
      <c r="E11" t="e">
        <f ca="1"/>
        <v>#NAME?</v>
      </c>
      <c r="N11" s="3" t="e">
        <f ca="1"/>
        <v>#NAME?</v>
      </c>
      <c r="O11" t="e">
        <f ca="1"/>
        <v>#NAME?</v>
      </c>
    </row>
    <row r="12" spans="1:15" x14ac:dyDescent="0.35">
      <c r="D12" s="3">
        <f t="shared" si="0"/>
        <v>9</v>
      </c>
      <c r="E12" t="e">
        <f ca="1"/>
        <v>#NAME?</v>
      </c>
      <c r="N12" s="3" t="e">
        <f ca="1"/>
        <v>#NAME?</v>
      </c>
      <c r="O12" t="e">
        <f ca="1"/>
        <v>#NAME?</v>
      </c>
    </row>
    <row r="13" spans="1:15" x14ac:dyDescent="0.35">
      <c r="D13" s="3">
        <f t="shared" si="0"/>
        <v>10</v>
      </c>
      <c r="E13" t="e">
        <f ca="1"/>
        <v>#NAME?</v>
      </c>
      <c r="N13" s="3" t="e">
        <f ca="1"/>
        <v>#NAME?</v>
      </c>
      <c r="O13" t="e">
        <f ca="1"/>
        <v>#NAME?</v>
      </c>
    </row>
    <row r="14" spans="1:15" x14ac:dyDescent="0.35">
      <c r="D14" s="3">
        <f t="shared" si="0"/>
        <v>11</v>
      </c>
      <c r="E14" t="e">
        <f ca="1"/>
        <v>#NAME?</v>
      </c>
      <c r="N14" s="3" t="e">
        <f ca="1"/>
        <v>#NAME?</v>
      </c>
      <c r="O14" t="e">
        <f ca="1"/>
        <v>#NAME?</v>
      </c>
    </row>
    <row r="15" spans="1:15" x14ac:dyDescent="0.35">
      <c r="D15" s="138">
        <f t="shared" si="0"/>
        <v>12</v>
      </c>
      <c r="E15" s="8" t="e">
        <f ca="1"/>
        <v>#NAME?</v>
      </c>
      <c r="N15" s="138" t="e">
        <f ca="1"/>
        <v>#NAME?</v>
      </c>
      <c r="O15" s="8" t="e">
        <f ca="1"/>
        <v>#NAME?</v>
      </c>
    </row>
  </sheetData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2381-7A29-4F75-8507-6AEBF7575812}">
  <sheetPr codeName="Sheet46"/>
  <dimension ref="A1:K29"/>
  <sheetViews>
    <sheetView workbookViewId="0"/>
  </sheetViews>
  <sheetFormatPr defaultRowHeight="14.5" x14ac:dyDescent="0.35"/>
  <cols>
    <col min="1" max="1" width="6.453125" customWidth="1"/>
    <col min="4" max="4" width="36.1796875" bestFit="1" customWidth="1"/>
    <col min="5" max="5" width="26.1796875" customWidth="1"/>
    <col min="6" max="6" width="5.453125" customWidth="1"/>
    <col min="7" max="7" width="5.26953125" customWidth="1"/>
    <col min="10" max="11" width="9.1796875" customWidth="1"/>
    <col min="12" max="12" width="12" bestFit="1" customWidth="1"/>
  </cols>
  <sheetData>
    <row r="1" spans="1:11" x14ac:dyDescent="0.35">
      <c r="A1" s="10" t="s">
        <v>339</v>
      </c>
    </row>
    <row r="2" spans="1:11" x14ac:dyDescent="0.35">
      <c r="H2" s="135" t="s">
        <v>340</v>
      </c>
      <c r="I2" s="135" t="s">
        <v>341</v>
      </c>
      <c r="J2" s="135" t="s">
        <v>342</v>
      </c>
      <c r="K2" s="135" t="s">
        <v>343</v>
      </c>
    </row>
    <row r="3" spans="1:11" x14ac:dyDescent="0.35">
      <c r="A3" t="s">
        <v>344</v>
      </c>
      <c r="B3" s="65">
        <v>-3</v>
      </c>
      <c r="D3" s="148" t="s">
        <v>345</v>
      </c>
      <c r="E3" s="148" t="s">
        <v>346</v>
      </c>
      <c r="G3" t="s">
        <v>347</v>
      </c>
      <c r="H3">
        <f>B16</f>
        <v>1.4662205239107733</v>
      </c>
      <c r="J3">
        <f>H3^3+B3*H3^2+B4*H3+B5</f>
        <v>0</v>
      </c>
      <c r="K3">
        <v>0</v>
      </c>
    </row>
    <row r="4" spans="1:11" x14ac:dyDescent="0.35">
      <c r="A4" t="s">
        <v>348</v>
      </c>
      <c r="B4" s="52">
        <v>6</v>
      </c>
      <c r="G4" t="s">
        <v>349</v>
      </c>
      <c r="H4">
        <f>B23</f>
        <v>0.76688973804461336</v>
      </c>
      <c r="I4">
        <f>C23</f>
        <v>-1.7784884544710227</v>
      </c>
      <c r="J4" t="e">
        <f t="array" aca="1" ref="J4:K4" ca="1">IF(I4="",CSet(H4^3+$B3*H4^2+$B4*H4+$B5,0),CAdd(CPower(H4:I4,3),CAdd(B3*CPower(H4:I4,2),CAdd(B4*H4:I4,CSet(B5,0)))))</f>
        <v>#NAME?</v>
      </c>
      <c r="K4" t="e">
        <f ca="1"/>
        <v>#NAME?</v>
      </c>
    </row>
    <row r="5" spans="1:11" x14ac:dyDescent="0.35">
      <c r="A5" t="s">
        <v>17</v>
      </c>
      <c r="B5" s="14">
        <v>-5.5</v>
      </c>
      <c r="G5" t="s">
        <v>350</v>
      </c>
      <c r="H5" s="8">
        <f>B24</f>
        <v>0.76688973804461336</v>
      </c>
      <c r="I5" s="8">
        <f>C24</f>
        <v>1.7784884544710227</v>
      </c>
      <c r="J5" s="8" t="e">
        <f t="array" aca="1" ref="J5:K5" ca="1">IF(I4="",CSet(H5^3+$B3*H5^2+$B4*H5+$B5,0),CAdd(CPower(H5:I5,3),CAdd(B3*CPower(H5:I5,2),CAdd(B4*H5:I5,CSet(B5,0)))))</f>
        <v>#NAME?</v>
      </c>
      <c r="K5" s="8" t="e">
        <f ca="1"/>
        <v>#NAME?</v>
      </c>
    </row>
    <row r="7" spans="1:11" x14ac:dyDescent="0.35">
      <c r="A7" t="s">
        <v>3</v>
      </c>
      <c r="B7" s="65">
        <f>B4-B3^2/3</f>
        <v>3</v>
      </c>
      <c r="D7" t="e">
        <f ca="1">FTEXT(B7)</f>
        <v>#NAME?</v>
      </c>
    </row>
    <row r="8" spans="1:11" x14ac:dyDescent="0.35">
      <c r="A8" t="s">
        <v>239</v>
      </c>
      <c r="B8" s="52">
        <f>B5+2*B3^3/27-B3*B4/3</f>
        <v>-1.5</v>
      </c>
      <c r="D8" t="e">
        <f ca="1">FTEXT(B8)</f>
        <v>#NAME?</v>
      </c>
    </row>
    <row r="9" spans="1:11" x14ac:dyDescent="0.35">
      <c r="A9" t="s">
        <v>22</v>
      </c>
      <c r="B9" s="52">
        <f>B7/3</f>
        <v>1</v>
      </c>
      <c r="D9" t="e">
        <f ca="1">FTEXT(B9)</f>
        <v>#NAME?</v>
      </c>
    </row>
    <row r="10" spans="1:11" x14ac:dyDescent="0.35">
      <c r="A10" t="s">
        <v>35</v>
      </c>
      <c r="B10" s="149">
        <f>-B8/2</f>
        <v>0.75</v>
      </c>
      <c r="D10" t="e">
        <f ca="1">FTEXT(B10)</f>
        <v>#NAME?</v>
      </c>
    </row>
    <row r="11" spans="1:11" ht="15" customHeight="1" x14ac:dyDescent="0.35">
      <c r="A11" t="s">
        <v>351</v>
      </c>
      <c r="B11" s="150">
        <f>B10^2+B9^3</f>
        <v>1.5625</v>
      </c>
      <c r="D11" t="e">
        <f ca="1">FTEXT(B11)</f>
        <v>#NAME?</v>
      </c>
    </row>
    <row r="13" spans="1:11" x14ac:dyDescent="0.35">
      <c r="B13" s="3" t="s">
        <v>340</v>
      </c>
      <c r="C13" s="3"/>
    </row>
    <row r="14" spans="1:11" x14ac:dyDescent="0.35">
      <c r="A14" t="s">
        <v>251</v>
      </c>
      <c r="B14" s="65">
        <f>B10+SQRT(B11)</f>
        <v>2</v>
      </c>
      <c r="D14" s="151" t="e">
        <f ca="1">FTEXT(B14)</f>
        <v>#NAME?</v>
      </c>
      <c r="E14" s="151"/>
    </row>
    <row r="15" spans="1:11" x14ac:dyDescent="0.35">
      <c r="A15" t="s">
        <v>352</v>
      </c>
      <c r="B15" s="52">
        <f>B14^(1/3)</f>
        <v>1.2599210498948732</v>
      </c>
      <c r="D15" t="e">
        <f ca="1">FTEXT(B15)</f>
        <v>#NAME?</v>
      </c>
    </row>
    <row r="16" spans="1:11" x14ac:dyDescent="0.35">
      <c r="A16" t="s">
        <v>347</v>
      </c>
      <c r="B16" s="14">
        <f>B15-B7/(3*B15)-B3/3</f>
        <v>1.4662205239107733</v>
      </c>
      <c r="D16" t="e">
        <f ca="1">FTEXT(B16)</f>
        <v>#NAME?</v>
      </c>
    </row>
    <row r="17" spans="1:5" x14ac:dyDescent="0.35">
      <c r="D17" t="e">
        <f ca="1">FTEXT(B17)</f>
        <v>#NAME?</v>
      </c>
    </row>
    <row r="18" spans="1:5" x14ac:dyDescent="0.35">
      <c r="A18" t="s">
        <v>353</v>
      </c>
      <c r="B18" s="65">
        <f>B3+B16</f>
        <v>-1.5337794760892267</v>
      </c>
      <c r="D18" t="e">
        <f ca="1">FTEXT(B18)</f>
        <v>#NAME?</v>
      </c>
    </row>
    <row r="19" spans="1:5" x14ac:dyDescent="0.35">
      <c r="A19" t="s">
        <v>354</v>
      </c>
      <c r="B19" s="52">
        <f>-B5/B16</f>
        <v>3.7511410530048628</v>
      </c>
      <c r="D19" t="e">
        <f ca="1">FTEXT(B19)</f>
        <v>#NAME?</v>
      </c>
    </row>
    <row r="20" spans="1:5" x14ac:dyDescent="0.35">
      <c r="A20" t="s">
        <v>355</v>
      </c>
      <c r="B20" s="14">
        <f>B18^2-4*B19</f>
        <v>-12.652084730746909</v>
      </c>
      <c r="D20" t="e">
        <f ca="1">FTEXT(B20)</f>
        <v>#NAME?</v>
      </c>
    </row>
    <row r="22" spans="1:5" x14ac:dyDescent="0.35">
      <c r="B22" s="3" t="s">
        <v>340</v>
      </c>
      <c r="C22" s="3" t="s">
        <v>341</v>
      </c>
    </row>
    <row r="23" spans="1:5" x14ac:dyDescent="0.35">
      <c r="A23" t="s">
        <v>349</v>
      </c>
      <c r="B23" s="94">
        <f>IF(B20&gt;=0,(-B18-SQRT(B20))/2,-B18/2)</f>
        <v>0.76688973804461336</v>
      </c>
      <c r="C23" s="96">
        <f>IF(B20&gt;=0,"",-SQRT(-B20)/2)</f>
        <v>-1.7784884544710227</v>
      </c>
      <c r="D23" t="e">
        <f ca="1">FTEXT(B23)</f>
        <v>#NAME?</v>
      </c>
      <c r="E23" t="e">
        <f ca="1">FTEXT(C23)</f>
        <v>#NAME?</v>
      </c>
    </row>
    <row r="24" spans="1:5" x14ac:dyDescent="0.35">
      <c r="A24" t="s">
        <v>350</v>
      </c>
      <c r="B24" s="7">
        <f>IF(B20&gt;=0,(-B18+SQRT(B20))/2,-B18/2)</f>
        <v>0.76688973804461336</v>
      </c>
      <c r="C24" s="9">
        <f>IF(B20&gt;=0,"",SQRT(-B20)/2)</f>
        <v>1.7784884544710227</v>
      </c>
      <c r="D24" t="e">
        <f ca="1">FTEXT(B24)</f>
        <v>#NAME?</v>
      </c>
      <c r="E24" t="e">
        <f ca="1">FTEXT(C24)</f>
        <v>#NAME?</v>
      </c>
    </row>
    <row r="26" spans="1:5" x14ac:dyDescent="0.35">
      <c r="A26" t="s">
        <v>252</v>
      </c>
      <c r="B26">
        <f>2*B3^3-9*B3*B4+27*B5</f>
        <v>-40.5</v>
      </c>
    </row>
    <row r="27" spans="1:5" x14ac:dyDescent="0.35">
      <c r="A27" t="s">
        <v>352</v>
      </c>
      <c r="B27">
        <f>B3^2-3*B4</f>
        <v>-9</v>
      </c>
    </row>
    <row r="28" spans="1:5" x14ac:dyDescent="0.35">
      <c r="A28" t="s">
        <v>19</v>
      </c>
      <c r="B28">
        <f>B3^2*B4^2-4*B4^3-4*B3^3*B5-27*B5^2+18*B3*B4*B5</f>
        <v>-168.75</v>
      </c>
    </row>
    <row r="29" spans="1:5" x14ac:dyDescent="0.35">
      <c r="A29" t="s">
        <v>356</v>
      </c>
      <c r="B29">
        <f>B26^2-4*B27^3</f>
        <v>4556.25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955C-BE76-4605-8087-3CFE14B0CC16}">
  <sheetPr codeName="Sheet49"/>
  <dimension ref="A1:K20"/>
  <sheetViews>
    <sheetView workbookViewId="0">
      <selection sqref="A1:C1"/>
    </sheetView>
  </sheetViews>
  <sheetFormatPr defaultRowHeight="14.5" x14ac:dyDescent="0.35"/>
  <cols>
    <col min="1" max="1" width="6.453125" customWidth="1"/>
    <col min="2" max="2" width="9.26953125" bestFit="1" customWidth="1"/>
    <col min="3" max="3" width="9.1796875" customWidth="1"/>
    <col min="4" max="4" width="2.7265625" customWidth="1"/>
    <col min="5" max="5" width="6.453125" customWidth="1"/>
    <col min="6" max="6" width="9.26953125" bestFit="1" customWidth="1"/>
    <col min="7" max="7" width="9.1796875" customWidth="1"/>
    <col min="8" max="8" width="2.7265625" customWidth="1"/>
    <col min="9" max="9" width="6.453125" customWidth="1"/>
    <col min="10" max="10" width="9.26953125" bestFit="1" customWidth="1"/>
    <col min="11" max="11" width="9.1796875" customWidth="1"/>
  </cols>
  <sheetData>
    <row r="1" spans="1:11" ht="16.5" x14ac:dyDescent="0.35">
      <c r="A1" s="207" t="s">
        <v>357</v>
      </c>
      <c r="B1" s="207"/>
      <c r="C1" s="207"/>
      <c r="E1" s="207" t="s">
        <v>358</v>
      </c>
      <c r="F1" s="207"/>
      <c r="G1" s="207"/>
      <c r="I1" s="207" t="s">
        <v>359</v>
      </c>
      <c r="J1" s="207"/>
      <c r="K1" s="207"/>
    </row>
    <row r="3" spans="1:11" x14ac:dyDescent="0.35">
      <c r="A3" t="s">
        <v>344</v>
      </c>
      <c r="B3" s="65">
        <v>2</v>
      </c>
      <c r="E3" t="s">
        <v>344</v>
      </c>
      <c r="F3" s="65">
        <v>4</v>
      </c>
      <c r="I3" t="s">
        <v>344</v>
      </c>
      <c r="J3" s="65">
        <v>-3</v>
      </c>
    </row>
    <row r="4" spans="1:11" x14ac:dyDescent="0.35">
      <c r="A4" t="s">
        <v>348</v>
      </c>
      <c r="B4" s="52">
        <v>-1</v>
      </c>
      <c r="E4" t="s">
        <v>348</v>
      </c>
      <c r="F4" s="52">
        <v>5</v>
      </c>
      <c r="I4" t="s">
        <v>348</v>
      </c>
      <c r="J4" s="52">
        <v>3</v>
      </c>
    </row>
    <row r="5" spans="1:11" x14ac:dyDescent="0.35">
      <c r="A5" t="s">
        <v>17</v>
      </c>
      <c r="B5" s="14">
        <v>-2</v>
      </c>
      <c r="E5" t="s">
        <v>17</v>
      </c>
      <c r="F5" s="14">
        <v>2</v>
      </c>
      <c r="I5" t="s">
        <v>17</v>
      </c>
      <c r="J5" s="14">
        <v>-1</v>
      </c>
    </row>
    <row r="7" spans="1:11" x14ac:dyDescent="0.35">
      <c r="A7" t="s">
        <v>3</v>
      </c>
      <c r="B7" s="65">
        <f>B4-B3^2/3</f>
        <v>-2.333333333333333</v>
      </c>
      <c r="E7" t="s">
        <v>3</v>
      </c>
      <c r="F7" s="65">
        <f>F4-F3^2/3</f>
        <v>-0.33333333333333304</v>
      </c>
      <c r="I7" t="s">
        <v>3</v>
      </c>
      <c r="J7" s="65">
        <f>J4-J3^2/3</f>
        <v>0</v>
      </c>
    </row>
    <row r="8" spans="1:11" x14ac:dyDescent="0.35">
      <c r="A8" t="s">
        <v>239</v>
      </c>
      <c r="B8" s="52">
        <f>B5+2*B3^3/27-B3*B4/3</f>
        <v>-0.74074074074074081</v>
      </c>
      <c r="E8" t="s">
        <v>239</v>
      </c>
      <c r="F8" s="52">
        <f>F5+2*F3^3/27-F3*F4/3</f>
        <v>7.4074074074073515E-2</v>
      </c>
      <c r="I8" t="s">
        <v>239</v>
      </c>
      <c r="J8" s="52">
        <f>J5+2*J3^3/27-J3*J4/3</f>
        <v>0</v>
      </c>
    </row>
    <row r="9" spans="1:11" x14ac:dyDescent="0.35">
      <c r="A9" t="s">
        <v>22</v>
      </c>
      <c r="B9" s="52">
        <f>B7/3</f>
        <v>-0.77777777777777768</v>
      </c>
      <c r="E9" t="s">
        <v>22</v>
      </c>
      <c r="F9" s="52">
        <f>F7/3</f>
        <v>-0.11111111111111101</v>
      </c>
      <c r="I9" t="s">
        <v>22</v>
      </c>
      <c r="J9" s="52">
        <f>J7/3</f>
        <v>0</v>
      </c>
    </row>
    <row r="10" spans="1:11" x14ac:dyDescent="0.35">
      <c r="A10" t="s">
        <v>35</v>
      </c>
      <c r="B10" s="149">
        <f>-B8/2</f>
        <v>0.37037037037037041</v>
      </c>
      <c r="E10" t="s">
        <v>35</v>
      </c>
      <c r="F10" s="149">
        <f>-F8/2</f>
        <v>-3.7037037037036757E-2</v>
      </c>
      <c r="I10" t="s">
        <v>35</v>
      </c>
      <c r="J10" s="149">
        <f>-J8/2</f>
        <v>0</v>
      </c>
    </row>
    <row r="11" spans="1:11" ht="16.5" x14ac:dyDescent="0.35">
      <c r="A11" t="s">
        <v>351</v>
      </c>
      <c r="B11" s="150">
        <f>B10^2+B9^3</f>
        <v>-0.33333333333333304</v>
      </c>
      <c r="E11" t="s">
        <v>351</v>
      </c>
      <c r="F11" s="150">
        <f>F10^2+F9^3</f>
        <v>-1.6913553890773869E-17</v>
      </c>
      <c r="I11" t="s">
        <v>351</v>
      </c>
      <c r="J11" s="150">
        <f>J10^2+J9^3</f>
        <v>0</v>
      </c>
    </row>
    <row r="13" spans="1:11" x14ac:dyDescent="0.35">
      <c r="B13" s="3" t="s">
        <v>340</v>
      </c>
      <c r="C13" s="3" t="s">
        <v>341</v>
      </c>
      <c r="D13" s="3"/>
      <c r="F13" s="3" t="s">
        <v>340</v>
      </c>
      <c r="G13" s="3" t="s">
        <v>341</v>
      </c>
      <c r="H13" s="3"/>
      <c r="J13" s="3" t="s">
        <v>340</v>
      </c>
      <c r="K13" s="3" t="s">
        <v>341</v>
      </c>
    </row>
    <row r="14" spans="1:11" x14ac:dyDescent="0.35">
      <c r="A14" t="s">
        <v>251</v>
      </c>
      <c r="B14" s="94">
        <f>IF(B11&gt;=0,B10+SQRT(B11),B10)</f>
        <v>0.37037037037037041</v>
      </c>
      <c r="C14" s="96">
        <f>IF(B11&gt;=0,0,SQRT(-B11))</f>
        <v>0.57735026918962551</v>
      </c>
      <c r="E14" t="s">
        <v>251</v>
      </c>
      <c r="F14" s="94">
        <f>IF(F11&gt;=0,F10+SQRT(F11),F10)</f>
        <v>-3.7037037037036757E-2</v>
      </c>
      <c r="G14" s="96">
        <f>IF(F11&gt;=0,0,SQRT(-F11))</f>
        <v>4.1126091342083401E-9</v>
      </c>
      <c r="I14" t="s">
        <v>251</v>
      </c>
      <c r="J14" s="94">
        <f>IF(J11&gt;=0,J10+SQRT(J11),J10)</f>
        <v>0</v>
      </c>
      <c r="K14" s="96">
        <f>IF(J11&gt;=0,0,SQRT(-J11))</f>
        <v>0</v>
      </c>
    </row>
    <row r="15" spans="1:11" x14ac:dyDescent="0.35">
      <c r="A15" t="s">
        <v>360</v>
      </c>
      <c r="B15" s="94" t="e">
        <f t="array" aca="1" ref="B15:C17" ca="1">IF(AND(B11=0,B9=0),"",CRoots(B14:C14,3))</f>
        <v>#NAME?</v>
      </c>
      <c r="C15" s="96" t="e">
        <f ca="1"/>
        <v>#NAME?</v>
      </c>
      <c r="E15" t="s">
        <v>360</v>
      </c>
      <c r="F15" s="94" t="e">
        <f t="array" aca="1" ref="F15:G17" ca="1">IF(AND(F11=0,F9=0),"",CRoots(F14:G14,3))</f>
        <v>#NAME?</v>
      </c>
      <c r="G15" s="96" t="e">
        <f ca="1"/>
        <v>#NAME?</v>
      </c>
      <c r="I15" t="s">
        <v>360</v>
      </c>
      <c r="J15" s="94" t="str">
        <f t="array" ref="J15:K17">IF(AND(J11=0,J9=0),"",CRoots(J14:K14,3))</f>
        <v/>
      </c>
      <c r="K15" s="96" t="str">
        <v/>
      </c>
    </row>
    <row r="16" spans="1:11" x14ac:dyDescent="0.35">
      <c r="A16" t="s">
        <v>361</v>
      </c>
      <c r="B16" s="30" t="e">
        <f ca="1"/>
        <v>#NAME?</v>
      </c>
      <c r="C16" s="26" t="e">
        <f ca="1"/>
        <v>#NAME?</v>
      </c>
      <c r="E16" t="s">
        <v>361</v>
      </c>
      <c r="F16" s="30" t="e">
        <f ca="1"/>
        <v>#NAME?</v>
      </c>
      <c r="G16" s="26" t="e">
        <f ca="1"/>
        <v>#NAME?</v>
      </c>
      <c r="I16" t="s">
        <v>361</v>
      </c>
      <c r="J16" s="30" t="str">
        <v/>
      </c>
      <c r="K16" s="26" t="str">
        <v/>
      </c>
    </row>
    <row r="17" spans="1:11" x14ac:dyDescent="0.35">
      <c r="A17" t="s">
        <v>362</v>
      </c>
      <c r="B17" s="30" t="e">
        <f ca="1"/>
        <v>#NAME?</v>
      </c>
      <c r="C17" s="26" t="e">
        <f ca="1"/>
        <v>#NAME?</v>
      </c>
      <c r="E17" t="s">
        <v>362</v>
      </c>
      <c r="F17" s="30" t="e">
        <f ca="1"/>
        <v>#NAME?</v>
      </c>
      <c r="G17" s="26" t="e">
        <f ca="1"/>
        <v>#NAME?</v>
      </c>
      <c r="I17" t="s">
        <v>362</v>
      </c>
      <c r="J17" s="30" t="str">
        <v/>
      </c>
      <c r="K17" s="26" t="str">
        <v/>
      </c>
    </row>
    <row r="18" spans="1:11" x14ac:dyDescent="0.35">
      <c r="A18" t="s">
        <v>347</v>
      </c>
      <c r="B18" s="94" t="e">
        <f t="array" aca="1" ref="B18:C18" ca="1">IF(B15="",CSet(-B$3/3,0),CSub(CSub(B15:C15,CDiv(B$7,3*B15:C15)),B$3/3))</f>
        <v>#NAME?</v>
      </c>
      <c r="C18" s="96" t="e">
        <f ca="1"/>
        <v>#NAME?</v>
      </c>
      <c r="E18" t="s">
        <v>347</v>
      </c>
      <c r="F18" s="94" t="e">
        <f t="array" aca="1" ref="F18:G18" ca="1">IF(F15="",CSet(-F$3/3,0),CSub(CSub(F15:G15,CDiv(F$7,3*F15:G15)),F$3/3))</f>
        <v>#NAME?</v>
      </c>
      <c r="G18" s="96" t="e">
        <f ca="1"/>
        <v>#NAME?</v>
      </c>
      <c r="I18" t="s">
        <v>347</v>
      </c>
      <c r="J18" s="94" t="e">
        <f t="array" aca="1" ref="J18:K18" ca="1">IF(J15="",CSet(-J$3/3,0),CSub(CSub(J15:K15,CDiv(J$7,3*J15:K15)),J$3/3))</f>
        <v>#NAME?</v>
      </c>
      <c r="K18" s="96" t="e">
        <f ca="1"/>
        <v>#NAME?</v>
      </c>
    </row>
    <row r="19" spans="1:11" x14ac:dyDescent="0.35">
      <c r="A19" t="s">
        <v>349</v>
      </c>
      <c r="B19" s="30" t="e">
        <f t="array" aca="1" ref="B19:C19" ca="1">IF(B16="",CSet(-B$3/3,0),CSub(CSub(B16:C16,CDiv(B$7,3*B16:C16)),B$3/3))</f>
        <v>#NAME?</v>
      </c>
      <c r="C19" s="26" t="e">
        <f ca="1"/>
        <v>#NAME?</v>
      </c>
      <c r="E19" t="s">
        <v>349</v>
      </c>
      <c r="F19" s="30" t="e">
        <f t="array" aca="1" ref="F19:G19" ca="1">IF(F16="",CSet(-F$3/3,0),CSub(CSub(F16:G16,CDiv(F$7,3*F16:G16)),F$3/3))</f>
        <v>#NAME?</v>
      </c>
      <c r="G19" s="26" t="e">
        <f ca="1"/>
        <v>#NAME?</v>
      </c>
      <c r="I19" t="s">
        <v>349</v>
      </c>
      <c r="J19" s="30" t="e">
        <f t="array" aca="1" ref="J19:K19" ca="1">IF(J16="",CSet(-J$3/3,0),CSub(CSub(J16:K16,CDiv(J$7,3*J16:K16)),J$3/3))</f>
        <v>#NAME?</v>
      </c>
      <c r="K19" s="26" t="e">
        <f ca="1"/>
        <v>#NAME?</v>
      </c>
    </row>
    <row r="20" spans="1:11" x14ac:dyDescent="0.35">
      <c r="A20" t="s">
        <v>350</v>
      </c>
      <c r="B20" s="7" t="e">
        <f t="array" aca="1" ref="B20:C20" ca="1">IF(B17="",CSet(-B$3/3,0),CSub(CSub(B17:C17,CDiv(B$7,3*B17:C17)),B$3/3))</f>
        <v>#NAME?</v>
      </c>
      <c r="C20" s="9" t="e">
        <f ca="1"/>
        <v>#NAME?</v>
      </c>
      <c r="E20" t="s">
        <v>350</v>
      </c>
      <c r="F20" s="7" t="e">
        <f t="array" aca="1" ref="F20:G20" ca="1">IF(F17="",CSet(-F$3/3,0),CSub(CSub(F17:G17,CDiv(F$7,3*F17:G17)),F$3/3))</f>
        <v>#NAME?</v>
      </c>
      <c r="G20" s="9" t="e">
        <f ca="1"/>
        <v>#NAME?</v>
      </c>
      <c r="I20" t="s">
        <v>350</v>
      </c>
      <c r="J20" s="7" t="e">
        <f t="array" aca="1" ref="J20:K20" ca="1">IF(J17="",CSet(-J$3/3,0),CSub(CSub(J17:K17,CDiv(J$7,3*J17:K17)),J$3/3))</f>
        <v>#NAME?</v>
      </c>
      <c r="K20" s="9" t="e">
        <f ca="1"/>
        <v>#NAME?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6D2B-72D5-46CE-904E-802EFD0C5471}">
  <sheetPr codeName="Sheet24"/>
  <dimension ref="A1:Q10"/>
  <sheetViews>
    <sheetView workbookViewId="0">
      <selection activeCell="G1" sqref="G1"/>
    </sheetView>
  </sheetViews>
  <sheetFormatPr defaultRowHeight="14.5" x14ac:dyDescent="0.35"/>
  <cols>
    <col min="1" max="1" width="8.453125" customWidth="1"/>
  </cols>
  <sheetData>
    <row r="1" spans="1:17" x14ac:dyDescent="0.35">
      <c r="A1" s="10" t="s">
        <v>363</v>
      </c>
    </row>
    <row r="3" spans="1:17" ht="16.5" x14ac:dyDescent="0.35">
      <c r="A3" t="s">
        <v>364</v>
      </c>
      <c r="G3" t="s">
        <v>365</v>
      </c>
      <c r="M3" t="s">
        <v>366</v>
      </c>
    </row>
    <row r="5" spans="1:17" x14ac:dyDescent="0.35">
      <c r="A5" s="3" t="s">
        <v>367</v>
      </c>
      <c r="B5" s="3" t="s">
        <v>368</v>
      </c>
      <c r="D5" s="3" t="s">
        <v>340</v>
      </c>
      <c r="E5" s="3" t="s">
        <v>341</v>
      </c>
      <c r="G5" s="3" t="s">
        <v>367</v>
      </c>
      <c r="H5" s="3" t="s">
        <v>368</v>
      </c>
      <c r="J5" s="3" t="s">
        <v>340</v>
      </c>
      <c r="K5" s="3" t="s">
        <v>341</v>
      </c>
      <c r="M5" s="3" t="s">
        <v>367</v>
      </c>
      <c r="N5" s="3" t="s">
        <v>368</v>
      </c>
      <c r="P5" t="s">
        <v>340</v>
      </c>
      <c r="Q5" t="s">
        <v>341</v>
      </c>
    </row>
    <row r="6" spans="1:17" x14ac:dyDescent="0.35">
      <c r="A6" s="3">
        <v>0</v>
      </c>
      <c r="B6" s="65">
        <v>-60</v>
      </c>
      <c r="D6" s="94" t="e">
        <f t="array" aca="1" ref="D6:E9" ca="1">ROOTS(B6:B10)</f>
        <v>#NAME?</v>
      </c>
      <c r="E6" s="96" t="e">
        <f ca="1"/>
        <v>#NAME?</v>
      </c>
      <c r="G6" s="3">
        <v>0</v>
      </c>
      <c r="H6" s="65">
        <v>0</v>
      </c>
      <c r="J6" s="94" t="e">
        <f t="array" aca="1" ref="J6:K9" ca="1">ROOTS(H6:H10)</f>
        <v>#NAME?</v>
      </c>
      <c r="K6" s="96" t="e">
        <f ca="1"/>
        <v>#NAME?</v>
      </c>
      <c r="M6" s="3">
        <v>0</v>
      </c>
      <c r="N6" s="65">
        <v>1</v>
      </c>
      <c r="P6" s="15" t="e">
        <f t="array" aca="1" ref="P6:Q6" ca="1">ROOTS(N6:N7)</f>
        <v>#NAME?</v>
      </c>
      <c r="Q6" s="38" t="e">
        <f ca="1"/>
        <v>#NAME?</v>
      </c>
    </row>
    <row r="7" spans="1:17" x14ac:dyDescent="0.35">
      <c r="A7" s="3">
        <f>A6+1</f>
        <v>1</v>
      </c>
      <c r="B7" s="52">
        <v>8</v>
      </c>
      <c r="D7" s="30" t="e">
        <f ca="1"/>
        <v>#NAME?</v>
      </c>
      <c r="E7" s="26" t="e">
        <f ca="1"/>
        <v>#NAME?</v>
      </c>
      <c r="G7" s="3">
        <f>G6+1</f>
        <v>1</v>
      </c>
      <c r="H7" s="52">
        <v>-1</v>
      </c>
      <c r="J7" s="30" t="e">
        <f ca="1"/>
        <v>#NAME?</v>
      </c>
      <c r="K7" s="26" t="e">
        <f ca="1"/>
        <v>#NAME?</v>
      </c>
      <c r="M7" s="3">
        <f>M6+1</f>
        <v>1</v>
      </c>
      <c r="N7" s="14">
        <v>2</v>
      </c>
    </row>
    <row r="8" spans="1:17" x14ac:dyDescent="0.35">
      <c r="A8" s="3">
        <f>A7+1</f>
        <v>2</v>
      </c>
      <c r="B8" s="52">
        <v>-11</v>
      </c>
      <c r="D8" s="30" t="e">
        <f ca="1"/>
        <v>#NAME?</v>
      </c>
      <c r="E8" s="26" t="e">
        <f ca="1"/>
        <v>#NAME?</v>
      </c>
      <c r="G8" s="3">
        <f>G7+1</f>
        <v>2</v>
      </c>
      <c r="H8" s="52">
        <v>-1</v>
      </c>
      <c r="J8" s="30" t="e">
        <f ca="1"/>
        <v>#NAME?</v>
      </c>
      <c r="K8" s="26" t="e">
        <f ca="1"/>
        <v>#NAME?</v>
      </c>
    </row>
    <row r="9" spans="1:17" x14ac:dyDescent="0.35">
      <c r="A9" s="3">
        <f>A8+1</f>
        <v>3</v>
      </c>
      <c r="B9" s="52">
        <v>2</v>
      </c>
      <c r="D9" s="7" t="e">
        <f ca="1"/>
        <v>#NAME?</v>
      </c>
      <c r="E9" s="9" t="e">
        <f ca="1"/>
        <v>#NAME?</v>
      </c>
      <c r="G9" s="3">
        <f>G8+1</f>
        <v>3</v>
      </c>
      <c r="H9" s="52">
        <v>1</v>
      </c>
      <c r="J9" s="7" t="e">
        <f ca="1"/>
        <v>#NAME?</v>
      </c>
      <c r="K9" s="9" t="e">
        <f ca="1"/>
        <v>#NAME?</v>
      </c>
    </row>
    <row r="10" spans="1:17" x14ac:dyDescent="0.35">
      <c r="A10" s="3">
        <f>A9+1</f>
        <v>4</v>
      </c>
      <c r="B10" s="14">
        <v>1</v>
      </c>
      <c r="G10" s="3">
        <f>G9+1</f>
        <v>4</v>
      </c>
      <c r="H10" s="1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8282-948D-48CD-8914-48720CCACD06}">
  <sheetPr codeName="Sheet104"/>
  <dimension ref="A1:AB18"/>
  <sheetViews>
    <sheetView zoomScaleNormal="100" workbookViewId="0"/>
  </sheetViews>
  <sheetFormatPr defaultRowHeight="14.5" x14ac:dyDescent="0.35"/>
  <cols>
    <col min="1" max="1" width="7.1796875" customWidth="1"/>
  </cols>
  <sheetData>
    <row r="1" spans="1:28" x14ac:dyDescent="0.35">
      <c r="A1" s="10" t="s">
        <v>369</v>
      </c>
    </row>
    <row r="3" spans="1:28" ht="16.5" x14ac:dyDescent="0.35">
      <c r="A3" t="s">
        <v>364</v>
      </c>
    </row>
    <row r="5" spans="1:28" x14ac:dyDescent="0.35">
      <c r="A5" s="3" t="s">
        <v>367</v>
      </c>
      <c r="B5" s="3" t="s">
        <v>368</v>
      </c>
      <c r="C5" s="3" t="s">
        <v>344</v>
      </c>
      <c r="D5" s="3" t="s">
        <v>348</v>
      </c>
      <c r="E5" s="3" t="s">
        <v>368</v>
      </c>
      <c r="F5" s="3" t="s">
        <v>344</v>
      </c>
      <c r="G5" s="3" t="s">
        <v>348</v>
      </c>
      <c r="H5" s="3" t="s">
        <v>368</v>
      </c>
      <c r="I5" s="3" t="s">
        <v>344</v>
      </c>
      <c r="J5" s="3" t="s">
        <v>348</v>
      </c>
      <c r="K5" s="3" t="s">
        <v>368</v>
      </c>
      <c r="L5" s="3" t="s">
        <v>344</v>
      </c>
      <c r="M5" s="3" t="s">
        <v>348</v>
      </c>
      <c r="N5" s="3" t="s">
        <v>368</v>
      </c>
      <c r="O5" s="3" t="s">
        <v>344</v>
      </c>
      <c r="P5" s="3" t="s">
        <v>348</v>
      </c>
      <c r="Q5" s="3" t="s">
        <v>368</v>
      </c>
      <c r="R5" s="3" t="s">
        <v>344</v>
      </c>
      <c r="S5" s="3" t="s">
        <v>348</v>
      </c>
      <c r="T5" s="3" t="s">
        <v>368</v>
      </c>
      <c r="U5" s="3" t="s">
        <v>344</v>
      </c>
      <c r="V5" s="3" t="s">
        <v>348</v>
      </c>
      <c r="W5" s="3" t="s">
        <v>368</v>
      </c>
      <c r="X5" s="3" t="s">
        <v>344</v>
      </c>
      <c r="Y5" s="3" t="s">
        <v>348</v>
      </c>
      <c r="Z5" s="3" t="s">
        <v>368</v>
      </c>
      <c r="AA5" s="3" t="s">
        <v>344</v>
      </c>
      <c r="AB5" s="3" t="s">
        <v>348</v>
      </c>
    </row>
    <row r="6" spans="1:28" x14ac:dyDescent="0.35">
      <c r="A6" s="3">
        <v>0</v>
      </c>
      <c r="B6" s="65">
        <v>-60</v>
      </c>
      <c r="C6">
        <f>B6+B12*C7+B13*C8</f>
        <v>-34</v>
      </c>
      <c r="D6">
        <f>C6+B12*D7+B13*D8</f>
        <v>-203</v>
      </c>
      <c r="E6" s="65">
        <f>B6</f>
        <v>-60</v>
      </c>
      <c r="F6">
        <f>E6+E12*F7+E13*F8</f>
        <v>-46.698005995643868</v>
      </c>
      <c r="G6">
        <f>F6+E12*G7+E13*G8</f>
        <v>-57.666212687261108</v>
      </c>
      <c r="H6" s="65">
        <f>E6</f>
        <v>-60</v>
      </c>
      <c r="I6">
        <f>H6+H12*I7+H13*I8</f>
        <v>-22.262508226684176</v>
      </c>
      <c r="J6">
        <f>I6+H12*J7+H13*J8</f>
        <v>23.21886399889377</v>
      </c>
      <c r="K6" s="65">
        <f>H6</f>
        <v>-60</v>
      </c>
      <c r="L6">
        <f>K6+K12*L7+K13*L8</f>
        <v>-5.5991246097744138</v>
      </c>
      <c r="M6">
        <f>L6+K12*M7+K13*M8</f>
        <v>61.690593561504485</v>
      </c>
      <c r="N6" s="65">
        <f>K6</f>
        <v>-60</v>
      </c>
      <c r="O6">
        <f>N6+N12*O7+N13*O8</f>
        <v>6.2800742758305717E-2</v>
      </c>
      <c r="P6">
        <f>O6+N12*P7+N13*P8</f>
        <v>76.182933281896666</v>
      </c>
      <c r="Q6" s="65">
        <f>N6</f>
        <v>-60</v>
      </c>
      <c r="R6">
        <f>Q6+Q12*R7+Q13*R8</f>
        <v>-1.112004309007375E-4</v>
      </c>
      <c r="S6">
        <f>R6+Q12*S7+Q13*S8</f>
        <v>75.99973812334035</v>
      </c>
      <c r="T6" s="65">
        <f>Q6</f>
        <v>-60</v>
      </c>
      <c r="U6">
        <f>T6+T12*U7+T13*U8</f>
        <v>1.5226930827338947E-11</v>
      </c>
      <c r="V6">
        <f>U6+T12*V7+T13*V8</f>
        <v>76.000000000033808</v>
      </c>
      <c r="W6" s="65">
        <f>T6</f>
        <v>-60</v>
      </c>
      <c r="X6">
        <f>W6+W12*X7+W13*X8</f>
        <v>0</v>
      </c>
      <c r="Y6">
        <f>X6+W12*Y7+W13*Y8</f>
        <v>75.999999999999986</v>
      </c>
      <c r="Z6" s="65">
        <f>W6</f>
        <v>-60</v>
      </c>
      <c r="AA6">
        <f>Z6+Z12*AA7+Z13*AA8</f>
        <v>0</v>
      </c>
      <c r="AB6">
        <f>AA6+Z12*AB7+Z13*AB8</f>
        <v>75.999999999999986</v>
      </c>
    </row>
    <row r="7" spans="1:28" x14ac:dyDescent="0.35">
      <c r="A7" s="3">
        <f>A6+1</f>
        <v>1</v>
      </c>
      <c r="B7" s="52">
        <v>8</v>
      </c>
      <c r="C7">
        <f>B7+B12*C8+B13*C9</f>
        <v>-64</v>
      </c>
      <c r="D7">
        <f>C7+B12*D8+B13*D9</f>
        <v>-156</v>
      </c>
      <c r="E7" s="52">
        <f>B7</f>
        <v>8</v>
      </c>
      <c r="F7">
        <f>E7+E12*F8+E13*F9</f>
        <v>-9.9841786259800838</v>
      </c>
      <c r="G7">
        <f>F7+E12*G8+E13*G9</f>
        <v>-28.336974940848325</v>
      </c>
      <c r="H7" s="52">
        <f>E7</f>
        <v>8</v>
      </c>
      <c r="I7">
        <f>H7+H12*I8+H13*I9</f>
        <v>9.8511230822111617</v>
      </c>
      <c r="J7">
        <f>I7+H12*J8+H13*J9</f>
        <v>14.437549646243827</v>
      </c>
      <c r="K7" s="52">
        <f>H7</f>
        <v>8</v>
      </c>
      <c r="L7">
        <f>K7+K12*L8+K13*L9</f>
        <v>-0.5429636430202871</v>
      </c>
      <c r="M7">
        <f>L7+K12*M8+K13*M9</f>
        <v>-9.5211861498440662</v>
      </c>
      <c r="N7" s="52">
        <f>K7</f>
        <v>8</v>
      </c>
      <c r="O7">
        <f>N7+N12*O8+N13*O9</f>
        <v>4.2138019467644838E-2</v>
      </c>
      <c r="P7">
        <f>O7+N12*P8+N13*P9</f>
        <v>-7.8960507673811398</v>
      </c>
      <c r="Q7" s="52">
        <f>N7</f>
        <v>8</v>
      </c>
      <c r="R7">
        <f>Q7+Q12*R8+Q13*R9</f>
        <v>2.3243752290902364E-5</v>
      </c>
      <c r="S7">
        <f>R7+Q12*S8+Q13*S9</f>
        <v>-7.9999488603952402</v>
      </c>
      <c r="T7" s="52">
        <f>Q7</f>
        <v>8</v>
      </c>
      <c r="U7">
        <f>T7+T12*U8+T13*U9</f>
        <v>-6.4153127254940046E-12</v>
      </c>
      <c r="V7">
        <f>U7+T12*V8+T13*V9</f>
        <v>-8.0000000000147704</v>
      </c>
      <c r="W7" s="52">
        <f>T7</f>
        <v>8</v>
      </c>
      <c r="X7">
        <f>W7+W12*X8+W13*X9</f>
        <v>0</v>
      </c>
      <c r="Y7">
        <f>X7+W12*Y8+W13*Y9</f>
        <v>-8</v>
      </c>
      <c r="Z7" s="52">
        <f>W7</f>
        <v>8</v>
      </c>
      <c r="AA7">
        <f>Z7+Z12*AA8+Z13*AA9</f>
        <v>0</v>
      </c>
      <c r="AB7">
        <f>AA7+Z12*AB8+Z13*AB9</f>
        <v>-8</v>
      </c>
    </row>
    <row r="8" spans="1:28" x14ac:dyDescent="0.35">
      <c r="A8" s="3">
        <f>A7+1</f>
        <v>2</v>
      </c>
      <c r="B8" s="52">
        <v>-11</v>
      </c>
      <c r="C8">
        <f>B8+B12*C9+B13*C10</f>
        <v>-14</v>
      </c>
      <c r="D8">
        <f>C8+B12*D9+B13*D10</f>
        <v>-13</v>
      </c>
      <c r="E8" s="52">
        <f>B8</f>
        <v>-11</v>
      </c>
      <c r="F8">
        <f>E8+E12*F9+E13*F10</f>
        <v>-10.111032943633424</v>
      </c>
      <c r="G8">
        <f>F8+E12*G9+E13*G10</f>
        <v>-8.0932798263753831</v>
      </c>
      <c r="H8" s="52">
        <f>E8</f>
        <v>-11</v>
      </c>
      <c r="I8">
        <f>H8+H12*I9+H13*I10</f>
        <v>-14.568387043383785</v>
      </c>
      <c r="J8">
        <f>I8+H12*J9+H13*J10</f>
        <v>-17.946052933816254</v>
      </c>
      <c r="K8" s="52">
        <f>H8</f>
        <v>-11</v>
      </c>
      <c r="L8">
        <f>K8+K12*L9+K13*L10</f>
        <v>-14.604764111587496</v>
      </c>
      <c r="M8">
        <f>L8+K12*M9+K13*M10</f>
        <v>-18.206000562380009</v>
      </c>
      <c r="N8" s="52">
        <f>K8</f>
        <v>-11</v>
      </c>
      <c r="O8">
        <f>N8+N12*O9+N13*O10</f>
        <v>-15.007183409678159</v>
      </c>
      <c r="P8">
        <f>O8+N12*P9+N13*P10</f>
        <v>-19.014360786209743</v>
      </c>
      <c r="Q8" s="52">
        <f>N8</f>
        <v>-11</v>
      </c>
      <c r="R8">
        <f>Q8+Q12*R9+Q13*R10</f>
        <v>-14.999995065523535</v>
      </c>
      <c r="S8">
        <f>R8+Q12*S9+Q13*S10</f>
        <v>-18.999990131046733</v>
      </c>
      <c r="T8" s="52">
        <f>Q8</f>
        <v>-11</v>
      </c>
      <c r="U8">
        <f>T8+T12*U9+T13*U10</f>
        <v>-15.000000000000419</v>
      </c>
      <c r="V8">
        <f>U8+T12*V9+T13*V10</f>
        <v>-19.000000000000838</v>
      </c>
      <c r="W8" s="52">
        <f>T8</f>
        <v>-11</v>
      </c>
      <c r="X8">
        <f>W8+W12*X9+W13*X10</f>
        <v>-15</v>
      </c>
      <c r="Y8">
        <f>X8+W12*Y9+W13*Y10</f>
        <v>-19</v>
      </c>
      <c r="Z8" s="52">
        <f>W8</f>
        <v>-11</v>
      </c>
      <c r="AA8">
        <f>Z8+Z12*AA9+Z13*AA10</f>
        <v>-15</v>
      </c>
      <c r="AB8">
        <f>AA8+Z12*AB9+Z13*AB10</f>
        <v>-19</v>
      </c>
    </row>
    <row r="9" spans="1:28" x14ac:dyDescent="0.35">
      <c r="A9" s="3">
        <f>A8+1</f>
        <v>3</v>
      </c>
      <c r="B9" s="52">
        <v>2</v>
      </c>
      <c r="C9">
        <f>B9+B12*C10</f>
        <v>4</v>
      </c>
      <c r="D9">
        <f>C9+B12*D10</f>
        <v>6</v>
      </c>
      <c r="E9" s="52">
        <f>B9</f>
        <v>2</v>
      </c>
      <c r="F9">
        <f>E9+E12*F10</f>
        <v>3.0624434389140269</v>
      </c>
      <c r="G9">
        <f>F9+E12*G10</f>
        <v>4.1248868778280539</v>
      </c>
      <c r="H9" s="52">
        <f>E9</f>
        <v>2</v>
      </c>
      <c r="I9">
        <f>H9+H12*I10</f>
        <v>1.5632836699282722</v>
      </c>
      <c r="J9">
        <f>I9+H12*J10</f>
        <v>1.1265673398565443</v>
      </c>
      <c r="K9" s="52">
        <f>H9</f>
        <v>2</v>
      </c>
      <c r="L9">
        <f>K9+K12*L10</f>
        <v>2.0593941141442613</v>
      </c>
      <c r="M9">
        <f>L9+K12*M10</f>
        <v>2.1187882282885226</v>
      </c>
      <c r="N9" s="52">
        <f>K9</f>
        <v>2</v>
      </c>
      <c r="O9">
        <f>N9+N12*O10</f>
        <v>1.997543753559023</v>
      </c>
      <c r="P9">
        <f>O9+N12*P10</f>
        <v>1.9950875071180461</v>
      </c>
      <c r="Q9" s="52">
        <f>N9</f>
        <v>2</v>
      </c>
      <c r="R9">
        <f>Q9+Q12*R10</f>
        <v>1.9999994184866758</v>
      </c>
      <c r="S9">
        <f>R9+Q12*S10</f>
        <v>1.9999988369733517</v>
      </c>
      <c r="T9" s="52">
        <f>Q9</f>
        <v>2</v>
      </c>
      <c r="U9">
        <f>T9+T12*U10</f>
        <v>2.0000000000002425</v>
      </c>
      <c r="V9">
        <f>U9+T12*V10</f>
        <v>2.0000000000004849</v>
      </c>
      <c r="W9" s="52">
        <f>T9</f>
        <v>2</v>
      </c>
      <c r="X9">
        <f>W9+W12*X10</f>
        <v>2</v>
      </c>
      <c r="Y9">
        <f>X9+W12*Y10</f>
        <v>2</v>
      </c>
      <c r="Z9" s="52">
        <f>W9</f>
        <v>2</v>
      </c>
      <c r="AA9">
        <f>Z9+Z12*AA10</f>
        <v>2</v>
      </c>
      <c r="AB9">
        <f>AA9+Z12*AB10</f>
        <v>2</v>
      </c>
    </row>
    <row r="10" spans="1:28" x14ac:dyDescent="0.35">
      <c r="A10" s="3">
        <f>A9+1</f>
        <v>4</v>
      </c>
      <c r="B10" s="14">
        <v>1</v>
      </c>
      <c r="C10">
        <f>B10</f>
        <v>1</v>
      </c>
      <c r="D10">
        <f>C10</f>
        <v>1</v>
      </c>
      <c r="E10" s="14">
        <f>B10</f>
        <v>1</v>
      </c>
      <c r="F10">
        <f>E10</f>
        <v>1</v>
      </c>
      <c r="G10">
        <f>F10</f>
        <v>1</v>
      </c>
      <c r="H10" s="14">
        <f>E10</f>
        <v>1</v>
      </c>
      <c r="I10">
        <f>H10</f>
        <v>1</v>
      </c>
      <c r="J10">
        <f>I10</f>
        <v>1</v>
      </c>
      <c r="K10" s="14">
        <f>H10</f>
        <v>1</v>
      </c>
      <c r="L10">
        <f>K10</f>
        <v>1</v>
      </c>
      <c r="M10">
        <f>L10</f>
        <v>1</v>
      </c>
      <c r="N10" s="14">
        <f>K10</f>
        <v>1</v>
      </c>
      <c r="O10">
        <f>N10</f>
        <v>1</v>
      </c>
      <c r="P10">
        <f>O10</f>
        <v>1</v>
      </c>
      <c r="Q10" s="14">
        <f>N10</f>
        <v>1</v>
      </c>
      <c r="R10">
        <f>Q10</f>
        <v>1</v>
      </c>
      <c r="S10">
        <f>R10</f>
        <v>1</v>
      </c>
      <c r="T10" s="14">
        <f>Q10</f>
        <v>1</v>
      </c>
      <c r="U10">
        <f>T10</f>
        <v>1</v>
      </c>
      <c r="V10">
        <f>U10</f>
        <v>1</v>
      </c>
      <c r="W10" s="14">
        <f>T10</f>
        <v>1</v>
      </c>
      <c r="X10">
        <f>W10</f>
        <v>1</v>
      </c>
      <c r="Y10">
        <f>X10</f>
        <v>1</v>
      </c>
      <c r="Z10" s="14">
        <f>W10</f>
        <v>1</v>
      </c>
      <c r="AA10">
        <f>Z10</f>
        <v>1</v>
      </c>
      <c r="AB10">
        <f>AA10</f>
        <v>1</v>
      </c>
    </row>
    <row r="12" spans="1:28" x14ac:dyDescent="0.35">
      <c r="A12" s="3" t="s">
        <v>370</v>
      </c>
      <c r="B12" s="65">
        <f>B9/B10</f>
        <v>2</v>
      </c>
      <c r="E12" s="65">
        <f>B12+(C6*D9-C7*D8)/(D8^2-D7*D9)</f>
        <v>1.0624434389140271</v>
      </c>
      <c r="H12" s="65">
        <f>E12+(F6*G9-F7*G8)/(G8^2-G7*G9)</f>
        <v>-0.43671633007172783</v>
      </c>
      <c r="K12" s="65">
        <f>H12+(I6*J9-I7*J8)/(J8^2-J7*J9)</f>
        <v>5.9394114144261434E-2</v>
      </c>
      <c r="N12" s="65">
        <f>K12+(L6*M9-L7*M8)/(M8^2-M7*M9)</f>
        <v>-2.4562464409770834E-3</v>
      </c>
      <c r="Q12" s="65">
        <f>N12+(O6*P9-O7*P8)/(P8^2-P7*P9)</f>
        <v>-5.8151332407285067E-7</v>
      </c>
      <c r="T12" s="65">
        <f>Q12+(R6*S9-R7*S8)/(S8^2-S7*S9)</f>
        <v>2.42584338309099E-13</v>
      </c>
      <c r="W12" s="65">
        <f>T12+(U6*V9-U7*V8)/(V8^2-V7*V9)</f>
        <v>4.5664225039734199E-17</v>
      </c>
      <c r="Z12" s="65">
        <f>W12+(X6*Y9-X7*Y8)/(Y8^2-Y7*Y9)</f>
        <v>4.5664225039734199E-17</v>
      </c>
    </row>
    <row r="13" spans="1:28" x14ac:dyDescent="0.35">
      <c r="A13" s="3" t="s">
        <v>371</v>
      </c>
      <c r="B13" s="14">
        <f>B8/B10</f>
        <v>-11</v>
      </c>
      <c r="E13" s="14">
        <f>B13+(C7*D7-C6*D8)/(D8^2-D7*D9)</f>
        <v>-2.3647058823529417</v>
      </c>
      <c r="H13" s="14">
        <f>E13+(F7*G7-F6*G8)/(G8^2-G7*G9)</f>
        <v>-2.8856755361916484</v>
      </c>
      <c r="K13" s="14">
        <f>H13+(I7*J7-I6*J8)/(J8^2-J7*J9)</f>
        <v>-3.7270800006709996</v>
      </c>
      <c r="N13" s="14">
        <f>K13+(L7*M7-L6*M8)/(M8^2-M7*M9)</f>
        <v>-4.0022769499427842</v>
      </c>
      <c r="Q13" s="14">
        <f>N13+(O7*P7-O6*P8)/(P8^2-P7*P9)</f>
        <v>-3.9999939024972258</v>
      </c>
      <c r="T13" s="14">
        <f>Q13+(R7*S7-R6*S8)/(S8^2-S7*S9)</f>
        <v>-4.0000000000009033</v>
      </c>
      <c r="W13" s="14">
        <f>T13+(U7*V7-U6*V8)/(V8^2-V7*V9)</f>
        <v>-3.9999999999999996</v>
      </c>
      <c r="Z13" s="14">
        <f>W13+(X7*Y7-X6*Y8)/(Y8^2-Y7*Y9)</f>
        <v>-3.9999999999999996</v>
      </c>
    </row>
    <row r="15" spans="1:28" x14ac:dyDescent="0.35">
      <c r="W15" s="85">
        <f>Z12^2+4*Z13</f>
        <v>-15.999999999999998</v>
      </c>
    </row>
    <row r="17" spans="22:24" x14ac:dyDescent="0.35">
      <c r="V17" s="3" t="s">
        <v>372</v>
      </c>
      <c r="W17" s="94">
        <f>IF(W15&gt;=0,(Z12-SQRT(W15))/2,Z12/2)</f>
        <v>2.28321125198671E-17</v>
      </c>
      <c r="X17" s="96">
        <f>IF(W15&gt;=0,0,-SQRT(-W15)/2)</f>
        <v>-2</v>
      </c>
    </row>
    <row r="18" spans="22:24" x14ac:dyDescent="0.35">
      <c r="V18" s="3" t="s">
        <v>372</v>
      </c>
      <c r="W18" s="7">
        <f>IF(W15&gt;=0,(Z12+SQRT(W15))/2,Z12/2)</f>
        <v>2.28321125198671E-17</v>
      </c>
      <c r="X18" s="9">
        <f>IF(W15&gt;=0,0,SQRT(-W15)/2)</f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1FFF-DAB3-446B-840F-B5F0FE357EDE}">
  <sheetPr codeName="Sheet105"/>
  <dimension ref="A1:I18"/>
  <sheetViews>
    <sheetView workbookViewId="0"/>
  </sheetViews>
  <sheetFormatPr defaultRowHeight="14.5" x14ac:dyDescent="0.35"/>
  <cols>
    <col min="1" max="1" width="8.453125" customWidth="1"/>
  </cols>
  <sheetData>
    <row r="1" spans="1:8" x14ac:dyDescent="0.35">
      <c r="A1" s="10" t="s">
        <v>369</v>
      </c>
    </row>
    <row r="3" spans="1:8" ht="16.5" x14ac:dyDescent="0.35">
      <c r="A3" t="s">
        <v>364</v>
      </c>
      <c r="E3" t="s">
        <v>373</v>
      </c>
    </row>
    <row r="5" spans="1:8" x14ac:dyDescent="0.35">
      <c r="A5" s="3" t="s">
        <v>367</v>
      </c>
      <c r="B5" s="3" t="s">
        <v>368</v>
      </c>
      <c r="E5" s="3" t="s">
        <v>344</v>
      </c>
    </row>
    <row r="6" spans="1:8" x14ac:dyDescent="0.35">
      <c r="A6" s="3">
        <v>0</v>
      </c>
      <c r="B6" s="65">
        <v>-60</v>
      </c>
      <c r="E6" s="65">
        <f>B6+$B$12*E7+$B$13*E8</f>
        <v>4.4316775593244984E-5</v>
      </c>
    </row>
    <row r="7" spans="1:8" x14ac:dyDescent="0.35">
      <c r="A7" s="3">
        <f>A6+1</f>
        <v>1</v>
      </c>
      <c r="B7" s="52">
        <v>8</v>
      </c>
      <c r="E7" s="52">
        <f>B7+$B$12*E8+$B$13*E9</f>
        <v>-6.5071770105618043E-6</v>
      </c>
    </row>
    <row r="8" spans="1:8" x14ac:dyDescent="0.35">
      <c r="A8" s="3">
        <f>A7+1</f>
        <v>2</v>
      </c>
      <c r="B8" s="52">
        <v>-11</v>
      </c>
      <c r="E8" s="52">
        <f>B8+$B$12*E9+$B$13*E10</f>
        <v>-15.000002185863217</v>
      </c>
    </row>
    <row r="9" spans="1:8" x14ac:dyDescent="0.35">
      <c r="A9" s="3">
        <f>A8+1</f>
        <v>3</v>
      </c>
      <c r="B9" s="52">
        <v>2</v>
      </c>
      <c r="E9" s="52">
        <f>B9+$B$12*E10</f>
        <v>2.0000000928456578</v>
      </c>
    </row>
    <row r="10" spans="1:8" x14ac:dyDescent="0.35">
      <c r="A10" s="3">
        <f>A9+1</f>
        <v>4</v>
      </c>
      <c r="B10" s="14">
        <v>1</v>
      </c>
      <c r="E10" s="14">
        <f>B10</f>
        <v>1</v>
      </c>
    </row>
    <row r="12" spans="1:8" x14ac:dyDescent="0.35">
      <c r="A12" s="3" t="s">
        <v>370</v>
      </c>
      <c r="B12" s="65">
        <v>9.2845658003325041E-8</v>
      </c>
      <c r="E12" s="85">
        <f>E6^2+E7^2</f>
        <v>2.006319951628818E-9</v>
      </c>
      <c r="G12" s="3" t="s">
        <v>370</v>
      </c>
      <c r="H12" s="65">
        <f>-E9</f>
        <v>-2.0000000928456578</v>
      </c>
    </row>
    <row r="13" spans="1:8" x14ac:dyDescent="0.35">
      <c r="A13" s="3" t="s">
        <v>371</v>
      </c>
      <c r="B13" s="14">
        <v>-4.000002371554543</v>
      </c>
      <c r="G13" s="3" t="s">
        <v>371</v>
      </c>
      <c r="H13" s="14">
        <f>-E8</f>
        <v>15.000002185863217</v>
      </c>
    </row>
    <row r="15" spans="1:8" x14ac:dyDescent="0.35">
      <c r="A15" s="3" t="s">
        <v>374</v>
      </c>
      <c r="B15" s="85">
        <f>B12^2+4*B13</f>
        <v>-16.000009486218165</v>
      </c>
      <c r="G15" s="3" t="s">
        <v>374</v>
      </c>
      <c r="H15" s="85">
        <f>H12^2+4*H13</f>
        <v>64.000009114835507</v>
      </c>
    </row>
    <row r="17" spans="1:9" x14ac:dyDescent="0.35">
      <c r="A17" s="3" t="s">
        <v>372</v>
      </c>
      <c r="B17" s="94">
        <f>IF(B15&gt;=0,(B12-SQRT(B15))/2,B12/2)</f>
        <v>4.642282900166252E-8</v>
      </c>
      <c r="C17" s="96">
        <f>IF(B15&gt;=0,0,-SQRT(-B15)/2)</f>
        <v>-2.0000005928885476</v>
      </c>
      <c r="G17" s="3" t="s">
        <v>372</v>
      </c>
      <c r="H17" s="94">
        <f>IF(H15&gt;=0,(H12-SQRT(H15))/2,H12/2)</f>
        <v>-5.000000331261429</v>
      </c>
      <c r="I17" s="96">
        <f>IF(H15&gt;=0,0,-SQRT(-H15)/2)</f>
        <v>0</v>
      </c>
    </row>
    <row r="18" spans="1:9" x14ac:dyDescent="0.35">
      <c r="A18" s="3" t="s">
        <v>372</v>
      </c>
      <c r="B18" s="7">
        <f>IF(B15&gt;=0,(B12+SQRT(B15))/2,B12/2)</f>
        <v>4.642282900166252E-8</v>
      </c>
      <c r="C18" s="9">
        <f>IF(B15&gt;=0,0,SQRT(-B15)/2)</f>
        <v>2.0000005928885476</v>
      </c>
      <c r="G18" s="3" t="s">
        <v>372</v>
      </c>
      <c r="H18" s="7">
        <f>IF(H15&gt;=0,(H12+SQRT(H15))/2,H12/2)</f>
        <v>3.0000002384157707</v>
      </c>
      <c r="I18" s="9">
        <f>IF(H15&gt;=0,0,SQRT(-H15)/2)</f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A58E-EC8A-44D5-88FE-C075AB81B537}">
  <sheetPr codeName="Sheet66"/>
  <dimension ref="A2:M53"/>
  <sheetViews>
    <sheetView workbookViewId="0"/>
  </sheetViews>
  <sheetFormatPr defaultRowHeight="14.5" x14ac:dyDescent="0.35"/>
  <cols>
    <col min="1" max="1" width="5.7265625" customWidth="1"/>
    <col min="12" max="12" width="4.6328125" customWidth="1"/>
    <col min="13" max="13" width="8.7265625" customWidth="1"/>
  </cols>
  <sheetData>
    <row r="2" spans="1:13" x14ac:dyDescent="0.35">
      <c r="A2" s="154" t="s">
        <v>159</v>
      </c>
      <c r="B2" s="154" t="s">
        <v>449</v>
      </c>
    </row>
    <row r="3" spans="1:13" x14ac:dyDescent="0.35">
      <c r="A3">
        <v>-5</v>
      </c>
      <c r="B3">
        <f>EXP(A3/2)+A3^3</f>
        <v>-124.9179150013761</v>
      </c>
      <c r="L3" t="s">
        <v>159</v>
      </c>
      <c r="M3" s="65" t="e" cm="1">
        <f t="array" aca="1" ref="M3" ca="1">BRENT(B3,-5,5)</f>
        <v>#NAME?</v>
      </c>
    </row>
    <row r="4" spans="1:13" x14ac:dyDescent="0.35">
      <c r="A4">
        <f>A3+0.2</f>
        <v>-4.8</v>
      </c>
      <c r="B4">
        <f t="shared" ref="B4:B53" si="0">EXP(A4/2)+A4^3</f>
        <v>-110.50128204671059</v>
      </c>
      <c r="L4" t="s">
        <v>449</v>
      </c>
      <c r="M4" s="14" t="e">
        <f ca="1">EXP(M3/2)+M3^3</f>
        <v>#NAME?</v>
      </c>
    </row>
    <row r="5" spans="1:13" x14ac:dyDescent="0.35">
      <c r="A5">
        <f t="shared" ref="A5:A53" si="1">A4+0.2</f>
        <v>-4.5999999999999996</v>
      </c>
      <c r="B5">
        <f t="shared" si="0"/>
        <v>-97.235741156277172</v>
      </c>
    </row>
    <row r="6" spans="1:13" x14ac:dyDescent="0.35">
      <c r="A6">
        <f t="shared" si="1"/>
        <v>-4.3999999999999995</v>
      </c>
      <c r="B6">
        <f t="shared" si="0"/>
        <v>-85.073196841637639</v>
      </c>
    </row>
    <row r="7" spans="1:13" x14ac:dyDescent="0.35">
      <c r="A7">
        <f t="shared" si="1"/>
        <v>-4.1999999999999993</v>
      </c>
      <c r="B7">
        <f t="shared" si="0"/>
        <v>-73.965543571746977</v>
      </c>
    </row>
    <row r="8" spans="1:13" x14ac:dyDescent="0.35">
      <c r="A8">
        <f t="shared" si="1"/>
        <v>-3.9999999999999991</v>
      </c>
      <c r="B8">
        <f t="shared" si="0"/>
        <v>-63.864664716763343</v>
      </c>
    </row>
    <row r="9" spans="1:13" x14ac:dyDescent="0.35">
      <c r="A9">
        <f t="shared" si="1"/>
        <v>-3.7999999999999989</v>
      </c>
      <c r="B9">
        <f t="shared" si="0"/>
        <v>-54.722431380777323</v>
      </c>
    </row>
    <row r="10" spans="1:13" x14ac:dyDescent="0.35">
      <c r="A10">
        <f t="shared" si="1"/>
        <v>-3.5999999999999988</v>
      </c>
      <c r="B10">
        <f t="shared" si="0"/>
        <v>-46.490701111778364</v>
      </c>
    </row>
    <row r="11" spans="1:13" x14ac:dyDescent="0.35">
      <c r="A11">
        <f t="shared" si="1"/>
        <v>-3.3999999999999986</v>
      </c>
      <c r="B11">
        <f t="shared" si="0"/>
        <v>-39.121316475947218</v>
      </c>
    </row>
    <row r="12" spans="1:13" x14ac:dyDescent="0.35">
      <c r="A12">
        <f t="shared" si="1"/>
        <v>-3.1999999999999984</v>
      </c>
      <c r="B12">
        <f t="shared" si="0"/>
        <v>-32.566103482005296</v>
      </c>
    </row>
    <row r="13" spans="1:13" x14ac:dyDescent="0.35">
      <c r="A13">
        <f t="shared" si="1"/>
        <v>-2.9999999999999982</v>
      </c>
      <c r="B13">
        <f t="shared" si="0"/>
        <v>-26.776869839851521</v>
      </c>
    </row>
    <row r="14" spans="1:13" x14ac:dyDescent="0.35">
      <c r="A14">
        <f t="shared" si="1"/>
        <v>-2.799999999999998</v>
      </c>
      <c r="B14">
        <f t="shared" si="0"/>
        <v>-21.70540303605835</v>
      </c>
    </row>
    <row r="15" spans="1:13" x14ac:dyDescent="0.35">
      <c r="A15">
        <f t="shared" si="1"/>
        <v>-2.5999999999999979</v>
      </c>
      <c r="B15">
        <f t="shared" si="0"/>
        <v>-17.303468206965945</v>
      </c>
    </row>
    <row r="16" spans="1:13" x14ac:dyDescent="0.35">
      <c r="A16">
        <f t="shared" si="1"/>
        <v>-2.3999999999999977</v>
      </c>
      <c r="B16">
        <f t="shared" si="0"/>
        <v>-13.522805788087759</v>
      </c>
    </row>
    <row r="17" spans="1:2" x14ac:dyDescent="0.35">
      <c r="A17">
        <f t="shared" si="1"/>
        <v>-2.1999999999999975</v>
      </c>
      <c r="B17">
        <f t="shared" si="0"/>
        <v>-10.315128916301884</v>
      </c>
    </row>
    <row r="18" spans="1:2" x14ac:dyDescent="0.35">
      <c r="A18">
        <f t="shared" si="1"/>
        <v>-1.9999999999999976</v>
      </c>
      <c r="B18">
        <f t="shared" si="0"/>
        <v>-7.6321205588285279</v>
      </c>
    </row>
    <row r="19" spans="1:2" x14ac:dyDescent="0.35">
      <c r="A19">
        <f t="shared" si="1"/>
        <v>-1.7999999999999976</v>
      </c>
      <c r="B19">
        <f t="shared" si="0"/>
        <v>-5.4254303402593775</v>
      </c>
    </row>
    <row r="20" spans="1:2" x14ac:dyDescent="0.35">
      <c r="A20">
        <f t="shared" si="1"/>
        <v>-1.5999999999999976</v>
      </c>
      <c r="B20">
        <f t="shared" si="0"/>
        <v>-3.6466710358827603</v>
      </c>
    </row>
    <row r="21" spans="1:2" x14ac:dyDescent="0.35">
      <c r="A21">
        <f t="shared" si="1"/>
        <v>-1.3999999999999977</v>
      </c>
      <c r="B21">
        <f t="shared" si="0"/>
        <v>-2.2474146962085761</v>
      </c>
    </row>
    <row r="22" spans="1:2" x14ac:dyDescent="0.35">
      <c r="A22">
        <f t="shared" si="1"/>
        <v>-1.1999999999999977</v>
      </c>
      <c r="B22">
        <f t="shared" si="0"/>
        <v>-1.179188363905963</v>
      </c>
    </row>
    <row r="23" spans="1:2" x14ac:dyDescent="0.35">
      <c r="A23">
        <f t="shared" si="1"/>
        <v>-0.99999999999999778</v>
      </c>
      <c r="B23">
        <f t="shared" si="0"/>
        <v>-0.39346934028735925</v>
      </c>
    </row>
    <row r="24" spans="1:2" x14ac:dyDescent="0.35">
      <c r="A24">
        <f t="shared" si="1"/>
        <v>-0.79999999999999782</v>
      </c>
      <c r="B24">
        <f t="shared" si="0"/>
        <v>0.15832004603564409</v>
      </c>
    </row>
    <row r="25" spans="1:2" x14ac:dyDescent="0.35">
      <c r="A25">
        <f t="shared" si="1"/>
        <v>-0.59999999999999787</v>
      </c>
      <c r="B25">
        <f t="shared" si="0"/>
        <v>0.5248182206817209</v>
      </c>
    </row>
    <row r="26" spans="1:2" x14ac:dyDescent="0.35">
      <c r="A26">
        <f t="shared" si="1"/>
        <v>-0.39999999999999786</v>
      </c>
      <c r="B26">
        <f t="shared" si="0"/>
        <v>0.75473075307798376</v>
      </c>
    </row>
    <row r="27" spans="1:2" x14ac:dyDescent="0.35">
      <c r="A27">
        <f t="shared" si="1"/>
        <v>-0.19999999999999785</v>
      </c>
      <c r="B27">
        <f t="shared" si="0"/>
        <v>0.89683741803596073</v>
      </c>
    </row>
    <row r="28" spans="1:2" x14ac:dyDescent="0.35">
      <c r="A28">
        <v>0</v>
      </c>
      <c r="B28">
        <f t="shared" si="0"/>
        <v>1</v>
      </c>
    </row>
    <row r="29" spans="1:2" x14ac:dyDescent="0.35">
      <c r="A29">
        <f t="shared" si="1"/>
        <v>0.2</v>
      </c>
      <c r="B29">
        <f t="shared" si="0"/>
        <v>1.1131709180756477</v>
      </c>
    </row>
    <row r="30" spans="1:2" x14ac:dyDescent="0.35">
      <c r="A30">
        <f t="shared" si="1"/>
        <v>0.4</v>
      </c>
      <c r="B30">
        <f t="shared" si="0"/>
        <v>1.2854027581601699</v>
      </c>
    </row>
    <row r="31" spans="1:2" x14ac:dyDescent="0.35">
      <c r="A31">
        <f t="shared" si="1"/>
        <v>0.60000000000000009</v>
      </c>
      <c r="B31">
        <f t="shared" si="0"/>
        <v>1.5658588075760034</v>
      </c>
    </row>
    <row r="32" spans="1:2" x14ac:dyDescent="0.35">
      <c r="A32">
        <f t="shared" si="1"/>
        <v>0.8</v>
      </c>
      <c r="B32">
        <f t="shared" si="0"/>
        <v>2.0038246976412704</v>
      </c>
    </row>
    <row r="33" spans="1:2" x14ac:dyDescent="0.35">
      <c r="A33">
        <f t="shared" si="1"/>
        <v>1</v>
      </c>
      <c r="B33">
        <f t="shared" si="0"/>
        <v>2.6487212707001282</v>
      </c>
    </row>
    <row r="34" spans="1:2" x14ac:dyDescent="0.35">
      <c r="A34">
        <f t="shared" si="1"/>
        <v>1.2</v>
      </c>
      <c r="B34">
        <f t="shared" si="0"/>
        <v>3.5501188003905089</v>
      </c>
    </row>
    <row r="35" spans="1:2" x14ac:dyDescent="0.35">
      <c r="A35">
        <f t="shared" si="1"/>
        <v>1.4</v>
      </c>
      <c r="B35">
        <f t="shared" si="0"/>
        <v>4.757752707470476</v>
      </c>
    </row>
    <row r="36" spans="1:2" x14ac:dyDescent="0.35">
      <c r="A36">
        <f t="shared" si="1"/>
        <v>1.5999999999999999</v>
      </c>
      <c r="B36">
        <f t="shared" si="0"/>
        <v>6.3215409284924666</v>
      </c>
    </row>
    <row r="37" spans="1:2" x14ac:dyDescent="0.35">
      <c r="A37">
        <f t="shared" si="1"/>
        <v>1.7999999999999998</v>
      </c>
      <c r="B37">
        <f t="shared" si="0"/>
        <v>8.291603111156947</v>
      </c>
    </row>
    <row r="38" spans="1:2" x14ac:dyDescent="0.35">
      <c r="A38">
        <f t="shared" si="1"/>
        <v>1.9999999999999998</v>
      </c>
      <c r="B38">
        <f t="shared" si="0"/>
        <v>10.718281828459043</v>
      </c>
    </row>
    <row r="39" spans="1:2" x14ac:dyDescent="0.35">
      <c r="A39">
        <f t="shared" si="1"/>
        <v>2.1999999999999997</v>
      </c>
      <c r="B39">
        <f t="shared" si="0"/>
        <v>13.652166023946428</v>
      </c>
    </row>
    <row r="40" spans="1:2" x14ac:dyDescent="0.35">
      <c r="A40">
        <f t="shared" si="1"/>
        <v>2.4</v>
      </c>
      <c r="B40">
        <f t="shared" si="0"/>
        <v>17.144116922736547</v>
      </c>
    </row>
    <row r="41" spans="1:2" x14ac:dyDescent="0.35">
      <c r="A41">
        <f t="shared" si="1"/>
        <v>2.6</v>
      </c>
      <c r="B41">
        <f t="shared" si="0"/>
        <v>21.24529666761925</v>
      </c>
    </row>
    <row r="42" spans="1:2" x14ac:dyDescent="0.35">
      <c r="A42">
        <f t="shared" si="1"/>
        <v>2.8000000000000003</v>
      </c>
      <c r="B42">
        <f t="shared" si="0"/>
        <v>26.007199966844681</v>
      </c>
    </row>
    <row r="43" spans="1:2" x14ac:dyDescent="0.35">
      <c r="A43">
        <f t="shared" si="1"/>
        <v>3.0000000000000004</v>
      </c>
      <c r="B43">
        <f t="shared" si="0"/>
        <v>31.481689070338078</v>
      </c>
    </row>
    <row r="44" spans="1:2" x14ac:dyDescent="0.35">
      <c r="A44">
        <f t="shared" si="1"/>
        <v>3.2000000000000006</v>
      </c>
      <c r="B44">
        <f t="shared" si="0"/>
        <v>37.721032424395133</v>
      </c>
    </row>
    <row r="45" spans="1:2" x14ac:dyDescent="0.35">
      <c r="A45">
        <f t="shared" si="1"/>
        <v>3.4000000000000008</v>
      </c>
      <c r="B45">
        <f t="shared" si="0"/>
        <v>44.777947391727231</v>
      </c>
    </row>
    <row r="46" spans="1:2" x14ac:dyDescent="0.35">
      <c r="A46">
        <f t="shared" si="1"/>
        <v>3.600000000000001</v>
      </c>
      <c r="B46">
        <f t="shared" si="0"/>
        <v>52.705647464412984</v>
      </c>
    </row>
    <row r="47" spans="1:2" x14ac:dyDescent="0.35">
      <c r="A47">
        <f t="shared" si="1"/>
        <v>3.8000000000000012</v>
      </c>
      <c r="B47">
        <f t="shared" si="0"/>
        <v>61.55789444227932</v>
      </c>
    </row>
    <row r="48" spans="1:2" x14ac:dyDescent="0.35">
      <c r="A48">
        <f t="shared" si="1"/>
        <v>4.0000000000000009</v>
      </c>
      <c r="B48">
        <f t="shared" si="0"/>
        <v>71.389056098930695</v>
      </c>
    </row>
    <row r="49" spans="1:2" x14ac:dyDescent="0.35">
      <c r="A49">
        <f t="shared" si="1"/>
        <v>4.2000000000000011</v>
      </c>
      <c r="B49">
        <f t="shared" si="0"/>
        <v>82.254169912567704</v>
      </c>
    </row>
    <row r="50" spans="1:2" x14ac:dyDescent="0.35">
      <c r="A50">
        <f t="shared" si="1"/>
        <v>4.4000000000000012</v>
      </c>
      <c r="B50">
        <f t="shared" si="0"/>
        <v>94.209013499434192</v>
      </c>
    </row>
    <row r="51" spans="1:2" x14ac:dyDescent="0.35">
      <c r="A51">
        <f t="shared" si="1"/>
        <v>4.6000000000000014</v>
      </c>
      <c r="B51">
        <f t="shared" si="0"/>
        <v>107.31018245481482</v>
      </c>
    </row>
    <row r="52" spans="1:2" x14ac:dyDescent="0.35">
      <c r="A52">
        <f t="shared" si="1"/>
        <v>4.8000000000000016</v>
      </c>
      <c r="B52">
        <f t="shared" si="0"/>
        <v>121.61517638064173</v>
      </c>
    </row>
    <row r="53" spans="1:2" x14ac:dyDescent="0.35">
      <c r="A53" s="8">
        <f t="shared" si="1"/>
        <v>5.0000000000000018</v>
      </c>
      <c r="B53" s="8">
        <f t="shared" si="0"/>
        <v>137.18249396070362</v>
      </c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6373-EE97-49E3-80E6-6383E39D09E9}">
  <sheetPr codeName="Sheet67"/>
  <dimension ref="A2:X53"/>
  <sheetViews>
    <sheetView workbookViewId="0"/>
  </sheetViews>
  <sheetFormatPr defaultRowHeight="14.5" x14ac:dyDescent="0.35"/>
  <cols>
    <col min="1" max="1" width="5.7265625" customWidth="1"/>
    <col min="12" max="12" width="5.26953125" customWidth="1"/>
    <col min="13" max="13" width="8.7265625" customWidth="1"/>
    <col min="19" max="19" width="4.453125" customWidth="1"/>
    <col min="20" max="20" width="8.7265625" customWidth="1"/>
    <col min="22" max="22" width="4.1796875" customWidth="1"/>
  </cols>
  <sheetData>
    <row r="2" spans="1:24" x14ac:dyDescent="0.35">
      <c r="A2" s="154" t="s">
        <v>159</v>
      </c>
      <c r="B2" s="154" t="s">
        <v>449</v>
      </c>
      <c r="M2" t="s">
        <v>614</v>
      </c>
      <c r="S2" s="159" t="s">
        <v>159</v>
      </c>
      <c r="T2" s="159" t="s">
        <v>449</v>
      </c>
      <c r="V2" s="159" t="s">
        <v>159</v>
      </c>
      <c r="W2" s="159" t="s">
        <v>450</v>
      </c>
    </row>
    <row r="3" spans="1:24" x14ac:dyDescent="0.35">
      <c r="A3">
        <v>-5</v>
      </c>
      <c r="B3">
        <f>A3^3+3*A3^2-6*A3-8</f>
        <v>-28</v>
      </c>
      <c r="L3" t="s">
        <v>381</v>
      </c>
      <c r="M3" s="62">
        <v>-5</v>
      </c>
      <c r="N3" s="63">
        <v>-5</v>
      </c>
      <c r="O3" s="63">
        <v>-2</v>
      </c>
      <c r="P3" s="64">
        <v>0</v>
      </c>
      <c r="S3" s="62" t="e" cm="1">
        <f t="array" aca="1" ref="S3" ca="1">NROOTS($B3,-5,5)</f>
        <v>#NAME?</v>
      </c>
      <c r="T3" s="64" t="e">
        <f ca="1">S3^3+3*S3^2-6*S3-8</f>
        <v>#NAME?</v>
      </c>
      <c r="V3" s="62">
        <v>-3</v>
      </c>
      <c r="W3" s="64" t="e" cm="1">
        <f t="array" aca="1" ref="W3" ca="1">DERIV(V3,B3)</f>
        <v>#NAME?</v>
      </c>
      <c r="X3">
        <f>3*V3^2+6*V3-6</f>
        <v>3</v>
      </c>
    </row>
    <row r="4" spans="1:24" x14ac:dyDescent="0.35">
      <c r="A4">
        <f>A3+0.2</f>
        <v>-4.8</v>
      </c>
      <c r="B4">
        <f>A4^3+3*A4^2-6*A4-8</f>
        <v>-20.671999999999997</v>
      </c>
      <c r="L4" t="s">
        <v>344</v>
      </c>
      <c r="M4" s="191">
        <v>5</v>
      </c>
      <c r="N4">
        <v>-2</v>
      </c>
      <c r="O4">
        <v>0.5</v>
      </c>
      <c r="P4" s="185">
        <v>5</v>
      </c>
      <c r="S4" s="191"/>
      <c r="T4" s="185">
        <f t="shared" ref="T4:T5" si="0">S4^3+3*S4^2-6*S4-8</f>
        <v>-8</v>
      </c>
      <c r="V4" s="7">
        <v>4</v>
      </c>
      <c r="W4" s="9" t="e" cm="1">
        <f t="array" aca="1" ref="W4" ca="1">DERIV(V4,B3)</f>
        <v>#NAME?</v>
      </c>
      <c r="X4">
        <f>3*V4^2+6*V4-6</f>
        <v>66</v>
      </c>
    </row>
    <row r="5" spans="1:24" x14ac:dyDescent="0.35">
      <c r="A5">
        <f t="shared" ref="A5:A27" si="1">A4+0.2</f>
        <v>-4.5999999999999996</v>
      </c>
      <c r="B5">
        <f t="shared" ref="B5:B53" si="2">A5^3+3*A5^2-6*A5-8</f>
        <v>-14.255999999999982</v>
      </c>
      <c r="L5" t="s">
        <v>159</v>
      </c>
      <c r="M5" s="191" t="e" cm="1">
        <f t="array" aca="1" ref="M5" ca="1">BRENT($B3,M3,M4)</f>
        <v>#NAME?</v>
      </c>
      <c r="N5" t="e" cm="1">
        <f t="array" aca="1" ref="N5" ca="1">BRENT($B3,N3,N4)</f>
        <v>#NAME?</v>
      </c>
      <c r="O5" t="e" cm="1">
        <f t="array" aca="1" ref="O5" ca="1">BRENT($B3,O3,O4)</f>
        <v>#NAME?</v>
      </c>
      <c r="P5" s="185" t="e" cm="1">
        <f t="array" aca="1" ref="P5" ca="1">BRENT($B3,P3,P4)</f>
        <v>#NAME?</v>
      </c>
      <c r="S5" s="7"/>
      <c r="T5" s="9">
        <f t="shared" si="0"/>
        <v>-8</v>
      </c>
    </row>
    <row r="6" spans="1:24" x14ac:dyDescent="0.35">
      <c r="A6">
        <f t="shared" si="1"/>
        <v>-4.3999999999999995</v>
      </c>
      <c r="B6">
        <f t="shared" si="2"/>
        <v>-8.7039999999999864</v>
      </c>
      <c r="L6" t="s">
        <v>449</v>
      </c>
      <c r="M6" s="7" t="e">
        <f ca="1">M5^3+3*M5^2-6*M5-8</f>
        <v>#NAME?</v>
      </c>
      <c r="N6" s="8" t="e">
        <f t="shared" ref="N6:P6" ca="1" si="3">N5^3+3*N5^2-6*N5-8</f>
        <v>#NAME?</v>
      </c>
      <c r="O6" s="8" t="e">
        <f t="shared" ca="1" si="3"/>
        <v>#NAME?</v>
      </c>
      <c r="P6" s="9" t="e">
        <f t="shared" ca="1" si="3"/>
        <v>#NAME?</v>
      </c>
    </row>
    <row r="7" spans="1:24" x14ac:dyDescent="0.35">
      <c r="A7">
        <f t="shared" si="1"/>
        <v>-4.1999999999999993</v>
      </c>
      <c r="B7">
        <f t="shared" si="2"/>
        <v>-3.9679999999999893</v>
      </c>
    </row>
    <row r="8" spans="1:24" x14ac:dyDescent="0.35">
      <c r="A8">
        <f t="shared" si="1"/>
        <v>-3.9999999999999991</v>
      </c>
      <c r="B8">
        <f t="shared" si="2"/>
        <v>1.4210854715202004E-14</v>
      </c>
      <c r="M8" t="s">
        <v>615</v>
      </c>
      <c r="S8" s="159" t="s">
        <v>159</v>
      </c>
      <c r="T8" s="159" t="s">
        <v>449</v>
      </c>
      <c r="V8" s="159" t="s">
        <v>159</v>
      </c>
      <c r="W8" s="159" t="s">
        <v>616</v>
      </c>
    </row>
    <row r="9" spans="1:24" x14ac:dyDescent="0.35">
      <c r="A9">
        <f t="shared" si="1"/>
        <v>-3.7999999999999989</v>
      </c>
      <c r="B9">
        <f t="shared" si="2"/>
        <v>3.2480000000000153</v>
      </c>
      <c r="L9" t="s">
        <v>381</v>
      </c>
      <c r="M9" s="62">
        <v>-5</v>
      </c>
      <c r="N9" s="63">
        <v>-2</v>
      </c>
      <c r="O9" s="63">
        <v>0</v>
      </c>
      <c r="P9" s="63">
        <v>1</v>
      </c>
      <c r="Q9" s="64">
        <v>3</v>
      </c>
      <c r="S9" s="62" t="e" cm="1">
        <f t="array" aca="1" ref="S9" ca="1">NROOTS($B3,-5,5,-50)</f>
        <v>#NAME?</v>
      </c>
      <c r="T9" s="64" t="e">
        <f ca="1">S9^3+3*S9^2-6*S9-8</f>
        <v>#NAME?</v>
      </c>
      <c r="V9" s="62">
        <v>-3</v>
      </c>
      <c r="W9" s="64" t="e" cm="1">
        <f t="array" aca="1" ref="W9" ca="1">DERIV2(V9,B7,0.0005)</f>
        <v>#NAME?</v>
      </c>
      <c r="X9">
        <f>6*V9+6</f>
        <v>-12</v>
      </c>
    </row>
    <row r="10" spans="1:24" x14ac:dyDescent="0.35">
      <c r="A10">
        <f t="shared" si="1"/>
        <v>-3.5999999999999988</v>
      </c>
      <c r="B10">
        <f t="shared" si="2"/>
        <v>5.8240000000000123</v>
      </c>
      <c r="L10" t="s">
        <v>159</v>
      </c>
      <c r="M10" s="191" t="e" cm="1">
        <f t="array" aca="1" ref="M10" ca="1">NEWTON($B3,M9)</f>
        <v>#NAME?</v>
      </c>
      <c r="N10" t="e" cm="1">
        <f t="array" aca="1" ref="N10" ca="1">NEWTON($B3,N9)</f>
        <v>#NAME?</v>
      </c>
      <c r="O10" t="e" cm="1">
        <f t="array" aca="1" ref="O10" ca="1">NEWTON($B3,O9)</f>
        <v>#NAME?</v>
      </c>
      <c r="P10" t="e" cm="1">
        <f t="array" aca="1" ref="P10" ca="1">NEWTON($B3,P9)</f>
        <v>#NAME?</v>
      </c>
      <c r="Q10" s="185" t="e" cm="1">
        <f t="array" aca="1" ref="Q10" ca="1">NEWTON($B3,Q9)</f>
        <v>#NAME?</v>
      </c>
      <c r="S10" s="191"/>
      <c r="T10" s="185">
        <f t="shared" ref="T10:T11" si="4">S10^3+3*S10^2-6*S10-8</f>
        <v>-8</v>
      </c>
      <c r="V10" s="7">
        <v>4</v>
      </c>
      <c r="W10" s="9" t="e" cm="1">
        <f t="array" aca="1" ref="W10" ca="1">DERIV2(V10,B7,0.0005)</f>
        <v>#NAME?</v>
      </c>
      <c r="X10">
        <f>6*V10+6</f>
        <v>30</v>
      </c>
    </row>
    <row r="11" spans="1:24" x14ac:dyDescent="0.35">
      <c r="A11">
        <f t="shared" si="1"/>
        <v>-3.3999999999999986</v>
      </c>
      <c r="B11">
        <f t="shared" si="2"/>
        <v>7.7760000000000105</v>
      </c>
      <c r="L11" t="s">
        <v>449</v>
      </c>
      <c r="M11" s="7" t="e">
        <f ca="1">M10^3+3*M10^2-6*M10-8</f>
        <v>#NAME?</v>
      </c>
      <c r="N11" s="8" t="e">
        <f t="shared" ref="N11:Q11" ca="1" si="5">N10^3+3*N10^2-6*N10-8</f>
        <v>#NAME?</v>
      </c>
      <c r="O11" s="8" t="e">
        <f t="shared" ca="1" si="5"/>
        <v>#NAME?</v>
      </c>
      <c r="P11" s="8" t="e">
        <f t="shared" ca="1" si="5"/>
        <v>#NAME?</v>
      </c>
      <c r="Q11" s="9" t="e">
        <f t="shared" ca="1" si="5"/>
        <v>#NAME?</v>
      </c>
      <c r="S11" s="7"/>
      <c r="T11" s="9">
        <f t="shared" si="4"/>
        <v>-8</v>
      </c>
      <c r="V11" s="62" t="e">
        <f ca="1">M15</f>
        <v>#NAME?</v>
      </c>
      <c r="W11" s="64" t="e" cm="1">
        <f t="array" aca="1" ref="W11" ca="1">DERIV2(V11,B8,0.0005)</f>
        <v>#NAME?</v>
      </c>
      <c r="X11" t="e">
        <f t="shared" ref="X11:X12" ca="1" si="6">6*V11+6</f>
        <v>#NAME?</v>
      </c>
    </row>
    <row r="12" spans="1:24" x14ac:dyDescent="0.35">
      <c r="A12">
        <f t="shared" si="1"/>
        <v>-3.1999999999999984</v>
      </c>
      <c r="B12">
        <f t="shared" si="2"/>
        <v>9.1520000000000081</v>
      </c>
      <c r="V12" s="7" t="e">
        <f ca="1">O15</f>
        <v>#NAME?</v>
      </c>
      <c r="W12" s="9" t="e" cm="1">
        <f t="array" aca="1" ref="W12" ca="1">DERIV2(V12,B9,0.0005)</f>
        <v>#NAME?</v>
      </c>
      <c r="X12" t="e">
        <f t="shared" ca="1" si="6"/>
        <v>#NAME?</v>
      </c>
    </row>
    <row r="13" spans="1:24" x14ac:dyDescent="0.35">
      <c r="A13">
        <f t="shared" si="1"/>
        <v>-2.9999999999999982</v>
      </c>
      <c r="B13">
        <f t="shared" si="2"/>
        <v>10.000000000000007</v>
      </c>
      <c r="M13" t="s">
        <v>617</v>
      </c>
    </row>
    <row r="14" spans="1:24" x14ac:dyDescent="0.35">
      <c r="A14">
        <f t="shared" si="1"/>
        <v>-2.799999999999998</v>
      </c>
      <c r="B14">
        <f t="shared" si="2"/>
        <v>10.368000000000002</v>
      </c>
      <c r="L14" t="s">
        <v>381</v>
      </c>
      <c r="M14" s="62">
        <v>-5</v>
      </c>
      <c r="N14" s="63">
        <v>-2</v>
      </c>
      <c r="O14" s="63">
        <v>0</v>
      </c>
      <c r="P14" s="63">
        <v>1</v>
      </c>
      <c r="Q14" s="64">
        <v>3</v>
      </c>
    </row>
    <row r="15" spans="1:24" x14ac:dyDescent="0.35">
      <c r="A15">
        <f t="shared" si="1"/>
        <v>-2.5999999999999979</v>
      </c>
      <c r="B15">
        <f t="shared" si="2"/>
        <v>10.303999999999995</v>
      </c>
      <c r="L15" t="s">
        <v>159</v>
      </c>
      <c r="M15" s="191" t="e" cm="1">
        <f t="array" aca="1" ref="M15" ca="1">MNEWTON($B8,M14)</f>
        <v>#NAME?</v>
      </c>
      <c r="N15" t="e" cm="1">
        <f t="array" aca="1" ref="N15" ca="1">MNEWTON($B8,N14)</f>
        <v>#NAME?</v>
      </c>
      <c r="O15" t="e" cm="1">
        <f t="array" aca="1" ref="O15" ca="1">MNEWTON($B8,O14)</f>
        <v>#NAME?</v>
      </c>
      <c r="P15" t="e" cm="1">
        <f t="array" aca="1" ref="P15" ca="1">MNEWTON($B8,P14)</f>
        <v>#NAME?</v>
      </c>
      <c r="Q15" s="185" t="e" cm="1">
        <f t="array" aca="1" ref="Q15" ca="1">MNEWTON($B8,Q14)</f>
        <v>#NAME?</v>
      </c>
    </row>
    <row r="16" spans="1:24" x14ac:dyDescent="0.35">
      <c r="A16">
        <f t="shared" si="1"/>
        <v>-2.3999999999999977</v>
      </c>
      <c r="B16">
        <f t="shared" si="2"/>
        <v>9.855999999999991</v>
      </c>
      <c r="L16" t="s">
        <v>449</v>
      </c>
      <c r="M16" s="191"/>
      <c r="Q16" s="185"/>
    </row>
    <row r="17" spans="1:17" x14ac:dyDescent="0.35">
      <c r="A17">
        <f t="shared" si="1"/>
        <v>-2.1999999999999975</v>
      </c>
      <c r="B17">
        <f t="shared" si="2"/>
        <v>9.0719999999999885</v>
      </c>
      <c r="L17" t="s">
        <v>616</v>
      </c>
      <c r="M17" s="7"/>
      <c r="N17" s="8"/>
      <c r="O17" s="8"/>
      <c r="P17" s="8"/>
      <c r="Q17" s="9"/>
    </row>
    <row r="18" spans="1:17" x14ac:dyDescent="0.35">
      <c r="A18">
        <f t="shared" si="1"/>
        <v>-1.9999999999999976</v>
      </c>
      <c r="B18">
        <f t="shared" si="2"/>
        <v>7.9999999999999858</v>
      </c>
    </row>
    <row r="19" spans="1:17" x14ac:dyDescent="0.35">
      <c r="A19">
        <f t="shared" si="1"/>
        <v>-1.7999999999999976</v>
      </c>
      <c r="B19">
        <f t="shared" si="2"/>
        <v>6.6879999999999846</v>
      </c>
      <c r="M19" t="s">
        <v>618</v>
      </c>
    </row>
    <row r="20" spans="1:17" x14ac:dyDescent="0.35">
      <c r="A20">
        <f t="shared" si="1"/>
        <v>-1.5999999999999976</v>
      </c>
      <c r="B20">
        <f t="shared" si="2"/>
        <v>5.1839999999999797</v>
      </c>
      <c r="L20" t="s">
        <v>381</v>
      </c>
      <c r="M20" s="62">
        <v>-5</v>
      </c>
      <c r="N20" s="63">
        <v>-2</v>
      </c>
      <c r="O20" s="63">
        <v>0</v>
      </c>
      <c r="P20" s="63">
        <v>1</v>
      </c>
      <c r="Q20" s="64">
        <v>3</v>
      </c>
    </row>
    <row r="21" spans="1:17" x14ac:dyDescent="0.35">
      <c r="A21">
        <f t="shared" si="1"/>
        <v>-1.3999999999999977</v>
      </c>
      <c r="B21">
        <f t="shared" si="2"/>
        <v>3.53599999999998</v>
      </c>
      <c r="L21" t="s">
        <v>159</v>
      </c>
      <c r="M21" s="191" t="e" cm="1">
        <f t="array" aca="1" ref="M21" ca="1">NEWTON($X3,M20)</f>
        <v>#NAME?</v>
      </c>
      <c r="N21" t="e" cm="1">
        <f t="array" aca="1" ref="N21" ca="1">NEWTON($X3,N20)</f>
        <v>#NAME?</v>
      </c>
      <c r="O21" t="e" cm="1">
        <f t="array" aca="1" ref="O21" ca="1">NEWTON($X3,O20)</f>
        <v>#NAME?</v>
      </c>
      <c r="P21" t="e" cm="1">
        <f t="array" aca="1" ref="P21" ca="1">NEWTON($X3,P20)</f>
        <v>#NAME?</v>
      </c>
      <c r="Q21" s="185" t="e" cm="1">
        <f t="array" aca="1" ref="Q21" ca="1">NEWTON($X3,Q20)</f>
        <v>#NAME?</v>
      </c>
    </row>
    <row r="22" spans="1:17" x14ac:dyDescent="0.35">
      <c r="A22">
        <f t="shared" si="1"/>
        <v>-1.1999999999999977</v>
      </c>
      <c r="B22">
        <f t="shared" si="2"/>
        <v>1.7919999999999803</v>
      </c>
      <c r="L22" t="s">
        <v>449</v>
      </c>
      <c r="M22" s="7" t="e">
        <f ca="1">M21^3+3*M21^2-6*M21-8</f>
        <v>#NAME?</v>
      </c>
      <c r="N22" s="8" t="e">
        <f t="shared" ref="N22:Q22" ca="1" si="7">N21^3+3*N21^2-6*N21-8</f>
        <v>#NAME?</v>
      </c>
      <c r="O22" s="8" t="e">
        <f t="shared" ca="1" si="7"/>
        <v>#NAME?</v>
      </c>
      <c r="P22" s="8" t="e">
        <f t="shared" ca="1" si="7"/>
        <v>#NAME?</v>
      </c>
      <c r="Q22" s="9" t="e">
        <f t="shared" ca="1" si="7"/>
        <v>#NAME?</v>
      </c>
    </row>
    <row r="23" spans="1:17" x14ac:dyDescent="0.35">
      <c r="A23">
        <f t="shared" si="1"/>
        <v>-0.99999999999999778</v>
      </c>
      <c r="B23">
        <f t="shared" si="2"/>
        <v>-1.9539925233402755E-14</v>
      </c>
    </row>
    <row r="24" spans="1:17" x14ac:dyDescent="0.35">
      <c r="A24">
        <f t="shared" si="1"/>
        <v>-0.79999999999999782</v>
      </c>
      <c r="B24">
        <f t="shared" si="2"/>
        <v>-1.7920000000000194</v>
      </c>
      <c r="M24" t="s">
        <v>619</v>
      </c>
    </row>
    <row r="25" spans="1:17" x14ac:dyDescent="0.35">
      <c r="A25">
        <f t="shared" si="1"/>
        <v>-0.59999999999999787</v>
      </c>
      <c r="B25">
        <f t="shared" si="2"/>
        <v>-3.5360000000000182</v>
      </c>
      <c r="L25" t="s">
        <v>381</v>
      </c>
      <c r="M25" s="62">
        <v>-5</v>
      </c>
      <c r="N25" s="63">
        <v>-5</v>
      </c>
      <c r="O25" s="64">
        <v>0</v>
      </c>
    </row>
    <row r="26" spans="1:17" x14ac:dyDescent="0.35">
      <c r="A26">
        <f t="shared" si="1"/>
        <v>-0.39999999999999786</v>
      </c>
      <c r="B26">
        <f t="shared" si="2"/>
        <v>-5.184000000000017</v>
      </c>
      <c r="L26" t="s">
        <v>344</v>
      </c>
      <c r="M26" s="191">
        <v>5</v>
      </c>
      <c r="N26">
        <v>0</v>
      </c>
      <c r="O26" s="185">
        <v>2</v>
      </c>
    </row>
    <row r="27" spans="1:17" x14ac:dyDescent="0.35">
      <c r="A27">
        <f t="shared" si="1"/>
        <v>-0.19999999999999785</v>
      </c>
      <c r="B27">
        <f t="shared" si="2"/>
        <v>-6.6880000000000148</v>
      </c>
      <c r="L27" t="s">
        <v>620</v>
      </c>
      <c r="M27" s="62" t="e" cm="1">
        <f t="array" aca="1" ref="M27" ca="1">FMIN($B3,M25,M26)</f>
        <v>#NAME?</v>
      </c>
      <c r="N27" s="63" t="e" cm="1">
        <f t="array" aca="1" ref="N27" ca="1">FMIN($B3,N25,N26)</f>
        <v>#NAME?</v>
      </c>
      <c r="O27" s="64" t="e" cm="1">
        <f t="array" aca="1" ref="O27" ca="1">FMIN($B3,O25,O26)</f>
        <v>#NAME?</v>
      </c>
    </row>
    <row r="28" spans="1:17" x14ac:dyDescent="0.35">
      <c r="A28">
        <v>0</v>
      </c>
      <c r="B28">
        <f t="shared" si="2"/>
        <v>-8</v>
      </c>
      <c r="L28" t="s">
        <v>621</v>
      </c>
      <c r="M28" s="7" t="e">
        <f ca="1">M27^3+3*M27^2-6*M27-8</f>
        <v>#NAME?</v>
      </c>
      <c r="N28" s="8" t="e">
        <f ca="1">N27^3+3*N27^2-6*N27-8</f>
        <v>#NAME?</v>
      </c>
      <c r="O28" s="9" t="e">
        <f ca="1">O27^3+3*O27^2-6*O27-8</f>
        <v>#NAME?</v>
      </c>
    </row>
    <row r="29" spans="1:17" x14ac:dyDescent="0.35">
      <c r="A29">
        <f t="shared" ref="A29:A53" si="8">A28+0.2</f>
        <v>0.2</v>
      </c>
      <c r="B29">
        <f t="shared" si="2"/>
        <v>-9.0719999999999992</v>
      </c>
      <c r="L29" t="s">
        <v>622</v>
      </c>
      <c r="M29" s="191" t="e" cm="1">
        <f t="array" aca="1" ref="M29" ca="1">FMAX($B3,M25,M26)</f>
        <v>#NAME?</v>
      </c>
      <c r="N29" t="e" cm="1">
        <f t="array" aca="1" ref="N29" ca="1">FMAX($B3,N25,N26)</f>
        <v>#NAME?</v>
      </c>
      <c r="O29" s="185" t="e" cm="1">
        <f t="array" aca="1" ref="O29" ca="1">FMAX($B3,O25,O26)</f>
        <v>#NAME?</v>
      </c>
    </row>
    <row r="30" spans="1:17" x14ac:dyDescent="0.35">
      <c r="A30">
        <f t="shared" si="8"/>
        <v>0.4</v>
      </c>
      <c r="B30">
        <f t="shared" si="2"/>
        <v>-9.8559999999999999</v>
      </c>
      <c r="L30" t="s">
        <v>623</v>
      </c>
      <c r="M30" s="7" t="e">
        <f ca="1">M29^3+3*M29^2-6*M29-8</f>
        <v>#NAME?</v>
      </c>
      <c r="N30" s="8" t="e">
        <f ca="1">N29^3+3*N29^2-6*N29-8</f>
        <v>#NAME?</v>
      </c>
      <c r="O30" s="9" t="e">
        <f ca="1">O29^3+3*O29^2-6*O29-8</f>
        <v>#NAME?</v>
      </c>
    </row>
    <row r="31" spans="1:17" x14ac:dyDescent="0.35">
      <c r="A31">
        <f t="shared" si="8"/>
        <v>0.60000000000000009</v>
      </c>
      <c r="B31">
        <f t="shared" si="2"/>
        <v>-10.304</v>
      </c>
    </row>
    <row r="32" spans="1:17" x14ac:dyDescent="0.35">
      <c r="A32">
        <f t="shared" si="8"/>
        <v>0.8</v>
      </c>
      <c r="B32">
        <f t="shared" si="2"/>
        <v>-10.368</v>
      </c>
    </row>
    <row r="33" spans="1:2" x14ac:dyDescent="0.35">
      <c r="A33">
        <f t="shared" si="8"/>
        <v>1</v>
      </c>
      <c r="B33">
        <f t="shared" si="2"/>
        <v>-10</v>
      </c>
    </row>
    <row r="34" spans="1:2" x14ac:dyDescent="0.35">
      <c r="A34">
        <f t="shared" si="8"/>
        <v>1.2</v>
      </c>
      <c r="B34">
        <f t="shared" si="2"/>
        <v>-9.1519999999999992</v>
      </c>
    </row>
    <row r="35" spans="1:2" x14ac:dyDescent="0.35">
      <c r="A35">
        <f t="shared" si="8"/>
        <v>1.4</v>
      </c>
      <c r="B35">
        <f t="shared" si="2"/>
        <v>-7.7759999999999998</v>
      </c>
    </row>
    <row r="36" spans="1:2" x14ac:dyDescent="0.35">
      <c r="A36">
        <f t="shared" si="8"/>
        <v>1.5999999999999999</v>
      </c>
      <c r="B36">
        <f t="shared" si="2"/>
        <v>-5.8240000000000016</v>
      </c>
    </row>
    <row r="37" spans="1:2" x14ac:dyDescent="0.35">
      <c r="A37">
        <f t="shared" si="8"/>
        <v>1.7999999999999998</v>
      </c>
      <c r="B37">
        <f t="shared" si="2"/>
        <v>-3.2480000000000029</v>
      </c>
    </row>
    <row r="38" spans="1:2" x14ac:dyDescent="0.35">
      <c r="A38">
        <f t="shared" si="8"/>
        <v>1.9999999999999998</v>
      </c>
      <c r="B38">
        <f t="shared" si="2"/>
        <v>0</v>
      </c>
    </row>
    <row r="39" spans="1:2" x14ac:dyDescent="0.35">
      <c r="A39">
        <f t="shared" si="8"/>
        <v>2.1999999999999997</v>
      </c>
      <c r="B39">
        <f t="shared" si="2"/>
        <v>3.9679999999999929</v>
      </c>
    </row>
    <row r="40" spans="1:2" x14ac:dyDescent="0.35">
      <c r="A40">
        <f t="shared" si="8"/>
        <v>2.4</v>
      </c>
      <c r="B40">
        <f t="shared" si="2"/>
        <v>8.7040000000000006</v>
      </c>
    </row>
    <row r="41" spans="1:2" x14ac:dyDescent="0.35">
      <c r="A41">
        <f t="shared" si="8"/>
        <v>2.6</v>
      </c>
      <c r="B41">
        <f t="shared" si="2"/>
        <v>14.256000000000007</v>
      </c>
    </row>
    <row r="42" spans="1:2" x14ac:dyDescent="0.35">
      <c r="A42">
        <f t="shared" si="8"/>
        <v>2.8000000000000003</v>
      </c>
      <c r="B42">
        <f t="shared" si="2"/>
        <v>20.672000000000008</v>
      </c>
    </row>
    <row r="43" spans="1:2" x14ac:dyDescent="0.35">
      <c r="A43">
        <f t="shared" si="8"/>
        <v>3.0000000000000004</v>
      </c>
      <c r="B43">
        <f t="shared" si="2"/>
        <v>28.000000000000028</v>
      </c>
    </row>
    <row r="44" spans="1:2" x14ac:dyDescent="0.35">
      <c r="A44">
        <f t="shared" si="8"/>
        <v>3.2000000000000006</v>
      </c>
      <c r="B44">
        <f t="shared" si="2"/>
        <v>36.288000000000025</v>
      </c>
    </row>
    <row r="45" spans="1:2" x14ac:dyDescent="0.35">
      <c r="A45">
        <f t="shared" si="8"/>
        <v>3.4000000000000008</v>
      </c>
      <c r="B45">
        <f t="shared" si="2"/>
        <v>45.584000000000046</v>
      </c>
    </row>
    <row r="46" spans="1:2" x14ac:dyDescent="0.35">
      <c r="A46">
        <f t="shared" si="8"/>
        <v>3.600000000000001</v>
      </c>
      <c r="B46">
        <f t="shared" si="2"/>
        <v>55.93600000000005</v>
      </c>
    </row>
    <row r="47" spans="1:2" x14ac:dyDescent="0.35">
      <c r="A47">
        <f t="shared" si="8"/>
        <v>3.8000000000000012</v>
      </c>
      <c r="B47">
        <f t="shared" si="2"/>
        <v>67.392000000000053</v>
      </c>
    </row>
    <row r="48" spans="1:2" x14ac:dyDescent="0.35">
      <c r="A48">
        <f t="shared" si="8"/>
        <v>4.0000000000000009</v>
      </c>
      <c r="B48">
        <f t="shared" si="2"/>
        <v>80.000000000000057</v>
      </c>
    </row>
    <row r="49" spans="1:2" x14ac:dyDescent="0.35">
      <c r="A49">
        <f t="shared" si="8"/>
        <v>4.2000000000000011</v>
      </c>
      <c r="B49">
        <f t="shared" si="2"/>
        <v>93.808000000000064</v>
      </c>
    </row>
    <row r="50" spans="1:2" x14ac:dyDescent="0.35">
      <c r="A50">
        <f t="shared" si="8"/>
        <v>4.4000000000000012</v>
      </c>
      <c r="B50">
        <f t="shared" si="2"/>
        <v>108.86400000000009</v>
      </c>
    </row>
    <row r="51" spans="1:2" x14ac:dyDescent="0.35">
      <c r="A51">
        <f t="shared" si="8"/>
        <v>4.6000000000000014</v>
      </c>
      <c r="B51">
        <f t="shared" si="2"/>
        <v>125.21600000000012</v>
      </c>
    </row>
    <row r="52" spans="1:2" x14ac:dyDescent="0.35">
      <c r="A52">
        <f t="shared" si="8"/>
        <v>4.8000000000000016</v>
      </c>
      <c r="B52">
        <f t="shared" si="2"/>
        <v>142.91200000000015</v>
      </c>
    </row>
    <row r="53" spans="1:2" x14ac:dyDescent="0.35">
      <c r="A53" s="8">
        <f t="shared" si="8"/>
        <v>5.0000000000000018</v>
      </c>
      <c r="B53" s="8">
        <f t="shared" si="2"/>
        <v>162.00000000000017</v>
      </c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0F2E-727D-46CC-85D4-75C8787BCEEA}">
  <sheetPr codeName="Sheet68"/>
  <dimension ref="A2:V43"/>
  <sheetViews>
    <sheetView topLeftCell="A26" workbookViewId="0">
      <selection activeCell="A43" sqref="A43:B43"/>
    </sheetView>
  </sheetViews>
  <sheetFormatPr defaultRowHeight="14.5" x14ac:dyDescent="0.35"/>
  <cols>
    <col min="1" max="1" width="5.7265625" customWidth="1"/>
    <col min="11" max="11" width="5.08984375" customWidth="1"/>
    <col min="12" max="12" width="8.7265625" customWidth="1"/>
    <col min="18" max="18" width="5.08984375" customWidth="1"/>
    <col min="19" max="19" width="8.7265625" customWidth="1"/>
    <col min="21" max="22" width="8.7265625" customWidth="1"/>
  </cols>
  <sheetData>
    <row r="2" spans="1:22" x14ac:dyDescent="0.35">
      <c r="A2" s="154" t="s">
        <v>159</v>
      </c>
      <c r="B2" s="154" t="s">
        <v>449</v>
      </c>
      <c r="L2" t="s">
        <v>614</v>
      </c>
      <c r="R2" s="159" t="s">
        <v>159</v>
      </c>
      <c r="S2" s="159" t="s">
        <v>449</v>
      </c>
    </row>
    <row r="3" spans="1:22" x14ac:dyDescent="0.35">
      <c r="A3">
        <v>-4</v>
      </c>
      <c r="B3">
        <f>(A3+3)*(A3-1)^2</f>
        <v>-25</v>
      </c>
      <c r="K3" t="s">
        <v>381</v>
      </c>
      <c r="L3" s="62">
        <v>-4</v>
      </c>
      <c r="M3" s="63">
        <v>-4</v>
      </c>
      <c r="N3" s="64">
        <v>0</v>
      </c>
      <c r="R3" s="62" t="e" cm="1">
        <f t="array" aca="1" ref="R3" ca="1">NROOTS($B8,-4,4)</f>
        <v>#NAME?</v>
      </c>
      <c r="S3" s="64" t="e">
        <f ca="1">(R3+3)*(R3-1)^2</f>
        <v>#NAME?</v>
      </c>
    </row>
    <row r="4" spans="1:22" x14ac:dyDescent="0.35">
      <c r="A4">
        <f>A3+0.2</f>
        <v>-3.8</v>
      </c>
      <c r="B4">
        <f t="shared" ref="B4:B43" si="0">(A4+3)*(A4-1)^2</f>
        <v>-18.431999999999995</v>
      </c>
      <c r="K4" t="s">
        <v>344</v>
      </c>
      <c r="L4" s="191">
        <v>4</v>
      </c>
      <c r="M4">
        <v>-2</v>
      </c>
      <c r="N4" s="185">
        <v>1</v>
      </c>
      <c r="R4" s="7"/>
      <c r="S4" s="9">
        <f>(R4+3)*(R4-1)^2</f>
        <v>3</v>
      </c>
    </row>
    <row r="5" spans="1:22" x14ac:dyDescent="0.35">
      <c r="A5">
        <f t="shared" ref="A5:A22" si="1">A4+0.2</f>
        <v>-3.5999999999999996</v>
      </c>
      <c r="B5">
        <f t="shared" si="0"/>
        <v>-12.695999999999991</v>
      </c>
      <c r="K5" t="s">
        <v>159</v>
      </c>
      <c r="L5" s="191" t="e" cm="1">
        <f t="array" aca="1" ref="L5" ca="1">BRENT($B3,L3,L4)</f>
        <v>#NAME?</v>
      </c>
      <c r="M5" t="e" cm="1">
        <f t="array" aca="1" ref="M5" ca="1">BRENT($B3,M3,M4)</f>
        <v>#NAME?</v>
      </c>
      <c r="N5" s="185" t="e" cm="1">
        <f t="array" aca="1" ref="N5" ca="1">BRENT($B3,N3,N4)</f>
        <v>#NAME?</v>
      </c>
    </row>
    <row r="6" spans="1:22" x14ac:dyDescent="0.35">
      <c r="A6">
        <f t="shared" si="1"/>
        <v>-3.3999999999999995</v>
      </c>
      <c r="B6">
        <f t="shared" si="0"/>
        <v>-7.7439999999999882</v>
      </c>
      <c r="K6" t="s">
        <v>449</v>
      </c>
      <c r="L6" s="7" t="e">
        <f ca="1">(L5+3)*(L5-1)^2</f>
        <v>#NAME?</v>
      </c>
      <c r="M6" s="8" t="e">
        <f t="shared" ref="M6:N6" ca="1" si="2">(M5+3)*(M5-1)^2</f>
        <v>#NAME?</v>
      </c>
      <c r="N6" s="9" t="e">
        <f t="shared" ca="1" si="2"/>
        <v>#NAME?</v>
      </c>
    </row>
    <row r="7" spans="1:22" x14ac:dyDescent="0.35">
      <c r="A7">
        <f t="shared" si="1"/>
        <v>-3.1999999999999993</v>
      </c>
      <c r="B7">
        <f t="shared" si="0"/>
        <v>-3.5279999999999863</v>
      </c>
    </row>
    <row r="8" spans="1:22" x14ac:dyDescent="0.35">
      <c r="A8">
        <f t="shared" si="1"/>
        <v>-2.9999999999999991</v>
      </c>
      <c r="B8">
        <f t="shared" si="0"/>
        <v>1.4210854715201997E-14</v>
      </c>
      <c r="L8" t="s">
        <v>624</v>
      </c>
    </row>
    <row r="9" spans="1:22" x14ac:dyDescent="0.35">
      <c r="A9">
        <f t="shared" si="1"/>
        <v>-2.7999999999999989</v>
      </c>
      <c r="B9">
        <f t="shared" si="0"/>
        <v>2.8880000000000137</v>
      </c>
      <c r="K9" t="s">
        <v>381</v>
      </c>
      <c r="L9" s="62">
        <v>-5</v>
      </c>
      <c r="M9" s="63">
        <v>0</v>
      </c>
      <c r="N9" s="63">
        <v>0</v>
      </c>
      <c r="O9" s="63">
        <v>2</v>
      </c>
      <c r="P9" s="64">
        <v>-2</v>
      </c>
    </row>
    <row r="10" spans="1:22" x14ac:dyDescent="0.35">
      <c r="A10">
        <f t="shared" si="1"/>
        <v>-2.5999999999999988</v>
      </c>
      <c r="B10">
        <f t="shared" si="0"/>
        <v>5.1840000000000126</v>
      </c>
      <c r="K10" t="s">
        <v>344</v>
      </c>
      <c r="L10" s="191">
        <v>-4</v>
      </c>
      <c r="M10">
        <v>2</v>
      </c>
      <c r="N10">
        <v>3</v>
      </c>
      <c r="O10">
        <v>3</v>
      </c>
      <c r="P10" s="185">
        <v>0</v>
      </c>
    </row>
    <row r="11" spans="1:22" x14ac:dyDescent="0.35">
      <c r="A11">
        <f t="shared" si="1"/>
        <v>-2.3999999999999986</v>
      </c>
      <c r="B11">
        <f t="shared" si="0"/>
        <v>6.9360000000000106</v>
      </c>
      <c r="K11" t="s">
        <v>159</v>
      </c>
      <c r="L11" s="191" t="e" cm="1">
        <f t="array" aca="1" ref="L11" ca="1">SECANT($B3,L9,L10)</f>
        <v>#NAME?</v>
      </c>
      <c r="M11" t="e" cm="1">
        <f t="array" aca="1" ref="M11" ca="1">SECANT($B3,M9,M10)</f>
        <v>#NAME?</v>
      </c>
      <c r="N11" t="e" cm="1">
        <f t="array" aca="1" ref="N11" ca="1">SECANT($B3,N9,N10)</f>
        <v>#NAME?</v>
      </c>
      <c r="O11" t="e" cm="1">
        <f t="array" aca="1" ref="O11" ca="1">SECANT($B3,O9,O10)</f>
        <v>#NAME?</v>
      </c>
      <c r="P11" s="185" t="e" cm="1">
        <f t="array" aca="1" ref="P11" ca="1">SECANT($B3,P9,P10)</f>
        <v>#NAME?</v>
      </c>
    </row>
    <row r="12" spans="1:22" x14ac:dyDescent="0.35">
      <c r="A12">
        <f t="shared" si="1"/>
        <v>-2.1999999999999984</v>
      </c>
      <c r="B12">
        <f t="shared" si="0"/>
        <v>8.1920000000000073</v>
      </c>
      <c r="K12" t="s">
        <v>449</v>
      </c>
      <c r="L12" s="7" t="e">
        <f ca="1">(L11+3)*(L11-1)^2</f>
        <v>#NAME?</v>
      </c>
      <c r="M12" s="8" t="e">
        <f ca="1">(M11+3)*(M11-1)^2</f>
        <v>#NAME?</v>
      </c>
      <c r="N12" s="8" t="e">
        <f ca="1">(N11+3)*(N11-1)^2</f>
        <v>#NAME?</v>
      </c>
      <c r="O12" s="8" t="e">
        <f ca="1">(O11+3)*(O11-1)^2</f>
        <v>#NAME?</v>
      </c>
      <c r="P12" s="9" t="e">
        <f ca="1">(P11+3)*(P11-1)^2</f>
        <v>#NAME?</v>
      </c>
    </row>
    <row r="13" spans="1:22" x14ac:dyDescent="0.35">
      <c r="A13">
        <f t="shared" si="1"/>
        <v>-1.9999999999999984</v>
      </c>
      <c r="B13">
        <f t="shared" si="0"/>
        <v>9.0000000000000036</v>
      </c>
    </row>
    <row r="14" spans="1:22" x14ac:dyDescent="0.35">
      <c r="A14">
        <f t="shared" si="1"/>
        <v>-1.7999999999999985</v>
      </c>
      <c r="B14">
        <f t="shared" si="0"/>
        <v>9.4080000000000013</v>
      </c>
      <c r="L14" t="s">
        <v>615</v>
      </c>
      <c r="S14" t="s">
        <v>625</v>
      </c>
    </row>
    <row r="15" spans="1:22" x14ac:dyDescent="0.35">
      <c r="A15">
        <f t="shared" si="1"/>
        <v>-1.5999999999999985</v>
      </c>
      <c r="B15">
        <f t="shared" si="0"/>
        <v>9.4640000000000004</v>
      </c>
      <c r="K15" t="s">
        <v>381</v>
      </c>
      <c r="L15" s="62">
        <v>-4</v>
      </c>
      <c r="M15" s="63">
        <v>-2</v>
      </c>
      <c r="N15" s="63">
        <v>0</v>
      </c>
      <c r="O15" s="64">
        <v>2</v>
      </c>
      <c r="R15" t="s">
        <v>381</v>
      </c>
      <c r="S15" s="62">
        <v>-4</v>
      </c>
      <c r="T15" s="63">
        <v>-2</v>
      </c>
      <c r="U15" s="63">
        <v>0</v>
      </c>
      <c r="V15" s="64">
        <v>2</v>
      </c>
    </row>
    <row r="16" spans="1:22" x14ac:dyDescent="0.35">
      <c r="A16">
        <f t="shared" si="1"/>
        <v>-1.3999999999999986</v>
      </c>
      <c r="B16">
        <f t="shared" si="0"/>
        <v>9.2159999999999975</v>
      </c>
      <c r="K16" t="s">
        <v>159</v>
      </c>
      <c r="L16" s="191" t="e" cm="1">
        <f t="array" aca="1" ref="L16" ca="1">NEWTON($B8,L15)</f>
        <v>#NAME?</v>
      </c>
      <c r="M16" t="e" cm="1">
        <f t="array" aca="1" ref="M16" ca="1">NEWTON($B8,M15)</f>
        <v>#NAME?</v>
      </c>
      <c r="N16" t="e" cm="1">
        <f t="array" aca="1" ref="N16" ca="1">NEWTON($B8,N15)</f>
        <v>#NAME?</v>
      </c>
      <c r="O16" s="185" t="e" cm="1">
        <f t="array" aca="1" ref="O16" ca="1">NEWTON($B8,O15)</f>
        <v>#NAME?</v>
      </c>
      <c r="R16" t="s">
        <v>159</v>
      </c>
      <c r="S16" s="191" t="e" cm="1">
        <f t="array" aca="1" ref="S16" ca="1">MNEWTON($B8,S15)</f>
        <v>#NAME?</v>
      </c>
      <c r="T16" t="e" cm="1">
        <f t="array" aca="1" ref="T16" ca="1">MNEWTON($B8,T15)</f>
        <v>#NAME?</v>
      </c>
      <c r="U16" t="e" cm="1">
        <f t="array" aca="1" ref="U16" ca="1">MNEWTON($B8,U15)</f>
        <v>#NAME?</v>
      </c>
      <c r="V16" s="185" t="e" cm="1">
        <f t="array" aca="1" ref="V16" ca="1">MNEWTON($B8,V15)</f>
        <v>#NAME?</v>
      </c>
    </row>
    <row r="17" spans="1:22" x14ac:dyDescent="0.35">
      <c r="A17">
        <f t="shared" si="1"/>
        <v>-1.1999999999999986</v>
      </c>
      <c r="B17">
        <f t="shared" si="0"/>
        <v>8.7119999999999944</v>
      </c>
      <c r="K17" t="s">
        <v>449</v>
      </c>
      <c r="L17" s="7" t="e">
        <f ca="1">(L16+3)*(L16-1)^2</f>
        <v>#NAME?</v>
      </c>
      <c r="M17" s="8" t="e">
        <f t="shared" ref="M17:O17" ca="1" si="3">(M16+3)*(M16-1)^2</f>
        <v>#NAME?</v>
      </c>
      <c r="N17" s="8" t="e">
        <f t="shared" ca="1" si="3"/>
        <v>#NAME?</v>
      </c>
      <c r="O17" s="9" t="e">
        <f t="shared" ca="1" si="3"/>
        <v>#NAME?</v>
      </c>
      <c r="R17" t="s">
        <v>449</v>
      </c>
      <c r="S17" s="191"/>
      <c r="V17" s="185"/>
    </row>
    <row r="18" spans="1:22" x14ac:dyDescent="0.35">
      <c r="A18">
        <f t="shared" si="1"/>
        <v>-0.99999999999999867</v>
      </c>
      <c r="B18">
        <f t="shared" si="0"/>
        <v>7.9999999999999947</v>
      </c>
      <c r="R18" t="s">
        <v>616</v>
      </c>
      <c r="S18" s="7"/>
      <c r="T18" s="8"/>
      <c r="U18" s="8"/>
      <c r="V18" s="9"/>
    </row>
    <row r="19" spans="1:22" x14ac:dyDescent="0.35">
      <c r="A19">
        <f t="shared" si="1"/>
        <v>-0.79999999999999871</v>
      </c>
      <c r="B19">
        <f t="shared" si="0"/>
        <v>7.127999999999993</v>
      </c>
      <c r="L19" t="s">
        <v>626</v>
      </c>
    </row>
    <row r="20" spans="1:22" x14ac:dyDescent="0.35">
      <c r="A20">
        <f t="shared" si="1"/>
        <v>-0.59999999999999876</v>
      </c>
      <c r="B20">
        <f t="shared" si="0"/>
        <v>6.1439999999999939</v>
      </c>
      <c r="K20" t="s">
        <v>381</v>
      </c>
      <c r="L20" s="62">
        <v>-4</v>
      </c>
      <c r="M20" s="63">
        <v>-4</v>
      </c>
      <c r="N20" s="64">
        <v>0</v>
      </c>
    </row>
    <row r="21" spans="1:22" x14ac:dyDescent="0.35">
      <c r="A21">
        <f t="shared" si="1"/>
        <v>-0.39999999999999875</v>
      </c>
      <c r="B21">
        <f t="shared" si="0"/>
        <v>5.0959999999999939</v>
      </c>
      <c r="K21" t="s">
        <v>344</v>
      </c>
      <c r="L21" s="191">
        <v>4</v>
      </c>
      <c r="M21">
        <v>-2</v>
      </c>
      <c r="N21" s="185">
        <v>2</v>
      </c>
    </row>
    <row r="22" spans="1:22" x14ac:dyDescent="0.35">
      <c r="A22">
        <f t="shared" si="1"/>
        <v>-0.19999999999999873</v>
      </c>
      <c r="B22">
        <f t="shared" si="0"/>
        <v>4.0319999999999938</v>
      </c>
      <c r="K22" t="s">
        <v>159</v>
      </c>
      <c r="L22" s="191" t="e" cm="1">
        <f t="array" aca="1" ref="L22" ca="1">BISECTION($B3,L20,L21)</f>
        <v>#NAME?</v>
      </c>
      <c r="M22" t="e" cm="1">
        <f t="array" aca="1" ref="M22" ca="1">BISECTION($B3,M20,M21)</f>
        <v>#NAME?</v>
      </c>
      <c r="N22" s="185" t="e" cm="1">
        <f t="array" aca="1" ref="N22" ca="1">BISECTION($B3,N20,N21)</f>
        <v>#NAME?</v>
      </c>
    </row>
    <row r="23" spans="1:22" x14ac:dyDescent="0.35">
      <c r="A23">
        <v>0</v>
      </c>
      <c r="B23">
        <f t="shared" si="0"/>
        <v>3</v>
      </c>
      <c r="K23" t="s">
        <v>449</v>
      </c>
      <c r="L23" s="7" t="e">
        <f ca="1">(L22+3)*(L22-1)^2</f>
        <v>#NAME?</v>
      </c>
      <c r="M23" s="8" t="e">
        <f t="shared" ref="M23:N23" ca="1" si="4">(M22+3)*(M22-1)^2</f>
        <v>#NAME?</v>
      </c>
      <c r="N23" s="9" t="e">
        <f t="shared" ca="1" si="4"/>
        <v>#NAME?</v>
      </c>
    </row>
    <row r="24" spans="1:22" x14ac:dyDescent="0.35">
      <c r="A24">
        <f t="shared" ref="A24:A43" si="5">A23+0.2</f>
        <v>0.2</v>
      </c>
      <c r="B24">
        <f t="shared" si="0"/>
        <v>2.0480000000000005</v>
      </c>
    </row>
    <row r="25" spans="1:22" x14ac:dyDescent="0.35">
      <c r="A25">
        <f t="shared" si="5"/>
        <v>0.4</v>
      </c>
      <c r="B25">
        <f t="shared" si="0"/>
        <v>1.224</v>
      </c>
    </row>
    <row r="26" spans="1:22" x14ac:dyDescent="0.35">
      <c r="A26">
        <f t="shared" si="5"/>
        <v>0.60000000000000009</v>
      </c>
      <c r="B26">
        <f t="shared" si="0"/>
        <v>0.57599999999999973</v>
      </c>
    </row>
    <row r="27" spans="1:22" x14ac:dyDescent="0.35">
      <c r="A27">
        <f t="shared" si="5"/>
        <v>0.8</v>
      </c>
      <c r="B27">
        <f t="shared" si="0"/>
        <v>0.15199999999999991</v>
      </c>
    </row>
    <row r="28" spans="1:22" x14ac:dyDescent="0.35">
      <c r="A28">
        <f t="shared" si="5"/>
        <v>1</v>
      </c>
      <c r="B28">
        <f t="shared" si="0"/>
        <v>0</v>
      </c>
    </row>
    <row r="29" spans="1:22" x14ac:dyDescent="0.35">
      <c r="A29">
        <f t="shared" si="5"/>
        <v>1.2</v>
      </c>
      <c r="B29">
        <f t="shared" si="0"/>
        <v>0.16799999999999993</v>
      </c>
    </row>
    <row r="30" spans="1:22" x14ac:dyDescent="0.35">
      <c r="A30">
        <f t="shared" si="5"/>
        <v>1.4</v>
      </c>
      <c r="B30">
        <f t="shared" si="0"/>
        <v>0.70399999999999974</v>
      </c>
    </row>
    <row r="31" spans="1:22" x14ac:dyDescent="0.35">
      <c r="A31">
        <f t="shared" si="5"/>
        <v>1.5999999999999999</v>
      </c>
      <c r="B31">
        <f t="shared" si="0"/>
        <v>1.655999999999999</v>
      </c>
    </row>
    <row r="32" spans="1:22" x14ac:dyDescent="0.35">
      <c r="A32">
        <f t="shared" si="5"/>
        <v>1.7999999999999998</v>
      </c>
      <c r="B32">
        <f t="shared" si="0"/>
        <v>3.0719999999999983</v>
      </c>
    </row>
    <row r="33" spans="1:2" x14ac:dyDescent="0.35">
      <c r="A33">
        <f t="shared" si="5"/>
        <v>1.9999999999999998</v>
      </c>
      <c r="B33">
        <f t="shared" si="0"/>
        <v>4.9999999999999982</v>
      </c>
    </row>
    <row r="34" spans="1:2" x14ac:dyDescent="0.35">
      <c r="A34">
        <f t="shared" si="5"/>
        <v>2.1999999999999997</v>
      </c>
      <c r="B34">
        <f t="shared" si="0"/>
        <v>7.4879999999999951</v>
      </c>
    </row>
    <row r="35" spans="1:2" x14ac:dyDescent="0.35">
      <c r="A35">
        <f t="shared" si="5"/>
        <v>2.4</v>
      </c>
      <c r="B35">
        <f t="shared" si="0"/>
        <v>10.584</v>
      </c>
    </row>
    <row r="36" spans="1:2" x14ac:dyDescent="0.35">
      <c r="A36">
        <f t="shared" si="5"/>
        <v>2.6</v>
      </c>
      <c r="B36">
        <f t="shared" si="0"/>
        <v>14.336000000000002</v>
      </c>
    </row>
    <row r="37" spans="1:2" x14ac:dyDescent="0.35">
      <c r="A37">
        <f t="shared" si="5"/>
        <v>2.8000000000000003</v>
      </c>
      <c r="B37">
        <f t="shared" si="0"/>
        <v>18.792000000000009</v>
      </c>
    </row>
    <row r="38" spans="1:2" x14ac:dyDescent="0.35">
      <c r="A38">
        <f t="shared" si="5"/>
        <v>3.0000000000000004</v>
      </c>
      <c r="B38">
        <f t="shared" si="0"/>
        <v>24.000000000000011</v>
      </c>
    </row>
    <row r="39" spans="1:2" x14ac:dyDescent="0.35">
      <c r="A39">
        <f t="shared" si="5"/>
        <v>3.2000000000000006</v>
      </c>
      <c r="B39">
        <f t="shared" si="0"/>
        <v>30.00800000000002</v>
      </c>
    </row>
    <row r="40" spans="1:2" x14ac:dyDescent="0.35">
      <c r="A40">
        <f t="shared" si="5"/>
        <v>3.4000000000000008</v>
      </c>
      <c r="B40">
        <f t="shared" si="0"/>
        <v>36.864000000000026</v>
      </c>
    </row>
    <row r="41" spans="1:2" x14ac:dyDescent="0.35">
      <c r="A41">
        <f t="shared" si="5"/>
        <v>3.600000000000001</v>
      </c>
      <c r="B41">
        <f t="shared" si="0"/>
        <v>44.616000000000042</v>
      </c>
    </row>
    <row r="42" spans="1:2" x14ac:dyDescent="0.35">
      <c r="A42">
        <f t="shared" si="5"/>
        <v>3.8000000000000012</v>
      </c>
      <c r="B42">
        <f t="shared" si="0"/>
        <v>53.312000000000047</v>
      </c>
    </row>
    <row r="43" spans="1:2" x14ac:dyDescent="0.35">
      <c r="A43" s="8">
        <f t="shared" si="5"/>
        <v>4.0000000000000009</v>
      </c>
      <c r="B43" s="8">
        <f t="shared" si="0"/>
        <v>63.000000000000043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9C4C-AE7B-432C-BD6B-A66D572C5B39}">
  <sheetPr codeName="Sheet69"/>
  <dimension ref="A2:S53"/>
  <sheetViews>
    <sheetView tabSelected="1" topLeftCell="A22" workbookViewId="0">
      <selection activeCell="S27" sqref="S27"/>
    </sheetView>
  </sheetViews>
  <sheetFormatPr defaultRowHeight="14.5" x14ac:dyDescent="0.35"/>
  <cols>
    <col min="1" max="1" width="5.7265625" customWidth="1"/>
    <col min="11" max="11" width="5.26953125" customWidth="1"/>
    <col min="12" max="12" width="8.7265625" customWidth="1"/>
    <col min="18" max="18" width="4.453125" customWidth="1"/>
    <col min="19" max="19" width="8.7265625" customWidth="1"/>
  </cols>
  <sheetData>
    <row r="2" spans="1:19" x14ac:dyDescent="0.35">
      <c r="A2" s="154" t="s">
        <v>159</v>
      </c>
      <c r="B2" s="154" t="s">
        <v>449</v>
      </c>
      <c r="L2" t="s">
        <v>614</v>
      </c>
      <c r="R2" s="159" t="s">
        <v>159</v>
      </c>
      <c r="S2" s="159" t="s">
        <v>449</v>
      </c>
    </row>
    <row r="3" spans="1:19" x14ac:dyDescent="0.35">
      <c r="A3">
        <v>-5</v>
      </c>
      <c r="B3">
        <f>A3^3+3*A3^2-6*A3-8</f>
        <v>-28</v>
      </c>
      <c r="K3" t="s">
        <v>381</v>
      </c>
      <c r="L3" s="62">
        <v>-5</v>
      </c>
      <c r="M3" s="63">
        <v>-5</v>
      </c>
      <c r="N3" s="63">
        <v>-2</v>
      </c>
      <c r="O3" s="64">
        <v>0</v>
      </c>
      <c r="R3" s="62" t="e" cm="1">
        <f t="array" aca="1" ref="R3" ca="1">NROOTS($B3,-5,5)</f>
        <v>#NAME?</v>
      </c>
      <c r="S3" s="64" t="e">
        <f ca="1">R3^3+3*R3^2-6*R3-8</f>
        <v>#NAME?</v>
      </c>
    </row>
    <row r="4" spans="1:19" x14ac:dyDescent="0.35">
      <c r="A4">
        <f>A3+0.2</f>
        <v>-4.8</v>
      </c>
      <c r="B4">
        <f>A4^3+3*A4^2-6*A4-8</f>
        <v>-20.671999999999997</v>
      </c>
      <c r="K4" t="s">
        <v>344</v>
      </c>
      <c r="L4" s="191">
        <v>5</v>
      </c>
      <c r="M4">
        <v>-2</v>
      </c>
      <c r="N4">
        <v>0.5</v>
      </c>
      <c r="O4" s="185">
        <v>5</v>
      </c>
      <c r="R4" s="191"/>
      <c r="S4" s="185">
        <f t="shared" ref="S4:S5" si="0">R4^3+3*R4^2-6*R4-8</f>
        <v>-8</v>
      </c>
    </row>
    <row r="5" spans="1:19" x14ac:dyDescent="0.35">
      <c r="A5">
        <f t="shared" ref="A5:A27" si="1">A4+0.2</f>
        <v>-4.5999999999999996</v>
      </c>
      <c r="B5">
        <f t="shared" ref="B5:B53" si="2">A5^3+3*A5^2-6*A5-8</f>
        <v>-14.255999999999982</v>
      </c>
      <c r="K5" t="s">
        <v>159</v>
      </c>
      <c r="L5" s="191" t="e" cm="1">
        <f t="array" aca="1" ref="L5" ca="1">BRENT($B3,L3,L4)</f>
        <v>#NAME?</v>
      </c>
      <c r="M5" t="e" cm="1">
        <f t="array" aca="1" ref="M5" ca="1">BRENT($B3,M3,M4)</f>
        <v>#NAME?</v>
      </c>
      <c r="N5" t="e" cm="1">
        <f t="array" aca="1" ref="N5" ca="1">BRENT($B3,N3,N4)</f>
        <v>#NAME?</v>
      </c>
      <c r="O5" s="185" t="e" cm="1">
        <f t="array" aca="1" ref="O5" ca="1">BRENT($B3,O3,O4)</f>
        <v>#NAME?</v>
      </c>
      <c r="R5" s="7"/>
      <c r="S5" s="9">
        <f t="shared" si="0"/>
        <v>-8</v>
      </c>
    </row>
    <row r="6" spans="1:19" x14ac:dyDescent="0.35">
      <c r="A6">
        <f t="shared" si="1"/>
        <v>-4.3999999999999995</v>
      </c>
      <c r="B6">
        <f t="shared" si="2"/>
        <v>-8.7039999999999864</v>
      </c>
      <c r="K6" t="s">
        <v>449</v>
      </c>
      <c r="L6" s="7" t="e">
        <f ca="1">L5^3+3*L5^2-6*L5-8</f>
        <v>#NAME?</v>
      </c>
      <c r="M6" s="8" t="e">
        <f t="shared" ref="M6:O6" ca="1" si="3">M5^3+3*M5^2-6*M5-8</f>
        <v>#NAME?</v>
      </c>
      <c r="N6" s="8" t="e">
        <f t="shared" ca="1" si="3"/>
        <v>#NAME?</v>
      </c>
      <c r="O6" s="9" t="e">
        <f t="shared" ca="1" si="3"/>
        <v>#NAME?</v>
      </c>
    </row>
    <row r="7" spans="1:19" x14ac:dyDescent="0.35">
      <c r="A7">
        <f t="shared" si="1"/>
        <v>-4.1999999999999993</v>
      </c>
      <c r="B7">
        <f t="shared" si="2"/>
        <v>-3.9679999999999893</v>
      </c>
    </row>
    <row r="8" spans="1:19" x14ac:dyDescent="0.35">
      <c r="A8">
        <f t="shared" si="1"/>
        <v>-3.9999999999999991</v>
      </c>
      <c r="B8">
        <f t="shared" si="2"/>
        <v>1.4210854715202004E-14</v>
      </c>
      <c r="L8" t="s">
        <v>615</v>
      </c>
    </row>
    <row r="9" spans="1:19" x14ac:dyDescent="0.35">
      <c r="A9">
        <f t="shared" si="1"/>
        <v>-3.7999999999999989</v>
      </c>
      <c r="B9">
        <f t="shared" si="2"/>
        <v>3.2480000000000153</v>
      </c>
      <c r="K9" t="s">
        <v>381</v>
      </c>
      <c r="L9" s="62">
        <v>-5</v>
      </c>
      <c r="M9" s="63">
        <v>-2</v>
      </c>
      <c r="N9" s="63">
        <v>0</v>
      </c>
      <c r="O9" s="63">
        <v>1</v>
      </c>
      <c r="P9" s="64">
        <v>3</v>
      </c>
    </row>
    <row r="10" spans="1:19" x14ac:dyDescent="0.35">
      <c r="A10">
        <f t="shared" si="1"/>
        <v>-3.5999999999999988</v>
      </c>
      <c r="B10">
        <f t="shared" si="2"/>
        <v>5.8240000000000123</v>
      </c>
      <c r="K10" t="s">
        <v>159</v>
      </c>
      <c r="L10" s="191" t="e" cm="1">
        <f t="array" aca="1" ref="L10" ca="1">NEWTON($B3,L9)</f>
        <v>#NAME?</v>
      </c>
      <c r="M10" t="e" cm="1">
        <f t="array" aca="1" ref="M10" ca="1">NEWTON($B3,M9)</f>
        <v>#NAME?</v>
      </c>
      <c r="N10" t="e" cm="1">
        <f t="array" aca="1" ref="N10" ca="1">NEWTON($B3,N9)</f>
        <v>#NAME?</v>
      </c>
      <c r="O10" t="e" cm="1">
        <f t="array" aca="1" ref="O10" ca="1">NEWTON($B3,O9)</f>
        <v>#NAME?</v>
      </c>
      <c r="P10" s="185" t="e" cm="1">
        <f t="array" aca="1" ref="P10" ca="1">NEWTON($B3,P9)</f>
        <v>#NAME?</v>
      </c>
    </row>
    <row r="11" spans="1:19" x14ac:dyDescent="0.35">
      <c r="A11">
        <f t="shared" si="1"/>
        <v>-3.3999999999999986</v>
      </c>
      <c r="B11">
        <f t="shared" si="2"/>
        <v>7.7760000000000105</v>
      </c>
      <c r="K11" t="s">
        <v>449</v>
      </c>
      <c r="L11" s="7" t="e">
        <f ca="1">L10^3+3*L10^2-6*L10-8</f>
        <v>#NAME?</v>
      </c>
      <c r="M11" s="8" t="e">
        <f t="shared" ref="M11:P11" ca="1" si="4">M10^3+3*M10^2-6*M10-8</f>
        <v>#NAME?</v>
      </c>
      <c r="N11" s="8" t="e">
        <f t="shared" ca="1" si="4"/>
        <v>#NAME?</v>
      </c>
      <c r="O11" s="8" t="e">
        <f t="shared" ca="1" si="4"/>
        <v>#NAME?</v>
      </c>
      <c r="P11" s="9" t="e">
        <f t="shared" ca="1" si="4"/>
        <v>#NAME?</v>
      </c>
    </row>
    <row r="12" spans="1:19" x14ac:dyDescent="0.35">
      <c r="A12">
        <f t="shared" si="1"/>
        <v>-3.1999999999999984</v>
      </c>
      <c r="B12">
        <f t="shared" si="2"/>
        <v>9.1520000000000081</v>
      </c>
    </row>
    <row r="13" spans="1:19" x14ac:dyDescent="0.35">
      <c r="A13">
        <f t="shared" si="1"/>
        <v>-2.9999999999999982</v>
      </c>
      <c r="B13">
        <f t="shared" si="2"/>
        <v>10.000000000000007</v>
      </c>
      <c r="L13" t="s">
        <v>624</v>
      </c>
    </row>
    <row r="14" spans="1:19" x14ac:dyDescent="0.35">
      <c r="A14">
        <f t="shared" si="1"/>
        <v>-2.799999999999998</v>
      </c>
      <c r="B14">
        <f t="shared" si="2"/>
        <v>10.368000000000002</v>
      </c>
      <c r="K14" t="s">
        <v>381</v>
      </c>
      <c r="L14" s="62">
        <v>-5</v>
      </c>
      <c r="M14" s="63">
        <v>-5</v>
      </c>
      <c r="N14" s="63">
        <v>-2</v>
      </c>
      <c r="O14" s="63">
        <v>0</v>
      </c>
      <c r="P14" s="64">
        <v>1</v>
      </c>
    </row>
    <row r="15" spans="1:19" x14ac:dyDescent="0.35">
      <c r="A15">
        <f t="shared" si="1"/>
        <v>-2.5999999999999979</v>
      </c>
      <c r="B15">
        <f t="shared" si="2"/>
        <v>10.303999999999995</v>
      </c>
      <c r="K15" t="s">
        <v>344</v>
      </c>
      <c r="L15" s="191">
        <v>5</v>
      </c>
      <c r="M15">
        <v>-2</v>
      </c>
      <c r="N15">
        <v>0.5</v>
      </c>
      <c r="O15">
        <v>5</v>
      </c>
      <c r="P15" s="185">
        <v>5</v>
      </c>
    </row>
    <row r="16" spans="1:19" x14ac:dyDescent="0.35">
      <c r="A16">
        <f t="shared" si="1"/>
        <v>-2.3999999999999977</v>
      </c>
      <c r="B16">
        <f t="shared" si="2"/>
        <v>9.855999999999991</v>
      </c>
      <c r="K16" t="s">
        <v>159</v>
      </c>
      <c r="L16" s="191" t="e" cm="1">
        <f t="array" aca="1" ref="L16" ca="1">SECANT($B14,L14,L15)</f>
        <v>#NAME?</v>
      </c>
      <c r="M16" t="e" cm="1">
        <f t="array" aca="1" ref="M16" ca="1">SECANT($B14,M14,M15)</f>
        <v>#NAME?</v>
      </c>
      <c r="N16" t="e" cm="1">
        <f t="array" aca="1" ref="N16" ca="1">SECANT($B14,N14,N15)</f>
        <v>#NAME?</v>
      </c>
      <c r="O16" t="e" cm="1">
        <f t="array" aca="1" ref="O16" ca="1">SECANT($B14,O14,O15)</f>
        <v>#NAME?</v>
      </c>
      <c r="P16" s="185" t="e" cm="1">
        <f t="array" aca="1" ref="P16" ca="1">SECANT($B14,P14,P15)</f>
        <v>#NAME?</v>
      </c>
    </row>
    <row r="17" spans="1:16" x14ac:dyDescent="0.35">
      <c r="A17">
        <f t="shared" si="1"/>
        <v>-2.1999999999999975</v>
      </c>
      <c r="B17">
        <f t="shared" si="2"/>
        <v>9.0719999999999885</v>
      </c>
      <c r="K17" t="s">
        <v>449</v>
      </c>
      <c r="L17" s="7" t="e">
        <f ca="1">L16^3+3*L16^2-6*L16-8</f>
        <v>#NAME?</v>
      </c>
      <c r="M17" s="8" t="e">
        <f t="shared" ref="M17:P17" ca="1" si="5">M16^3+3*M16^2-6*M16-8</f>
        <v>#NAME?</v>
      </c>
      <c r="N17" s="8" t="e">
        <f t="shared" ca="1" si="5"/>
        <v>#NAME?</v>
      </c>
      <c r="O17" s="8" t="e">
        <f t="shared" ca="1" si="5"/>
        <v>#NAME?</v>
      </c>
      <c r="P17" s="9" t="e">
        <f t="shared" ca="1" si="5"/>
        <v>#NAME?</v>
      </c>
    </row>
    <row r="18" spans="1:16" x14ac:dyDescent="0.35">
      <c r="A18">
        <f t="shared" si="1"/>
        <v>-1.9999999999999976</v>
      </c>
      <c r="B18">
        <f t="shared" si="2"/>
        <v>7.9999999999999858</v>
      </c>
    </row>
    <row r="19" spans="1:16" x14ac:dyDescent="0.35">
      <c r="A19">
        <f t="shared" si="1"/>
        <v>-1.7999999999999976</v>
      </c>
      <c r="B19">
        <f t="shared" si="2"/>
        <v>6.6879999999999846</v>
      </c>
      <c r="L19" t="s">
        <v>626</v>
      </c>
    </row>
    <row r="20" spans="1:16" x14ac:dyDescent="0.35">
      <c r="A20">
        <f t="shared" si="1"/>
        <v>-1.5999999999999976</v>
      </c>
      <c r="B20">
        <f t="shared" si="2"/>
        <v>5.1839999999999797</v>
      </c>
      <c r="K20" t="s">
        <v>381</v>
      </c>
      <c r="L20" s="62">
        <v>-5</v>
      </c>
      <c r="M20" s="63">
        <v>-5</v>
      </c>
      <c r="N20" s="63">
        <v>-2</v>
      </c>
      <c r="O20" s="64">
        <v>0</v>
      </c>
    </row>
    <row r="21" spans="1:16" x14ac:dyDescent="0.35">
      <c r="A21">
        <f t="shared" si="1"/>
        <v>-1.3999999999999977</v>
      </c>
      <c r="B21">
        <f t="shared" si="2"/>
        <v>3.53599999999998</v>
      </c>
      <c r="K21" t="s">
        <v>344</v>
      </c>
      <c r="L21" s="191">
        <v>5</v>
      </c>
      <c r="M21">
        <v>-2</v>
      </c>
      <c r="N21">
        <v>0.5</v>
      </c>
      <c r="O21" s="185">
        <v>5</v>
      </c>
    </row>
    <row r="22" spans="1:16" x14ac:dyDescent="0.35">
      <c r="A22">
        <f t="shared" si="1"/>
        <v>-1.1999999999999977</v>
      </c>
      <c r="B22">
        <f t="shared" si="2"/>
        <v>1.7919999999999803</v>
      </c>
      <c r="K22" t="s">
        <v>159</v>
      </c>
      <c r="L22" s="191" t="e" cm="1">
        <f t="array" aca="1" ref="L22" ca="1">BISECTION($B20,L20,L21)</f>
        <v>#NAME?</v>
      </c>
      <c r="M22" t="e" cm="1">
        <f t="array" aca="1" ref="M22" ca="1">BISECTION($B20,M20,M21)</f>
        <v>#NAME?</v>
      </c>
      <c r="N22" t="e" cm="1">
        <f t="array" aca="1" ref="N22" ca="1">BISECTION($B20,N20,N21)</f>
        <v>#NAME?</v>
      </c>
      <c r="O22" s="185" t="e" cm="1">
        <f t="array" aca="1" ref="O22" ca="1">BISECTION($B20,O20,O21)</f>
        <v>#NAME?</v>
      </c>
    </row>
    <row r="23" spans="1:16" x14ac:dyDescent="0.35">
      <c r="A23">
        <f t="shared" si="1"/>
        <v>-0.99999999999999778</v>
      </c>
      <c r="B23">
        <f t="shared" si="2"/>
        <v>-1.9539925233402755E-14</v>
      </c>
      <c r="K23" t="s">
        <v>449</v>
      </c>
      <c r="L23" s="7" t="e">
        <f ca="1">L22^3+3*L22^2-6*L22-8</f>
        <v>#NAME?</v>
      </c>
      <c r="M23" s="8" t="e">
        <f t="shared" ref="M23:O23" ca="1" si="6">M22^3+3*M22^2-6*M22-8</f>
        <v>#NAME?</v>
      </c>
      <c r="N23" s="8" t="e">
        <f t="shared" ca="1" si="6"/>
        <v>#NAME?</v>
      </c>
      <c r="O23" s="9" t="e">
        <f t="shared" ca="1" si="6"/>
        <v>#NAME?</v>
      </c>
    </row>
    <row r="24" spans="1:16" x14ac:dyDescent="0.35">
      <c r="A24">
        <f t="shared" si="1"/>
        <v>-0.79999999999999782</v>
      </c>
      <c r="B24">
        <f t="shared" si="2"/>
        <v>-1.7920000000000194</v>
      </c>
    </row>
    <row r="25" spans="1:16" x14ac:dyDescent="0.35">
      <c r="A25">
        <f t="shared" si="1"/>
        <v>-0.59999999999999787</v>
      </c>
      <c r="B25">
        <f t="shared" si="2"/>
        <v>-3.5360000000000182</v>
      </c>
      <c r="L25" t="s">
        <v>627</v>
      </c>
    </row>
    <row r="26" spans="1:16" x14ac:dyDescent="0.35">
      <c r="A26">
        <f t="shared" si="1"/>
        <v>-0.39999999999999786</v>
      </c>
      <c r="B26">
        <f t="shared" si="2"/>
        <v>-5.184000000000017</v>
      </c>
      <c r="K26" t="s">
        <v>381</v>
      </c>
      <c r="L26" s="62">
        <v>-5</v>
      </c>
      <c r="M26" s="63">
        <v>-2</v>
      </c>
      <c r="N26" s="63">
        <v>0</v>
      </c>
      <c r="O26" s="63">
        <v>1</v>
      </c>
      <c r="P26" s="64">
        <v>3</v>
      </c>
    </row>
    <row r="27" spans="1:16" x14ac:dyDescent="0.35">
      <c r="A27">
        <f t="shared" si="1"/>
        <v>-0.19999999999999785</v>
      </c>
      <c r="B27">
        <f t="shared" si="2"/>
        <v>-6.6880000000000148</v>
      </c>
      <c r="K27" t="s">
        <v>159</v>
      </c>
      <c r="L27" s="191" t="e" cm="1">
        <f t="array" aca="1" ref="L27" ca="1">MNEWTON($B3,L26)</f>
        <v>#NAME?</v>
      </c>
      <c r="M27" t="e" cm="1">
        <f t="array" aca="1" ref="M27" ca="1">MNEWTON($B3,M26)</f>
        <v>#NAME?</v>
      </c>
      <c r="N27" t="e" cm="1">
        <f t="array" aca="1" ref="N27" ca="1">MNEWTON($B3,N26)</f>
        <v>#NAME?</v>
      </c>
      <c r="O27" t="e" cm="1">
        <f t="array" aca="1" ref="O27" ca="1">MNEWTON($B3,O26)</f>
        <v>#NAME?</v>
      </c>
      <c r="P27" s="185" t="e" cm="1">
        <f t="array" aca="1" ref="P27" ca="1">MNEWTON($B3,P26)</f>
        <v>#NAME?</v>
      </c>
    </row>
    <row r="28" spans="1:16" x14ac:dyDescent="0.35">
      <c r="A28">
        <v>0</v>
      </c>
      <c r="B28">
        <f t="shared" si="2"/>
        <v>-8</v>
      </c>
      <c r="K28" t="s">
        <v>449</v>
      </c>
      <c r="L28" s="191"/>
      <c r="P28" s="185"/>
    </row>
    <row r="29" spans="1:16" x14ac:dyDescent="0.35">
      <c r="A29">
        <f t="shared" ref="A29:A53" si="7">A28+0.2</f>
        <v>0.2</v>
      </c>
      <c r="B29">
        <f t="shared" si="2"/>
        <v>-9.0719999999999992</v>
      </c>
      <c r="K29" t="s">
        <v>616</v>
      </c>
      <c r="L29" s="7"/>
      <c r="M29" s="8"/>
      <c r="N29" s="8"/>
      <c r="O29" s="8"/>
      <c r="P29" s="9"/>
    </row>
    <row r="30" spans="1:16" x14ac:dyDescent="0.35">
      <c r="A30">
        <f t="shared" si="7"/>
        <v>0.4</v>
      </c>
      <c r="B30">
        <f t="shared" si="2"/>
        <v>-9.8559999999999999</v>
      </c>
    </row>
    <row r="31" spans="1:16" x14ac:dyDescent="0.35">
      <c r="A31">
        <f t="shared" si="7"/>
        <v>0.60000000000000009</v>
      </c>
      <c r="B31">
        <f t="shared" si="2"/>
        <v>-10.304</v>
      </c>
      <c r="L31" t="s">
        <v>628</v>
      </c>
    </row>
    <row r="32" spans="1:16" x14ac:dyDescent="0.35">
      <c r="A32">
        <f t="shared" si="7"/>
        <v>0.8</v>
      </c>
      <c r="B32">
        <f t="shared" si="2"/>
        <v>-10.368</v>
      </c>
      <c r="K32" t="s">
        <v>381</v>
      </c>
      <c r="L32" s="62">
        <v>-5</v>
      </c>
      <c r="M32" s="63">
        <v>-5</v>
      </c>
      <c r="N32" s="63">
        <v>-2</v>
      </c>
      <c r="O32" s="63">
        <v>0</v>
      </c>
      <c r="P32" s="64">
        <v>1</v>
      </c>
    </row>
    <row r="33" spans="1:16" x14ac:dyDescent="0.35">
      <c r="A33">
        <f t="shared" si="7"/>
        <v>1</v>
      </c>
      <c r="B33">
        <f t="shared" si="2"/>
        <v>-10</v>
      </c>
      <c r="K33" t="s">
        <v>159</v>
      </c>
      <c r="L33" s="191" t="e" cm="1">
        <f t="array" aca="1" ref="L33" ca="1">NEWTON($M37,L32)</f>
        <v>#NAME?</v>
      </c>
      <c r="M33" t="e" cm="1">
        <f t="array" aca="1" ref="M33" ca="1">NEWTON($M37,M32)</f>
        <v>#NAME?</v>
      </c>
      <c r="N33" t="e" cm="1">
        <f t="array" aca="1" ref="N33" ca="1">NEWTON($M37,N32)</f>
        <v>#NAME?</v>
      </c>
      <c r="O33" t="e" cm="1">
        <f t="array" aca="1" ref="O33" ca="1">NEWTON($M37,O32)</f>
        <v>#NAME?</v>
      </c>
      <c r="P33" s="185" t="e" cm="1">
        <f t="array" aca="1" ref="P33" ca="1">NEWTON($M37,P32)</f>
        <v>#NAME?</v>
      </c>
    </row>
    <row r="34" spans="1:16" x14ac:dyDescent="0.35">
      <c r="A34">
        <f t="shared" si="7"/>
        <v>1.2</v>
      </c>
      <c r="B34">
        <f t="shared" si="2"/>
        <v>-9.1519999999999992</v>
      </c>
      <c r="K34" t="s">
        <v>449</v>
      </c>
      <c r="L34" s="7" t="e">
        <f ca="1">L33^3+3*L33^2-6*L33-8</f>
        <v>#NAME?</v>
      </c>
      <c r="M34" s="8" t="e">
        <f t="shared" ref="M34:P34" ca="1" si="8">M33^3+3*M33^2-6*M33-8</f>
        <v>#NAME?</v>
      </c>
      <c r="N34" s="8" t="e">
        <f t="shared" ca="1" si="8"/>
        <v>#NAME?</v>
      </c>
      <c r="O34" s="8" t="e">
        <f t="shared" ca="1" si="8"/>
        <v>#NAME?</v>
      </c>
      <c r="P34" s="9" t="e">
        <f t="shared" ca="1" si="8"/>
        <v>#NAME?</v>
      </c>
    </row>
    <row r="35" spans="1:16" x14ac:dyDescent="0.35">
      <c r="A35">
        <f t="shared" si="7"/>
        <v>1.4</v>
      </c>
      <c r="B35">
        <f t="shared" si="2"/>
        <v>-7.7759999999999998</v>
      </c>
    </row>
    <row r="36" spans="1:16" x14ac:dyDescent="0.35">
      <c r="A36">
        <f t="shared" si="7"/>
        <v>1.5999999999999999</v>
      </c>
      <c r="B36">
        <f t="shared" si="2"/>
        <v>-5.8240000000000016</v>
      </c>
      <c r="L36" s="160" t="s">
        <v>159</v>
      </c>
      <c r="M36" s="160" t="s">
        <v>450</v>
      </c>
    </row>
    <row r="37" spans="1:16" x14ac:dyDescent="0.35">
      <c r="A37">
        <f t="shared" si="7"/>
        <v>1.7999999999999998</v>
      </c>
      <c r="B37">
        <f t="shared" si="2"/>
        <v>-3.2480000000000029</v>
      </c>
      <c r="L37" s="135">
        <v>2</v>
      </c>
      <c r="M37" s="135">
        <f>3*L37^2+6*L37-6</f>
        <v>18</v>
      </c>
    </row>
    <row r="38" spans="1:16" x14ac:dyDescent="0.35">
      <c r="A38">
        <f t="shared" si="7"/>
        <v>1.9999999999999998</v>
      </c>
      <c r="B38">
        <f t="shared" si="2"/>
        <v>0</v>
      </c>
    </row>
    <row r="39" spans="1:16" x14ac:dyDescent="0.35">
      <c r="A39">
        <f t="shared" si="7"/>
        <v>2.1999999999999997</v>
      </c>
      <c r="B39">
        <f t="shared" si="2"/>
        <v>3.9679999999999929</v>
      </c>
      <c r="L39" t="s">
        <v>619</v>
      </c>
    </row>
    <row r="40" spans="1:16" x14ac:dyDescent="0.35">
      <c r="A40">
        <f t="shared" si="7"/>
        <v>2.4</v>
      </c>
      <c r="B40">
        <f t="shared" si="2"/>
        <v>8.7040000000000006</v>
      </c>
      <c r="K40" t="s">
        <v>381</v>
      </c>
      <c r="L40" s="62">
        <v>-5</v>
      </c>
      <c r="M40" s="63">
        <v>-5</v>
      </c>
      <c r="N40" s="63">
        <v>0</v>
      </c>
      <c r="O40" s="64">
        <v>-4</v>
      </c>
    </row>
    <row r="41" spans="1:16" x14ac:dyDescent="0.35">
      <c r="A41">
        <f t="shared" si="7"/>
        <v>2.6</v>
      </c>
      <c r="B41">
        <f t="shared" si="2"/>
        <v>14.256000000000007</v>
      </c>
      <c r="K41" t="s">
        <v>344</v>
      </c>
      <c r="L41" s="191">
        <v>5</v>
      </c>
      <c r="M41">
        <v>0</v>
      </c>
      <c r="N41">
        <v>2</v>
      </c>
      <c r="O41" s="185">
        <v>2</v>
      </c>
    </row>
    <row r="42" spans="1:16" x14ac:dyDescent="0.35">
      <c r="A42">
        <f t="shared" si="7"/>
        <v>2.8000000000000003</v>
      </c>
      <c r="B42">
        <f t="shared" si="2"/>
        <v>20.672000000000008</v>
      </c>
      <c r="K42" t="s">
        <v>620</v>
      </c>
      <c r="L42" s="62" t="e" cm="1">
        <f t="array" aca="1" ref="L42" ca="1">FMIN($B3,L40,L41)</f>
        <v>#NAME?</v>
      </c>
      <c r="M42" s="63" t="e" cm="1">
        <f t="array" aca="1" ref="M42" ca="1">FMIN($B3,M40,M41)</f>
        <v>#NAME?</v>
      </c>
      <c r="N42" s="63" t="e" cm="1">
        <f t="array" aca="1" ref="N42" ca="1">FMIN($B3,N40,N41)</f>
        <v>#NAME?</v>
      </c>
      <c r="O42" s="64" t="e" cm="1">
        <f t="array" aca="1" ref="O42" ca="1">FMIN($B3,O40,O41)</f>
        <v>#NAME?</v>
      </c>
    </row>
    <row r="43" spans="1:16" x14ac:dyDescent="0.35">
      <c r="A43">
        <f t="shared" si="7"/>
        <v>3.0000000000000004</v>
      </c>
      <c r="B43">
        <f t="shared" si="2"/>
        <v>28.000000000000028</v>
      </c>
      <c r="K43" t="s">
        <v>621</v>
      </c>
      <c r="L43" s="7" t="e">
        <f ca="1">L42^3+3*L42^2-6*L42-8</f>
        <v>#NAME?</v>
      </c>
      <c r="M43" s="8" t="e">
        <f ca="1">M42^3+3*M42^2-6*M42-8</f>
        <v>#NAME?</v>
      </c>
      <c r="N43" s="8" t="e">
        <f ca="1">N42^3+3*N42^2-6*N42-8</f>
        <v>#NAME?</v>
      </c>
      <c r="O43" s="9" t="e">
        <f ca="1">O42^3+3*O42^2-6*O42-8</f>
        <v>#NAME?</v>
      </c>
    </row>
    <row r="44" spans="1:16" x14ac:dyDescent="0.35">
      <c r="A44">
        <f t="shared" si="7"/>
        <v>3.2000000000000006</v>
      </c>
      <c r="B44">
        <f t="shared" si="2"/>
        <v>36.288000000000025</v>
      </c>
      <c r="K44" t="s">
        <v>622</v>
      </c>
      <c r="L44" s="191" t="e" cm="1">
        <f t="array" aca="1" ref="L44" ca="1">FMAX($B3,L40,L41)</f>
        <v>#NAME?</v>
      </c>
      <c r="M44" t="e" cm="1">
        <f t="array" aca="1" ref="M44" ca="1">FMAX($B3,M40,M41)</f>
        <v>#NAME?</v>
      </c>
      <c r="N44" t="e" cm="1">
        <f t="array" aca="1" ref="N44" ca="1">FMAX($B3,N40,N41)</f>
        <v>#NAME?</v>
      </c>
      <c r="O44" s="185" t="e" cm="1">
        <f t="array" aca="1" ref="O44" ca="1">FMAX($B3,O40,O41)</f>
        <v>#NAME?</v>
      </c>
    </row>
    <row r="45" spans="1:16" x14ac:dyDescent="0.35">
      <c r="A45">
        <f t="shared" si="7"/>
        <v>3.4000000000000008</v>
      </c>
      <c r="B45">
        <f t="shared" si="2"/>
        <v>45.584000000000046</v>
      </c>
      <c r="K45" t="s">
        <v>623</v>
      </c>
      <c r="L45" s="7" t="e">
        <f ca="1">L44^3+3*L44^2-6*L44-8</f>
        <v>#NAME?</v>
      </c>
      <c r="M45" s="8" t="e">
        <f ca="1">M44^3+3*M44^2-6*M44-8</f>
        <v>#NAME?</v>
      </c>
      <c r="N45" s="8" t="e">
        <f ca="1">N44^3+3*N44^2-6*N44-8</f>
        <v>#NAME?</v>
      </c>
      <c r="O45" s="9" t="e">
        <f ca="1">O44^3+3*O44^2-6*O44-8</f>
        <v>#NAME?</v>
      </c>
    </row>
    <row r="46" spans="1:16" x14ac:dyDescent="0.35">
      <c r="A46">
        <f t="shared" si="7"/>
        <v>3.600000000000001</v>
      </c>
      <c r="B46">
        <f t="shared" si="2"/>
        <v>55.93600000000005</v>
      </c>
    </row>
    <row r="47" spans="1:16" x14ac:dyDescent="0.35">
      <c r="A47">
        <f t="shared" si="7"/>
        <v>3.8000000000000012</v>
      </c>
      <c r="B47">
        <f t="shared" si="2"/>
        <v>67.392000000000053</v>
      </c>
    </row>
    <row r="48" spans="1:16" x14ac:dyDescent="0.35">
      <c r="A48">
        <f t="shared" si="7"/>
        <v>4.0000000000000009</v>
      </c>
      <c r="B48">
        <f t="shared" si="2"/>
        <v>80.000000000000057</v>
      </c>
    </row>
    <row r="49" spans="1:2" x14ac:dyDescent="0.35">
      <c r="A49">
        <f t="shared" si="7"/>
        <v>4.2000000000000011</v>
      </c>
      <c r="B49">
        <f t="shared" si="2"/>
        <v>93.808000000000064</v>
      </c>
    </row>
    <row r="50" spans="1:2" x14ac:dyDescent="0.35">
      <c r="A50">
        <f t="shared" si="7"/>
        <v>4.4000000000000012</v>
      </c>
      <c r="B50">
        <f t="shared" si="2"/>
        <v>108.86400000000009</v>
      </c>
    </row>
    <row r="51" spans="1:2" x14ac:dyDescent="0.35">
      <c r="A51">
        <f t="shared" si="7"/>
        <v>4.6000000000000014</v>
      </c>
      <c r="B51">
        <f t="shared" si="2"/>
        <v>125.21600000000012</v>
      </c>
    </row>
    <row r="52" spans="1:2" x14ac:dyDescent="0.35">
      <c r="A52">
        <f t="shared" si="7"/>
        <v>4.8000000000000016</v>
      </c>
      <c r="B52">
        <f t="shared" si="2"/>
        <v>142.91200000000015</v>
      </c>
    </row>
    <row r="53" spans="1:2" x14ac:dyDescent="0.35">
      <c r="A53" s="8">
        <f t="shared" si="7"/>
        <v>5.0000000000000018</v>
      </c>
      <c r="B53" s="8">
        <f t="shared" si="2"/>
        <v>162.00000000000017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5AC7-1CBB-4415-A060-937D66716BBF}">
  <sheetPr codeName="Sheet70"/>
  <dimension ref="A2:O59"/>
  <sheetViews>
    <sheetView workbookViewId="0">
      <selection activeCell="O14" sqref="O14:O15"/>
    </sheetView>
  </sheetViews>
  <sheetFormatPr defaultRowHeight="14.5" x14ac:dyDescent="0.35"/>
  <cols>
    <col min="1" max="1" width="5.7265625" customWidth="1"/>
    <col min="12" max="12" width="6.453125" customWidth="1"/>
    <col min="13" max="13" width="8.7265625" customWidth="1"/>
    <col min="14" max="14" width="9.81640625" bestFit="1" customWidth="1"/>
  </cols>
  <sheetData>
    <row r="2" spans="1:15" x14ac:dyDescent="0.35">
      <c r="A2" s="154" t="s">
        <v>159</v>
      </c>
      <c r="B2" s="154" t="s">
        <v>449</v>
      </c>
      <c r="M2" s="160" t="s">
        <v>159</v>
      </c>
      <c r="N2" s="160" t="s">
        <v>449</v>
      </c>
    </row>
    <row r="3" spans="1:15" x14ac:dyDescent="0.35">
      <c r="A3">
        <v>-2.6</v>
      </c>
      <c r="B3">
        <f>A3^3-3*A3-3</f>
        <v>-12.776000000000003</v>
      </c>
      <c r="M3" s="159">
        <v>3</v>
      </c>
      <c r="N3" s="159">
        <f>M3^3-3*M3-3</f>
        <v>15</v>
      </c>
    </row>
    <row r="4" spans="1:15" x14ac:dyDescent="0.35">
      <c r="A4">
        <f>A3+0.1</f>
        <v>-2.5</v>
      </c>
      <c r="B4">
        <f t="shared" ref="B4:B59" si="0">A4^3-3*A4-3</f>
        <v>-11.125</v>
      </c>
    </row>
    <row r="5" spans="1:15" x14ac:dyDescent="0.35">
      <c r="A5">
        <f t="shared" ref="A5:A59" si="1">A4+0.1</f>
        <v>-2.4</v>
      </c>
      <c r="B5">
        <f t="shared" si="0"/>
        <v>-9.6240000000000006</v>
      </c>
      <c r="M5" t="s">
        <v>627</v>
      </c>
    </row>
    <row r="6" spans="1:15" x14ac:dyDescent="0.35">
      <c r="A6">
        <f t="shared" si="1"/>
        <v>-2.2999999999999998</v>
      </c>
      <c r="B6">
        <f t="shared" si="0"/>
        <v>-8.2669999999999959</v>
      </c>
      <c r="L6" t="s">
        <v>381</v>
      </c>
      <c r="M6" s="62">
        <v>-2</v>
      </c>
      <c r="N6" s="63">
        <v>1E-4</v>
      </c>
      <c r="O6" s="64">
        <v>2</v>
      </c>
    </row>
    <row r="7" spans="1:15" x14ac:dyDescent="0.35">
      <c r="A7">
        <f t="shared" si="1"/>
        <v>-2.1999999999999997</v>
      </c>
      <c r="B7">
        <f t="shared" si="0"/>
        <v>-7.0479999999999965</v>
      </c>
      <c r="L7" t="s">
        <v>159</v>
      </c>
      <c r="M7" s="191" t="e" cm="1">
        <f t="array" aca="1" ref="M7" ca="1">MNEWTON(N3,M6)</f>
        <v>#NAME?</v>
      </c>
      <c r="N7" t="e" cm="1">
        <f t="array" aca="1" ref="N7" ca="1">MNEWTON(N3,N6)</f>
        <v>#NAME?</v>
      </c>
      <c r="O7" s="185" t="e" cm="1">
        <f t="array" aca="1" ref="O7" ca="1">MNEWTON(N3,O6)</f>
        <v>#NAME?</v>
      </c>
    </row>
    <row r="8" spans="1:15" x14ac:dyDescent="0.35">
      <c r="A8">
        <f t="shared" si="1"/>
        <v>-2.0999999999999996</v>
      </c>
      <c r="B8">
        <f t="shared" si="0"/>
        <v>-5.9609999999999967</v>
      </c>
      <c r="L8" t="s">
        <v>449</v>
      </c>
      <c r="M8" s="191"/>
      <c r="O8" s="185"/>
    </row>
    <row r="9" spans="1:15" x14ac:dyDescent="0.35">
      <c r="A9">
        <f t="shared" si="1"/>
        <v>-1.9999999999999996</v>
      </c>
      <c r="B9">
        <f t="shared" si="0"/>
        <v>-4.9999999999999964</v>
      </c>
      <c r="L9" t="s">
        <v>616</v>
      </c>
      <c r="M9" s="7"/>
      <c r="N9" s="8"/>
      <c r="O9" s="9"/>
    </row>
    <row r="10" spans="1:15" x14ac:dyDescent="0.35">
      <c r="A10">
        <f t="shared" si="1"/>
        <v>-1.8999999999999995</v>
      </c>
      <c r="B10">
        <f t="shared" si="0"/>
        <v>-4.1589999999999963</v>
      </c>
    </row>
    <row r="11" spans="1:15" x14ac:dyDescent="0.35">
      <c r="A11">
        <f t="shared" si="1"/>
        <v>-1.7999999999999994</v>
      </c>
      <c r="B11">
        <f t="shared" si="0"/>
        <v>-3.4319999999999951</v>
      </c>
      <c r="M11" t="s">
        <v>629</v>
      </c>
    </row>
    <row r="12" spans="1:15" x14ac:dyDescent="0.35">
      <c r="A12">
        <f t="shared" si="1"/>
        <v>-1.6999999999999993</v>
      </c>
      <c r="B12">
        <f t="shared" si="0"/>
        <v>-2.8129999999999962</v>
      </c>
      <c r="L12" t="s">
        <v>630</v>
      </c>
      <c r="M12" s="65" t="e" cm="1">
        <f t="array" aca="1" ref="M12" ca="1">FUNC(0,N3)</f>
        <v>#NAME?</v>
      </c>
    </row>
    <row r="13" spans="1:15" x14ac:dyDescent="0.35">
      <c r="A13">
        <f t="shared" si="1"/>
        <v>-1.5999999999999992</v>
      </c>
      <c r="B13">
        <f t="shared" si="0"/>
        <v>-2.2959999999999967</v>
      </c>
      <c r="L13" t="s">
        <v>631</v>
      </c>
      <c r="M13" s="190" t="e" cm="1">
        <f t="array" aca="1" ref="M13" ca="1">DERIV(0,N3)</f>
        <v>#NAME?</v>
      </c>
    </row>
    <row r="14" spans="1:15" x14ac:dyDescent="0.35">
      <c r="A14">
        <f t="shared" si="1"/>
        <v>-1.4999999999999991</v>
      </c>
      <c r="B14">
        <f t="shared" si="0"/>
        <v>-1.8749999999999964</v>
      </c>
      <c r="L14" t="s">
        <v>632</v>
      </c>
      <c r="M14" s="14" t="e" cm="1">
        <f t="array" aca="1" ref="M14" ca="1">DERIV2(0,N3)</f>
        <v>#NAME?</v>
      </c>
    </row>
    <row r="15" spans="1:15" x14ac:dyDescent="0.35">
      <c r="A15">
        <f t="shared" si="1"/>
        <v>-1.399999999999999</v>
      </c>
      <c r="B15">
        <f t="shared" si="0"/>
        <v>-1.5439999999999969</v>
      </c>
    </row>
    <row r="16" spans="1:15" x14ac:dyDescent="0.35">
      <c r="A16">
        <f t="shared" si="1"/>
        <v>-1.2999999999999989</v>
      </c>
      <c r="B16">
        <f t="shared" si="0"/>
        <v>-1.2969999999999979</v>
      </c>
    </row>
    <row r="17" spans="1:2" x14ac:dyDescent="0.35">
      <c r="A17">
        <f t="shared" si="1"/>
        <v>-1.1999999999999988</v>
      </c>
      <c r="B17">
        <f t="shared" si="0"/>
        <v>-1.1279999999999986</v>
      </c>
    </row>
    <row r="18" spans="1:2" x14ac:dyDescent="0.35">
      <c r="A18">
        <f t="shared" si="1"/>
        <v>-1.0999999999999988</v>
      </c>
      <c r="B18">
        <f t="shared" si="0"/>
        <v>-1.0309999999999993</v>
      </c>
    </row>
    <row r="19" spans="1:2" x14ac:dyDescent="0.35">
      <c r="A19">
        <f t="shared" si="1"/>
        <v>-0.99999999999999878</v>
      </c>
      <c r="B19">
        <f t="shared" si="0"/>
        <v>-1</v>
      </c>
    </row>
    <row r="20" spans="1:2" x14ac:dyDescent="0.35">
      <c r="A20">
        <f t="shared" si="1"/>
        <v>-0.8999999999999988</v>
      </c>
      <c r="B20">
        <f t="shared" si="0"/>
        <v>-1.0290000000000004</v>
      </c>
    </row>
    <row r="21" spans="1:2" x14ac:dyDescent="0.35">
      <c r="A21">
        <f t="shared" si="1"/>
        <v>-0.79999999999999882</v>
      </c>
      <c r="B21">
        <f t="shared" si="0"/>
        <v>-1.1120000000000014</v>
      </c>
    </row>
    <row r="22" spans="1:2" x14ac:dyDescent="0.35">
      <c r="A22">
        <f t="shared" si="1"/>
        <v>-0.69999999999999885</v>
      </c>
      <c r="B22">
        <f t="shared" si="0"/>
        <v>-1.2430000000000017</v>
      </c>
    </row>
    <row r="23" spans="1:2" x14ac:dyDescent="0.35">
      <c r="A23">
        <f t="shared" si="1"/>
        <v>-0.59999999999999887</v>
      </c>
      <c r="B23">
        <f t="shared" si="0"/>
        <v>-1.4160000000000021</v>
      </c>
    </row>
    <row r="24" spans="1:2" x14ac:dyDescent="0.35">
      <c r="A24">
        <f t="shared" si="1"/>
        <v>-0.49999999999999889</v>
      </c>
      <c r="B24">
        <f t="shared" si="0"/>
        <v>-1.6250000000000024</v>
      </c>
    </row>
    <row r="25" spans="1:2" x14ac:dyDescent="0.35">
      <c r="A25">
        <f t="shared" si="1"/>
        <v>-0.39999999999999891</v>
      </c>
      <c r="B25">
        <f t="shared" si="0"/>
        <v>-1.8640000000000028</v>
      </c>
    </row>
    <row r="26" spans="1:2" x14ac:dyDescent="0.35">
      <c r="A26">
        <f t="shared" si="1"/>
        <v>-0.29999999999999893</v>
      </c>
      <c r="B26">
        <f t="shared" si="0"/>
        <v>-2.1270000000000029</v>
      </c>
    </row>
    <row r="27" spans="1:2" x14ac:dyDescent="0.35">
      <c r="A27">
        <f t="shared" si="1"/>
        <v>-0.19999999999999893</v>
      </c>
      <c r="B27">
        <f t="shared" si="0"/>
        <v>-2.408000000000003</v>
      </c>
    </row>
    <row r="28" spans="1:2" x14ac:dyDescent="0.35">
      <c r="A28">
        <f t="shared" si="1"/>
        <v>-9.9999999999998923E-2</v>
      </c>
      <c r="B28">
        <f t="shared" si="0"/>
        <v>-2.7010000000000032</v>
      </c>
    </row>
    <row r="29" spans="1:2" x14ac:dyDescent="0.35">
      <c r="A29">
        <f t="shared" si="1"/>
        <v>1.0824674490095276E-15</v>
      </c>
      <c r="B29">
        <f t="shared" si="0"/>
        <v>-3.0000000000000031</v>
      </c>
    </row>
    <row r="30" spans="1:2" x14ac:dyDescent="0.35">
      <c r="A30">
        <f t="shared" si="1"/>
        <v>0.10000000000000109</v>
      </c>
      <c r="B30">
        <f t="shared" si="0"/>
        <v>-3.299000000000003</v>
      </c>
    </row>
    <row r="31" spans="1:2" x14ac:dyDescent="0.35">
      <c r="A31">
        <f t="shared" si="1"/>
        <v>0.20000000000000109</v>
      </c>
      <c r="B31">
        <f t="shared" si="0"/>
        <v>-3.5920000000000032</v>
      </c>
    </row>
    <row r="32" spans="1:2" x14ac:dyDescent="0.35">
      <c r="A32">
        <f t="shared" si="1"/>
        <v>0.3000000000000011</v>
      </c>
      <c r="B32">
        <f t="shared" si="0"/>
        <v>-3.8730000000000029</v>
      </c>
    </row>
    <row r="33" spans="1:2" x14ac:dyDescent="0.35">
      <c r="A33">
        <f t="shared" si="1"/>
        <v>0.40000000000000113</v>
      </c>
      <c r="B33">
        <f t="shared" si="0"/>
        <v>-4.1360000000000028</v>
      </c>
    </row>
    <row r="34" spans="1:2" x14ac:dyDescent="0.35">
      <c r="A34">
        <f t="shared" si="1"/>
        <v>0.50000000000000111</v>
      </c>
      <c r="B34">
        <f t="shared" si="0"/>
        <v>-4.3750000000000027</v>
      </c>
    </row>
    <row r="35" spans="1:2" x14ac:dyDescent="0.35">
      <c r="A35">
        <f t="shared" si="1"/>
        <v>0.60000000000000109</v>
      </c>
      <c r="B35">
        <f t="shared" si="0"/>
        <v>-4.5840000000000023</v>
      </c>
    </row>
    <row r="36" spans="1:2" x14ac:dyDescent="0.35">
      <c r="A36">
        <f t="shared" si="1"/>
        <v>0.70000000000000107</v>
      </c>
      <c r="B36">
        <f t="shared" si="0"/>
        <v>-4.7570000000000014</v>
      </c>
    </row>
    <row r="37" spans="1:2" x14ac:dyDescent="0.35">
      <c r="A37">
        <f t="shared" si="1"/>
        <v>0.80000000000000104</v>
      </c>
      <c r="B37">
        <f t="shared" si="0"/>
        <v>-4.8880000000000008</v>
      </c>
    </row>
    <row r="38" spans="1:2" x14ac:dyDescent="0.35">
      <c r="A38">
        <f t="shared" si="1"/>
        <v>0.90000000000000102</v>
      </c>
      <c r="B38">
        <f t="shared" si="0"/>
        <v>-4.9710000000000001</v>
      </c>
    </row>
    <row r="39" spans="1:2" x14ac:dyDescent="0.35">
      <c r="A39">
        <f t="shared" si="1"/>
        <v>1.0000000000000011</v>
      </c>
      <c r="B39">
        <f t="shared" si="0"/>
        <v>-5</v>
      </c>
    </row>
    <row r="40" spans="1:2" x14ac:dyDescent="0.35">
      <c r="A40">
        <f t="shared" si="1"/>
        <v>1.1000000000000012</v>
      </c>
      <c r="B40">
        <f t="shared" si="0"/>
        <v>-4.9689999999999994</v>
      </c>
    </row>
    <row r="41" spans="1:2" x14ac:dyDescent="0.35">
      <c r="A41">
        <f t="shared" si="1"/>
        <v>1.2000000000000013</v>
      </c>
      <c r="B41">
        <f t="shared" si="0"/>
        <v>-4.8719999999999981</v>
      </c>
    </row>
    <row r="42" spans="1:2" x14ac:dyDescent="0.35">
      <c r="A42">
        <f t="shared" si="1"/>
        <v>1.3000000000000014</v>
      </c>
      <c r="B42">
        <f t="shared" si="0"/>
        <v>-4.7029999999999976</v>
      </c>
    </row>
    <row r="43" spans="1:2" x14ac:dyDescent="0.35">
      <c r="A43">
        <f t="shared" si="1"/>
        <v>1.4000000000000015</v>
      </c>
      <c r="B43">
        <f t="shared" si="0"/>
        <v>-4.455999999999996</v>
      </c>
    </row>
    <row r="44" spans="1:2" x14ac:dyDescent="0.35">
      <c r="A44">
        <f t="shared" si="1"/>
        <v>1.5000000000000016</v>
      </c>
      <c r="B44">
        <f t="shared" si="0"/>
        <v>-4.1249999999999947</v>
      </c>
    </row>
    <row r="45" spans="1:2" x14ac:dyDescent="0.35">
      <c r="A45">
        <f t="shared" si="1"/>
        <v>1.6000000000000016</v>
      </c>
      <c r="B45">
        <f t="shared" si="0"/>
        <v>-3.7039999999999926</v>
      </c>
    </row>
    <row r="46" spans="1:2" x14ac:dyDescent="0.35">
      <c r="A46">
        <f t="shared" si="1"/>
        <v>1.7000000000000017</v>
      </c>
      <c r="B46">
        <f t="shared" si="0"/>
        <v>-3.1869999999999896</v>
      </c>
    </row>
    <row r="47" spans="1:2" x14ac:dyDescent="0.35">
      <c r="A47">
        <f t="shared" si="1"/>
        <v>1.8000000000000018</v>
      </c>
      <c r="B47">
        <f t="shared" si="0"/>
        <v>-2.5679999999999881</v>
      </c>
    </row>
    <row r="48" spans="1:2" x14ac:dyDescent="0.35">
      <c r="A48">
        <f t="shared" si="1"/>
        <v>1.9000000000000019</v>
      </c>
      <c r="B48">
        <f t="shared" si="0"/>
        <v>-1.8409999999999842</v>
      </c>
    </row>
    <row r="49" spans="1:2" x14ac:dyDescent="0.35">
      <c r="A49">
        <f t="shared" si="1"/>
        <v>2.0000000000000018</v>
      </c>
      <c r="B49">
        <f t="shared" si="0"/>
        <v>-0.99999999999998401</v>
      </c>
    </row>
    <row r="50" spans="1:2" x14ac:dyDescent="0.35">
      <c r="A50">
        <f t="shared" si="1"/>
        <v>2.1000000000000019</v>
      </c>
      <c r="B50">
        <f t="shared" si="0"/>
        <v>-3.8999999999980162E-2</v>
      </c>
    </row>
    <row r="51" spans="1:2" x14ac:dyDescent="0.35">
      <c r="A51">
        <f t="shared" si="1"/>
        <v>2.200000000000002</v>
      </c>
      <c r="B51">
        <f t="shared" si="0"/>
        <v>1.0480000000000222</v>
      </c>
    </row>
    <row r="52" spans="1:2" x14ac:dyDescent="0.35">
      <c r="A52">
        <f t="shared" si="1"/>
        <v>2.300000000000002</v>
      </c>
      <c r="B52">
        <f t="shared" si="0"/>
        <v>2.2670000000000279</v>
      </c>
    </row>
    <row r="53" spans="1:2" x14ac:dyDescent="0.35">
      <c r="A53">
        <f t="shared" si="1"/>
        <v>2.4000000000000021</v>
      </c>
      <c r="B53">
        <f t="shared" si="0"/>
        <v>3.6240000000000308</v>
      </c>
    </row>
    <row r="54" spans="1:2" x14ac:dyDescent="0.35">
      <c r="A54">
        <f t="shared" si="1"/>
        <v>2.5000000000000022</v>
      </c>
      <c r="B54">
        <f t="shared" si="0"/>
        <v>5.1250000000000338</v>
      </c>
    </row>
    <row r="55" spans="1:2" x14ac:dyDescent="0.35">
      <c r="A55">
        <f t="shared" si="1"/>
        <v>2.6000000000000023</v>
      </c>
      <c r="B55">
        <f t="shared" si="0"/>
        <v>6.7760000000000389</v>
      </c>
    </row>
    <row r="56" spans="1:2" x14ac:dyDescent="0.35">
      <c r="A56">
        <f t="shared" si="1"/>
        <v>2.7000000000000024</v>
      </c>
      <c r="B56">
        <f t="shared" si="0"/>
        <v>8.5830000000000464</v>
      </c>
    </row>
    <row r="57" spans="1:2" x14ac:dyDescent="0.35">
      <c r="A57">
        <f t="shared" si="1"/>
        <v>2.8000000000000025</v>
      </c>
      <c r="B57">
        <f t="shared" si="0"/>
        <v>10.552000000000051</v>
      </c>
    </row>
    <row r="58" spans="1:2" x14ac:dyDescent="0.35">
      <c r="A58">
        <f t="shared" si="1"/>
        <v>2.9000000000000026</v>
      </c>
      <c r="B58">
        <f t="shared" si="0"/>
        <v>12.689000000000055</v>
      </c>
    </row>
    <row r="59" spans="1:2" x14ac:dyDescent="0.35">
      <c r="A59" s="8">
        <f t="shared" si="1"/>
        <v>3.0000000000000027</v>
      </c>
      <c r="B59" s="8">
        <f t="shared" si="0"/>
        <v>15.000000000000064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4379-2353-4A77-934E-BD5E29F21985}">
  <sheetPr codeName="Sheet26"/>
  <dimension ref="A1:X35"/>
  <sheetViews>
    <sheetView zoomScaleNormal="100" workbookViewId="0"/>
  </sheetViews>
  <sheetFormatPr defaultRowHeight="14.5" x14ac:dyDescent="0.35"/>
  <cols>
    <col min="1" max="1" width="6.453125" customWidth="1"/>
    <col min="2" max="24" width="7.7265625" customWidth="1"/>
  </cols>
  <sheetData>
    <row r="1" spans="1:24" ht="15" customHeight="1" x14ac:dyDescent="0.35">
      <c r="A1" s="10" t="s">
        <v>375</v>
      </c>
      <c r="J1" t="s">
        <v>376</v>
      </c>
      <c r="R1" t="s">
        <v>377</v>
      </c>
    </row>
    <row r="3" spans="1:24" x14ac:dyDescent="0.35">
      <c r="B3" s="12">
        <v>0</v>
      </c>
      <c r="C3" s="12">
        <f t="shared" ref="C3:H3" si="0">B3+1</f>
        <v>1</v>
      </c>
      <c r="D3" s="12">
        <f t="shared" si="0"/>
        <v>2</v>
      </c>
      <c r="E3" s="12">
        <f t="shared" si="0"/>
        <v>3</v>
      </c>
      <c r="F3" s="12">
        <f t="shared" si="0"/>
        <v>4</v>
      </c>
      <c r="G3" s="12">
        <f t="shared" si="0"/>
        <v>5</v>
      </c>
      <c r="H3" s="12">
        <f t="shared" si="0"/>
        <v>6</v>
      </c>
      <c r="J3" s="12">
        <v>0</v>
      </c>
      <c r="K3" s="12">
        <f t="shared" ref="K3:P3" si="1">J3+1</f>
        <v>1</v>
      </c>
      <c r="L3" s="12">
        <f t="shared" si="1"/>
        <v>2</v>
      </c>
      <c r="M3" s="12">
        <f t="shared" si="1"/>
        <v>3</v>
      </c>
      <c r="N3" s="12">
        <f t="shared" si="1"/>
        <v>4</v>
      </c>
      <c r="O3" s="12">
        <f t="shared" si="1"/>
        <v>5</v>
      </c>
      <c r="P3" s="12">
        <f t="shared" si="1"/>
        <v>6</v>
      </c>
      <c r="R3" s="12">
        <v>0</v>
      </c>
      <c r="S3" s="12">
        <f t="shared" ref="S3:X3" si="2">R3+1</f>
        <v>1</v>
      </c>
      <c r="T3" s="12">
        <f t="shared" si="2"/>
        <v>2</v>
      </c>
      <c r="U3" s="12">
        <f t="shared" si="2"/>
        <v>3</v>
      </c>
      <c r="V3" s="12">
        <f t="shared" si="2"/>
        <v>4</v>
      </c>
      <c r="W3" s="12">
        <f t="shared" si="2"/>
        <v>5</v>
      </c>
      <c r="X3" s="12">
        <f t="shared" si="2"/>
        <v>6</v>
      </c>
    </row>
    <row r="4" spans="1:24" x14ac:dyDescent="0.35">
      <c r="A4" s="3">
        <v>0</v>
      </c>
      <c r="B4" s="94">
        <v>0</v>
      </c>
      <c r="C4" s="95">
        <v>1</v>
      </c>
      <c r="D4" s="95">
        <v>0</v>
      </c>
      <c r="E4" s="95">
        <v>0</v>
      </c>
      <c r="F4" s="95">
        <v>0</v>
      </c>
      <c r="G4" s="95">
        <v>0</v>
      </c>
      <c r="H4" s="96">
        <v>0</v>
      </c>
      <c r="J4" s="94">
        <f t="array" ref="J4:P10">MMULT(B4:H10,B4:H10)</f>
        <v>0</v>
      </c>
      <c r="K4" s="95">
        <v>0.16666666666666666</v>
      </c>
      <c r="L4" s="95">
        <v>0.83333333333333337</v>
      </c>
      <c r="M4" s="95">
        <v>0</v>
      </c>
      <c r="N4" s="95">
        <v>0</v>
      </c>
      <c r="O4" s="95">
        <v>0</v>
      </c>
      <c r="P4" s="96">
        <v>0</v>
      </c>
      <c r="R4" s="94">
        <f t="array" ref="R4:X10">MMULT(J15:P21,J15:P21)</f>
        <v>0</v>
      </c>
      <c r="S4" s="95">
        <v>3.5722450845907631E-6</v>
      </c>
      <c r="T4" s="95">
        <v>2.2683756287151346E-3</v>
      </c>
      <c r="U4" s="95">
        <v>6.9015775034293556E-2</v>
      </c>
      <c r="V4" s="95">
        <v>0.36458333333333331</v>
      </c>
      <c r="W4" s="95">
        <v>0.45010288065843634</v>
      </c>
      <c r="X4" s="96">
        <v>0.11402606310013719</v>
      </c>
    </row>
    <row r="5" spans="1:24" x14ac:dyDescent="0.35">
      <c r="A5" s="3">
        <f t="shared" ref="A5:A10" si="3">A4+1</f>
        <v>1</v>
      </c>
      <c r="B5" s="30">
        <v>0</v>
      </c>
      <c r="C5">
        <f>1/6</f>
        <v>0.16666666666666666</v>
      </c>
      <c r="D5">
        <f>1-C5</f>
        <v>0.83333333333333337</v>
      </c>
      <c r="E5">
        <v>0</v>
      </c>
      <c r="F5">
        <v>0</v>
      </c>
      <c r="G5">
        <v>0</v>
      </c>
      <c r="H5" s="26">
        <v>0</v>
      </c>
      <c r="J5" s="30">
        <v>0</v>
      </c>
      <c r="K5">
        <v>2.7777777777777776E-2</v>
      </c>
      <c r="L5">
        <v>0.41666666666666669</v>
      </c>
      <c r="M5">
        <v>0.55555555555555569</v>
      </c>
      <c r="N5">
        <v>0</v>
      </c>
      <c r="O5">
        <v>0</v>
      </c>
      <c r="P5" s="26">
        <v>0</v>
      </c>
      <c r="R5" s="30">
        <v>0</v>
      </c>
      <c r="S5">
        <v>5.9537418076512718E-7</v>
      </c>
      <c r="T5">
        <v>7.5910208047553715E-4</v>
      </c>
      <c r="U5">
        <v>3.6020137936290206E-2</v>
      </c>
      <c r="V5">
        <v>0.27756344307270236</v>
      </c>
      <c r="W5">
        <v>0.4966135116598081</v>
      </c>
      <c r="X5" s="26">
        <v>0.18904320987654324</v>
      </c>
    </row>
    <row r="6" spans="1:24" x14ac:dyDescent="0.35">
      <c r="A6" s="3">
        <f t="shared" si="3"/>
        <v>2</v>
      </c>
      <c r="B6" s="30">
        <v>0</v>
      </c>
      <c r="C6">
        <v>0</v>
      </c>
      <c r="D6">
        <f>2/6</f>
        <v>0.33333333333333331</v>
      </c>
      <c r="E6">
        <f>1-D6</f>
        <v>0.66666666666666674</v>
      </c>
      <c r="F6">
        <v>0</v>
      </c>
      <c r="G6">
        <v>0</v>
      </c>
      <c r="H6" s="26">
        <v>0</v>
      </c>
      <c r="J6" s="30">
        <v>0</v>
      </c>
      <c r="K6">
        <v>0</v>
      </c>
      <c r="L6">
        <v>0.1111111111111111</v>
      </c>
      <c r="M6">
        <v>0.55555555555555558</v>
      </c>
      <c r="N6">
        <v>0.33333333333333337</v>
      </c>
      <c r="O6">
        <v>0</v>
      </c>
      <c r="P6" s="26">
        <v>0</v>
      </c>
      <c r="R6" s="30">
        <v>0</v>
      </c>
      <c r="S6">
        <v>0</v>
      </c>
      <c r="T6">
        <v>1.5241579027587256E-4</v>
      </c>
      <c r="U6">
        <v>1.501533683889651E-2</v>
      </c>
      <c r="V6">
        <v>0.18815014860539553</v>
      </c>
      <c r="W6">
        <v>0.50831618655692745</v>
      </c>
      <c r="X6" s="26">
        <v>0.28836591220850483</v>
      </c>
    </row>
    <row r="7" spans="1:24" x14ac:dyDescent="0.35">
      <c r="A7" s="3">
        <f t="shared" si="3"/>
        <v>3</v>
      </c>
      <c r="B7" s="30">
        <v>0</v>
      </c>
      <c r="C7">
        <v>0</v>
      </c>
      <c r="D7">
        <v>0</v>
      </c>
      <c r="E7">
        <f>3/6</f>
        <v>0.5</v>
      </c>
      <c r="F7">
        <f>1-E7</f>
        <v>0.5</v>
      </c>
      <c r="G7">
        <v>0</v>
      </c>
      <c r="H7" s="26">
        <v>0</v>
      </c>
      <c r="J7" s="30">
        <v>0</v>
      </c>
      <c r="K7">
        <v>0</v>
      </c>
      <c r="L7">
        <v>0</v>
      </c>
      <c r="M7">
        <v>0.25</v>
      </c>
      <c r="N7">
        <v>0.58333333333333326</v>
      </c>
      <c r="O7">
        <v>0.16666666666666669</v>
      </c>
      <c r="P7" s="26">
        <v>0</v>
      </c>
      <c r="R7" s="30">
        <v>0</v>
      </c>
      <c r="S7">
        <v>0</v>
      </c>
      <c r="T7">
        <v>0</v>
      </c>
      <c r="U7">
        <v>3.90625E-3</v>
      </c>
      <c r="V7">
        <v>0.10533657693187012</v>
      </c>
      <c r="W7">
        <v>0.47531221422039338</v>
      </c>
      <c r="X7" s="26">
        <v>0.41544495884773658</v>
      </c>
    </row>
    <row r="8" spans="1:24" x14ac:dyDescent="0.35">
      <c r="A8" s="3">
        <f t="shared" si="3"/>
        <v>4</v>
      </c>
      <c r="B8" s="30">
        <v>0</v>
      </c>
      <c r="C8">
        <v>0</v>
      </c>
      <c r="D8">
        <v>0</v>
      </c>
      <c r="E8">
        <v>0</v>
      </c>
      <c r="F8">
        <f>4/6</f>
        <v>0.66666666666666663</v>
      </c>
      <c r="G8">
        <f>1-F8</f>
        <v>0.33333333333333337</v>
      </c>
      <c r="H8" s="26">
        <v>0</v>
      </c>
      <c r="J8" s="30">
        <v>0</v>
      </c>
      <c r="K8">
        <v>0</v>
      </c>
      <c r="L8">
        <v>0</v>
      </c>
      <c r="M8">
        <v>0</v>
      </c>
      <c r="N8">
        <v>0.44444444444444442</v>
      </c>
      <c r="O8">
        <v>0.50000000000000011</v>
      </c>
      <c r="P8" s="26">
        <v>5.5555555555555552E-2</v>
      </c>
      <c r="R8" s="30">
        <v>0</v>
      </c>
      <c r="S8">
        <v>0</v>
      </c>
      <c r="T8">
        <v>0</v>
      </c>
      <c r="U8">
        <v>0</v>
      </c>
      <c r="V8">
        <v>3.9018442310623375E-2</v>
      </c>
      <c r="W8">
        <v>0.38709919410150917</v>
      </c>
      <c r="X8" s="26">
        <v>0.57388236358786782</v>
      </c>
    </row>
    <row r="9" spans="1:24" x14ac:dyDescent="0.35">
      <c r="A9" s="3">
        <f t="shared" si="3"/>
        <v>5</v>
      </c>
      <c r="B9" s="30">
        <v>0</v>
      </c>
      <c r="C9">
        <v>0</v>
      </c>
      <c r="D9">
        <v>0</v>
      </c>
      <c r="E9">
        <v>0</v>
      </c>
      <c r="F9">
        <v>0</v>
      </c>
      <c r="G9">
        <f>5/6</f>
        <v>0.83333333333333337</v>
      </c>
      <c r="H9" s="26">
        <f>1-G9</f>
        <v>0.16666666666666663</v>
      </c>
      <c r="J9" s="30">
        <v>0</v>
      </c>
      <c r="K9">
        <v>0</v>
      </c>
      <c r="L9">
        <v>0</v>
      </c>
      <c r="M9">
        <v>0</v>
      </c>
      <c r="N9">
        <v>0</v>
      </c>
      <c r="O9">
        <v>0.69444444444444453</v>
      </c>
      <c r="P9" s="26">
        <v>0.30555555555555547</v>
      </c>
      <c r="R9" s="30">
        <v>0</v>
      </c>
      <c r="S9">
        <v>0</v>
      </c>
      <c r="T9">
        <v>0</v>
      </c>
      <c r="U9">
        <v>0</v>
      </c>
      <c r="V9">
        <v>0</v>
      </c>
      <c r="W9">
        <v>0.23256803936137799</v>
      </c>
      <c r="X9" s="26">
        <v>0.76743196063862207</v>
      </c>
    </row>
    <row r="10" spans="1:24" x14ac:dyDescent="0.35">
      <c r="A10" s="3">
        <f t="shared" si="3"/>
        <v>6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1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9">
        <v>1</v>
      </c>
      <c r="R10" s="7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1</v>
      </c>
    </row>
    <row r="12" spans="1:24" ht="15.75" customHeight="1" x14ac:dyDescent="0.35">
      <c r="J12" t="s">
        <v>378</v>
      </c>
      <c r="R12" t="s">
        <v>379</v>
      </c>
    </row>
    <row r="14" spans="1:24" x14ac:dyDescent="0.35">
      <c r="J14" s="12">
        <v>0</v>
      </c>
      <c r="K14" s="12">
        <f t="shared" ref="K14:P14" si="4">J14+1</f>
        <v>1</v>
      </c>
      <c r="L14" s="12">
        <f t="shared" si="4"/>
        <v>2</v>
      </c>
      <c r="M14" s="12">
        <f t="shared" si="4"/>
        <v>3</v>
      </c>
      <c r="N14" s="12">
        <f t="shared" si="4"/>
        <v>4</v>
      </c>
      <c r="O14" s="12">
        <f t="shared" si="4"/>
        <v>5</v>
      </c>
      <c r="P14" s="12">
        <f t="shared" si="4"/>
        <v>6</v>
      </c>
      <c r="R14" s="12">
        <v>0</v>
      </c>
      <c r="S14" s="12">
        <f t="shared" ref="S14:X14" si="5">R14+1</f>
        <v>1</v>
      </c>
      <c r="T14" s="12">
        <f t="shared" si="5"/>
        <v>2</v>
      </c>
      <c r="U14" s="12">
        <f t="shared" si="5"/>
        <v>3</v>
      </c>
      <c r="V14" s="12">
        <f t="shared" si="5"/>
        <v>4</v>
      </c>
      <c r="W14" s="12">
        <f t="shared" si="5"/>
        <v>5</v>
      </c>
      <c r="X14" s="12">
        <f t="shared" si="5"/>
        <v>6</v>
      </c>
    </row>
    <row r="15" spans="1:24" x14ac:dyDescent="0.35">
      <c r="I15" s="3">
        <v>0</v>
      </c>
      <c r="J15" s="94">
        <f t="array" ref="J15:P21">MMULT(J4:P10,J4:P10)</f>
        <v>0</v>
      </c>
      <c r="K15" s="95">
        <v>4.6296296296296294E-3</v>
      </c>
      <c r="L15" s="95">
        <v>0.16203703703703703</v>
      </c>
      <c r="M15" s="95">
        <v>0.55555555555555558</v>
      </c>
      <c r="N15" s="95">
        <v>0.27777777777777785</v>
      </c>
      <c r="O15" s="95">
        <v>0</v>
      </c>
      <c r="P15" s="96">
        <v>0</v>
      </c>
      <c r="R15" s="94">
        <f t="array" ref="R15:X21">MMULT(R4:X10,J4:P10)</f>
        <v>0</v>
      </c>
      <c r="S15" s="95">
        <v>9.9229030127521192E-8</v>
      </c>
      <c r="T15" s="95">
        <v>2.5353017197581664E-4</v>
      </c>
      <c r="U15" s="95">
        <v>1.851613702179546E-2</v>
      </c>
      <c r="V15" s="95">
        <v>0.20305236434994661</v>
      </c>
      <c r="W15" s="95">
        <v>0.50636574074074092</v>
      </c>
      <c r="X15" s="96">
        <v>0.27181212848651121</v>
      </c>
    </row>
    <row r="16" spans="1:24" x14ac:dyDescent="0.35">
      <c r="I16" s="3">
        <f t="shared" ref="I16:I21" si="6">I15+1</f>
        <v>1</v>
      </c>
      <c r="J16" s="30">
        <v>0</v>
      </c>
      <c r="K16">
        <v>7.716049382716049E-4</v>
      </c>
      <c r="L16">
        <v>5.7870370370370364E-2</v>
      </c>
      <c r="M16">
        <v>0.38580246913580252</v>
      </c>
      <c r="N16">
        <v>0.46296296296296302</v>
      </c>
      <c r="O16">
        <v>9.2592592592592629E-2</v>
      </c>
      <c r="P16" s="26">
        <v>0</v>
      </c>
      <c r="R16" s="30">
        <v>0</v>
      </c>
      <c r="S16">
        <v>1.6538171687920198E-8</v>
      </c>
      <c r="T16">
        <v>8.4592748183711809E-5</v>
      </c>
      <c r="U16">
        <v>9.4270886255482748E-3</v>
      </c>
      <c r="V16">
        <v>0.14462631141086219</v>
      </c>
      <c r="W16">
        <v>0.48965557206726634</v>
      </c>
      <c r="X16" s="26">
        <v>0.35620641860996805</v>
      </c>
    </row>
    <row r="17" spans="9:24" x14ac:dyDescent="0.35">
      <c r="I17" s="3">
        <f t="shared" si="6"/>
        <v>2</v>
      </c>
      <c r="J17" s="30">
        <v>0</v>
      </c>
      <c r="K17">
        <v>0</v>
      </c>
      <c r="L17">
        <v>1.2345679012345678E-2</v>
      </c>
      <c r="M17">
        <v>0.20061728395061729</v>
      </c>
      <c r="N17">
        <v>0.5092592592592593</v>
      </c>
      <c r="O17">
        <v>0.2592592592592593</v>
      </c>
      <c r="P17" s="26">
        <v>1.8518518518518521E-2</v>
      </c>
      <c r="R17" s="30">
        <v>0</v>
      </c>
      <c r="S17">
        <v>0</v>
      </c>
      <c r="T17">
        <v>1.6935087808430282E-5</v>
      </c>
      <c r="U17">
        <v>3.8385096487662789E-3</v>
      </c>
      <c r="V17">
        <v>9.2432040021846268E-2</v>
      </c>
      <c r="W17">
        <v>0.449574982218158</v>
      </c>
      <c r="X17" s="26">
        <v>0.45413753302342125</v>
      </c>
    </row>
    <row r="18" spans="9:24" x14ac:dyDescent="0.35">
      <c r="I18" s="3">
        <f t="shared" si="6"/>
        <v>3</v>
      </c>
      <c r="J18" s="30">
        <v>0</v>
      </c>
      <c r="K18">
        <v>0</v>
      </c>
      <c r="L18">
        <v>0</v>
      </c>
      <c r="M18">
        <v>6.25E-2</v>
      </c>
      <c r="N18">
        <v>0.4050925925925925</v>
      </c>
      <c r="O18">
        <v>0.44907407407407413</v>
      </c>
      <c r="P18" s="26">
        <v>8.3333333333333315E-2</v>
      </c>
      <c r="R18" s="30">
        <v>0</v>
      </c>
      <c r="S18">
        <v>0</v>
      </c>
      <c r="T18">
        <v>0</v>
      </c>
      <c r="U18">
        <v>9.765625E-4</v>
      </c>
      <c r="V18">
        <v>4.9094902247497831E-2</v>
      </c>
      <c r="W18">
        <v>0.38339725667454166</v>
      </c>
      <c r="X18" s="26">
        <v>0.5665312785779606</v>
      </c>
    </row>
    <row r="19" spans="9:24" x14ac:dyDescent="0.35">
      <c r="I19" s="3">
        <f t="shared" si="6"/>
        <v>4</v>
      </c>
      <c r="J19" s="30">
        <v>0</v>
      </c>
      <c r="K19">
        <v>0</v>
      </c>
      <c r="L19">
        <v>0</v>
      </c>
      <c r="M19">
        <v>0</v>
      </c>
      <c r="N19">
        <v>0.19753086419753085</v>
      </c>
      <c r="O19">
        <v>0.56944444444444464</v>
      </c>
      <c r="P19" s="26">
        <v>0.23302469135802467</v>
      </c>
      <c r="R19" s="30">
        <v>0</v>
      </c>
      <c r="S19">
        <v>0</v>
      </c>
      <c r="T19">
        <v>0</v>
      </c>
      <c r="U19">
        <v>0</v>
      </c>
      <c r="V19">
        <v>1.7341529915832609E-2</v>
      </c>
      <c r="W19">
        <v>0.28832810594802638</v>
      </c>
      <c r="X19" s="26">
        <v>0.69433036413614135</v>
      </c>
    </row>
    <row r="20" spans="9:24" x14ac:dyDescent="0.35">
      <c r="I20" s="3">
        <f t="shared" si="6"/>
        <v>5</v>
      </c>
      <c r="J20" s="30">
        <v>0</v>
      </c>
      <c r="K20">
        <v>0</v>
      </c>
      <c r="L20">
        <v>0</v>
      </c>
      <c r="M20">
        <v>0</v>
      </c>
      <c r="N20">
        <v>0</v>
      </c>
      <c r="O20">
        <v>0.48225308641975323</v>
      </c>
      <c r="P20" s="26">
        <v>0.51774691358024683</v>
      </c>
      <c r="R20" s="30">
        <v>0</v>
      </c>
      <c r="S20">
        <v>0</v>
      </c>
      <c r="T20">
        <v>0</v>
      </c>
      <c r="U20">
        <v>0</v>
      </c>
      <c r="V20">
        <v>0</v>
      </c>
      <c r="W20">
        <v>0.16150558288984584</v>
      </c>
      <c r="X20" s="26">
        <v>0.83849441711015427</v>
      </c>
    </row>
    <row r="21" spans="9:24" x14ac:dyDescent="0.35">
      <c r="I21" s="3">
        <f t="shared" si="6"/>
        <v>6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9">
        <v>1</v>
      </c>
      <c r="R21" s="7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9">
        <v>1</v>
      </c>
    </row>
    <row r="23" spans="9:24" ht="15" customHeight="1" x14ac:dyDescent="0.35">
      <c r="R23" t="s">
        <v>380</v>
      </c>
    </row>
    <row r="25" spans="9:24" x14ac:dyDescent="0.35">
      <c r="R25" s="12">
        <v>0</v>
      </c>
      <c r="S25" s="12">
        <f t="shared" ref="S25:X25" si="7">R25+1</f>
        <v>1</v>
      </c>
      <c r="T25" s="12">
        <f t="shared" si="7"/>
        <v>2</v>
      </c>
      <c r="U25" s="12">
        <f t="shared" si="7"/>
        <v>3</v>
      </c>
      <c r="V25" s="12">
        <f t="shared" si="7"/>
        <v>4</v>
      </c>
      <c r="W25" s="12">
        <f t="shared" si="7"/>
        <v>5</v>
      </c>
      <c r="X25" s="12">
        <f t="shared" si="7"/>
        <v>6</v>
      </c>
    </row>
    <row r="26" spans="9:24" x14ac:dyDescent="0.35">
      <c r="R26" s="94" t="e">
        <f t="array" aca="1" ref="R26:X32" ca="1">MPOWER(B4:H10,9)</f>
        <v>#NAME?</v>
      </c>
      <c r="S26" s="95" t="e">
        <f ca="1"/>
        <v>#NAME?</v>
      </c>
      <c r="T26" s="95" t="e">
        <f ca="1"/>
        <v>#NAME?</v>
      </c>
      <c r="U26" s="95" t="e">
        <f ca="1"/>
        <v>#NAME?</v>
      </c>
      <c r="V26" s="95" t="e">
        <f ca="1"/>
        <v>#NAME?</v>
      </c>
      <c r="W26" s="95" t="e">
        <f ca="1"/>
        <v>#NAME?</v>
      </c>
      <c r="X26" s="96" t="e">
        <f ca="1"/>
        <v>#NAME?</v>
      </c>
    </row>
    <row r="27" spans="9:24" x14ac:dyDescent="0.35">
      <c r="R27" s="30" t="e">
        <f ca="1"/>
        <v>#NAME?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s="26" t="e">
        <f ca="1"/>
        <v>#NAME?</v>
      </c>
    </row>
    <row r="28" spans="9:24" x14ac:dyDescent="0.35">
      <c r="R28" s="30" t="e">
        <f ca="1"/>
        <v>#NAME?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s="26" t="e">
        <f ca="1"/>
        <v>#NAME?</v>
      </c>
    </row>
    <row r="29" spans="9:24" x14ac:dyDescent="0.35">
      <c r="R29" s="30" t="e">
        <f ca="1"/>
        <v>#NAME?</v>
      </c>
      <c r="S29" t="e">
        <f ca="1"/>
        <v>#NAME?</v>
      </c>
      <c r="T29" t="e">
        <f ca="1"/>
        <v>#NAME?</v>
      </c>
      <c r="U29" t="e">
        <f ca="1"/>
        <v>#NAME?</v>
      </c>
      <c r="V29" t="e">
        <f ca="1"/>
        <v>#NAME?</v>
      </c>
      <c r="W29" t="e">
        <f ca="1"/>
        <v>#NAME?</v>
      </c>
      <c r="X29" s="26" t="e">
        <f ca="1"/>
        <v>#NAME?</v>
      </c>
    </row>
    <row r="30" spans="9:24" x14ac:dyDescent="0.35">
      <c r="R30" s="30" t="e">
        <f ca="1"/>
        <v>#NAME?</v>
      </c>
      <c r="S30" t="e">
        <f ca="1"/>
        <v>#NAME?</v>
      </c>
      <c r="T30" t="e">
        <f ca="1"/>
        <v>#NAME?</v>
      </c>
      <c r="U30" t="e">
        <f ca="1"/>
        <v>#NAME?</v>
      </c>
      <c r="V30" t="e">
        <f ca="1"/>
        <v>#NAME?</v>
      </c>
      <c r="W30" t="e">
        <f ca="1"/>
        <v>#NAME?</v>
      </c>
      <c r="X30" s="26" t="e">
        <f ca="1"/>
        <v>#NAME?</v>
      </c>
    </row>
    <row r="31" spans="9:24" x14ac:dyDescent="0.35">
      <c r="R31" s="30" t="e">
        <f ca="1"/>
        <v>#NAME?</v>
      </c>
      <c r="S31" t="e">
        <f ca="1"/>
        <v>#NAME?</v>
      </c>
      <c r="T31" t="e">
        <f ca="1"/>
        <v>#NAME?</v>
      </c>
      <c r="U31" t="e">
        <f ca="1"/>
        <v>#NAME?</v>
      </c>
      <c r="V31" t="e">
        <f ca="1"/>
        <v>#NAME?</v>
      </c>
      <c r="W31" t="e">
        <f ca="1"/>
        <v>#NAME?</v>
      </c>
      <c r="X31" s="26" t="e">
        <f ca="1"/>
        <v>#NAME?</v>
      </c>
    </row>
    <row r="32" spans="9:24" x14ac:dyDescent="0.35">
      <c r="R32" s="7" t="e">
        <f ca="1"/>
        <v>#NAME?</v>
      </c>
      <c r="S32" s="8" t="e">
        <f ca="1"/>
        <v>#NAME?</v>
      </c>
      <c r="T32" s="8" t="e">
        <f ca="1"/>
        <v>#NAME?</v>
      </c>
      <c r="U32" s="8" t="e">
        <f ca="1"/>
        <v>#NAME?</v>
      </c>
      <c r="V32" s="8" t="e">
        <f ca="1"/>
        <v>#NAME?</v>
      </c>
      <c r="W32" s="8" t="e">
        <f ca="1"/>
        <v>#NAME?</v>
      </c>
      <c r="X32" s="9" t="e">
        <f ca="1"/>
        <v>#NAME?</v>
      </c>
    </row>
    <row r="34" spans="18:18" x14ac:dyDescent="0.35">
      <c r="R34" t="e">
        <f ca="1">INDEX(MPOWER(B4:H10,9),1,7)</f>
        <v>#NAME?</v>
      </c>
    </row>
    <row r="35" spans="18:18" x14ac:dyDescent="0.35">
      <c r="R35" t="e">
        <f ca="1">X15-X26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02B6-6F0F-4980-8899-514738D5FBBE}">
  <sheetPr codeName="Sheet27"/>
  <dimension ref="A1:AA17"/>
  <sheetViews>
    <sheetView zoomScaleNormal="100" workbookViewId="0"/>
  </sheetViews>
  <sheetFormatPr defaultRowHeight="14.5" x14ac:dyDescent="0.35"/>
  <cols>
    <col min="10" max="15" width="9.1796875" customWidth="1"/>
    <col min="16" max="16" width="5" customWidth="1"/>
    <col min="18" max="18" width="5.7265625" customWidth="1"/>
    <col min="23" max="25" width="9.1796875" customWidth="1"/>
    <col min="26" max="26" width="5" customWidth="1"/>
    <col min="27" max="27" width="9.1796875" customWidth="1"/>
  </cols>
  <sheetData>
    <row r="1" spans="1:27" x14ac:dyDescent="0.35">
      <c r="A1" s="10" t="s">
        <v>375</v>
      </c>
    </row>
    <row r="3" spans="1:27" ht="16.5" x14ac:dyDescent="0.35">
      <c r="B3" s="12">
        <v>0</v>
      </c>
      <c r="C3" s="12">
        <f>B3+1</f>
        <v>1</v>
      </c>
      <c r="D3" s="12">
        <f>C3+1</f>
        <v>2</v>
      </c>
      <c r="E3" s="12">
        <f>D3+1</f>
        <v>3</v>
      </c>
      <c r="F3" s="12" t="s">
        <v>381</v>
      </c>
      <c r="G3" s="12" t="s">
        <v>344</v>
      </c>
      <c r="I3" s="3" t="s">
        <v>379</v>
      </c>
      <c r="J3" s="12">
        <v>0</v>
      </c>
      <c r="K3" s="12">
        <f>J3+1</f>
        <v>1</v>
      </c>
      <c r="L3" s="12">
        <f>K3+1</f>
        <v>2</v>
      </c>
      <c r="M3" s="12">
        <f>L3+1</f>
        <v>3</v>
      </c>
      <c r="N3" s="12" t="s">
        <v>381</v>
      </c>
      <c r="O3" s="12" t="s">
        <v>344</v>
      </c>
      <c r="S3" s="3" t="s">
        <v>382</v>
      </c>
      <c r="T3" s="12">
        <v>0</v>
      </c>
      <c r="U3" s="12">
        <f>T3+1</f>
        <v>1</v>
      </c>
      <c r="V3" s="12">
        <f>U3+1</f>
        <v>2</v>
      </c>
      <c r="W3" s="12">
        <f>V3+1</f>
        <v>3</v>
      </c>
      <c r="X3" s="12" t="s">
        <v>381</v>
      </c>
      <c r="Y3" s="12" t="s">
        <v>344</v>
      </c>
    </row>
    <row r="4" spans="1:27" x14ac:dyDescent="0.35">
      <c r="A4" s="3">
        <v>0</v>
      </c>
      <c r="B4" s="94">
        <v>0</v>
      </c>
      <c r="C4" s="95">
        <f>2/3</f>
        <v>0.66666666666666663</v>
      </c>
      <c r="D4" s="95">
        <v>0</v>
      </c>
      <c r="E4" s="95">
        <v>0</v>
      </c>
      <c r="F4" s="95">
        <f>1/3</f>
        <v>0.33333333333333331</v>
      </c>
      <c r="G4" s="96">
        <v>0</v>
      </c>
      <c r="I4" s="3">
        <v>0</v>
      </c>
      <c r="J4" s="94" t="e">
        <f t="array" aca="1" ref="J4:O9" ca="1">MPOWER(B4:G9,10)</f>
        <v>#NAME?</v>
      </c>
      <c r="K4" s="95" t="e">
        <f ca="1"/>
        <v>#NAME?</v>
      </c>
      <c r="L4" s="95" t="e">
        <f ca="1"/>
        <v>#NAME?</v>
      </c>
      <c r="M4" s="95" t="e">
        <f ca="1"/>
        <v>#NAME?</v>
      </c>
      <c r="N4" s="95" t="e">
        <f ca="1"/>
        <v>#NAME?</v>
      </c>
      <c r="O4" s="96" t="e">
        <f ca="1"/>
        <v>#NAME?</v>
      </c>
      <c r="Q4" s="85" t="e">
        <f ca="1">M4+O4</f>
        <v>#NAME?</v>
      </c>
      <c r="S4" s="3">
        <v>0</v>
      </c>
      <c r="T4" s="94" t="e">
        <f t="array" aca="1" ref="T4:Y9" ca="1">MPOWER(B4:G9,30)</f>
        <v>#NAME?</v>
      </c>
      <c r="U4" s="95" t="e">
        <f ca="1"/>
        <v>#NAME?</v>
      </c>
      <c r="V4" s="95" t="e">
        <f ca="1"/>
        <v>#NAME?</v>
      </c>
      <c r="W4" s="95" t="e">
        <f ca="1"/>
        <v>#NAME?</v>
      </c>
      <c r="X4" s="95" t="e">
        <f ca="1"/>
        <v>#NAME?</v>
      </c>
      <c r="Y4" s="96" t="e">
        <f ca="1"/>
        <v>#NAME?</v>
      </c>
      <c r="AA4" s="85" t="e">
        <f ca="1">W4+Y4</f>
        <v>#NAME?</v>
      </c>
    </row>
    <row r="5" spans="1:27" x14ac:dyDescent="0.35">
      <c r="A5" s="3">
        <f>A4+1</f>
        <v>1</v>
      </c>
      <c r="B5" s="30">
        <v>0</v>
      </c>
      <c r="C5">
        <v>0</v>
      </c>
      <c r="D5">
        <f>C4</f>
        <v>0.66666666666666663</v>
      </c>
      <c r="E5">
        <v>0</v>
      </c>
      <c r="F5">
        <f>1/3</f>
        <v>0.33333333333333331</v>
      </c>
      <c r="G5" s="26">
        <v>0</v>
      </c>
      <c r="I5" s="3">
        <f>I4+1</f>
        <v>1</v>
      </c>
      <c r="J5" s="30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s="26" t="e">
        <f ca="1"/>
        <v>#NAME?</v>
      </c>
      <c r="S5" s="3">
        <f>S4+1</f>
        <v>1</v>
      </c>
      <c r="T5" s="30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  <c r="Y5" s="26" t="e">
        <f ca="1"/>
        <v>#NAME?</v>
      </c>
    </row>
    <row r="6" spans="1:27" x14ac:dyDescent="0.35">
      <c r="A6" s="3">
        <f>A5+1</f>
        <v>2</v>
      </c>
      <c r="B6" s="30">
        <v>0</v>
      </c>
      <c r="C6">
        <v>0</v>
      </c>
      <c r="D6">
        <v>0</v>
      </c>
      <c r="E6">
        <f>D5</f>
        <v>0.66666666666666663</v>
      </c>
      <c r="F6">
        <f>1/3</f>
        <v>0.33333333333333331</v>
      </c>
      <c r="G6" s="26">
        <v>0</v>
      </c>
      <c r="I6" s="3">
        <f>I5+1</f>
        <v>2</v>
      </c>
      <c r="J6" s="30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s="26" t="e">
        <f ca="1"/>
        <v>#NAME?</v>
      </c>
      <c r="S6" s="3">
        <f>S5+1</f>
        <v>2</v>
      </c>
      <c r="T6" s="30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  <c r="Y6" s="26" t="e">
        <f ca="1"/>
        <v>#NAME?</v>
      </c>
    </row>
    <row r="7" spans="1:27" x14ac:dyDescent="0.35">
      <c r="A7" s="3">
        <f>A6+1</f>
        <v>3</v>
      </c>
      <c r="B7" s="30">
        <v>0</v>
      </c>
      <c r="C7">
        <v>0</v>
      </c>
      <c r="D7">
        <v>0</v>
      </c>
      <c r="E7">
        <v>1</v>
      </c>
      <c r="F7">
        <v>0</v>
      </c>
      <c r="G7" s="26">
        <v>0</v>
      </c>
      <c r="I7" s="3">
        <f>I6+1</f>
        <v>3</v>
      </c>
      <c r="J7" s="30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s="26" t="e">
        <f ca="1"/>
        <v>#NAME?</v>
      </c>
      <c r="S7" s="3">
        <f>S6+1</f>
        <v>3</v>
      </c>
      <c r="T7" s="30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  <c r="X7" t="e">
        <f ca="1"/>
        <v>#NAME?</v>
      </c>
      <c r="Y7" s="26" t="e">
        <f ca="1"/>
        <v>#NAME?</v>
      </c>
    </row>
    <row r="8" spans="1:27" x14ac:dyDescent="0.35">
      <c r="A8" s="3" t="s">
        <v>381</v>
      </c>
      <c r="B8" s="30">
        <v>0</v>
      </c>
      <c r="C8">
        <f>C4</f>
        <v>0.66666666666666663</v>
      </c>
      <c r="D8">
        <v>0</v>
      </c>
      <c r="E8">
        <v>0</v>
      </c>
      <c r="F8">
        <v>0</v>
      </c>
      <c r="G8" s="26">
        <f>F4</f>
        <v>0.33333333333333331</v>
      </c>
      <c r="I8" s="3" t="s">
        <v>381</v>
      </c>
      <c r="J8" s="30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s="26" t="e">
        <f ca="1"/>
        <v>#NAME?</v>
      </c>
      <c r="S8" s="3" t="s">
        <v>381</v>
      </c>
      <c r="T8" s="30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  <c r="Y8" s="26" t="e">
        <f ca="1"/>
        <v>#NAME?</v>
      </c>
    </row>
    <row r="9" spans="1:27" x14ac:dyDescent="0.35">
      <c r="A9" s="3" t="s">
        <v>344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9">
        <v>1</v>
      </c>
      <c r="I9" s="3" t="s">
        <v>344</v>
      </c>
      <c r="J9" s="7" t="e">
        <f ca="1"/>
        <v>#NAME?</v>
      </c>
      <c r="K9" s="8" t="e">
        <f ca="1"/>
        <v>#NAME?</v>
      </c>
      <c r="L9" s="8" t="e">
        <f ca="1"/>
        <v>#NAME?</v>
      </c>
      <c r="M9" s="8" t="e">
        <f ca="1"/>
        <v>#NAME?</v>
      </c>
      <c r="N9" s="8" t="e">
        <f ca="1"/>
        <v>#NAME?</v>
      </c>
      <c r="O9" s="9" t="e">
        <f ca="1"/>
        <v>#NAME?</v>
      </c>
      <c r="S9" s="3" t="s">
        <v>344</v>
      </c>
      <c r="T9" s="7" t="e">
        <f ca="1"/>
        <v>#NAME?</v>
      </c>
      <c r="U9" s="8" t="e">
        <f ca="1"/>
        <v>#NAME?</v>
      </c>
      <c r="V9" s="8" t="e">
        <f ca="1"/>
        <v>#NAME?</v>
      </c>
      <c r="W9" s="8" t="e">
        <f ca="1"/>
        <v>#NAME?</v>
      </c>
      <c r="X9" s="8" t="e">
        <f ca="1"/>
        <v>#NAME?</v>
      </c>
      <c r="Y9" s="9" t="e">
        <f ca="1"/>
        <v>#NAME?</v>
      </c>
    </row>
    <row r="11" spans="1:27" ht="16.5" x14ac:dyDescent="0.35">
      <c r="I11" s="3" t="s">
        <v>383</v>
      </c>
      <c r="J11" s="12">
        <v>0</v>
      </c>
      <c r="K11" s="12">
        <f>J11+1</f>
        <v>1</v>
      </c>
      <c r="L11" s="12">
        <f>K11+1</f>
        <v>2</v>
      </c>
      <c r="M11" s="12">
        <f>L11+1</f>
        <v>3</v>
      </c>
      <c r="N11" s="12" t="s">
        <v>381</v>
      </c>
      <c r="O11" s="12" t="s">
        <v>344</v>
      </c>
      <c r="S11" s="3" t="s">
        <v>384</v>
      </c>
      <c r="T11" s="12">
        <v>0</v>
      </c>
      <c r="U11" s="12">
        <f>T11+1</f>
        <v>1</v>
      </c>
      <c r="V11" s="12">
        <f>U11+1</f>
        <v>2</v>
      </c>
      <c r="W11" s="12">
        <f>V11+1</f>
        <v>3</v>
      </c>
      <c r="X11" s="12" t="s">
        <v>381</v>
      </c>
      <c r="Y11" s="12" t="s">
        <v>344</v>
      </c>
    </row>
    <row r="12" spans="1:27" x14ac:dyDescent="0.35">
      <c r="I12" s="3">
        <v>0</v>
      </c>
      <c r="J12" s="94" t="e">
        <f t="array" aca="1" ref="J12:O17" ca="1">MPOWER(B4:G9,20)</f>
        <v>#NAME?</v>
      </c>
      <c r="K12" s="95" t="e">
        <f ca="1"/>
        <v>#NAME?</v>
      </c>
      <c r="L12" s="95" t="e">
        <f ca="1"/>
        <v>#NAME?</v>
      </c>
      <c r="M12" s="95" t="e">
        <f ca="1"/>
        <v>#NAME?</v>
      </c>
      <c r="N12" s="95" t="e">
        <f ca="1"/>
        <v>#NAME?</v>
      </c>
      <c r="O12" s="96" t="e">
        <f ca="1"/>
        <v>#NAME?</v>
      </c>
      <c r="Q12" s="85" t="e">
        <f ca="1">M12+O12</f>
        <v>#NAME?</v>
      </c>
      <c r="S12" s="3">
        <v>0</v>
      </c>
      <c r="T12" s="94" t="e">
        <f t="array" aca="1" ref="T12:Y17" ca="1">MPOWER(B4:G9,40)</f>
        <v>#NAME?</v>
      </c>
      <c r="U12" s="95" t="e">
        <f ca="1"/>
        <v>#NAME?</v>
      </c>
      <c r="V12" s="95" t="e">
        <f ca="1"/>
        <v>#NAME?</v>
      </c>
      <c r="W12" s="95" t="e">
        <f ca="1"/>
        <v>#NAME?</v>
      </c>
      <c r="X12" s="95" t="e">
        <f ca="1"/>
        <v>#NAME?</v>
      </c>
      <c r="Y12" s="96" t="e">
        <f ca="1"/>
        <v>#NAME?</v>
      </c>
      <c r="AA12" s="85" t="e">
        <f ca="1">W12+Y12</f>
        <v>#NAME?</v>
      </c>
    </row>
    <row r="13" spans="1:27" x14ac:dyDescent="0.35">
      <c r="I13" s="3">
        <f>I12+1</f>
        <v>1</v>
      </c>
      <c r="J13" s="30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s="26" t="e">
        <f ca="1"/>
        <v>#NAME?</v>
      </c>
      <c r="S13" s="3">
        <f>S12+1</f>
        <v>1</v>
      </c>
      <c r="T13" s="30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  <c r="X13" t="e">
        <f ca="1"/>
        <v>#NAME?</v>
      </c>
      <c r="Y13" s="26" t="e">
        <f ca="1"/>
        <v>#NAME?</v>
      </c>
    </row>
    <row r="14" spans="1:27" x14ac:dyDescent="0.35">
      <c r="I14" s="3">
        <f>I13+1</f>
        <v>2</v>
      </c>
      <c r="J14" s="30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s="26" t="e">
        <f ca="1"/>
        <v>#NAME?</v>
      </c>
      <c r="S14" s="3">
        <f>S13+1</f>
        <v>2</v>
      </c>
      <c r="T14" s="30" t="e">
        <f ca="1"/>
        <v>#NAME?</v>
      </c>
      <c r="U14" t="e">
        <f ca="1"/>
        <v>#NAME?</v>
      </c>
      <c r="V14" t="e">
        <f ca="1"/>
        <v>#NAME?</v>
      </c>
      <c r="W14" t="e">
        <f ca="1"/>
        <v>#NAME?</v>
      </c>
      <c r="X14" t="e">
        <f ca="1"/>
        <v>#NAME?</v>
      </c>
      <c r="Y14" s="26" t="e">
        <f ca="1"/>
        <v>#NAME?</v>
      </c>
    </row>
    <row r="15" spans="1:27" x14ac:dyDescent="0.35">
      <c r="I15" s="3">
        <f>I14+1</f>
        <v>3</v>
      </c>
      <c r="J15" s="30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s="26" t="e">
        <f ca="1"/>
        <v>#NAME?</v>
      </c>
      <c r="S15" s="3">
        <f>S14+1</f>
        <v>3</v>
      </c>
      <c r="T15" s="30" t="e">
        <f ca="1"/>
        <v>#NAME?</v>
      </c>
      <c r="U15" t="e">
        <f ca="1"/>
        <v>#NAME?</v>
      </c>
      <c r="V15" t="e">
        <f ca="1"/>
        <v>#NAME?</v>
      </c>
      <c r="W15" t="e">
        <f ca="1"/>
        <v>#NAME?</v>
      </c>
      <c r="X15" t="e">
        <f ca="1"/>
        <v>#NAME?</v>
      </c>
      <c r="Y15" s="26" t="e">
        <f ca="1"/>
        <v>#NAME?</v>
      </c>
    </row>
    <row r="16" spans="1:27" x14ac:dyDescent="0.35">
      <c r="I16" s="3" t="s">
        <v>381</v>
      </c>
      <c r="J16" s="30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s="26" t="e">
        <f ca="1"/>
        <v>#NAME?</v>
      </c>
      <c r="S16" s="3" t="s">
        <v>381</v>
      </c>
      <c r="T16" s="30" t="e">
        <f ca="1"/>
        <v>#NAME?</v>
      </c>
      <c r="U16" t="e">
        <f ca="1"/>
        <v>#NAME?</v>
      </c>
      <c r="V16" t="e">
        <f ca="1"/>
        <v>#NAME?</v>
      </c>
      <c r="W16" t="e">
        <f ca="1"/>
        <v>#NAME?</v>
      </c>
      <c r="X16" t="e">
        <f ca="1"/>
        <v>#NAME?</v>
      </c>
      <c r="Y16" s="26" t="e">
        <f ca="1"/>
        <v>#NAME?</v>
      </c>
    </row>
    <row r="17" spans="9:25" x14ac:dyDescent="0.35">
      <c r="I17" s="3" t="s">
        <v>344</v>
      </c>
      <c r="J17" s="7" t="e">
        <f ca="1"/>
        <v>#NAME?</v>
      </c>
      <c r="K17" s="8" t="e">
        <f ca="1"/>
        <v>#NAME?</v>
      </c>
      <c r="L17" s="8" t="e">
        <f ca="1"/>
        <v>#NAME?</v>
      </c>
      <c r="M17" s="8" t="e">
        <f ca="1"/>
        <v>#NAME?</v>
      </c>
      <c r="N17" s="8" t="e">
        <f ca="1"/>
        <v>#NAME?</v>
      </c>
      <c r="O17" s="9" t="e">
        <f ca="1"/>
        <v>#NAME?</v>
      </c>
      <c r="S17" s="3" t="s">
        <v>344</v>
      </c>
      <c r="T17" s="7" t="e">
        <f ca="1"/>
        <v>#NAME?</v>
      </c>
      <c r="U17" s="8" t="e">
        <f ca="1"/>
        <v>#NAME?</v>
      </c>
      <c r="V17" s="8" t="e">
        <f ca="1"/>
        <v>#NAME?</v>
      </c>
      <c r="W17" s="8" t="e">
        <f ca="1"/>
        <v>#NAME?</v>
      </c>
      <c r="X17" s="8" t="e">
        <f ca="1"/>
        <v>#NAME?</v>
      </c>
      <c r="Y17" s="9" t="e">
        <f ca="1"/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92D9-DEC7-44AB-BF1A-737FA1231BF7}">
  <sheetPr codeName="Sheet48"/>
  <dimension ref="A1:H102"/>
  <sheetViews>
    <sheetView workbookViewId="0"/>
  </sheetViews>
  <sheetFormatPr defaultRowHeight="14.5" x14ac:dyDescent="0.35"/>
  <cols>
    <col min="1" max="2" width="5" customWidth="1"/>
    <col min="3" max="3" width="2.7265625" customWidth="1"/>
    <col min="4" max="4" width="12.26953125" customWidth="1"/>
    <col min="5" max="5" width="3.54296875" customWidth="1"/>
    <col min="7" max="7" width="2.7265625" customWidth="1"/>
    <col min="8" max="8" width="17.81640625" customWidth="1"/>
  </cols>
  <sheetData>
    <row r="1" spans="1:8" x14ac:dyDescent="0.35">
      <c r="A1" s="10" t="s">
        <v>388</v>
      </c>
    </row>
    <row r="3" spans="1:8" x14ac:dyDescent="0.35">
      <c r="A3">
        <v>1</v>
      </c>
      <c r="B3" t="e">
        <f t="array" aca="1" ref="B3:B102" ca="1">PrimeList()</f>
        <v>#NAME?</v>
      </c>
      <c r="D3" t="e" cm="1">
        <f t="array" aca="1" ref="D3" ca="1">FTEXT(B3)</f>
        <v>#NAME?</v>
      </c>
      <c r="F3" t="e" cm="1">
        <f t="array" aca="1" ref="F3" ca="1">NthPrime(50)</f>
        <v>#NAME?</v>
      </c>
      <c r="H3" t="e" cm="1">
        <f t="array" aca="1" ref="H3" ca="1">FTEXT(F3)</f>
        <v>#NAME?</v>
      </c>
    </row>
    <row r="4" spans="1:8" x14ac:dyDescent="0.35">
      <c r="A4">
        <f>A3+1</f>
        <v>2</v>
      </c>
      <c r="B4" t="e">
        <f ca="1"/>
        <v>#NAME?</v>
      </c>
    </row>
    <row r="5" spans="1:8" x14ac:dyDescent="0.35">
      <c r="A5">
        <f t="shared" ref="A5:A68" si="0">A4+1</f>
        <v>3</v>
      </c>
      <c r="B5" t="e">
        <f ca="1"/>
        <v>#NAME?</v>
      </c>
      <c r="F5" t="e" cm="1">
        <f t="array" aca="1" ref="F5" ca="1">NextPrime(F3)</f>
        <v>#NAME?</v>
      </c>
      <c r="H5" t="e" cm="1">
        <f t="array" aca="1" ref="H5" ca="1">FTEXT(F5)</f>
        <v>#NAME?</v>
      </c>
    </row>
    <row r="6" spans="1:8" x14ac:dyDescent="0.35">
      <c r="A6">
        <f t="shared" si="0"/>
        <v>4</v>
      </c>
      <c r="B6" t="e">
        <f ca="1"/>
        <v>#NAME?</v>
      </c>
      <c r="F6" t="e" cm="1">
        <f t="array" aca="1" ref="F6" ca="1">PriorPrime(F5)</f>
        <v>#NAME?</v>
      </c>
      <c r="H6" t="e" cm="1">
        <f t="array" aca="1" ref="H6" ca="1">FTEXT(F6)</f>
        <v>#NAME?</v>
      </c>
    </row>
    <row r="7" spans="1:8" x14ac:dyDescent="0.35">
      <c r="A7">
        <f t="shared" si="0"/>
        <v>5</v>
      </c>
      <c r="B7" t="e">
        <f ca="1"/>
        <v>#NAME?</v>
      </c>
    </row>
    <row r="8" spans="1:8" x14ac:dyDescent="0.35">
      <c r="A8">
        <f t="shared" si="0"/>
        <v>6</v>
      </c>
      <c r="B8" t="e">
        <f ca="1"/>
        <v>#NAME?</v>
      </c>
      <c r="F8">
        <v>2457</v>
      </c>
    </row>
    <row r="9" spans="1:8" x14ac:dyDescent="0.35">
      <c r="A9">
        <f t="shared" si="0"/>
        <v>7</v>
      </c>
      <c r="B9" t="e">
        <f ca="1"/>
        <v>#NAME?</v>
      </c>
    </row>
    <row r="10" spans="1:8" x14ac:dyDescent="0.35">
      <c r="A10">
        <f t="shared" si="0"/>
        <v>8</v>
      </c>
      <c r="B10" t="e">
        <f ca="1"/>
        <v>#NAME?</v>
      </c>
      <c r="F10" t="e">
        <f t="array" aca="1" ref="F10:F15" ca="1">Factors(F8)</f>
        <v>#NAME?</v>
      </c>
      <c r="H10" t="e" cm="1">
        <f t="array" aca="1" ref="H10" ca="1">FTEXT(F10)</f>
        <v>#NAME?</v>
      </c>
    </row>
    <row r="11" spans="1:8" x14ac:dyDescent="0.35">
      <c r="A11">
        <f t="shared" si="0"/>
        <v>9</v>
      </c>
      <c r="B11" t="e">
        <f ca="1"/>
        <v>#NAME?</v>
      </c>
      <c r="F11" t="e">
        <f ca="1"/>
        <v>#NAME?</v>
      </c>
    </row>
    <row r="12" spans="1:8" x14ac:dyDescent="0.35">
      <c r="A12">
        <f t="shared" si="0"/>
        <v>10</v>
      </c>
      <c r="B12" t="e">
        <f ca="1"/>
        <v>#NAME?</v>
      </c>
      <c r="F12" t="e">
        <f ca="1"/>
        <v>#NAME?</v>
      </c>
    </row>
    <row r="13" spans="1:8" x14ac:dyDescent="0.35">
      <c r="A13">
        <f t="shared" si="0"/>
        <v>11</v>
      </c>
      <c r="B13" t="e">
        <f ca="1"/>
        <v>#NAME?</v>
      </c>
      <c r="F13" t="e">
        <f ca="1"/>
        <v>#NAME?</v>
      </c>
    </row>
    <row r="14" spans="1:8" x14ac:dyDescent="0.35">
      <c r="A14">
        <f t="shared" si="0"/>
        <v>12</v>
      </c>
      <c r="B14" t="e">
        <f ca="1"/>
        <v>#NAME?</v>
      </c>
      <c r="F14" t="e">
        <f ca="1"/>
        <v>#NAME?</v>
      </c>
    </row>
    <row r="15" spans="1:8" x14ac:dyDescent="0.35">
      <c r="A15">
        <f t="shared" si="0"/>
        <v>13</v>
      </c>
      <c r="B15" t="e">
        <f ca="1"/>
        <v>#NAME?</v>
      </c>
      <c r="F15" t="e">
        <f ca="1"/>
        <v>#NAME?</v>
      </c>
    </row>
    <row r="16" spans="1:8" x14ac:dyDescent="0.35">
      <c r="A16">
        <f t="shared" si="0"/>
        <v>14</v>
      </c>
      <c r="B16" t="e">
        <f ca="1"/>
        <v>#NAME?</v>
      </c>
    </row>
    <row r="17" spans="1:8" x14ac:dyDescent="0.35">
      <c r="A17">
        <f t="shared" si="0"/>
        <v>15</v>
      </c>
      <c r="B17" t="e">
        <f ca="1"/>
        <v>#NAME?</v>
      </c>
      <c r="F17" t="e" cm="1">
        <f t="array" aca="1" ref="F17" ca="1">PrimeCount(50,2)</f>
        <v>#NAME?</v>
      </c>
      <c r="H17" t="e" cm="1">
        <f t="array" aca="1" ref="H17" ca="1">FTEXT(F17)</f>
        <v>#NAME?</v>
      </c>
    </row>
    <row r="18" spans="1:8" x14ac:dyDescent="0.35">
      <c r="A18">
        <f t="shared" si="0"/>
        <v>16</v>
      </c>
      <c r="B18" t="e">
        <f ca="1"/>
        <v>#NAME?</v>
      </c>
    </row>
    <row r="19" spans="1:8" x14ac:dyDescent="0.35">
      <c r="A19">
        <f t="shared" si="0"/>
        <v>17</v>
      </c>
      <c r="B19" t="e">
        <f ca="1"/>
        <v>#NAME?</v>
      </c>
      <c r="F19" t="e" cm="1">
        <f t="array" aca="1" ref="F19" ca="1">IsPrime(F3)</f>
        <v>#NAME?</v>
      </c>
      <c r="H19" t="e" cm="1">
        <f t="array" aca="1" ref="H19" ca="1">FTEXT(F19)</f>
        <v>#NAME?</v>
      </c>
    </row>
    <row r="20" spans="1:8" x14ac:dyDescent="0.35">
      <c r="A20">
        <f t="shared" si="0"/>
        <v>18</v>
      </c>
      <c r="B20" t="e">
        <f ca="1"/>
        <v>#NAME?</v>
      </c>
      <c r="F20" t="e" cm="1">
        <f t="array" aca="1" ref="F20" ca="1">IsPrime(F8)</f>
        <v>#NAME?</v>
      </c>
      <c r="H20" t="e" cm="1">
        <f t="array" aca="1" ref="H20" ca="1">FTEXT(F20)</f>
        <v>#NAME?</v>
      </c>
    </row>
    <row r="21" spans="1:8" x14ac:dyDescent="0.35">
      <c r="A21">
        <f t="shared" si="0"/>
        <v>19</v>
      </c>
      <c r="B21" t="e">
        <f ca="1"/>
        <v>#NAME?</v>
      </c>
    </row>
    <row r="22" spans="1:8" x14ac:dyDescent="0.35">
      <c r="A22">
        <f t="shared" si="0"/>
        <v>20</v>
      </c>
      <c r="B22" t="e">
        <f ca="1"/>
        <v>#NAME?</v>
      </c>
    </row>
    <row r="23" spans="1:8" x14ac:dyDescent="0.35">
      <c r="A23">
        <f t="shared" si="0"/>
        <v>21</v>
      </c>
      <c r="B23" t="e">
        <f ca="1"/>
        <v>#NAME?</v>
      </c>
    </row>
    <row r="24" spans="1:8" x14ac:dyDescent="0.35">
      <c r="A24">
        <f t="shared" si="0"/>
        <v>22</v>
      </c>
      <c r="B24" t="e">
        <f ca="1"/>
        <v>#NAME?</v>
      </c>
    </row>
    <row r="25" spans="1:8" x14ac:dyDescent="0.35">
      <c r="A25">
        <f t="shared" si="0"/>
        <v>23</v>
      </c>
      <c r="B25" t="e">
        <f ca="1"/>
        <v>#NAME?</v>
      </c>
    </row>
    <row r="26" spans="1:8" x14ac:dyDescent="0.35">
      <c r="A26">
        <f t="shared" si="0"/>
        <v>24</v>
      </c>
      <c r="B26" t="e">
        <f ca="1"/>
        <v>#NAME?</v>
      </c>
    </row>
    <row r="27" spans="1:8" x14ac:dyDescent="0.35">
      <c r="A27">
        <f t="shared" si="0"/>
        <v>25</v>
      </c>
      <c r="B27" t="e">
        <f ca="1"/>
        <v>#NAME?</v>
      </c>
    </row>
    <row r="28" spans="1:8" x14ac:dyDescent="0.35">
      <c r="A28">
        <f t="shared" si="0"/>
        <v>26</v>
      </c>
      <c r="B28" t="e">
        <f ca="1"/>
        <v>#NAME?</v>
      </c>
    </row>
    <row r="29" spans="1:8" x14ac:dyDescent="0.35">
      <c r="A29">
        <f t="shared" si="0"/>
        <v>27</v>
      </c>
      <c r="B29" t="e">
        <f ca="1"/>
        <v>#NAME?</v>
      </c>
    </row>
    <row r="30" spans="1:8" x14ac:dyDescent="0.35">
      <c r="A30">
        <f t="shared" si="0"/>
        <v>28</v>
      </c>
      <c r="B30" t="e">
        <f ca="1"/>
        <v>#NAME?</v>
      </c>
    </row>
    <row r="31" spans="1:8" x14ac:dyDescent="0.35">
      <c r="A31">
        <f t="shared" si="0"/>
        <v>29</v>
      </c>
      <c r="B31" t="e">
        <f ca="1"/>
        <v>#NAME?</v>
      </c>
    </row>
    <row r="32" spans="1:8" x14ac:dyDescent="0.35">
      <c r="A32">
        <f t="shared" si="0"/>
        <v>30</v>
      </c>
      <c r="B32" t="e">
        <f ca="1"/>
        <v>#NAME?</v>
      </c>
    </row>
    <row r="33" spans="1:2" x14ac:dyDescent="0.35">
      <c r="A33">
        <f t="shared" si="0"/>
        <v>31</v>
      </c>
      <c r="B33" t="e">
        <f ca="1"/>
        <v>#NAME?</v>
      </c>
    </row>
    <row r="34" spans="1:2" x14ac:dyDescent="0.35">
      <c r="A34">
        <f t="shared" si="0"/>
        <v>32</v>
      </c>
      <c r="B34" t="e">
        <f ca="1"/>
        <v>#NAME?</v>
      </c>
    </row>
    <row r="35" spans="1:2" x14ac:dyDescent="0.35">
      <c r="A35">
        <f t="shared" si="0"/>
        <v>33</v>
      </c>
      <c r="B35" t="e">
        <f ca="1"/>
        <v>#NAME?</v>
      </c>
    </row>
    <row r="36" spans="1:2" x14ac:dyDescent="0.35">
      <c r="A36">
        <f t="shared" si="0"/>
        <v>34</v>
      </c>
      <c r="B36" t="e">
        <f ca="1"/>
        <v>#NAME?</v>
      </c>
    </row>
    <row r="37" spans="1:2" x14ac:dyDescent="0.35">
      <c r="A37">
        <f t="shared" si="0"/>
        <v>35</v>
      </c>
      <c r="B37" t="e">
        <f ca="1"/>
        <v>#NAME?</v>
      </c>
    </row>
    <row r="38" spans="1:2" x14ac:dyDescent="0.35">
      <c r="A38">
        <f t="shared" si="0"/>
        <v>36</v>
      </c>
      <c r="B38" t="e">
        <f ca="1"/>
        <v>#NAME?</v>
      </c>
    </row>
    <row r="39" spans="1:2" x14ac:dyDescent="0.35">
      <c r="A39">
        <f t="shared" si="0"/>
        <v>37</v>
      </c>
      <c r="B39" t="e">
        <f ca="1"/>
        <v>#NAME?</v>
      </c>
    </row>
    <row r="40" spans="1:2" x14ac:dyDescent="0.35">
      <c r="A40">
        <f t="shared" si="0"/>
        <v>38</v>
      </c>
      <c r="B40" t="e">
        <f ca="1"/>
        <v>#NAME?</v>
      </c>
    </row>
    <row r="41" spans="1:2" x14ac:dyDescent="0.35">
      <c r="A41">
        <f t="shared" si="0"/>
        <v>39</v>
      </c>
      <c r="B41" t="e">
        <f ca="1"/>
        <v>#NAME?</v>
      </c>
    </row>
    <row r="42" spans="1:2" x14ac:dyDescent="0.35">
      <c r="A42">
        <f t="shared" si="0"/>
        <v>40</v>
      </c>
      <c r="B42" t="e">
        <f ca="1"/>
        <v>#NAME?</v>
      </c>
    </row>
    <row r="43" spans="1:2" x14ac:dyDescent="0.35">
      <c r="A43">
        <f t="shared" si="0"/>
        <v>41</v>
      </c>
      <c r="B43" t="e">
        <f ca="1"/>
        <v>#NAME?</v>
      </c>
    </row>
    <row r="44" spans="1:2" x14ac:dyDescent="0.35">
      <c r="A44">
        <f t="shared" si="0"/>
        <v>42</v>
      </c>
      <c r="B44" t="e">
        <f ca="1"/>
        <v>#NAME?</v>
      </c>
    </row>
    <row r="45" spans="1:2" x14ac:dyDescent="0.35">
      <c r="A45">
        <f t="shared" si="0"/>
        <v>43</v>
      </c>
      <c r="B45" t="e">
        <f ca="1"/>
        <v>#NAME?</v>
      </c>
    </row>
    <row r="46" spans="1:2" x14ac:dyDescent="0.35">
      <c r="A46">
        <f t="shared" si="0"/>
        <v>44</v>
      </c>
      <c r="B46" t="e">
        <f ca="1"/>
        <v>#NAME?</v>
      </c>
    </row>
    <row r="47" spans="1:2" x14ac:dyDescent="0.35">
      <c r="A47">
        <f t="shared" si="0"/>
        <v>45</v>
      </c>
      <c r="B47" t="e">
        <f ca="1"/>
        <v>#NAME?</v>
      </c>
    </row>
    <row r="48" spans="1:2" x14ac:dyDescent="0.35">
      <c r="A48">
        <f t="shared" si="0"/>
        <v>46</v>
      </c>
      <c r="B48" t="e">
        <f ca="1"/>
        <v>#NAME?</v>
      </c>
    </row>
    <row r="49" spans="1:2" x14ac:dyDescent="0.35">
      <c r="A49">
        <f t="shared" si="0"/>
        <v>47</v>
      </c>
      <c r="B49" t="e">
        <f ca="1"/>
        <v>#NAME?</v>
      </c>
    </row>
    <row r="50" spans="1:2" x14ac:dyDescent="0.35">
      <c r="A50">
        <f t="shared" si="0"/>
        <v>48</v>
      </c>
      <c r="B50" t="e">
        <f ca="1"/>
        <v>#NAME?</v>
      </c>
    </row>
    <row r="51" spans="1:2" x14ac:dyDescent="0.35">
      <c r="A51">
        <f t="shared" si="0"/>
        <v>49</v>
      </c>
      <c r="B51" t="e">
        <f ca="1"/>
        <v>#NAME?</v>
      </c>
    </row>
    <row r="52" spans="1:2" x14ac:dyDescent="0.35">
      <c r="A52">
        <f t="shared" si="0"/>
        <v>50</v>
      </c>
      <c r="B52" t="e">
        <f ca="1"/>
        <v>#NAME?</v>
      </c>
    </row>
    <row r="53" spans="1:2" x14ac:dyDescent="0.35">
      <c r="A53">
        <f t="shared" si="0"/>
        <v>51</v>
      </c>
      <c r="B53" t="e">
        <f ca="1"/>
        <v>#NAME?</v>
      </c>
    </row>
    <row r="54" spans="1:2" x14ac:dyDescent="0.35">
      <c r="A54">
        <f t="shared" si="0"/>
        <v>52</v>
      </c>
      <c r="B54" t="e">
        <f ca="1"/>
        <v>#NAME?</v>
      </c>
    </row>
    <row r="55" spans="1:2" x14ac:dyDescent="0.35">
      <c r="A55">
        <f t="shared" si="0"/>
        <v>53</v>
      </c>
      <c r="B55" t="e">
        <f ca="1"/>
        <v>#NAME?</v>
      </c>
    </row>
    <row r="56" spans="1:2" x14ac:dyDescent="0.35">
      <c r="A56">
        <f t="shared" si="0"/>
        <v>54</v>
      </c>
      <c r="B56" t="e">
        <f ca="1"/>
        <v>#NAME?</v>
      </c>
    </row>
    <row r="57" spans="1:2" x14ac:dyDescent="0.35">
      <c r="A57">
        <f t="shared" si="0"/>
        <v>55</v>
      </c>
      <c r="B57" t="e">
        <f ca="1"/>
        <v>#NAME?</v>
      </c>
    </row>
    <row r="58" spans="1:2" x14ac:dyDescent="0.35">
      <c r="A58">
        <f t="shared" si="0"/>
        <v>56</v>
      </c>
      <c r="B58" t="e">
        <f ca="1"/>
        <v>#NAME?</v>
      </c>
    </row>
    <row r="59" spans="1:2" x14ac:dyDescent="0.35">
      <c r="A59">
        <f t="shared" si="0"/>
        <v>57</v>
      </c>
      <c r="B59" t="e">
        <f ca="1"/>
        <v>#NAME?</v>
      </c>
    </row>
    <row r="60" spans="1:2" x14ac:dyDescent="0.35">
      <c r="A60">
        <f t="shared" si="0"/>
        <v>58</v>
      </c>
      <c r="B60" t="e">
        <f ca="1"/>
        <v>#NAME?</v>
      </c>
    </row>
    <row r="61" spans="1:2" x14ac:dyDescent="0.35">
      <c r="A61">
        <f t="shared" si="0"/>
        <v>59</v>
      </c>
      <c r="B61" t="e">
        <f ca="1"/>
        <v>#NAME?</v>
      </c>
    </row>
    <row r="62" spans="1:2" x14ac:dyDescent="0.35">
      <c r="A62">
        <f t="shared" si="0"/>
        <v>60</v>
      </c>
      <c r="B62" t="e">
        <f ca="1"/>
        <v>#NAME?</v>
      </c>
    </row>
    <row r="63" spans="1:2" x14ac:dyDescent="0.35">
      <c r="A63">
        <f t="shared" si="0"/>
        <v>61</v>
      </c>
      <c r="B63" t="e">
        <f ca="1"/>
        <v>#NAME?</v>
      </c>
    </row>
    <row r="64" spans="1:2" x14ac:dyDescent="0.35">
      <c r="A64">
        <f t="shared" si="0"/>
        <v>62</v>
      </c>
      <c r="B64" t="e">
        <f ca="1"/>
        <v>#NAME?</v>
      </c>
    </row>
    <row r="65" spans="1:2" x14ac:dyDescent="0.35">
      <c r="A65">
        <f t="shared" si="0"/>
        <v>63</v>
      </c>
      <c r="B65" t="e">
        <f ca="1"/>
        <v>#NAME?</v>
      </c>
    </row>
    <row r="66" spans="1:2" x14ac:dyDescent="0.35">
      <c r="A66">
        <f t="shared" si="0"/>
        <v>64</v>
      </c>
      <c r="B66" t="e">
        <f ca="1"/>
        <v>#NAME?</v>
      </c>
    </row>
    <row r="67" spans="1:2" x14ac:dyDescent="0.35">
      <c r="A67">
        <f t="shared" si="0"/>
        <v>65</v>
      </c>
      <c r="B67" t="e">
        <f ca="1"/>
        <v>#NAME?</v>
      </c>
    </row>
    <row r="68" spans="1:2" x14ac:dyDescent="0.35">
      <c r="A68">
        <f t="shared" si="0"/>
        <v>66</v>
      </c>
      <c r="B68" t="e">
        <f ca="1"/>
        <v>#NAME?</v>
      </c>
    </row>
    <row r="69" spans="1:2" x14ac:dyDescent="0.35">
      <c r="A69">
        <f t="shared" ref="A69:A102" si="1">A68+1</f>
        <v>67</v>
      </c>
      <c r="B69" t="e">
        <f ca="1"/>
        <v>#NAME?</v>
      </c>
    </row>
    <row r="70" spans="1:2" x14ac:dyDescent="0.35">
      <c r="A70">
        <f t="shared" si="1"/>
        <v>68</v>
      </c>
      <c r="B70" t="e">
        <f ca="1"/>
        <v>#NAME?</v>
      </c>
    </row>
    <row r="71" spans="1:2" x14ac:dyDescent="0.35">
      <c r="A71">
        <f t="shared" si="1"/>
        <v>69</v>
      </c>
      <c r="B71" t="e">
        <f ca="1"/>
        <v>#NAME?</v>
      </c>
    </row>
    <row r="72" spans="1:2" x14ac:dyDescent="0.35">
      <c r="A72">
        <f t="shared" si="1"/>
        <v>70</v>
      </c>
      <c r="B72" t="e">
        <f ca="1"/>
        <v>#NAME?</v>
      </c>
    </row>
    <row r="73" spans="1:2" x14ac:dyDescent="0.35">
      <c r="A73">
        <f t="shared" si="1"/>
        <v>71</v>
      </c>
      <c r="B73" t="e">
        <f ca="1"/>
        <v>#NAME?</v>
      </c>
    </row>
    <row r="74" spans="1:2" x14ac:dyDescent="0.35">
      <c r="A74">
        <f t="shared" si="1"/>
        <v>72</v>
      </c>
      <c r="B74" t="e">
        <f ca="1"/>
        <v>#NAME?</v>
      </c>
    </row>
    <row r="75" spans="1:2" x14ac:dyDescent="0.35">
      <c r="A75">
        <f t="shared" si="1"/>
        <v>73</v>
      </c>
      <c r="B75" t="e">
        <f ca="1"/>
        <v>#NAME?</v>
      </c>
    </row>
    <row r="76" spans="1:2" x14ac:dyDescent="0.35">
      <c r="A76">
        <f t="shared" si="1"/>
        <v>74</v>
      </c>
      <c r="B76" t="e">
        <f ca="1"/>
        <v>#NAME?</v>
      </c>
    </row>
    <row r="77" spans="1:2" x14ac:dyDescent="0.35">
      <c r="A77">
        <f t="shared" si="1"/>
        <v>75</v>
      </c>
      <c r="B77" t="e">
        <f ca="1"/>
        <v>#NAME?</v>
      </c>
    </row>
    <row r="78" spans="1:2" x14ac:dyDescent="0.35">
      <c r="A78">
        <f t="shared" si="1"/>
        <v>76</v>
      </c>
      <c r="B78" t="e">
        <f ca="1"/>
        <v>#NAME?</v>
      </c>
    </row>
    <row r="79" spans="1:2" x14ac:dyDescent="0.35">
      <c r="A79">
        <f t="shared" si="1"/>
        <v>77</v>
      </c>
      <c r="B79" t="e">
        <f ca="1"/>
        <v>#NAME?</v>
      </c>
    </row>
    <row r="80" spans="1:2" x14ac:dyDescent="0.35">
      <c r="A80">
        <f t="shared" si="1"/>
        <v>78</v>
      </c>
      <c r="B80" t="e">
        <f ca="1"/>
        <v>#NAME?</v>
      </c>
    </row>
    <row r="81" spans="1:2" x14ac:dyDescent="0.35">
      <c r="A81">
        <f t="shared" si="1"/>
        <v>79</v>
      </c>
      <c r="B81" t="e">
        <f ca="1"/>
        <v>#NAME?</v>
      </c>
    </row>
    <row r="82" spans="1:2" x14ac:dyDescent="0.35">
      <c r="A82">
        <f t="shared" si="1"/>
        <v>80</v>
      </c>
      <c r="B82" t="e">
        <f ca="1"/>
        <v>#NAME?</v>
      </c>
    </row>
    <row r="83" spans="1:2" x14ac:dyDescent="0.35">
      <c r="A83">
        <f t="shared" si="1"/>
        <v>81</v>
      </c>
      <c r="B83" t="e">
        <f ca="1"/>
        <v>#NAME?</v>
      </c>
    </row>
    <row r="84" spans="1:2" x14ac:dyDescent="0.35">
      <c r="A84">
        <f t="shared" si="1"/>
        <v>82</v>
      </c>
      <c r="B84" t="e">
        <f ca="1"/>
        <v>#NAME?</v>
      </c>
    </row>
    <row r="85" spans="1:2" x14ac:dyDescent="0.35">
      <c r="A85">
        <f t="shared" si="1"/>
        <v>83</v>
      </c>
      <c r="B85" t="e">
        <f ca="1"/>
        <v>#NAME?</v>
      </c>
    </row>
    <row r="86" spans="1:2" x14ac:dyDescent="0.35">
      <c r="A86">
        <f t="shared" si="1"/>
        <v>84</v>
      </c>
      <c r="B86" t="e">
        <f ca="1"/>
        <v>#NAME?</v>
      </c>
    </row>
    <row r="87" spans="1:2" x14ac:dyDescent="0.35">
      <c r="A87">
        <f t="shared" si="1"/>
        <v>85</v>
      </c>
      <c r="B87" t="e">
        <f ca="1"/>
        <v>#NAME?</v>
      </c>
    </row>
    <row r="88" spans="1:2" x14ac:dyDescent="0.35">
      <c r="A88">
        <f t="shared" si="1"/>
        <v>86</v>
      </c>
      <c r="B88" t="e">
        <f ca="1"/>
        <v>#NAME?</v>
      </c>
    </row>
    <row r="89" spans="1:2" x14ac:dyDescent="0.35">
      <c r="A89">
        <f t="shared" si="1"/>
        <v>87</v>
      </c>
      <c r="B89" t="e">
        <f ca="1"/>
        <v>#NAME?</v>
      </c>
    </row>
    <row r="90" spans="1:2" x14ac:dyDescent="0.35">
      <c r="A90">
        <f t="shared" si="1"/>
        <v>88</v>
      </c>
      <c r="B90" t="e">
        <f ca="1"/>
        <v>#NAME?</v>
      </c>
    </row>
    <row r="91" spans="1:2" x14ac:dyDescent="0.35">
      <c r="A91">
        <f t="shared" si="1"/>
        <v>89</v>
      </c>
      <c r="B91" t="e">
        <f ca="1"/>
        <v>#NAME?</v>
      </c>
    </row>
    <row r="92" spans="1:2" x14ac:dyDescent="0.35">
      <c r="A92">
        <f t="shared" si="1"/>
        <v>90</v>
      </c>
      <c r="B92" t="e">
        <f ca="1"/>
        <v>#NAME?</v>
      </c>
    </row>
    <row r="93" spans="1:2" x14ac:dyDescent="0.35">
      <c r="A93">
        <f t="shared" si="1"/>
        <v>91</v>
      </c>
      <c r="B93" t="e">
        <f ca="1"/>
        <v>#NAME?</v>
      </c>
    </row>
    <row r="94" spans="1:2" x14ac:dyDescent="0.35">
      <c r="A94">
        <f t="shared" si="1"/>
        <v>92</v>
      </c>
      <c r="B94" t="e">
        <f ca="1"/>
        <v>#NAME?</v>
      </c>
    </row>
    <row r="95" spans="1:2" x14ac:dyDescent="0.35">
      <c r="A95">
        <f t="shared" si="1"/>
        <v>93</v>
      </c>
      <c r="B95" t="e">
        <f ca="1"/>
        <v>#NAME?</v>
      </c>
    </row>
    <row r="96" spans="1:2" x14ac:dyDescent="0.35">
      <c r="A96">
        <f t="shared" si="1"/>
        <v>94</v>
      </c>
      <c r="B96" t="e">
        <f ca="1"/>
        <v>#NAME?</v>
      </c>
    </row>
    <row r="97" spans="1:2" x14ac:dyDescent="0.35">
      <c r="A97">
        <f t="shared" si="1"/>
        <v>95</v>
      </c>
      <c r="B97" t="e">
        <f ca="1"/>
        <v>#NAME?</v>
      </c>
    </row>
    <row r="98" spans="1:2" x14ac:dyDescent="0.35">
      <c r="A98">
        <f t="shared" si="1"/>
        <v>96</v>
      </c>
      <c r="B98" t="e">
        <f ca="1"/>
        <v>#NAME?</v>
      </c>
    </row>
    <row r="99" spans="1:2" x14ac:dyDescent="0.35">
      <c r="A99">
        <f t="shared" si="1"/>
        <v>97</v>
      </c>
      <c r="B99" t="e">
        <f ca="1"/>
        <v>#NAME?</v>
      </c>
    </row>
    <row r="100" spans="1:2" x14ac:dyDescent="0.35">
      <c r="A100">
        <f t="shared" si="1"/>
        <v>98</v>
      </c>
      <c r="B100" t="e">
        <f ca="1"/>
        <v>#NAME?</v>
      </c>
    </row>
    <row r="101" spans="1:2" x14ac:dyDescent="0.35">
      <c r="A101">
        <f t="shared" si="1"/>
        <v>99</v>
      </c>
      <c r="B101" t="e">
        <f ca="1"/>
        <v>#NAME?</v>
      </c>
    </row>
    <row r="102" spans="1:2" x14ac:dyDescent="0.35">
      <c r="A102">
        <f t="shared" si="1"/>
        <v>100</v>
      </c>
      <c r="B102" t="e">
        <f ca="1"/>
        <v>#NAME?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0207-E563-409B-BED3-CAEDB7968525}">
  <sheetPr codeName="Sheet5"/>
  <dimension ref="A1:D18"/>
  <sheetViews>
    <sheetView topLeftCell="A2" workbookViewId="0">
      <selection activeCell="F12" sqref="F12"/>
    </sheetView>
  </sheetViews>
  <sheetFormatPr defaultRowHeight="14.5" x14ac:dyDescent="0.35"/>
  <cols>
    <col min="1" max="1" width="6.453125" customWidth="1"/>
    <col min="3" max="3" width="3.7265625" customWidth="1"/>
    <col min="4" max="4" width="30.36328125" bestFit="1" customWidth="1"/>
  </cols>
  <sheetData>
    <row r="1" spans="1:4" x14ac:dyDescent="0.35">
      <c r="A1" s="10" t="s">
        <v>447</v>
      </c>
    </row>
    <row r="3" spans="1:4" x14ac:dyDescent="0.35">
      <c r="A3" t="s">
        <v>159</v>
      </c>
      <c r="B3" s="65">
        <v>4</v>
      </c>
    </row>
    <row r="4" spans="1:4" x14ac:dyDescent="0.35">
      <c r="A4" t="s">
        <v>301</v>
      </c>
      <c r="B4" s="52">
        <v>3</v>
      </c>
    </row>
    <row r="5" spans="1:4" x14ac:dyDescent="0.35">
      <c r="A5" t="s">
        <v>449</v>
      </c>
      <c r="B5" s="52">
        <f>B4+LN(B3)+B3^2</f>
        <v>20.386294361119891</v>
      </c>
      <c r="D5" t="e" cm="1">
        <f t="array" aca="1" ref="D5" ca="1">FTEXT(B5)</f>
        <v>#NAME?</v>
      </c>
    </row>
    <row r="6" spans="1:4" x14ac:dyDescent="0.35">
      <c r="A6" t="s">
        <v>450</v>
      </c>
      <c r="B6" s="14">
        <f>1/B3+2*B3</f>
        <v>8.25</v>
      </c>
      <c r="D6" t="e" cm="1">
        <f t="array" aca="1" ref="D6" ca="1">FTEXT(B6)</f>
        <v>#NAME?</v>
      </c>
    </row>
    <row r="8" spans="1:4" x14ac:dyDescent="0.35">
      <c r="A8" t="s">
        <v>450</v>
      </c>
      <c r="B8" s="65" t="e" cm="1">
        <f t="array" aca="1" ref="B8" ca="1">DERIV(B3,B5,,B3)</f>
        <v>#NAME?</v>
      </c>
      <c r="D8" t="e" cm="1">
        <f t="array" aca="1" ref="D8" ca="1">FTEXT(B8)</f>
        <v>#NAME?</v>
      </c>
    </row>
    <row r="9" spans="1:4" x14ac:dyDescent="0.35">
      <c r="A9" t="s">
        <v>450</v>
      </c>
      <c r="B9" s="14" t="e" cm="1">
        <f t="array" aca="1" ref="B9" ca="1">DERIV(4,B5,,B3)</f>
        <v>#NAME?</v>
      </c>
      <c r="D9" t="e" cm="1">
        <f t="array" aca="1" ref="D9" ca="1">FTEXT(B9)</f>
        <v>#NAME?</v>
      </c>
    </row>
    <row r="12" spans="1:4" x14ac:dyDescent="0.35">
      <c r="A12" t="s">
        <v>159</v>
      </c>
      <c r="B12" s="65">
        <v>4</v>
      </c>
    </row>
    <row r="13" spans="1:4" x14ac:dyDescent="0.35">
      <c r="A13" t="s">
        <v>451</v>
      </c>
      <c r="B13" s="52">
        <v>5</v>
      </c>
    </row>
    <row r="14" spans="1:4" x14ac:dyDescent="0.35">
      <c r="A14" t="s">
        <v>452</v>
      </c>
      <c r="B14" s="52">
        <v>6</v>
      </c>
    </row>
    <row r="15" spans="1:4" x14ac:dyDescent="0.35">
      <c r="A15" t="s">
        <v>453</v>
      </c>
      <c r="B15" s="52">
        <f>_xlfn.GAMMA.DIST(B12,B13,B14,TRUE)</f>
        <v>6.3252138923444983E-4</v>
      </c>
      <c r="D15" t="e" cm="1">
        <f t="array" aca="1" ref="D15" ca="1">FTEXT(B15)</f>
        <v>#NAME?</v>
      </c>
    </row>
    <row r="16" spans="1:4" x14ac:dyDescent="0.35">
      <c r="A16" t="s">
        <v>449</v>
      </c>
      <c r="B16" s="14">
        <f>_xlfn.GAMMA.DIST(B12,B13,B14,FALSE)</f>
        <v>7.0427588344662822E-4</v>
      </c>
      <c r="D16" t="e" cm="1">
        <f t="array" aca="1" ref="D16" ca="1">FTEXT(B16)</f>
        <v>#NAME?</v>
      </c>
    </row>
    <row r="18" spans="1:4" x14ac:dyDescent="0.35">
      <c r="A18" t="s">
        <v>449</v>
      </c>
      <c r="B18" s="85" t="e" cm="1">
        <f t="array" aca="1" ref="B18" ca="1">DERIV(B12,B15)</f>
        <v>#NAME?</v>
      </c>
      <c r="D18" t="e" cm="1">
        <f t="array" aca="1" ref="D18" ca="1">FTEXT(B18)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2F45-3BF3-469D-875C-3C9BA18295C6}">
  <sheetPr codeName="Sheet6"/>
  <dimension ref="A2:D12"/>
  <sheetViews>
    <sheetView workbookViewId="0"/>
  </sheetViews>
  <sheetFormatPr defaultRowHeight="14.5" x14ac:dyDescent="0.35"/>
  <cols>
    <col min="3" max="3" width="3.6328125" customWidth="1"/>
    <col min="4" max="4" width="29.7265625" customWidth="1"/>
  </cols>
  <sheetData>
    <row r="2" spans="1:4" x14ac:dyDescent="0.35">
      <c r="A2" t="s">
        <v>159</v>
      </c>
      <c r="B2" s="65">
        <v>1</v>
      </c>
    </row>
    <row r="3" spans="1:4" x14ac:dyDescent="0.35">
      <c r="A3" t="s">
        <v>381</v>
      </c>
      <c r="B3" s="52">
        <v>1</v>
      </c>
    </row>
    <row r="4" spans="1:4" x14ac:dyDescent="0.35">
      <c r="A4" t="s">
        <v>344</v>
      </c>
      <c r="B4" s="52">
        <v>3</v>
      </c>
    </row>
    <row r="5" spans="1:4" x14ac:dyDescent="0.35">
      <c r="A5" t="s">
        <v>449</v>
      </c>
      <c r="B5" s="52">
        <f>EXP(B2)-LN(B2^2)+B2^3</f>
        <v>3.7182818284590451</v>
      </c>
      <c r="D5" t="e" cm="1">
        <f t="array" aca="1" ref="D5" ca="1">FTEXT(B5)</f>
        <v>#NAME?</v>
      </c>
    </row>
    <row r="6" spans="1:4" x14ac:dyDescent="0.35">
      <c r="A6" s="18" t="s">
        <v>454</v>
      </c>
      <c r="B6" s="52">
        <f>EXP(B2)-2*B2*(LN(B2)-1)+B2^4/4</f>
        <v>4.9682818284590446</v>
      </c>
      <c r="D6" t="e" cm="1">
        <f t="array" aca="1" ref="D6" ca="1">FTEXT(B6)</f>
        <v>#NAME?</v>
      </c>
    </row>
    <row r="7" spans="1:4" x14ac:dyDescent="0.35">
      <c r="A7" s="18" t="s">
        <v>455</v>
      </c>
      <c r="B7" s="52">
        <f t="shared" ref="B7:B8" si="0">EXP(B3)-2*B3*(LN(B3)-1)+B3^4/4</f>
        <v>4.9682818284590446</v>
      </c>
      <c r="D7" t="e" cm="1">
        <f t="array" aca="1" ref="D7" ca="1">FTEXT(B7)</f>
        <v>#NAME?</v>
      </c>
    </row>
    <row r="8" spans="1:4" x14ac:dyDescent="0.35">
      <c r="A8" s="18" t="s">
        <v>456</v>
      </c>
      <c r="B8" s="52">
        <f t="shared" si="0"/>
        <v>39.74386319117901</v>
      </c>
      <c r="D8" t="e" cm="1">
        <f t="array" aca="1" ref="D8" ca="1">FTEXT(B8)</f>
        <v>#NAME?</v>
      </c>
    </row>
    <row r="9" spans="1:4" x14ac:dyDescent="0.35">
      <c r="A9" s="18" t="s">
        <v>457</v>
      </c>
      <c r="B9" s="14">
        <f>B8-B7</f>
        <v>34.775581362719961</v>
      </c>
      <c r="D9" t="e" cm="1">
        <f t="array" aca="1" ref="D9" ca="1">FTEXT(B9)</f>
        <v>#NAME?</v>
      </c>
    </row>
    <row r="11" spans="1:4" x14ac:dyDescent="0.35">
      <c r="A11" t="s">
        <v>457</v>
      </c>
      <c r="B11" s="65" t="e" cm="1">
        <f t="array" aca="1" ref="B11" ca="1">INTEGRAL(B5,B3,B4)</f>
        <v>#NAME?</v>
      </c>
      <c r="D11" t="e" cm="1">
        <f t="array" aca="1" ref="D11" ca="1">FTEXT(B11)</f>
        <v>#NAME?</v>
      </c>
    </row>
    <row r="12" spans="1:4" x14ac:dyDescent="0.35">
      <c r="B12" s="14" t="e" cm="1">
        <f t="array" aca="1" ref="B12" ca="1">INTEGRAL(B5,B3,B4,,1)</f>
        <v>#NAME?</v>
      </c>
      <c r="D12" t="e" cm="1">
        <f t="array" aca="1" ref="D12" ca="1">FTEXT(B12)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C68-D09D-4FEA-B86F-26DEEA990F56}">
  <sheetPr codeName="Sheet7"/>
  <dimension ref="A1:D43"/>
  <sheetViews>
    <sheetView workbookViewId="0">
      <selection activeCell="B39" sqref="B39"/>
    </sheetView>
  </sheetViews>
  <sheetFormatPr defaultRowHeight="14.5" x14ac:dyDescent="0.35"/>
  <cols>
    <col min="2" max="2" width="8.7265625" customWidth="1"/>
    <col min="3" max="3" width="4.26953125" customWidth="1"/>
    <col min="4" max="4" width="18.90625" customWidth="1"/>
  </cols>
  <sheetData>
    <row r="1" spans="1:4" x14ac:dyDescent="0.35">
      <c r="A1" t="s">
        <v>159</v>
      </c>
      <c r="B1">
        <v>1</v>
      </c>
    </row>
    <row r="2" spans="1:4" x14ac:dyDescent="0.35">
      <c r="A2" t="s">
        <v>449</v>
      </c>
      <c r="B2">
        <f>EXP(-B1)</f>
        <v>0.36787944117144233</v>
      </c>
      <c r="D2" t="e" cm="1">
        <f t="array" aca="1" ref="D2" ca="1">FTEXT(B2)</f>
        <v>#NAME?</v>
      </c>
    </row>
    <row r="3" spans="1:4" x14ac:dyDescent="0.35">
      <c r="A3" s="18" t="s">
        <v>454</v>
      </c>
      <c r="B3" t="e" cm="1">
        <f t="array" aca="1" ref="B3" ca="1">INTEGRAL(B2,0,1,,0)</f>
        <v>#NAME?</v>
      </c>
      <c r="D3" t="e" cm="1">
        <f t="array" aca="1" ref="D3" ca="1">FTEXT(B3)</f>
        <v>#NAME?</v>
      </c>
    </row>
    <row r="5" spans="1:4" x14ac:dyDescent="0.35">
      <c r="A5" t="s">
        <v>381</v>
      </c>
      <c r="B5">
        <v>1</v>
      </c>
      <c r="D5" t="e" cm="1">
        <f t="array" aca="1" ref="D5" ca="1">FTEXT(B5)</f>
        <v>#NAME?</v>
      </c>
    </row>
    <row r="6" spans="1:4" x14ac:dyDescent="0.35">
      <c r="A6" t="s">
        <v>251</v>
      </c>
      <c r="B6">
        <v>0.5</v>
      </c>
      <c r="D6" t="e" cm="1">
        <f t="array" aca="1" ref="D6" ca="1">FTEXT(B6)</f>
        <v>#NAME?</v>
      </c>
    </row>
    <row r="7" spans="1:4" x14ac:dyDescent="0.35">
      <c r="A7" t="s">
        <v>458</v>
      </c>
      <c r="B7">
        <f>EXP(-(B5+B6/(1-B6)))/(1-B6)^2</f>
        <v>0.54134113294645081</v>
      </c>
      <c r="D7" t="e" cm="1">
        <f t="array" aca="1" ref="D7" ca="1">FTEXT(B7)</f>
        <v>#NAME?</v>
      </c>
    </row>
    <row r="8" spans="1:4" x14ac:dyDescent="0.35">
      <c r="A8" s="18" t="s">
        <v>459</v>
      </c>
      <c r="B8" t="e" cm="1">
        <f t="array" aca="1" ref="B8" ca="1">INTEGRAL(B7,0,1,,1,B6)</f>
        <v>#NAME?</v>
      </c>
      <c r="D8" t="e" cm="1">
        <f t="array" aca="1" ref="D8" ca="1">FTEXT(B8)</f>
        <v>#NAME?</v>
      </c>
    </row>
    <row r="10" spans="1:4" x14ac:dyDescent="0.35">
      <c r="A10" s="18" t="s">
        <v>454</v>
      </c>
      <c r="B10" t="e" cm="1">
        <f t="array" aca="1" ref="B10" ca="1">INTEGRAL(B2,B5,,,0)</f>
        <v>#NAME?</v>
      </c>
      <c r="D10" t="e" cm="1">
        <f t="array" aca="1" ref="D10" ca="1">FTEXT(B10)</f>
        <v>#NAME?</v>
      </c>
    </row>
    <row r="11" spans="1:4" x14ac:dyDescent="0.35">
      <c r="B11" t="e" cm="1">
        <f t="array" aca="1" ref="B11" ca="1">INTEGRAL(B2,B5,,,1)</f>
        <v>#NAME?</v>
      </c>
      <c r="D11" t="e" cm="1">
        <f t="array" aca="1" ref="D11" ca="1">FTEXT(B11)</f>
        <v>#NAME?</v>
      </c>
    </row>
    <row r="13" spans="1:4" x14ac:dyDescent="0.35">
      <c r="A13" t="s">
        <v>449</v>
      </c>
      <c r="B13">
        <f>EXP(B12)</f>
        <v>1</v>
      </c>
      <c r="D13" t="e" cm="1">
        <f t="array" aca="1" ref="D13" ca="1">FTEXT(B13)</f>
        <v>#NAME?</v>
      </c>
    </row>
    <row r="14" spans="1:4" x14ac:dyDescent="0.35">
      <c r="A14" s="18" t="s">
        <v>454</v>
      </c>
      <c r="B14" t="e" cm="1">
        <f t="array" aca="1" ref="B14" ca="1">INTEGRAL(B13,,-2)</f>
        <v>#NAME?</v>
      </c>
      <c r="D14" t="e" cm="1">
        <f t="array" aca="1" ref="D14" ca="1">FTEXT(B14)</f>
        <v>#NAME?</v>
      </c>
    </row>
    <row r="15" spans="1:4" x14ac:dyDescent="0.35">
      <c r="B15" t="e" cm="1">
        <f t="array" aca="1" ref="B15" ca="1">INTEGRAL(B13,,-2,,1)</f>
        <v>#NAME?</v>
      </c>
      <c r="D15" t="e" cm="1">
        <f t="array" aca="1" ref="D15" ca="1">FTEXT(B15)</f>
        <v>#NAME?</v>
      </c>
    </row>
    <row r="17" spans="1:4" x14ac:dyDescent="0.35">
      <c r="A17" t="s">
        <v>449</v>
      </c>
      <c r="B17">
        <f>EXP(-B16)</f>
        <v>1</v>
      </c>
      <c r="D17" t="e" cm="1">
        <f t="array" aca="1" ref="D17" ca="1">FTEXT(B17)</f>
        <v>#NAME?</v>
      </c>
    </row>
    <row r="18" spans="1:4" x14ac:dyDescent="0.35">
      <c r="A18" s="18" t="s">
        <v>454</v>
      </c>
      <c r="B18" t="e" cm="1">
        <f t="array" aca="1" ref="B18" ca="1">INTEGRAL(B17,,1)</f>
        <v>#NAME?</v>
      </c>
      <c r="D18" t="e" cm="1">
        <f t="array" aca="1" ref="D18" ca="1">FTEXT(B18)</f>
        <v>#NAME?</v>
      </c>
    </row>
    <row r="19" spans="1:4" x14ac:dyDescent="0.35">
      <c r="B19" t="e" cm="1">
        <f t="array" aca="1" ref="B19" ca="1">INTEGRAL(B17,,1,,1)</f>
        <v>#NAME?</v>
      </c>
      <c r="D19" t="e" cm="1">
        <f t="array" aca="1" ref="D19" ca="1">FTEXT(B19)</f>
        <v>#NAME?</v>
      </c>
    </row>
    <row r="21" spans="1:4" x14ac:dyDescent="0.35">
      <c r="A21" t="s">
        <v>449</v>
      </c>
      <c r="B21">
        <f>EXP(B20/(B20^2-1))</f>
        <v>1</v>
      </c>
      <c r="D21" t="e" cm="1">
        <f t="array" aca="1" ref="D21" ca="1">FTEXT(B21)</f>
        <v>#NAME?</v>
      </c>
    </row>
    <row r="22" spans="1:4" x14ac:dyDescent="0.35">
      <c r="A22" s="18" t="s">
        <v>454</v>
      </c>
      <c r="B22" t="e" cm="1">
        <f t="array" aca="1" ref="B22" ca="1">INTEGRAL(B21)</f>
        <v>#NAME?</v>
      </c>
      <c r="D22" t="e" cm="1">
        <f t="array" aca="1" ref="D22" ca="1">FTEXT(B22)</f>
        <v>#NAME?</v>
      </c>
    </row>
    <row r="23" spans="1:4" x14ac:dyDescent="0.35">
      <c r="B23" t="e" cm="1">
        <f t="array" aca="1" ref="B23" ca="1">INTEGRAL(B21,,,,1)</f>
        <v>#NAME?</v>
      </c>
      <c r="D23" t="e" cm="1">
        <f t="array" aca="1" ref="D23" ca="1">FTEXT(B23)</f>
        <v>#NAME?</v>
      </c>
    </row>
    <row r="25" spans="1:4" x14ac:dyDescent="0.35">
      <c r="A25" t="s">
        <v>449</v>
      </c>
      <c r="B25">
        <f>EXP(-(B24^2))</f>
        <v>1</v>
      </c>
      <c r="D25" t="e" cm="1">
        <f t="array" aca="1" ref="D25" ca="1">FTEXT(B25)</f>
        <v>#NAME?</v>
      </c>
    </row>
    <row r="26" spans="1:4" x14ac:dyDescent="0.35">
      <c r="A26" s="18" t="s">
        <v>454</v>
      </c>
      <c r="B26" t="e" cm="1">
        <f t="array" aca="1" ref="B26" ca="1">INTEGRAL(B25)</f>
        <v>#NAME?</v>
      </c>
      <c r="D26" t="e" cm="1">
        <f t="array" aca="1" ref="D26" ca="1">FTEXT(B26)</f>
        <v>#NAME?</v>
      </c>
    </row>
    <row r="27" spans="1:4" x14ac:dyDescent="0.35">
      <c r="B27" t="e" cm="1">
        <f t="array" aca="1" ref="B27" ca="1">INTEGRAL(B25,,,,1)</f>
        <v>#NAME?</v>
      </c>
      <c r="D27" t="e" cm="1">
        <f t="array" aca="1" ref="D27" ca="1">FTEXT(B27)</f>
        <v>#NAME?</v>
      </c>
    </row>
    <row r="29" spans="1:4" x14ac:dyDescent="0.35">
      <c r="A29" t="s">
        <v>449</v>
      </c>
      <c r="B29">
        <f>EXP(-(B28^2))</f>
        <v>1</v>
      </c>
      <c r="D29" t="e" cm="1">
        <f t="array" aca="1" ref="D29" ca="1">FTEXT(B29)</f>
        <v>#NAME?</v>
      </c>
    </row>
    <row r="30" spans="1:4" x14ac:dyDescent="0.35">
      <c r="A30" s="18" t="s">
        <v>454</v>
      </c>
      <c r="B30" t="e" cm="1">
        <f t="array" aca="1" ref="B30" ca="1">INTEGRAL(B29,0)</f>
        <v>#NAME?</v>
      </c>
      <c r="D30" t="e" cm="1">
        <f t="array" aca="1" ref="D30" ca="1">FTEXT(B30)</f>
        <v>#NAME?</v>
      </c>
    </row>
    <row r="31" spans="1:4" x14ac:dyDescent="0.35">
      <c r="B31" t="e" cm="1">
        <f t="array" aca="1" ref="B31" ca="1">INTEGRAL(B29,0,,,1)</f>
        <v>#NAME?</v>
      </c>
      <c r="D31" t="e" cm="1">
        <f t="array" aca="1" ref="D31" ca="1">FTEXT(B31)</f>
        <v>#NAME?</v>
      </c>
    </row>
    <row r="33" spans="1:4" x14ac:dyDescent="0.35">
      <c r="A33" t="s">
        <v>449</v>
      </c>
      <c r="B33">
        <f>EXP(-(B32^2))</f>
        <v>1</v>
      </c>
      <c r="D33" t="e" cm="1">
        <f t="array" aca="1" ref="D33" ca="1">FTEXT(B33)</f>
        <v>#NAME?</v>
      </c>
    </row>
    <row r="34" spans="1:4" x14ac:dyDescent="0.35">
      <c r="A34" s="18" t="s">
        <v>454</v>
      </c>
      <c r="B34" t="e" cm="1">
        <f t="array" aca="1" ref="B34" ca="1">INTEGRAL(B33,,0)</f>
        <v>#NAME?</v>
      </c>
      <c r="D34" t="e" cm="1">
        <f t="array" aca="1" ref="D34" ca="1">FTEXT(B34)</f>
        <v>#NAME?</v>
      </c>
    </row>
    <row r="35" spans="1:4" x14ac:dyDescent="0.35">
      <c r="B35" t="e" cm="1">
        <f t="array" aca="1" ref="B35" ca="1">INTEGRAL(B33,,0,,1)</f>
        <v>#NAME?</v>
      </c>
      <c r="D35" t="e" cm="1">
        <f t="array" aca="1" ref="D35" ca="1">FTEXT(B35)</f>
        <v>#NAME?</v>
      </c>
    </row>
    <row r="37" spans="1:4" x14ac:dyDescent="0.35">
      <c r="A37" t="s">
        <v>449</v>
      </c>
      <c r="B37">
        <f>10^B36</f>
        <v>1</v>
      </c>
      <c r="D37" t="e" cm="1">
        <f t="array" aca="1" ref="D37" ca="1">FTEXT(B37)</f>
        <v>#NAME?</v>
      </c>
    </row>
    <row r="38" spans="1:4" x14ac:dyDescent="0.35">
      <c r="A38" s="18" t="s">
        <v>454</v>
      </c>
      <c r="B38" t="e" cm="1">
        <f t="array" aca="1" ref="B38" ca="1">INTEGRAL(B37,0)</f>
        <v>#NAME?</v>
      </c>
      <c r="D38" t="e" cm="1">
        <f t="array" aca="1" ref="D38" ca="1">FTEXT(B38)</f>
        <v>#NAME?</v>
      </c>
    </row>
    <row r="39" spans="1:4" x14ac:dyDescent="0.35">
      <c r="B39" t="e" cm="1">
        <f t="array" aca="1" ref="B39" ca="1">INTEGRAL(B37,0,,,1)</f>
        <v>#NAME?</v>
      </c>
      <c r="D39" t="e" cm="1">
        <f t="array" aca="1" ref="D39" ca="1">FTEXT(B39)</f>
        <v>#NAME?</v>
      </c>
    </row>
    <row r="41" spans="1:4" x14ac:dyDescent="0.35">
      <c r="A41" t="s">
        <v>449</v>
      </c>
      <c r="B41">
        <f>EXP(B40^2)</f>
        <v>1</v>
      </c>
      <c r="D41" t="e" cm="1">
        <f t="array" aca="1" ref="D41" ca="1">FTEXT(B41)</f>
        <v>#NAME?</v>
      </c>
    </row>
    <row r="42" spans="1:4" x14ac:dyDescent="0.35">
      <c r="A42" s="18" t="s">
        <v>454</v>
      </c>
      <c r="B42" t="e" cm="1">
        <f t="array" aca="1" ref="B42" ca="1">INTEGRAL(B41,0)</f>
        <v>#NAME?</v>
      </c>
      <c r="D42" t="e" cm="1">
        <f t="array" aca="1" ref="D42" ca="1">FTEXT(B42)</f>
        <v>#NAME?</v>
      </c>
    </row>
    <row r="43" spans="1:4" x14ac:dyDescent="0.35">
      <c r="B43" t="e" cm="1">
        <f t="array" aca="1" ref="B43" ca="1">INTEGRAL(B41,0,,,1)</f>
        <v>#NAME?</v>
      </c>
      <c r="D43" t="e" cm="1">
        <f t="array" aca="1" ref="D43" ca="1">FTEXT(B43)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B2FB-4F7D-4C6C-85E1-4404B7EE09FF}">
  <sheetPr codeName="Sheet8"/>
  <dimension ref="A2:N13"/>
  <sheetViews>
    <sheetView workbookViewId="0">
      <selection activeCell="B11" sqref="B11"/>
    </sheetView>
  </sheetViews>
  <sheetFormatPr defaultRowHeight="14.5" x14ac:dyDescent="0.35"/>
  <cols>
    <col min="3" max="3" width="3.54296875" customWidth="1"/>
    <col min="4" max="4" width="25.26953125" customWidth="1"/>
    <col min="6" max="6" width="6.26953125" style="152" customWidth="1"/>
    <col min="8" max="8" width="2.81640625" customWidth="1"/>
    <col min="9" max="9" width="22.90625" customWidth="1"/>
    <col min="10" max="10" width="4" customWidth="1"/>
    <col min="11" max="11" width="6.36328125" bestFit="1" customWidth="1"/>
    <col min="13" max="13" width="2.7265625" customWidth="1"/>
    <col min="14" max="14" width="22.90625" customWidth="1"/>
  </cols>
  <sheetData>
    <row r="2" spans="1:14" x14ac:dyDescent="0.35">
      <c r="A2" t="s">
        <v>460</v>
      </c>
      <c r="B2" s="65">
        <v>0</v>
      </c>
      <c r="F2" s="155" t="s">
        <v>159</v>
      </c>
      <c r="G2" s="155" t="s">
        <v>449</v>
      </c>
    </row>
    <row r="3" spans="1:14" x14ac:dyDescent="0.35">
      <c r="A3" t="s">
        <v>461</v>
      </c>
      <c r="B3" s="52">
        <v>2</v>
      </c>
      <c r="F3" s="152">
        <v>1.05</v>
      </c>
      <c r="G3">
        <f>_xlfn.NORM.DIST(F3,0,2,FALSE)</f>
        <v>0.17379163214617405</v>
      </c>
      <c r="I3" t="e" cm="1">
        <f t="array" aca="1" ref="I3" ca="1">FTEXT(G3)</f>
        <v>#NAME?</v>
      </c>
      <c r="K3" s="152" t="s">
        <v>462</v>
      </c>
      <c r="L3" s="65">
        <f>_xlfn.NORM.DIST(2,0,2,TRUE)</f>
        <v>0.84134474606854304</v>
      </c>
      <c r="N3" t="e" cm="1">
        <f t="array" aca="1" ref="N3" ca="1">FTEXT(L3)</f>
        <v>#NAME?</v>
      </c>
    </row>
    <row r="4" spans="1:14" x14ac:dyDescent="0.35">
      <c r="A4" t="s">
        <v>159</v>
      </c>
      <c r="B4" s="14">
        <v>1</v>
      </c>
      <c r="F4" s="152">
        <f>F3+0.1</f>
        <v>1.1500000000000001</v>
      </c>
      <c r="G4">
        <f t="shared" ref="G4:G12" si="0">_xlfn.NORM.DIST(F4,0,2,FALSE)</f>
        <v>0.16907747895465572</v>
      </c>
      <c r="K4" s="152" t="s">
        <v>463</v>
      </c>
      <c r="L4" s="14">
        <f>_xlfn.NORM.DIST(1,0,2,TRUE)</f>
        <v>0.69146246127401312</v>
      </c>
      <c r="N4" t="e" cm="1">
        <f t="array" aca="1" ref="N4" ca="1">FTEXT(L4)</f>
        <v>#NAME?</v>
      </c>
    </row>
    <row r="5" spans="1:14" x14ac:dyDescent="0.35">
      <c r="F5" s="152">
        <f t="shared" ref="F5:F12" si="1">F4+0.1</f>
        <v>1.2500000000000002</v>
      </c>
      <c r="G5">
        <f t="shared" si="0"/>
        <v>0.16408048427518751</v>
      </c>
      <c r="K5" s="152"/>
      <c r="L5">
        <f>L3-L4</f>
        <v>0.14988228479452992</v>
      </c>
      <c r="N5" t="e" cm="1">
        <f t="array" aca="1" ref="N5" ca="1">FTEXT(L5)</f>
        <v>#NAME?</v>
      </c>
    </row>
    <row r="6" spans="1:14" x14ac:dyDescent="0.35">
      <c r="A6" t="s">
        <v>449</v>
      </c>
      <c r="B6" s="65">
        <f>_xlfn.NORM.DIST(B4,B2,B3,FALSE)</f>
        <v>0.17603266338214976</v>
      </c>
      <c r="D6" t="e" cm="1">
        <f t="array" aca="1" ref="D6" ca="1">FTEXT(B6)</f>
        <v>#NAME?</v>
      </c>
      <c r="F6" s="152">
        <f t="shared" si="1"/>
        <v>1.3500000000000003</v>
      </c>
      <c r="G6">
        <f t="shared" si="0"/>
        <v>0.1588335923575741</v>
      </c>
      <c r="K6" s="152"/>
    </row>
    <row r="7" spans="1:14" x14ac:dyDescent="0.35">
      <c r="A7" t="s">
        <v>453</v>
      </c>
      <c r="B7" s="14">
        <f>_xlfn.NORM.DIST(B4,B2,B3,TRUE)</f>
        <v>0.69146246127401312</v>
      </c>
      <c r="D7" t="e" cm="1">
        <f t="array" aca="1" ref="D7" ca="1">FTEXT(B7)</f>
        <v>#NAME?</v>
      </c>
      <c r="F7" s="152">
        <f t="shared" si="1"/>
        <v>1.4500000000000004</v>
      </c>
      <c r="G7">
        <f t="shared" si="0"/>
        <v>0.15337057706411997</v>
      </c>
      <c r="K7" s="152" t="s">
        <v>159</v>
      </c>
      <c r="L7">
        <v>0</v>
      </c>
    </row>
    <row r="8" spans="1:14" x14ac:dyDescent="0.35">
      <c r="F8" s="152">
        <f t="shared" si="1"/>
        <v>1.5500000000000005</v>
      </c>
      <c r="G8">
        <f t="shared" si="0"/>
        <v>0.14772568367078145</v>
      </c>
      <c r="K8" s="152" t="s">
        <v>449</v>
      </c>
      <c r="L8" s="65">
        <f>_xlfn.NORM.DIST(L7,0,2,FALSE)</f>
        <v>0.19947114020071635</v>
      </c>
      <c r="N8" t="e" cm="1">
        <f t="array" aca="1" ref="N8" ca="1">FTEXT(L8)</f>
        <v>#NAME?</v>
      </c>
    </row>
    <row r="9" spans="1:14" x14ac:dyDescent="0.35">
      <c r="A9" t="s">
        <v>453</v>
      </c>
      <c r="B9" s="65" t="e" cm="1">
        <f t="array" aca="1" ref="B9" ca="1">INTEGRAL(B6,,B4)</f>
        <v>#NAME?</v>
      </c>
      <c r="D9" t="e" cm="1">
        <f t="array" aca="1" ref="D9" ca="1">FTEXT(B9)</f>
        <v>#NAME?</v>
      </c>
      <c r="F9" s="152">
        <f t="shared" si="1"/>
        <v>1.6500000000000006</v>
      </c>
      <c r="G9">
        <f t="shared" si="0"/>
        <v>0.14193327676244361</v>
      </c>
      <c r="K9" s="74" t="s">
        <v>454</v>
      </c>
      <c r="L9" s="52" t="e" cm="1">
        <f t="array" aca="1" ref="L9" ca="1">INTEGRAL(L8,1,2,10,1)</f>
        <v>#NAME?</v>
      </c>
      <c r="N9" t="e" cm="1">
        <f t="array" aca="1" ref="N9" ca="1">FTEXT(L9)</f>
        <v>#NAME?</v>
      </c>
    </row>
    <row r="10" spans="1:14" x14ac:dyDescent="0.35">
      <c r="B10" s="14" t="e" cm="1">
        <f t="array" aca="1" ref="B10" ca="1">INTEGRAL(B6,0,B4)+0.5</f>
        <v>#NAME?</v>
      </c>
      <c r="D10" t="e" cm="1">
        <f t="array" aca="1" ref="D10" ca="1">FTEXT(B10)</f>
        <v>#NAME?</v>
      </c>
      <c r="F10" s="152">
        <f t="shared" si="1"/>
        <v>1.7500000000000007</v>
      </c>
      <c r="G10">
        <f t="shared" si="0"/>
        <v>0.13602749918927171</v>
      </c>
      <c r="K10" s="74" t="s">
        <v>454</v>
      </c>
      <c r="L10" s="14" t="e" cm="1">
        <f t="array" aca="1" ref="L10" ca="1">INTEGRAL(L8,1,2)</f>
        <v>#NAME?</v>
      </c>
      <c r="N10" t="e" cm="1">
        <f t="array" aca="1" ref="N10" ca="1">FTEXT(L10)</f>
        <v>#NAME?</v>
      </c>
    </row>
    <row r="11" spans="1:14" x14ac:dyDescent="0.35">
      <c r="F11" s="152">
        <f t="shared" si="1"/>
        <v>1.8500000000000008</v>
      </c>
      <c r="G11">
        <f t="shared" si="0"/>
        <v>0.13004194668499777</v>
      </c>
    </row>
    <row r="12" spans="1:14" x14ac:dyDescent="0.35">
      <c r="F12" s="155">
        <f t="shared" si="1"/>
        <v>1.9500000000000008</v>
      </c>
      <c r="G12" s="8">
        <f t="shared" si="0"/>
        <v>0.12400936230536851</v>
      </c>
    </row>
    <row r="13" spans="1:14" x14ac:dyDescent="0.35">
      <c r="G13">
        <f>SUM(G3:G12)*0.1</f>
        <v>0.14988915334105746</v>
      </c>
      <c r="I13" t="e" cm="1">
        <f t="array" aca="1" ref="I13" ca="1">FTEXT(G13)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596-C253-4028-86E4-D08B19AB704E}">
  <sheetPr codeName="Sheet25"/>
  <dimension ref="A2:U13"/>
  <sheetViews>
    <sheetView workbookViewId="0">
      <selection activeCell="A5" sqref="A5"/>
    </sheetView>
  </sheetViews>
  <sheetFormatPr defaultRowHeight="14.5" x14ac:dyDescent="0.35"/>
  <cols>
    <col min="1" max="12" width="4.6328125" customWidth="1"/>
  </cols>
  <sheetData>
    <row r="2" spans="1:21" x14ac:dyDescent="0.35">
      <c r="B2">
        <v>-1</v>
      </c>
      <c r="C2">
        <f>B2+0.2</f>
        <v>-0.8</v>
      </c>
      <c r="D2">
        <f t="shared" ref="D2:L2" si="0">C2+0.2</f>
        <v>-0.60000000000000009</v>
      </c>
      <c r="E2">
        <f t="shared" si="0"/>
        <v>-0.40000000000000008</v>
      </c>
      <c r="F2">
        <f t="shared" si="0"/>
        <v>-0.20000000000000007</v>
      </c>
      <c r="G2">
        <f t="shared" si="0"/>
        <v>0</v>
      </c>
      <c r="H2">
        <f t="shared" si="0"/>
        <v>0.2</v>
      </c>
      <c r="I2">
        <f t="shared" si="0"/>
        <v>0.4</v>
      </c>
      <c r="J2">
        <f t="shared" si="0"/>
        <v>0.60000000000000009</v>
      </c>
      <c r="K2">
        <f t="shared" si="0"/>
        <v>0.8</v>
      </c>
      <c r="L2">
        <f t="shared" si="0"/>
        <v>1</v>
      </c>
    </row>
    <row r="3" spans="1:21" x14ac:dyDescent="0.35">
      <c r="A3">
        <v>-1</v>
      </c>
      <c r="B3" s="62">
        <f>$A3^2+B$2^2-$A3*B$2</f>
        <v>1</v>
      </c>
      <c r="C3" s="63">
        <f t="shared" ref="C3:L13" si="1">$A3^2+C$2^2-$A3*C$2</f>
        <v>0.84000000000000008</v>
      </c>
      <c r="D3" s="63">
        <f t="shared" si="1"/>
        <v>0.76</v>
      </c>
      <c r="E3" s="63">
        <f t="shared" si="1"/>
        <v>0.76</v>
      </c>
      <c r="F3" s="63">
        <f t="shared" si="1"/>
        <v>0.84</v>
      </c>
      <c r="G3" s="63">
        <f t="shared" si="1"/>
        <v>1</v>
      </c>
      <c r="H3" s="63">
        <f t="shared" si="1"/>
        <v>1.24</v>
      </c>
      <c r="I3" s="63">
        <f t="shared" si="1"/>
        <v>1.56</v>
      </c>
      <c r="J3" s="63">
        <f t="shared" si="1"/>
        <v>1.9600000000000002</v>
      </c>
      <c r="K3" s="63">
        <f t="shared" si="1"/>
        <v>2.4400000000000004</v>
      </c>
      <c r="L3" s="64">
        <f t="shared" si="1"/>
        <v>3</v>
      </c>
      <c r="U3" cm="1">
        <f t="array" ref="U3:U13">_xlfn.SEQUENCE(11,1,-1,0.2)</f>
        <v>-1</v>
      </c>
    </row>
    <row r="4" spans="1:21" x14ac:dyDescent="0.35">
      <c r="A4">
        <f>A3+0.2</f>
        <v>-0.8</v>
      </c>
      <c r="B4" s="163">
        <f t="shared" ref="B4:B13" si="2">$A4^2+B$2^2-$A4*B$2</f>
        <v>0.84000000000000008</v>
      </c>
      <c r="C4">
        <f t="shared" si="1"/>
        <v>0.64000000000000012</v>
      </c>
      <c r="D4">
        <f t="shared" si="1"/>
        <v>0.52000000000000013</v>
      </c>
      <c r="E4">
        <f t="shared" si="1"/>
        <v>0.48000000000000009</v>
      </c>
      <c r="F4">
        <f t="shared" si="1"/>
        <v>0.52000000000000013</v>
      </c>
      <c r="G4">
        <f t="shared" si="1"/>
        <v>0.64000000000000012</v>
      </c>
      <c r="H4">
        <f t="shared" si="1"/>
        <v>0.84000000000000019</v>
      </c>
      <c r="I4">
        <f t="shared" si="1"/>
        <v>1.1200000000000001</v>
      </c>
      <c r="J4">
        <f t="shared" si="1"/>
        <v>1.4800000000000004</v>
      </c>
      <c r="K4">
        <f t="shared" si="1"/>
        <v>1.9200000000000004</v>
      </c>
      <c r="L4" s="185">
        <f t="shared" si="1"/>
        <v>2.4400000000000004</v>
      </c>
      <c r="U4">
        <v>-0.8</v>
      </c>
    </row>
    <row r="5" spans="1:21" x14ac:dyDescent="0.35">
      <c r="A5">
        <f t="shared" ref="A5:A13" si="3">A4+0.2</f>
        <v>-0.60000000000000009</v>
      </c>
      <c r="B5" s="163">
        <f t="shared" si="2"/>
        <v>0.76</v>
      </c>
      <c r="C5">
        <f t="shared" si="1"/>
        <v>0.52000000000000013</v>
      </c>
      <c r="D5">
        <f t="shared" si="1"/>
        <v>0.3600000000000001</v>
      </c>
      <c r="E5">
        <f t="shared" si="1"/>
        <v>0.28000000000000003</v>
      </c>
      <c r="F5">
        <f t="shared" si="1"/>
        <v>0.28000000000000008</v>
      </c>
      <c r="G5">
        <f t="shared" si="1"/>
        <v>0.3600000000000001</v>
      </c>
      <c r="H5">
        <f t="shared" si="1"/>
        <v>0.52000000000000013</v>
      </c>
      <c r="I5">
        <f t="shared" si="1"/>
        <v>0.76000000000000023</v>
      </c>
      <c r="J5">
        <f t="shared" si="1"/>
        <v>1.0800000000000003</v>
      </c>
      <c r="K5">
        <f t="shared" si="1"/>
        <v>1.4800000000000004</v>
      </c>
      <c r="L5" s="185">
        <f t="shared" si="1"/>
        <v>1.9600000000000002</v>
      </c>
      <c r="U5">
        <v>-0.60000000000000009</v>
      </c>
    </row>
    <row r="6" spans="1:21" x14ac:dyDescent="0.35">
      <c r="A6">
        <f t="shared" si="3"/>
        <v>-0.40000000000000008</v>
      </c>
      <c r="B6" s="163">
        <f t="shared" si="2"/>
        <v>0.76</v>
      </c>
      <c r="C6">
        <f t="shared" si="1"/>
        <v>0.48000000000000009</v>
      </c>
      <c r="D6">
        <f t="shared" si="1"/>
        <v>0.28000000000000003</v>
      </c>
      <c r="E6">
        <f t="shared" si="1"/>
        <v>0.16000000000000006</v>
      </c>
      <c r="F6">
        <f t="shared" si="1"/>
        <v>0.12000000000000005</v>
      </c>
      <c r="G6">
        <f t="shared" si="1"/>
        <v>0.16000000000000006</v>
      </c>
      <c r="H6">
        <f t="shared" si="1"/>
        <v>0.28000000000000008</v>
      </c>
      <c r="I6">
        <f t="shared" si="1"/>
        <v>0.48000000000000009</v>
      </c>
      <c r="J6">
        <f t="shared" si="1"/>
        <v>0.76000000000000023</v>
      </c>
      <c r="K6">
        <f t="shared" si="1"/>
        <v>1.1200000000000001</v>
      </c>
      <c r="L6" s="185">
        <f t="shared" si="1"/>
        <v>1.5600000000000003</v>
      </c>
      <c r="U6">
        <v>-0.40000000000000008</v>
      </c>
    </row>
    <row r="7" spans="1:21" x14ac:dyDescent="0.35">
      <c r="A7">
        <f t="shared" si="3"/>
        <v>-0.20000000000000007</v>
      </c>
      <c r="B7" s="163">
        <f t="shared" si="2"/>
        <v>0.84</v>
      </c>
      <c r="C7">
        <f t="shared" si="1"/>
        <v>0.52000000000000013</v>
      </c>
      <c r="D7">
        <f t="shared" si="1"/>
        <v>0.28000000000000008</v>
      </c>
      <c r="E7">
        <f t="shared" si="1"/>
        <v>0.12000000000000005</v>
      </c>
      <c r="F7">
        <f t="shared" si="1"/>
        <v>4.0000000000000029E-2</v>
      </c>
      <c r="G7">
        <f t="shared" si="1"/>
        <v>4.0000000000000029E-2</v>
      </c>
      <c r="H7">
        <f t="shared" si="1"/>
        <v>0.12000000000000005</v>
      </c>
      <c r="I7">
        <f t="shared" si="1"/>
        <v>0.28000000000000008</v>
      </c>
      <c r="J7">
        <f t="shared" si="1"/>
        <v>0.52000000000000024</v>
      </c>
      <c r="K7">
        <f t="shared" si="1"/>
        <v>0.84000000000000019</v>
      </c>
      <c r="L7" s="185">
        <f t="shared" si="1"/>
        <v>1.2400000000000002</v>
      </c>
      <c r="U7">
        <v>-0.20000000000000007</v>
      </c>
    </row>
    <row r="8" spans="1:21" x14ac:dyDescent="0.35">
      <c r="A8">
        <f t="shared" si="3"/>
        <v>0</v>
      </c>
      <c r="B8" s="163">
        <f t="shared" si="2"/>
        <v>1</v>
      </c>
      <c r="C8">
        <f t="shared" si="1"/>
        <v>0.64000000000000012</v>
      </c>
      <c r="D8">
        <f t="shared" si="1"/>
        <v>0.3600000000000001</v>
      </c>
      <c r="E8">
        <f t="shared" si="1"/>
        <v>0.16000000000000006</v>
      </c>
      <c r="F8">
        <f t="shared" si="1"/>
        <v>4.0000000000000029E-2</v>
      </c>
      <c r="G8">
        <f t="shared" si="1"/>
        <v>0</v>
      </c>
      <c r="H8">
        <f t="shared" si="1"/>
        <v>4.0000000000000008E-2</v>
      </c>
      <c r="I8">
        <f t="shared" si="1"/>
        <v>0.16000000000000003</v>
      </c>
      <c r="J8">
        <f t="shared" si="1"/>
        <v>0.3600000000000001</v>
      </c>
      <c r="K8">
        <f t="shared" si="1"/>
        <v>0.64000000000000012</v>
      </c>
      <c r="L8" s="185">
        <f t="shared" si="1"/>
        <v>1</v>
      </c>
      <c r="U8">
        <v>0</v>
      </c>
    </row>
    <row r="9" spans="1:21" x14ac:dyDescent="0.35">
      <c r="A9">
        <f t="shared" si="3"/>
        <v>0.2</v>
      </c>
      <c r="B9" s="163">
        <f t="shared" si="2"/>
        <v>1.24</v>
      </c>
      <c r="C9">
        <f t="shared" si="1"/>
        <v>0.84000000000000019</v>
      </c>
      <c r="D9">
        <f t="shared" si="1"/>
        <v>0.52000000000000013</v>
      </c>
      <c r="E9">
        <f t="shared" si="1"/>
        <v>0.28000000000000008</v>
      </c>
      <c r="F9">
        <f t="shared" si="1"/>
        <v>0.12000000000000005</v>
      </c>
      <c r="G9">
        <f t="shared" si="1"/>
        <v>4.0000000000000008E-2</v>
      </c>
      <c r="H9">
        <f t="shared" si="1"/>
        <v>4.0000000000000008E-2</v>
      </c>
      <c r="I9">
        <f t="shared" si="1"/>
        <v>0.12000000000000002</v>
      </c>
      <c r="J9">
        <f t="shared" si="1"/>
        <v>0.28000000000000014</v>
      </c>
      <c r="K9">
        <f t="shared" si="1"/>
        <v>0.52000000000000013</v>
      </c>
      <c r="L9" s="185">
        <f t="shared" si="1"/>
        <v>0.84000000000000008</v>
      </c>
      <c r="U9">
        <v>0.2</v>
      </c>
    </row>
    <row r="10" spans="1:21" x14ac:dyDescent="0.35">
      <c r="A10">
        <f t="shared" si="3"/>
        <v>0.4</v>
      </c>
      <c r="B10" s="163">
        <f t="shared" si="2"/>
        <v>1.56</v>
      </c>
      <c r="C10">
        <f t="shared" si="1"/>
        <v>1.1200000000000001</v>
      </c>
      <c r="D10">
        <f t="shared" si="1"/>
        <v>0.76000000000000023</v>
      </c>
      <c r="E10">
        <f t="shared" si="1"/>
        <v>0.48000000000000009</v>
      </c>
      <c r="F10">
        <f t="shared" si="1"/>
        <v>0.28000000000000008</v>
      </c>
      <c r="G10">
        <f t="shared" si="1"/>
        <v>0.16000000000000003</v>
      </c>
      <c r="H10">
        <f t="shared" si="1"/>
        <v>0.12000000000000002</v>
      </c>
      <c r="I10">
        <f t="shared" si="1"/>
        <v>0.16000000000000003</v>
      </c>
      <c r="J10">
        <f t="shared" si="1"/>
        <v>0.28000000000000008</v>
      </c>
      <c r="K10">
        <f t="shared" si="1"/>
        <v>0.48000000000000009</v>
      </c>
      <c r="L10" s="185">
        <f t="shared" si="1"/>
        <v>0.76000000000000012</v>
      </c>
      <c r="U10">
        <v>0.4</v>
      </c>
    </row>
    <row r="11" spans="1:21" x14ac:dyDescent="0.35">
      <c r="A11">
        <f t="shared" si="3"/>
        <v>0.60000000000000009</v>
      </c>
      <c r="B11" s="163">
        <f t="shared" si="2"/>
        <v>1.9600000000000002</v>
      </c>
      <c r="C11">
        <f t="shared" si="1"/>
        <v>1.4800000000000004</v>
      </c>
      <c r="D11">
        <f t="shared" si="1"/>
        <v>1.0800000000000003</v>
      </c>
      <c r="E11">
        <f t="shared" si="1"/>
        <v>0.76000000000000023</v>
      </c>
      <c r="F11">
        <f t="shared" si="1"/>
        <v>0.52000000000000024</v>
      </c>
      <c r="G11">
        <f t="shared" si="1"/>
        <v>0.3600000000000001</v>
      </c>
      <c r="H11">
        <f t="shared" si="1"/>
        <v>0.28000000000000014</v>
      </c>
      <c r="I11">
        <f t="shared" si="1"/>
        <v>0.28000000000000008</v>
      </c>
      <c r="J11">
        <f t="shared" si="1"/>
        <v>0.3600000000000001</v>
      </c>
      <c r="K11">
        <f t="shared" si="1"/>
        <v>0.52000000000000013</v>
      </c>
      <c r="L11" s="185">
        <f t="shared" si="1"/>
        <v>0.76</v>
      </c>
      <c r="U11">
        <v>0.60000000000000009</v>
      </c>
    </row>
    <row r="12" spans="1:21" x14ac:dyDescent="0.35">
      <c r="A12">
        <f t="shared" si="3"/>
        <v>0.8</v>
      </c>
      <c r="B12" s="163">
        <f t="shared" si="2"/>
        <v>2.4400000000000004</v>
      </c>
      <c r="C12">
        <f t="shared" si="1"/>
        <v>1.9200000000000004</v>
      </c>
      <c r="D12">
        <f t="shared" si="1"/>
        <v>1.4800000000000004</v>
      </c>
      <c r="E12">
        <f t="shared" si="1"/>
        <v>1.1200000000000001</v>
      </c>
      <c r="F12">
        <f t="shared" si="1"/>
        <v>0.84000000000000019</v>
      </c>
      <c r="G12">
        <f t="shared" si="1"/>
        <v>0.64000000000000012</v>
      </c>
      <c r="H12">
        <f t="shared" si="1"/>
        <v>0.52000000000000013</v>
      </c>
      <c r="I12">
        <f t="shared" si="1"/>
        <v>0.48000000000000009</v>
      </c>
      <c r="J12">
        <f t="shared" si="1"/>
        <v>0.52000000000000013</v>
      </c>
      <c r="K12">
        <f t="shared" si="1"/>
        <v>0.64000000000000012</v>
      </c>
      <c r="L12" s="185">
        <f t="shared" si="1"/>
        <v>0.84000000000000008</v>
      </c>
      <c r="U12">
        <v>0.8</v>
      </c>
    </row>
    <row r="13" spans="1:21" x14ac:dyDescent="0.35">
      <c r="A13">
        <f t="shared" si="3"/>
        <v>1</v>
      </c>
      <c r="B13" s="7">
        <f t="shared" si="2"/>
        <v>3</v>
      </c>
      <c r="C13" s="8">
        <f t="shared" si="1"/>
        <v>2.4400000000000004</v>
      </c>
      <c r="D13" s="8">
        <f t="shared" si="1"/>
        <v>1.9600000000000002</v>
      </c>
      <c r="E13" s="8">
        <f t="shared" si="1"/>
        <v>1.5600000000000003</v>
      </c>
      <c r="F13" s="8">
        <f t="shared" si="1"/>
        <v>1.2400000000000002</v>
      </c>
      <c r="G13" s="8">
        <f t="shared" si="1"/>
        <v>1</v>
      </c>
      <c r="H13" s="8">
        <f t="shared" si="1"/>
        <v>0.84000000000000008</v>
      </c>
      <c r="I13" s="8">
        <f t="shared" si="1"/>
        <v>0.76000000000000012</v>
      </c>
      <c r="J13" s="8">
        <f t="shared" si="1"/>
        <v>0.76</v>
      </c>
      <c r="K13" s="8">
        <f t="shared" si="1"/>
        <v>0.84000000000000008</v>
      </c>
      <c r="L13" s="9">
        <f t="shared" si="1"/>
        <v>1</v>
      </c>
      <c r="U13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ECA3-254D-41D1-889D-A043B3488CFB}">
  <sheetPr codeName="Sheet16"/>
  <dimension ref="A1:C17"/>
  <sheetViews>
    <sheetView workbookViewId="0">
      <selection activeCell="G2" sqref="G2"/>
    </sheetView>
  </sheetViews>
  <sheetFormatPr defaultRowHeight="14.5" x14ac:dyDescent="0.35"/>
  <sheetData>
    <row r="1" spans="1:3" x14ac:dyDescent="0.35">
      <c r="A1" s="154" t="s">
        <v>159</v>
      </c>
      <c r="B1" s="154" t="s">
        <v>160</v>
      </c>
      <c r="C1" s="154" t="s">
        <v>497</v>
      </c>
    </row>
    <row r="2" spans="1:3" x14ac:dyDescent="0.35">
      <c r="A2">
        <v>1</v>
      </c>
      <c r="B2">
        <v>3</v>
      </c>
      <c r="C2">
        <f>A2^2+B2^4</f>
        <v>82</v>
      </c>
    </row>
    <row r="4" spans="1:3" x14ac:dyDescent="0.35">
      <c r="A4" t="e" cm="1">
        <f t="array" aca="1" ref="A4" ca="1">FUNC2D(C2,-1,1,-1.2,0.8,0.2,0.2)</f>
        <v>#NAME?</v>
      </c>
    </row>
    <row r="17" spans="2:2" x14ac:dyDescent="0.35">
      <c r="B17" t="s">
        <v>589</v>
      </c>
    </row>
  </sheetData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3DE4-FAA1-477F-99E7-95D8CFC7CFD9}">
  <sheetPr codeName="Sheet18"/>
  <dimension ref="A1:C17"/>
  <sheetViews>
    <sheetView workbookViewId="0">
      <selection sqref="A1:C1"/>
    </sheetView>
  </sheetViews>
  <sheetFormatPr defaultRowHeight="14.5" x14ac:dyDescent="0.35"/>
  <sheetData>
    <row r="1" spans="1:3" x14ac:dyDescent="0.35">
      <c r="A1" s="154" t="s">
        <v>159</v>
      </c>
      <c r="B1" s="154" t="s">
        <v>160</v>
      </c>
      <c r="C1" s="154" t="s">
        <v>497</v>
      </c>
    </row>
    <row r="2" spans="1:3" x14ac:dyDescent="0.35">
      <c r="A2">
        <v>1</v>
      </c>
      <c r="B2">
        <v>3</v>
      </c>
      <c r="C2">
        <f>A2^2+B2^4</f>
        <v>82</v>
      </c>
    </row>
    <row r="4" spans="1:3" x14ac:dyDescent="0.35">
      <c r="A4" t="e" cm="1">
        <f t="array" aca="1" ref="A4" ca="1">FUNC2D(C2,-1,1,-1.2,1.2,0.2,0.2)</f>
        <v>#NAME?</v>
      </c>
    </row>
    <row r="17" spans="2:2" x14ac:dyDescent="0.35">
      <c r="B17" t="s">
        <v>590</v>
      </c>
    </row>
  </sheetData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F157-87F1-4BCB-9B66-E2BD4FB075D1}">
  <sheetPr codeName="Sheet19"/>
  <dimension ref="A1:M20"/>
  <sheetViews>
    <sheetView workbookViewId="0">
      <selection activeCell="A5" sqref="A5"/>
    </sheetView>
  </sheetViews>
  <sheetFormatPr defaultRowHeight="14.5" x14ac:dyDescent="0.35"/>
  <cols>
    <col min="1" max="1" width="4.81640625" customWidth="1"/>
    <col min="2" max="13" width="6.6328125" customWidth="1"/>
  </cols>
  <sheetData>
    <row r="1" spans="1:13" x14ac:dyDescent="0.35">
      <c r="A1" s="154" t="s">
        <v>159</v>
      </c>
      <c r="B1" s="154" t="s">
        <v>160</v>
      </c>
      <c r="C1" s="154" t="s">
        <v>497</v>
      </c>
    </row>
    <row r="2" spans="1:13" x14ac:dyDescent="0.35">
      <c r="A2">
        <v>1</v>
      </c>
      <c r="B2">
        <v>3</v>
      </c>
      <c r="C2">
        <f>A2^2+B2^4</f>
        <v>82</v>
      </c>
      <c r="E2" s="208" t="e" cm="1">
        <f t="array" aca="1" ref="E2" ca="1">FTEXT(C2)</f>
        <v>#NAME?</v>
      </c>
      <c r="F2" s="208"/>
    </row>
    <row r="4" spans="1:13" x14ac:dyDescent="0.35">
      <c r="A4" t="e" cm="1">
        <f t="array" aca="1" ref="A4" ca="1">FUNC2D(C2,-1,1.6,-1.2,1,0.2,0.2)</f>
        <v>#NAME?</v>
      </c>
    </row>
    <row r="5" spans="1:13" x14ac:dyDescent="0.35"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4"/>
    </row>
    <row r="6" spans="1:13" x14ac:dyDescent="0.35">
      <c r="B6" s="163"/>
      <c r="M6" s="185"/>
    </row>
    <row r="7" spans="1:13" x14ac:dyDescent="0.35">
      <c r="B7" s="163"/>
      <c r="M7" s="185"/>
    </row>
    <row r="8" spans="1:13" x14ac:dyDescent="0.35">
      <c r="B8" s="163"/>
      <c r="M8" s="185"/>
    </row>
    <row r="9" spans="1:13" x14ac:dyDescent="0.35">
      <c r="B9" s="163"/>
      <c r="M9" s="185"/>
    </row>
    <row r="10" spans="1:13" x14ac:dyDescent="0.35">
      <c r="B10" s="163"/>
      <c r="M10" s="185"/>
    </row>
    <row r="11" spans="1:13" x14ac:dyDescent="0.35">
      <c r="B11" s="163"/>
      <c r="M11" s="185"/>
    </row>
    <row r="12" spans="1:13" x14ac:dyDescent="0.35">
      <c r="B12" s="163"/>
      <c r="M12" s="185"/>
    </row>
    <row r="13" spans="1:13" x14ac:dyDescent="0.35">
      <c r="B13" s="163"/>
      <c r="M13" s="185"/>
    </row>
    <row r="14" spans="1:13" x14ac:dyDescent="0.35">
      <c r="B14" s="163"/>
      <c r="M14" s="185"/>
    </row>
    <row r="15" spans="1:13" x14ac:dyDescent="0.35">
      <c r="B15" s="163"/>
      <c r="M15" s="185"/>
    </row>
    <row r="16" spans="1:13" x14ac:dyDescent="0.35">
      <c r="B16" s="163"/>
      <c r="M16" s="185"/>
    </row>
    <row r="17" spans="2:13" x14ac:dyDescent="0.35">
      <c r="B17" s="163"/>
      <c r="M17" s="185"/>
    </row>
    <row r="18" spans="2:13" x14ac:dyDescent="0.3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20" spans="2:13" x14ac:dyDescent="0.35">
      <c r="B20" t="s">
        <v>591</v>
      </c>
    </row>
  </sheetData>
  <mergeCells count="1">
    <mergeCell ref="E2:F2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032E-2C6D-4E9C-89B2-5DB61E0813B2}">
  <sheetPr codeName="Sheet29"/>
  <dimension ref="A1:J43"/>
  <sheetViews>
    <sheetView workbookViewId="0"/>
  </sheetViews>
  <sheetFormatPr defaultRowHeight="14.5" x14ac:dyDescent="0.35"/>
  <cols>
    <col min="1" max="2" width="5" customWidth="1"/>
    <col min="3" max="3" width="8.7265625" customWidth="1"/>
    <col min="4" max="4" width="2.26953125" customWidth="1"/>
    <col min="5" max="5" width="6.1796875" customWidth="1"/>
    <col min="6" max="6" width="8.7265625" customWidth="1"/>
  </cols>
  <sheetData>
    <row r="1" spans="1:10" x14ac:dyDescent="0.35">
      <c r="A1" s="160" t="s">
        <v>159</v>
      </c>
      <c r="B1" s="160" t="s">
        <v>160</v>
      </c>
      <c r="C1" s="160" t="s">
        <v>497</v>
      </c>
      <c r="E1" s="159" t="s">
        <v>505</v>
      </c>
      <c r="F1" s="159" t="s">
        <v>611</v>
      </c>
      <c r="G1" s="159" t="s">
        <v>610</v>
      </c>
      <c r="H1" s="159" t="s">
        <v>497</v>
      </c>
      <c r="I1" s="205" t="s">
        <v>609</v>
      </c>
      <c r="J1" s="205"/>
    </row>
    <row r="2" spans="1:10" x14ac:dyDescent="0.35">
      <c r="A2" s="159">
        <v>2</v>
      </c>
      <c r="B2" s="159">
        <v>5</v>
      </c>
      <c r="C2">
        <f>A2*B2+2/A2+4/B2</f>
        <v>11.8</v>
      </c>
      <c r="E2" s="189">
        <v>2</v>
      </c>
      <c r="F2" s="62" t="e" cm="1">
        <f t="array" aca="1" ref="F2" ca="1">MNEWTON2(C2,E2,E3,,,,A2,B2)</f>
        <v>#NAME?</v>
      </c>
      <c r="G2" s="65"/>
      <c r="H2" s="63"/>
      <c r="I2" s="62"/>
      <c r="J2" s="64"/>
    </row>
    <row r="3" spans="1:10" x14ac:dyDescent="0.35">
      <c r="E3" s="140">
        <v>5</v>
      </c>
      <c r="F3" s="7"/>
      <c r="G3" s="14"/>
      <c r="H3" s="8"/>
      <c r="I3" s="7"/>
      <c r="J3" s="9"/>
    </row>
    <row r="4" spans="1:10" x14ac:dyDescent="0.35">
      <c r="E4" s="189">
        <v>10</v>
      </c>
      <c r="F4" s="62" t="e" cm="1">
        <f t="array" aca="1" ref="F4" ca="1">MNEWTON2(C2,E4,E5,,,,A2,B2)</f>
        <v>#NAME?</v>
      </c>
      <c r="G4" s="65"/>
      <c r="H4" s="63"/>
      <c r="I4" s="62"/>
      <c r="J4" s="64"/>
    </row>
    <row r="5" spans="1:10" x14ac:dyDescent="0.35">
      <c r="E5" s="140">
        <v>10</v>
      </c>
      <c r="F5" s="7"/>
      <c r="G5" s="14"/>
      <c r="H5" s="8"/>
      <c r="I5" s="7"/>
      <c r="J5" s="9"/>
    </row>
    <row r="6" spans="1:10" x14ac:dyDescent="0.35">
      <c r="E6" s="189">
        <v>-1</v>
      </c>
      <c r="F6" s="62" t="e" cm="1">
        <f t="array" aca="1" ref="F6" ca="1">MNEWTON2(C2,E6,E7,,,,A2,B2)</f>
        <v>#NAME?</v>
      </c>
      <c r="G6" s="65"/>
      <c r="H6" s="63"/>
      <c r="I6" s="62"/>
      <c r="J6" s="64"/>
    </row>
    <row r="7" spans="1:10" x14ac:dyDescent="0.35">
      <c r="E7" s="140">
        <v>4</v>
      </c>
      <c r="F7" s="7"/>
      <c r="G7" s="14"/>
      <c r="H7" s="8"/>
      <c r="I7" s="7"/>
      <c r="J7" s="9"/>
    </row>
    <row r="8" spans="1:10" x14ac:dyDescent="0.35">
      <c r="E8" s="159"/>
    </row>
    <row r="9" spans="1:10" x14ac:dyDescent="0.35">
      <c r="A9" s="160" t="s">
        <v>159</v>
      </c>
      <c r="B9" s="160" t="s">
        <v>160</v>
      </c>
      <c r="C9" s="160" t="s">
        <v>497</v>
      </c>
      <c r="E9" s="159" t="s">
        <v>505</v>
      </c>
      <c r="F9" s="159" t="s">
        <v>611</v>
      </c>
      <c r="G9" s="159" t="s">
        <v>610</v>
      </c>
      <c r="H9" s="159" t="s">
        <v>497</v>
      </c>
      <c r="I9" s="205" t="s">
        <v>609</v>
      </c>
      <c r="J9" s="205"/>
    </row>
    <row r="10" spans="1:10" x14ac:dyDescent="0.35">
      <c r="A10" s="159">
        <v>2</v>
      </c>
      <c r="B10" s="159">
        <v>5</v>
      </c>
      <c r="C10">
        <f>(8*A10-A10^2)*(8*B10-B10^2)</f>
        <v>180</v>
      </c>
      <c r="E10" s="189">
        <v>2</v>
      </c>
      <c r="F10" s="62" t="e" cm="1">
        <f t="array" aca="1" ref="F10" ca="1">MNEWTON2(C10,E10,E11,,,,A10,B10)</f>
        <v>#NAME?</v>
      </c>
      <c r="G10" s="65"/>
      <c r="H10" s="63"/>
      <c r="I10" s="62"/>
      <c r="J10" s="64"/>
    </row>
    <row r="11" spans="1:10" x14ac:dyDescent="0.35">
      <c r="E11" s="140">
        <v>5</v>
      </c>
      <c r="F11" s="7"/>
      <c r="G11" s="14"/>
      <c r="H11" s="8"/>
      <c r="I11" s="7"/>
      <c r="J11" s="9"/>
    </row>
    <row r="12" spans="1:10" x14ac:dyDescent="0.35">
      <c r="E12" s="189">
        <v>10</v>
      </c>
      <c r="F12" s="62" t="e" cm="1">
        <f t="array" aca="1" ref="F12" ca="1">MNEWTON2(C10,E12,E13,,,,A10,B10)</f>
        <v>#NAME?</v>
      </c>
      <c r="G12" s="65"/>
      <c r="H12" s="63"/>
      <c r="I12" s="62"/>
      <c r="J12" s="64"/>
    </row>
    <row r="13" spans="1:10" x14ac:dyDescent="0.35">
      <c r="E13" s="140">
        <v>10</v>
      </c>
      <c r="F13" s="7"/>
      <c r="G13" s="14"/>
      <c r="H13" s="8"/>
      <c r="I13" s="7"/>
      <c r="J13" s="9"/>
    </row>
    <row r="14" spans="1:10" x14ac:dyDescent="0.35">
      <c r="E14" s="189">
        <v>5</v>
      </c>
      <c r="F14" s="62" t="e" cm="1">
        <f t="array" aca="1" ref="F14" ca="1">MNEWTON2(C10,E14,E15,,,,A10,B10)</f>
        <v>#NAME?</v>
      </c>
      <c r="G14" s="65"/>
      <c r="H14" s="63"/>
      <c r="I14" s="62"/>
      <c r="J14" s="64"/>
    </row>
    <row r="15" spans="1:10" x14ac:dyDescent="0.35">
      <c r="E15" s="140">
        <v>-1</v>
      </c>
      <c r="F15" s="7"/>
      <c r="G15" s="14"/>
      <c r="H15" s="8"/>
      <c r="I15" s="7"/>
      <c r="J15" s="9"/>
    </row>
    <row r="16" spans="1:10" x14ac:dyDescent="0.35">
      <c r="E16" s="159"/>
    </row>
    <row r="17" spans="1:10" x14ac:dyDescent="0.35">
      <c r="A17" s="160" t="s">
        <v>159</v>
      </c>
      <c r="B17" s="160" t="s">
        <v>160</v>
      </c>
      <c r="C17" s="160" t="s">
        <v>497</v>
      </c>
      <c r="E17" s="159" t="s">
        <v>505</v>
      </c>
      <c r="F17" s="159" t="s">
        <v>611</v>
      </c>
      <c r="G17" s="159" t="s">
        <v>610</v>
      </c>
      <c r="H17" s="159" t="s">
        <v>497</v>
      </c>
      <c r="I17" s="204" t="s">
        <v>609</v>
      </c>
      <c r="J17" s="204"/>
    </row>
    <row r="18" spans="1:10" x14ac:dyDescent="0.35">
      <c r="A18" s="159">
        <v>2</v>
      </c>
      <c r="B18" s="159">
        <v>5</v>
      </c>
      <c r="C18">
        <f>A18*EXP(A18)-B18^3+LN(B18)</f>
        <v>-108.61244988970459</v>
      </c>
      <c r="E18" s="189">
        <v>2</v>
      </c>
      <c r="F18" s="62" t="e" cm="1">
        <f t="array" aca="1" ref="F18" ca="1">MNEWTON2(C18,E18,E19)</f>
        <v>#NAME?</v>
      </c>
      <c r="G18" s="65"/>
      <c r="H18" s="63"/>
      <c r="I18" s="62"/>
      <c r="J18" s="64"/>
    </row>
    <row r="19" spans="1:10" x14ac:dyDescent="0.35">
      <c r="E19" s="140">
        <v>5</v>
      </c>
      <c r="F19" s="7"/>
      <c r="G19" s="14"/>
      <c r="H19" s="8"/>
      <c r="I19" s="7"/>
      <c r="J19" s="9"/>
    </row>
    <row r="20" spans="1:10" x14ac:dyDescent="0.35">
      <c r="E20" s="189">
        <v>-1</v>
      </c>
      <c r="F20" s="62" t="e" cm="1">
        <f t="array" aca="1" ref="F20" ca="1">MNEWTON2(C18,E20,E21)</f>
        <v>#NAME?</v>
      </c>
      <c r="G20" s="65"/>
      <c r="H20" s="63"/>
      <c r="I20" s="62"/>
      <c r="J20" s="64"/>
    </row>
    <row r="21" spans="1:10" x14ac:dyDescent="0.35">
      <c r="E21" s="140">
        <v>4</v>
      </c>
      <c r="F21" s="7"/>
      <c r="G21" s="14"/>
      <c r="H21" s="8"/>
      <c r="I21" s="7"/>
      <c r="J21" s="9"/>
    </row>
    <row r="23" spans="1:10" x14ac:dyDescent="0.35">
      <c r="A23" s="160" t="s">
        <v>159</v>
      </c>
      <c r="B23" s="160" t="s">
        <v>160</v>
      </c>
      <c r="C23" s="160" t="s">
        <v>497</v>
      </c>
      <c r="E23" s="159" t="s">
        <v>505</v>
      </c>
      <c r="F23" s="159" t="s">
        <v>611</v>
      </c>
      <c r="G23" s="159" t="s">
        <v>610</v>
      </c>
      <c r="H23" s="159" t="s">
        <v>497</v>
      </c>
      <c r="I23" s="205" t="s">
        <v>609</v>
      </c>
      <c r="J23" s="205"/>
    </row>
    <row r="24" spans="1:10" x14ac:dyDescent="0.35">
      <c r="A24" s="159">
        <v>2</v>
      </c>
      <c r="B24" s="159">
        <v>5</v>
      </c>
      <c r="C24">
        <f>A24^2+B24^4</f>
        <v>629</v>
      </c>
      <c r="E24" s="189">
        <v>0</v>
      </c>
      <c r="F24" s="62" t="e" cm="1">
        <f t="array" aca="1" ref="F24" ca="1">MNEWTON2(C24,E24,E25,,,,A24,B24)</f>
        <v>#NAME?</v>
      </c>
      <c r="G24" s="65"/>
      <c r="H24" s="63"/>
      <c r="I24" s="62"/>
      <c r="J24" s="64"/>
    </row>
    <row r="25" spans="1:10" x14ac:dyDescent="0.35">
      <c r="E25" s="140">
        <v>0</v>
      </c>
      <c r="F25" s="7"/>
      <c r="G25" s="14"/>
      <c r="H25" s="8"/>
      <c r="I25" s="7"/>
      <c r="J25" s="9"/>
    </row>
    <row r="26" spans="1:10" x14ac:dyDescent="0.35">
      <c r="E26" s="189">
        <v>0.1</v>
      </c>
      <c r="F26" s="62" t="e" cm="1">
        <f t="array" aca="1" ref="F26" ca="1">MNEWTON2(C24,E26,E27,,0.00000000001,0.000000001,A24,B24)</f>
        <v>#NAME?</v>
      </c>
      <c r="G26" s="65"/>
      <c r="H26" s="63"/>
      <c r="I26" s="62"/>
      <c r="J26" s="64"/>
    </row>
    <row r="27" spans="1:10" x14ac:dyDescent="0.35">
      <c r="E27" s="140">
        <v>0.1</v>
      </c>
      <c r="F27" s="7"/>
      <c r="G27" s="14"/>
      <c r="H27" s="8"/>
      <c r="I27" s="7"/>
      <c r="J27" s="9"/>
    </row>
    <row r="28" spans="1:10" x14ac:dyDescent="0.35">
      <c r="E28" s="189">
        <v>2</v>
      </c>
      <c r="F28" s="62" t="e" cm="1">
        <f t="array" aca="1" ref="F28" ca="1">MNEWTON2(C24,E28,E29,,,,A24,B24)</f>
        <v>#NAME?</v>
      </c>
      <c r="G28" s="65"/>
      <c r="H28" s="63"/>
      <c r="I28" s="62"/>
      <c r="J28" s="64"/>
    </row>
    <row r="29" spans="1:10" x14ac:dyDescent="0.35">
      <c r="E29" s="140">
        <v>5</v>
      </c>
      <c r="F29" s="7"/>
      <c r="G29" s="14"/>
      <c r="H29" s="8"/>
      <c r="I29" s="7"/>
      <c r="J29" s="9"/>
    </row>
    <row r="30" spans="1:10" x14ac:dyDescent="0.35">
      <c r="E30" s="159"/>
    </row>
    <row r="31" spans="1:10" x14ac:dyDescent="0.35">
      <c r="A31" s="160" t="s">
        <v>159</v>
      </c>
      <c r="B31" s="160" t="s">
        <v>160</v>
      </c>
      <c r="C31" s="160" t="s">
        <v>497</v>
      </c>
      <c r="E31" s="159" t="s">
        <v>505</v>
      </c>
      <c r="F31" s="159" t="s">
        <v>611</v>
      </c>
      <c r="G31" s="159" t="s">
        <v>610</v>
      </c>
      <c r="H31" s="159" t="s">
        <v>497</v>
      </c>
      <c r="I31" s="205" t="s">
        <v>609</v>
      </c>
      <c r="J31" s="205"/>
    </row>
    <row r="32" spans="1:10" x14ac:dyDescent="0.35">
      <c r="A32" s="159">
        <v>2</v>
      </c>
      <c r="B32" s="159">
        <v>5</v>
      </c>
      <c r="C32">
        <f>A32^2-B32^4</f>
        <v>-621</v>
      </c>
      <c r="E32" s="189">
        <v>2</v>
      </c>
      <c r="F32" s="62" t="e" cm="1">
        <f t="array" aca="1" ref="F32" ca="1">MNEWTON2(C32,E32,E33,,,,A32,B32)</f>
        <v>#NAME?</v>
      </c>
      <c r="G32" s="65"/>
      <c r="H32" s="63"/>
      <c r="I32" s="62"/>
      <c r="J32" s="64"/>
    </row>
    <row r="33" spans="1:10" x14ac:dyDescent="0.35">
      <c r="E33" s="140">
        <v>5</v>
      </c>
      <c r="F33" s="7"/>
      <c r="G33" s="14"/>
      <c r="H33" s="8"/>
      <c r="I33" s="7"/>
      <c r="J33" s="9"/>
    </row>
    <row r="34" spans="1:10" x14ac:dyDescent="0.35">
      <c r="E34" s="189">
        <v>0.1</v>
      </c>
      <c r="F34" s="62" t="e" cm="1">
        <f t="array" aca="1" ref="F34" ca="1">MNEWTON2(C32,E34,E35,,0.00000000001,0.000000001,A32,B32)</f>
        <v>#NAME?</v>
      </c>
      <c r="G34" s="65"/>
      <c r="H34" s="63"/>
      <c r="I34" s="62"/>
      <c r="J34" s="64"/>
    </row>
    <row r="35" spans="1:10" x14ac:dyDescent="0.35">
      <c r="E35" s="140">
        <v>0.1</v>
      </c>
      <c r="F35" s="7"/>
      <c r="G35" s="14"/>
      <c r="H35" s="8"/>
      <c r="I35" s="7"/>
      <c r="J35" s="9"/>
    </row>
    <row r="36" spans="1:10" x14ac:dyDescent="0.35">
      <c r="E36" s="189">
        <v>0</v>
      </c>
      <c r="F36" s="62" t="e" cm="1">
        <f t="array" aca="1" ref="F36" ca="1">MNEWTON2(C32,E36,E37,,,,A32,B32)</f>
        <v>#NAME?</v>
      </c>
      <c r="G36" s="65"/>
      <c r="H36" s="63"/>
      <c r="I36" s="62"/>
      <c r="J36" s="64"/>
    </row>
    <row r="37" spans="1:10" x14ac:dyDescent="0.35">
      <c r="E37" s="140">
        <v>0</v>
      </c>
      <c r="F37" s="7"/>
      <c r="G37" s="14"/>
      <c r="H37" s="8"/>
      <c r="I37" s="7"/>
      <c r="J37" s="9"/>
    </row>
    <row r="39" spans="1:10" x14ac:dyDescent="0.35">
      <c r="A39" s="160" t="s">
        <v>159</v>
      </c>
      <c r="B39" s="160" t="s">
        <v>160</v>
      </c>
      <c r="C39" s="160" t="s">
        <v>497</v>
      </c>
      <c r="E39" s="159" t="s">
        <v>505</v>
      </c>
      <c r="F39" s="159" t="s">
        <v>611</v>
      </c>
      <c r="G39" s="159" t="s">
        <v>610</v>
      </c>
      <c r="H39" s="159" t="s">
        <v>497</v>
      </c>
      <c r="I39" s="205" t="s">
        <v>609</v>
      </c>
      <c r="J39" s="205"/>
    </row>
    <row r="40" spans="1:10" x14ac:dyDescent="0.35">
      <c r="A40" s="159">
        <v>2</v>
      </c>
      <c r="B40" s="159">
        <v>5</v>
      </c>
      <c r="C40">
        <f>A40^2+B40^2-A40*B40</f>
        <v>19</v>
      </c>
      <c r="E40" s="189">
        <v>2</v>
      </c>
      <c r="F40" s="62" t="e" cm="1">
        <f t="array" aca="1" ref="F40" ca="1">MNEWTON2(C40,E40,E41,,,,A40,B40)</f>
        <v>#NAME?</v>
      </c>
      <c r="G40" s="65"/>
      <c r="H40" s="63"/>
      <c r="I40" s="62"/>
      <c r="J40" s="64"/>
    </row>
    <row r="41" spans="1:10" x14ac:dyDescent="0.35">
      <c r="E41" s="140">
        <v>5</v>
      </c>
      <c r="F41" s="7"/>
      <c r="G41" s="14"/>
      <c r="H41" s="8"/>
      <c r="I41" s="7"/>
      <c r="J41" s="9"/>
    </row>
    <row r="42" spans="1:10" x14ac:dyDescent="0.35">
      <c r="E42" s="189">
        <v>0</v>
      </c>
      <c r="F42" s="62" t="e" cm="1">
        <f t="array" aca="1" ref="F42" ca="1">MNEWTON2(C40,E42,E43,,,,A40,B40)</f>
        <v>#NAME?</v>
      </c>
      <c r="G42" s="65"/>
      <c r="H42" s="63"/>
      <c r="I42" s="62"/>
      <c r="J42" s="64"/>
    </row>
    <row r="43" spans="1:10" x14ac:dyDescent="0.35">
      <c r="E43" s="140">
        <v>0</v>
      </c>
      <c r="F43" s="7"/>
      <c r="G43" s="14"/>
      <c r="H43" s="8"/>
      <c r="I43" s="7"/>
      <c r="J43" s="9"/>
    </row>
  </sheetData>
  <mergeCells count="6">
    <mergeCell ref="I39:J39"/>
    <mergeCell ref="I17:J17"/>
    <mergeCell ref="I23:J23"/>
    <mergeCell ref="I31:J31"/>
    <mergeCell ref="I1:J1"/>
    <mergeCell ref="I9:J9"/>
  </mergeCells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708E-8414-4333-8B06-86125D2BA141}">
  <sheetPr codeName="Sheet65"/>
  <dimension ref="A1:L21"/>
  <sheetViews>
    <sheetView workbookViewId="0"/>
  </sheetViews>
  <sheetFormatPr defaultRowHeight="14.5" x14ac:dyDescent="0.35"/>
  <cols>
    <col min="1" max="3" width="5" customWidth="1"/>
    <col min="5" max="5" width="2.26953125" customWidth="1"/>
    <col min="7" max="7" width="8.7265625" customWidth="1"/>
  </cols>
  <sheetData>
    <row r="1" spans="1:12" x14ac:dyDescent="0.35">
      <c r="A1" s="160" t="s">
        <v>159</v>
      </c>
      <c r="B1" s="160" t="s">
        <v>160</v>
      </c>
      <c r="C1" s="160" t="s">
        <v>301</v>
      </c>
      <c r="D1" s="160" t="s">
        <v>612</v>
      </c>
      <c r="F1" s="159" t="s">
        <v>505</v>
      </c>
      <c r="G1" s="159" t="s">
        <v>613</v>
      </c>
      <c r="H1" s="159" t="s">
        <v>610</v>
      </c>
      <c r="I1" s="159" t="s">
        <v>612</v>
      </c>
      <c r="J1" s="205" t="s">
        <v>609</v>
      </c>
      <c r="K1" s="205"/>
      <c r="L1" s="205"/>
    </row>
    <row r="2" spans="1:12" x14ac:dyDescent="0.35">
      <c r="A2" s="159">
        <v>1</v>
      </c>
      <c r="B2" s="159">
        <v>2</v>
      </c>
      <c r="C2" s="159">
        <v>3</v>
      </c>
      <c r="D2">
        <f>A2^3+B2^2+2*C2^2+A2*C2^2-3*A2^2</f>
        <v>29</v>
      </c>
      <c r="F2" s="132">
        <v>8</v>
      </c>
      <c r="G2" s="62" t="e" cm="1">
        <f t="array" aca="1" ref="G2" ca="1">MNEWTON3(D2,F2,F3,F4)</f>
        <v>#NAME?</v>
      </c>
      <c r="H2" s="65"/>
      <c r="I2" s="62"/>
      <c r="J2" s="62"/>
      <c r="K2" s="63"/>
      <c r="L2" s="64"/>
    </row>
    <row r="3" spans="1:12" x14ac:dyDescent="0.35">
      <c r="F3" s="192">
        <v>0</v>
      </c>
      <c r="G3" s="191"/>
      <c r="H3" s="190"/>
      <c r="I3" s="191"/>
      <c r="J3" s="191"/>
      <c r="L3" s="185"/>
    </row>
    <row r="4" spans="1:12" x14ac:dyDescent="0.35">
      <c r="F4" s="133">
        <v>0</v>
      </c>
      <c r="G4" s="7"/>
      <c r="H4" s="14"/>
      <c r="I4" s="7"/>
      <c r="J4" s="7"/>
      <c r="K4" s="8"/>
      <c r="L4" s="9"/>
    </row>
    <row r="5" spans="1:12" x14ac:dyDescent="0.35">
      <c r="F5" s="192">
        <v>1</v>
      </c>
      <c r="G5" s="62" t="e" cm="1">
        <f t="array" aca="1" ref="G5" ca="1">MNEWTON3(D2,F5,F6,F7)</f>
        <v>#NAME?</v>
      </c>
      <c r="H5" s="65"/>
      <c r="I5" s="62"/>
      <c r="J5" s="62"/>
      <c r="K5" s="63"/>
      <c r="L5" s="64"/>
    </row>
    <row r="6" spans="1:12" x14ac:dyDescent="0.35">
      <c r="F6" s="192">
        <v>2</v>
      </c>
      <c r="G6" s="191"/>
      <c r="H6" s="190"/>
      <c r="I6" s="191"/>
      <c r="J6" s="191"/>
      <c r="L6" s="185"/>
    </row>
    <row r="7" spans="1:12" x14ac:dyDescent="0.35">
      <c r="F7" s="133">
        <v>3</v>
      </c>
      <c r="G7" s="7"/>
      <c r="H7" s="14"/>
      <c r="I7" s="7"/>
      <c r="J7" s="7"/>
      <c r="K7" s="8"/>
      <c r="L7" s="9"/>
    </row>
    <row r="9" spans="1:12" x14ac:dyDescent="0.35">
      <c r="A9" s="160" t="s">
        <v>159</v>
      </c>
      <c r="B9" s="160" t="s">
        <v>160</v>
      </c>
      <c r="C9" s="160" t="s">
        <v>301</v>
      </c>
      <c r="D9" s="160" t="s">
        <v>612</v>
      </c>
      <c r="F9" s="159" t="s">
        <v>505</v>
      </c>
      <c r="G9" s="159" t="s">
        <v>613</v>
      </c>
      <c r="H9" s="159" t="s">
        <v>610</v>
      </c>
      <c r="I9" s="159" t="s">
        <v>612</v>
      </c>
      <c r="J9" s="205" t="s">
        <v>609</v>
      </c>
      <c r="K9" s="205"/>
      <c r="L9" s="205"/>
    </row>
    <row r="10" spans="1:12" x14ac:dyDescent="0.35">
      <c r="A10" s="159">
        <v>1</v>
      </c>
      <c r="B10" s="159">
        <v>2</v>
      </c>
      <c r="C10" s="159">
        <v>3</v>
      </c>
      <c r="D10">
        <f>2*A10*B10^2+C10^2-4*A10*B10+A10^2-2*C10</f>
        <v>4</v>
      </c>
      <c r="F10" s="132">
        <v>-3</v>
      </c>
      <c r="G10" s="62" t="e" cm="1">
        <f t="array" aca="1" ref="G10" ca="1">MNEWTON3(D10,F10,F11,F12)</f>
        <v>#NAME?</v>
      </c>
      <c r="H10" s="65"/>
      <c r="I10" s="62"/>
      <c r="J10" s="62"/>
      <c r="K10" s="63"/>
      <c r="L10" s="64"/>
    </row>
    <row r="11" spans="1:12" x14ac:dyDescent="0.35">
      <c r="F11" s="192">
        <v>-1</v>
      </c>
      <c r="G11" s="191"/>
      <c r="H11" s="190"/>
      <c r="I11" s="191"/>
      <c r="J11" s="191"/>
      <c r="L11" s="185"/>
    </row>
    <row r="12" spans="1:12" x14ac:dyDescent="0.35">
      <c r="F12" s="133">
        <v>1</v>
      </c>
      <c r="G12" s="7"/>
      <c r="H12" s="14"/>
      <c r="I12" s="7"/>
      <c r="J12" s="7"/>
      <c r="K12" s="8"/>
      <c r="L12" s="9"/>
    </row>
    <row r="13" spans="1:12" x14ac:dyDescent="0.35">
      <c r="F13" s="192">
        <v>3</v>
      </c>
      <c r="G13" s="62" t="e" cm="1">
        <f t="array" aca="1" ref="G13" ca="1">MNEWTON3(D10,F13,F14,F15)</f>
        <v>#NAME?</v>
      </c>
      <c r="H13" s="65"/>
      <c r="I13" s="62"/>
      <c r="J13" s="62"/>
      <c r="K13" s="63"/>
      <c r="L13" s="64"/>
    </row>
    <row r="14" spans="1:12" x14ac:dyDescent="0.35">
      <c r="F14" s="192">
        <v>3</v>
      </c>
      <c r="G14" s="191"/>
      <c r="H14" s="190"/>
      <c r="I14" s="191"/>
      <c r="J14" s="191"/>
      <c r="L14" s="185"/>
    </row>
    <row r="15" spans="1:12" x14ac:dyDescent="0.35">
      <c r="F15" s="133">
        <v>3</v>
      </c>
      <c r="G15" s="7"/>
      <c r="H15" s="14"/>
      <c r="I15" s="7"/>
      <c r="J15" s="7"/>
      <c r="K15" s="8"/>
      <c r="L15" s="9"/>
    </row>
    <row r="16" spans="1:12" x14ac:dyDescent="0.35">
      <c r="F16" s="192">
        <v>5</v>
      </c>
      <c r="G16" s="62" t="e" cm="1">
        <f t="array" aca="1" ref="G16" ca="1">MNEWTON3(D10,F16,F17,F18)</f>
        <v>#NAME?</v>
      </c>
      <c r="H16" s="65"/>
      <c r="I16" s="62"/>
      <c r="J16" s="62"/>
      <c r="K16" s="63"/>
      <c r="L16" s="64"/>
    </row>
    <row r="17" spans="6:12" x14ac:dyDescent="0.35">
      <c r="F17" s="192">
        <v>1</v>
      </c>
      <c r="G17" s="191"/>
      <c r="H17" s="190"/>
      <c r="I17" s="191"/>
      <c r="J17" s="191"/>
      <c r="L17" s="185"/>
    </row>
    <row r="18" spans="6:12" x14ac:dyDescent="0.35">
      <c r="F18" s="133">
        <v>5</v>
      </c>
      <c r="G18" s="7"/>
      <c r="H18" s="14"/>
      <c r="I18" s="7"/>
      <c r="J18" s="7"/>
      <c r="K18" s="8"/>
      <c r="L18" s="9"/>
    </row>
    <row r="19" spans="6:12" x14ac:dyDescent="0.35">
      <c r="F19" s="192">
        <v>1</v>
      </c>
      <c r="G19" s="62" t="e" cm="1">
        <f t="array" aca="1" ref="G19" ca="1">MNEWTON3(D10,F19,F20,F21)</f>
        <v>#NAME?</v>
      </c>
      <c r="H19" s="65"/>
      <c r="I19" s="62"/>
      <c r="J19" s="62"/>
      <c r="K19" s="63"/>
      <c r="L19" s="64"/>
    </row>
    <row r="20" spans="6:12" x14ac:dyDescent="0.35">
      <c r="F20" s="192">
        <v>2</v>
      </c>
      <c r="G20" s="191"/>
      <c r="H20" s="190"/>
      <c r="I20" s="163"/>
      <c r="J20" s="163"/>
      <c r="L20" s="185"/>
    </row>
    <row r="21" spans="6:12" x14ac:dyDescent="0.35">
      <c r="F21" s="133">
        <v>3</v>
      </c>
      <c r="G21" s="7"/>
      <c r="H21" s="14"/>
      <c r="I21" s="7"/>
      <c r="J21" s="7"/>
      <c r="K21" s="8"/>
      <c r="L21" s="9"/>
    </row>
  </sheetData>
  <mergeCells count="2">
    <mergeCell ref="J1:L1"/>
    <mergeCell ref="J9:L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D56C-99A3-475C-9E7D-6B66F05C867F}">
  <sheetPr codeName="Sheet71"/>
  <dimension ref="A1:H11"/>
  <sheetViews>
    <sheetView workbookViewId="0">
      <selection activeCell="H15" sqref="H15"/>
    </sheetView>
  </sheetViews>
  <sheetFormatPr defaultRowHeight="14.5" x14ac:dyDescent="0.35"/>
  <cols>
    <col min="1" max="2" width="7" customWidth="1"/>
    <col min="7" max="7" width="5.1796875" customWidth="1"/>
    <col min="8" max="8" width="23.36328125" customWidth="1"/>
  </cols>
  <sheetData>
    <row r="1" spans="1:8" x14ac:dyDescent="0.35">
      <c r="C1" s="154" t="s">
        <v>159</v>
      </c>
      <c r="D1" s="154" t="s">
        <v>160</v>
      </c>
      <c r="E1" s="154" t="s">
        <v>649</v>
      </c>
      <c r="F1" s="154" t="s">
        <v>650</v>
      </c>
      <c r="H1" t="e" cm="1">
        <f t="array" aca="1" ref="H1" ca="1">FTEXT(E2)</f>
        <v>#NAME?</v>
      </c>
    </row>
    <row r="2" spans="1:8" x14ac:dyDescent="0.35">
      <c r="C2" s="37">
        <v>1</v>
      </c>
      <c r="D2" s="37">
        <v>2</v>
      </c>
      <c r="E2" s="37">
        <f>-EXP(C2)+D2</f>
        <v>-0.71828182845904509</v>
      </c>
      <c r="F2" s="37">
        <f>C2^2+LN(D2)-1</f>
        <v>0.6931471805599454</v>
      </c>
      <c r="H2" t="e" cm="1">
        <f t="array" aca="1" ref="H2" ca="1">FTEXT(F2)</f>
        <v>#NAME?</v>
      </c>
    </row>
    <row r="4" spans="1:8" x14ac:dyDescent="0.35">
      <c r="A4" s="154" t="s">
        <v>651</v>
      </c>
      <c r="B4" s="154" t="s">
        <v>652</v>
      </c>
      <c r="C4" s="154" t="s">
        <v>159</v>
      </c>
      <c r="D4" s="154" t="s">
        <v>160</v>
      </c>
      <c r="E4" s="154" t="s">
        <v>649</v>
      </c>
      <c r="F4" s="154" t="s">
        <v>650</v>
      </c>
    </row>
    <row r="5" spans="1:8" x14ac:dyDescent="0.35">
      <c r="A5">
        <v>1</v>
      </c>
      <c r="B5">
        <v>2</v>
      </c>
      <c r="C5" t="e" cm="1">
        <f t="array" aca="1" ref="C5" ca="1">NEWTON2(E$2,F$2,A5,B5)</f>
        <v>#NAME?</v>
      </c>
      <c r="H5" t="e" cm="1">
        <f t="array" aca="1" ref="H5" ca="1">FTEXT(C5)</f>
        <v>#NAME?</v>
      </c>
    </row>
    <row r="6" spans="1:8" x14ac:dyDescent="0.35">
      <c r="A6">
        <v>0</v>
      </c>
      <c r="B6">
        <v>2</v>
      </c>
      <c r="C6" t="e" cm="1">
        <f t="array" aca="1" ref="C6" ca="1">NEWTON2(E$2,F$2,A6,B6)</f>
        <v>#NAME?</v>
      </c>
    </row>
    <row r="7" spans="1:8" x14ac:dyDescent="0.35">
      <c r="A7">
        <v>-1</v>
      </c>
      <c r="B7">
        <v>1</v>
      </c>
      <c r="C7" t="e" cm="1">
        <f t="array" aca="1" ref="C7" ca="1">NEWTON2(E$2,F$2,A7,B7)</f>
        <v>#NAME?</v>
      </c>
    </row>
    <row r="8" spans="1:8" x14ac:dyDescent="0.35">
      <c r="A8">
        <v>1</v>
      </c>
      <c r="B8">
        <v>0</v>
      </c>
      <c r="C8" t="e" cm="1">
        <f t="array" aca="1" ref="C8" ca="1">NEWTON2(E$2,F$2,A8,B8)</f>
        <v>#NAME?</v>
      </c>
    </row>
    <row r="9" spans="1:8" x14ac:dyDescent="0.35">
      <c r="A9" s="8">
        <v>2.5</v>
      </c>
      <c r="B9" s="8">
        <v>2.5</v>
      </c>
      <c r="C9" s="8" t="e" cm="1">
        <f t="array" aca="1" ref="C9" ca="1">NEWTON2(E$2,F$2,A9,B9)</f>
        <v>#NAME?</v>
      </c>
      <c r="D9" s="8"/>
      <c r="E9" s="8"/>
      <c r="F9" s="8"/>
    </row>
    <row r="11" spans="1:8" x14ac:dyDescent="0.35">
      <c r="C11" s="37">
        <v>2.5</v>
      </c>
      <c r="D11" s="37">
        <v>2.5</v>
      </c>
      <c r="E11" s="37">
        <f>-EXP(C11)+D11</f>
        <v>-9.6824939607034732</v>
      </c>
      <c r="F11" s="37">
        <f>C11^2+LN(D11)-1</f>
        <v>6.1662907318741551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806E-4282-4802-8C9D-5BBAB2E3FDE6}">
  <sheetPr codeName="Sheet72"/>
  <dimension ref="A1:I18"/>
  <sheetViews>
    <sheetView workbookViewId="0">
      <selection activeCell="D9" sqref="D9"/>
    </sheetView>
  </sheetViews>
  <sheetFormatPr defaultRowHeight="14.5" x14ac:dyDescent="0.35"/>
  <cols>
    <col min="8" max="8" width="2.36328125" customWidth="1"/>
    <col min="9" max="9" width="27.90625" customWidth="1"/>
  </cols>
  <sheetData>
    <row r="1" spans="1:9" x14ac:dyDescent="0.35">
      <c r="E1" s="12" t="s">
        <v>159</v>
      </c>
      <c r="F1" s="12" t="s">
        <v>160</v>
      </c>
      <c r="G1" s="12" t="s">
        <v>497</v>
      </c>
    </row>
    <row r="2" spans="1:9" x14ac:dyDescent="0.35">
      <c r="E2" s="37">
        <v>-1</v>
      </c>
      <c r="F2" s="37">
        <v>-1</v>
      </c>
      <c r="G2" s="37">
        <f>3*E2-F2^3+EXP(F2)+2</f>
        <v>0.36787944117144233</v>
      </c>
      <c r="I2" t="e" cm="1">
        <f t="array" aca="1" ref="I2" ca="1">FTEXT(G2)</f>
        <v>#NAME?</v>
      </c>
    </row>
    <row r="4" spans="1:9" x14ac:dyDescent="0.35">
      <c r="A4" s="154" t="s">
        <v>633</v>
      </c>
      <c r="B4" s="154" t="s">
        <v>634</v>
      </c>
      <c r="C4" s="154" t="s">
        <v>635</v>
      </c>
      <c r="D4" s="154" t="s">
        <v>636</v>
      </c>
      <c r="E4" s="154" t="s">
        <v>159</v>
      </c>
      <c r="F4" s="154" t="s">
        <v>160</v>
      </c>
      <c r="G4" s="154" t="s">
        <v>497</v>
      </c>
    </row>
    <row r="5" spans="1:9" x14ac:dyDescent="0.35">
      <c r="A5">
        <v>-1</v>
      </c>
      <c r="B5">
        <v>1</v>
      </c>
      <c r="C5">
        <v>-1</v>
      </c>
      <c r="D5">
        <v>1</v>
      </c>
      <c r="E5" t="e" cm="1">
        <f t="array" aca="1" ref="E5" ca="1">F2MIN($G$2,A5,B5,C5,D5)</f>
        <v>#NAME?</v>
      </c>
      <c r="I5" t="e" cm="1">
        <f t="array" aca="1" ref="I5" ca="1">FTEXT(E5)</f>
        <v>#NAME?</v>
      </c>
    </row>
    <row r="6" spans="1:9" x14ac:dyDescent="0.35">
      <c r="A6">
        <v>-1</v>
      </c>
      <c r="B6">
        <v>0</v>
      </c>
      <c r="C6">
        <v>-1</v>
      </c>
      <c r="D6">
        <v>1</v>
      </c>
      <c r="E6" t="e" cm="1">
        <f t="array" aca="1" ref="E6" ca="1">F2MIN($G$2,A6,B6,C6,D6)</f>
        <v>#NAME?</v>
      </c>
    </row>
    <row r="7" spans="1:9" x14ac:dyDescent="0.35">
      <c r="A7">
        <v>0</v>
      </c>
      <c r="B7">
        <v>0.5</v>
      </c>
      <c r="C7">
        <v>0</v>
      </c>
      <c r="D7">
        <v>1</v>
      </c>
      <c r="E7" t="e" cm="1">
        <f t="array" aca="1" ref="E7" ca="1">F2MIN($G$2,A7,B7,C7,D7)</f>
        <v>#NAME?</v>
      </c>
    </row>
    <row r="8" spans="1:9" x14ac:dyDescent="0.35">
      <c r="A8">
        <v>0.5</v>
      </c>
      <c r="B8">
        <v>1</v>
      </c>
      <c r="C8">
        <v>-0.5</v>
      </c>
      <c r="D8">
        <v>0</v>
      </c>
      <c r="E8" t="e" cm="1">
        <f t="array" aca="1" ref="E8" ca="1">F2MIN($G$2,A8,B8,C8,D8)</f>
        <v>#NAME?</v>
      </c>
    </row>
    <row r="9" spans="1:9" x14ac:dyDescent="0.35">
      <c r="A9">
        <v>-1</v>
      </c>
      <c r="B9">
        <v>-0.5</v>
      </c>
      <c r="C9">
        <v>0.5</v>
      </c>
      <c r="D9">
        <v>1</v>
      </c>
      <c r="E9" t="e" cm="1">
        <f t="array" aca="1" ref="E9" ca="1">F2MIN($G$2,A9,B9,C9,D9)</f>
        <v>#NAME?</v>
      </c>
    </row>
    <row r="10" spans="1:9" x14ac:dyDescent="0.35">
      <c r="A10" s="8">
        <v>0.5</v>
      </c>
      <c r="B10" s="8">
        <v>0.8</v>
      </c>
      <c r="C10" s="8">
        <v>-0.4</v>
      </c>
      <c r="D10" s="8">
        <v>0.6</v>
      </c>
      <c r="E10" s="8" t="e" cm="1">
        <f t="array" aca="1" ref="E10" ca="1">F2MIN($G$2,A10,B10,C10,D10)</f>
        <v>#NAME?</v>
      </c>
      <c r="F10" s="8"/>
      <c r="G10" s="8"/>
    </row>
    <row r="12" spans="1:9" x14ac:dyDescent="0.35">
      <c r="A12" s="154" t="s">
        <v>633</v>
      </c>
      <c r="B12" s="154" t="s">
        <v>634</v>
      </c>
      <c r="C12" s="154" t="s">
        <v>635</v>
      </c>
      <c r="D12" s="154" t="s">
        <v>636</v>
      </c>
      <c r="E12" s="154" t="s">
        <v>159</v>
      </c>
      <c r="F12" s="154" t="s">
        <v>160</v>
      </c>
      <c r="G12" s="154" t="s">
        <v>497</v>
      </c>
    </row>
    <row r="13" spans="1:9" x14ac:dyDescent="0.35">
      <c r="A13">
        <v>-1</v>
      </c>
      <c r="B13">
        <v>1</v>
      </c>
      <c r="C13">
        <v>-1</v>
      </c>
      <c r="D13">
        <v>1</v>
      </c>
      <c r="E13" t="e" cm="1">
        <f t="array" aca="1" ref="E13" ca="1">F2MAX($G$2,A13,B13,C13,D13)</f>
        <v>#NAME?</v>
      </c>
      <c r="I13" t="e" cm="1">
        <f t="array" aca="1" ref="I13" ca="1">FTEXT(E13)</f>
        <v>#NAME?</v>
      </c>
    </row>
    <row r="14" spans="1:9" x14ac:dyDescent="0.35">
      <c r="A14">
        <v>-1</v>
      </c>
      <c r="B14">
        <v>0</v>
      </c>
      <c r="C14">
        <v>-1</v>
      </c>
      <c r="D14">
        <v>1</v>
      </c>
      <c r="E14" t="e" cm="1">
        <f t="array" aca="1" ref="E14" ca="1">F2MAX($G$2,A14,B14,C14,D14)</f>
        <v>#NAME?</v>
      </c>
    </row>
    <row r="15" spans="1:9" x14ac:dyDescent="0.35">
      <c r="A15">
        <v>0</v>
      </c>
      <c r="B15">
        <v>0.5</v>
      </c>
      <c r="C15">
        <v>0</v>
      </c>
      <c r="D15">
        <v>1</v>
      </c>
      <c r="E15" t="e" cm="1">
        <f t="array" aca="1" ref="E15" ca="1">F2MAX($G$2,A15,B15,C15,D15)</f>
        <v>#NAME?</v>
      </c>
    </row>
    <row r="16" spans="1:9" x14ac:dyDescent="0.35">
      <c r="A16">
        <v>0.5</v>
      </c>
      <c r="B16">
        <v>1</v>
      </c>
      <c r="C16">
        <v>-0.5</v>
      </c>
      <c r="D16">
        <v>0</v>
      </c>
      <c r="E16" t="e" cm="1">
        <f t="array" aca="1" ref="E16" ca="1">F2MAX($G$2,A16,B16,C16,D16)</f>
        <v>#NAME?</v>
      </c>
    </row>
    <row r="17" spans="1:7" x14ac:dyDescent="0.35">
      <c r="A17">
        <v>-1</v>
      </c>
      <c r="B17">
        <v>-0.5</v>
      </c>
      <c r="C17">
        <v>0.5</v>
      </c>
      <c r="D17">
        <v>1</v>
      </c>
      <c r="E17" t="e" cm="1">
        <f t="array" aca="1" ref="E17" ca="1">F2MAX($G$2,A17,B17,C17,D17)</f>
        <v>#NAME?</v>
      </c>
    </row>
    <row r="18" spans="1:7" x14ac:dyDescent="0.35">
      <c r="A18" s="8">
        <v>0.5</v>
      </c>
      <c r="B18" s="8">
        <v>0.8</v>
      </c>
      <c r="C18" s="8">
        <v>-0.4</v>
      </c>
      <c r="D18" s="8">
        <v>0.6</v>
      </c>
      <c r="E18" s="8" t="e" cm="1">
        <f t="array" aca="1" ref="E18" ca="1">F2MAX($G$2,A18,B18,C18,D18)</f>
        <v>#NAME?</v>
      </c>
      <c r="F18" s="8"/>
      <c r="G18" s="8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7FD3-8726-4799-998A-B161F151EFAD}">
  <sheetPr codeName="Sheet73"/>
  <dimension ref="B1:AG15"/>
  <sheetViews>
    <sheetView topLeftCell="A2" workbookViewId="0">
      <selection activeCell="Y17" sqref="Y17"/>
    </sheetView>
  </sheetViews>
  <sheetFormatPr defaultRowHeight="14.5" x14ac:dyDescent="0.35"/>
  <cols>
    <col min="1" max="1" width="2.6328125" style="187" customWidth="1"/>
    <col min="2" max="5" width="4.6328125" style="187" customWidth="1"/>
    <col min="6" max="6" width="4.54296875" style="187" customWidth="1"/>
    <col min="7" max="14" width="5.08984375" style="187" customWidth="1"/>
    <col min="15" max="15" width="8.7265625" style="187" customWidth="1"/>
    <col min="16" max="16" width="3.7265625" style="187" customWidth="1"/>
    <col min="17" max="17" width="14.26953125" style="187" customWidth="1"/>
    <col min="18" max="16384" width="8.7265625" style="187"/>
  </cols>
  <sheetData>
    <row r="1" spans="2:33" x14ac:dyDescent="0.35">
      <c r="B1" s="10" t="s">
        <v>654</v>
      </c>
    </row>
    <row r="3" spans="2:33" x14ac:dyDescent="0.35">
      <c r="B3" s="129" t="s">
        <v>655</v>
      </c>
      <c r="C3" s="97" t="s">
        <v>317</v>
      </c>
      <c r="D3" s="97" t="s">
        <v>655</v>
      </c>
      <c r="E3" s="193" t="s">
        <v>315</v>
      </c>
      <c r="G3" s="194" t="e" cm="1">
        <f t="array" aca="1" ref="G3" ca="1">ZMap(B3:E5)</f>
        <v>#NAME?</v>
      </c>
      <c r="H3" s="153"/>
      <c r="I3" s="153"/>
      <c r="J3" s="195"/>
      <c r="K3" s="153"/>
      <c r="L3" s="153"/>
      <c r="M3" s="153"/>
      <c r="N3" s="195"/>
    </row>
    <row r="4" spans="2:33" x14ac:dyDescent="0.35">
      <c r="B4" s="200" t="s">
        <v>312</v>
      </c>
      <c r="C4" s="184" t="s">
        <v>656</v>
      </c>
      <c r="D4" s="184" t="s">
        <v>657</v>
      </c>
      <c r="E4" s="192" t="s">
        <v>317</v>
      </c>
      <c r="G4" s="196"/>
      <c r="H4" s="12"/>
      <c r="I4" s="12"/>
      <c r="J4" s="197"/>
      <c r="K4" s="12"/>
      <c r="L4" s="12"/>
      <c r="M4" s="12"/>
      <c r="N4" s="197"/>
    </row>
    <row r="5" spans="2:33" x14ac:dyDescent="0.35">
      <c r="B5" s="201" t="s">
        <v>658</v>
      </c>
      <c r="C5" s="92" t="s">
        <v>659</v>
      </c>
      <c r="D5" s="92" t="s">
        <v>660</v>
      </c>
      <c r="E5" s="202" t="s">
        <v>660</v>
      </c>
      <c r="G5" s="198"/>
      <c r="H5" s="103"/>
      <c r="I5" s="103"/>
      <c r="J5" s="199"/>
      <c r="K5" s="103"/>
      <c r="L5" s="103"/>
      <c r="M5" s="103"/>
      <c r="N5" s="199"/>
    </row>
    <row r="7" spans="2:33" x14ac:dyDescent="0.35">
      <c r="B7" s="184"/>
      <c r="G7" s="94" t="e">
        <f ca="1">G3</f>
        <v>#NAME?</v>
      </c>
      <c r="H7" s="95">
        <f t="shared" ref="H7:I7" si="0">H3</f>
        <v>0</v>
      </c>
      <c r="I7" s="95">
        <f t="shared" si="0"/>
        <v>0</v>
      </c>
      <c r="J7" s="94">
        <f>-G10</f>
        <v>0</v>
      </c>
      <c r="K7" s="95">
        <f t="shared" ref="K7:L9" si="1">-H10</f>
        <v>0</v>
      </c>
      <c r="L7" s="96">
        <f t="shared" si="1"/>
        <v>0</v>
      </c>
      <c r="M7" s="51">
        <f>J3</f>
        <v>0</v>
      </c>
      <c r="O7" s="51" t="e" cm="1">
        <f t="array" aca="1" ref="O7" ca="1">LinEqSolve(G7:M12)</f>
        <v>#NAME?</v>
      </c>
      <c r="Q7" s="51" t="e" cm="1">
        <f t="array" aca="1" ref="Q7" ca="1">ZMROUND(ZText(ZSet(O7:O9,O10:O12)),4)</f>
        <v>#NAME?</v>
      </c>
      <c r="S7" s="94" t="e" cm="1">
        <f t="array" aca="1" ref="S7" ca="1">ZLinEqSolve(_xlfn.ANCHORARRAY(G3))</f>
        <v>#NAME?</v>
      </c>
      <c r="T7" s="96"/>
    </row>
    <row r="8" spans="2:33" x14ac:dyDescent="0.35">
      <c r="G8" s="191">
        <f t="shared" ref="G8:I9" si="2">G4</f>
        <v>0</v>
      </c>
      <c r="H8" s="187">
        <f t="shared" si="2"/>
        <v>0</v>
      </c>
      <c r="I8" s="187">
        <f t="shared" si="2"/>
        <v>0</v>
      </c>
      <c r="J8" s="191">
        <f t="shared" ref="J8:J9" si="3">-G11</f>
        <v>0</v>
      </c>
      <c r="K8" s="187">
        <f t="shared" si="1"/>
        <v>0</v>
      </c>
      <c r="L8" s="185">
        <f t="shared" si="1"/>
        <v>0</v>
      </c>
      <c r="M8" s="190">
        <f t="shared" ref="M8:M9" si="4">J4</f>
        <v>0</v>
      </c>
      <c r="O8" s="190"/>
      <c r="Q8" s="190"/>
      <c r="S8" s="191"/>
      <c r="T8" s="185"/>
      <c r="AG8" s="51"/>
    </row>
    <row r="9" spans="2:33" x14ac:dyDescent="0.35">
      <c r="G9" s="27">
        <f t="shared" si="2"/>
        <v>0</v>
      </c>
      <c r="H9" s="28">
        <f t="shared" si="2"/>
        <v>0</v>
      </c>
      <c r="I9" s="28">
        <f t="shared" si="2"/>
        <v>0</v>
      </c>
      <c r="J9" s="27">
        <f t="shared" si="3"/>
        <v>0</v>
      </c>
      <c r="K9" s="28">
        <f t="shared" si="1"/>
        <v>0</v>
      </c>
      <c r="L9" s="29">
        <f t="shared" si="1"/>
        <v>0</v>
      </c>
      <c r="M9" s="53">
        <f t="shared" si="4"/>
        <v>0</v>
      </c>
      <c r="O9" s="190"/>
      <c r="Q9" s="53"/>
      <c r="S9" s="27"/>
      <c r="T9" s="29"/>
      <c r="AG9" s="190"/>
    </row>
    <row r="10" spans="2:33" x14ac:dyDescent="0.35">
      <c r="G10" s="94">
        <f>K3</f>
        <v>0</v>
      </c>
      <c r="H10" s="95">
        <f t="shared" ref="H10:I12" si="5">L3</f>
        <v>0</v>
      </c>
      <c r="I10" s="95">
        <f t="shared" si="5"/>
        <v>0</v>
      </c>
      <c r="J10" s="94" t="e">
        <f ca="1">G7</f>
        <v>#NAME?</v>
      </c>
      <c r="K10" s="95">
        <f t="shared" ref="K10:L12" si="6">H7</f>
        <v>0</v>
      </c>
      <c r="L10" s="96">
        <f t="shared" si="6"/>
        <v>0</v>
      </c>
      <c r="M10" s="190">
        <f>N3</f>
        <v>0</v>
      </c>
      <c r="O10" s="190"/>
      <c r="AG10" s="190"/>
    </row>
    <row r="11" spans="2:33" x14ac:dyDescent="0.35">
      <c r="G11" s="191">
        <f t="shared" ref="G11:G12" si="7">K4</f>
        <v>0</v>
      </c>
      <c r="H11" s="187">
        <f t="shared" si="5"/>
        <v>0</v>
      </c>
      <c r="I11" s="187">
        <f t="shared" si="5"/>
        <v>0</v>
      </c>
      <c r="J11" s="191">
        <f t="shared" ref="J11:J12" si="8">G8</f>
        <v>0</v>
      </c>
      <c r="K11" s="187">
        <f t="shared" si="6"/>
        <v>0</v>
      </c>
      <c r="L11" s="185">
        <f t="shared" si="6"/>
        <v>0</v>
      </c>
      <c r="M11" s="190">
        <f t="shared" ref="M11:M12" si="9">N4</f>
        <v>0</v>
      </c>
      <c r="O11" s="190"/>
      <c r="AG11" s="190"/>
    </row>
    <row r="12" spans="2:33" x14ac:dyDescent="0.35">
      <c r="G12" s="27">
        <f t="shared" si="7"/>
        <v>0</v>
      </c>
      <c r="H12" s="28">
        <f t="shared" si="5"/>
        <v>0</v>
      </c>
      <c r="I12" s="28">
        <f t="shared" si="5"/>
        <v>0</v>
      </c>
      <c r="J12" s="27">
        <f t="shared" si="8"/>
        <v>0</v>
      </c>
      <c r="K12" s="28">
        <f t="shared" si="6"/>
        <v>0</v>
      </c>
      <c r="L12" s="29">
        <f t="shared" si="6"/>
        <v>0</v>
      </c>
      <c r="M12" s="53">
        <f t="shared" si="9"/>
        <v>0</v>
      </c>
      <c r="O12" s="53"/>
      <c r="AG12" s="190"/>
    </row>
    <row r="13" spans="2:33" x14ac:dyDescent="0.35">
      <c r="Q13" s="51" t="e" cm="1">
        <f t="array" aca="1" ref="Q13" ca="1">IMLinEqSolve(B3:E5)</f>
        <v>#NAME?</v>
      </c>
      <c r="AG13" s="53"/>
    </row>
    <row r="14" spans="2:33" x14ac:dyDescent="0.35">
      <c r="Q14" s="190"/>
    </row>
    <row r="15" spans="2:33" x14ac:dyDescent="0.35">
      <c r="Q15" s="53"/>
    </row>
  </sheetData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E557-503B-4600-8E18-9D7C21A5966E}">
  <sheetPr codeName="Sheet75"/>
  <dimension ref="B1:X17"/>
  <sheetViews>
    <sheetView workbookViewId="0">
      <selection activeCell="Y17" sqref="Y17"/>
    </sheetView>
  </sheetViews>
  <sheetFormatPr defaultRowHeight="14.5" x14ac:dyDescent="0.35"/>
  <cols>
    <col min="1" max="1" width="2.6328125" style="187" customWidth="1"/>
    <col min="2" max="5" width="4.6328125" style="187" customWidth="1"/>
    <col min="6" max="6" width="4.54296875" style="187" customWidth="1"/>
    <col min="7" max="14" width="5.08984375" style="187" customWidth="1"/>
    <col min="15" max="16" width="8.7265625" style="187"/>
    <col min="17" max="17" width="8.7265625" style="187" customWidth="1"/>
    <col min="18" max="18" width="3.7265625" style="187" customWidth="1"/>
    <col min="19" max="21" width="9.90625" style="187" customWidth="1"/>
    <col min="22" max="16384" width="8.7265625" style="187"/>
  </cols>
  <sheetData>
    <row r="1" spans="2:24" x14ac:dyDescent="0.35">
      <c r="B1" s="10" t="s">
        <v>654</v>
      </c>
    </row>
    <row r="3" spans="2:24" x14ac:dyDescent="0.35">
      <c r="B3" s="129" t="s">
        <v>655</v>
      </c>
      <c r="C3" s="97" t="s">
        <v>317</v>
      </c>
      <c r="D3" s="97" t="s">
        <v>655</v>
      </c>
      <c r="E3" s="193" t="s">
        <v>315</v>
      </c>
      <c r="G3" s="194" t="e" cm="1">
        <f t="array" aca="1" ref="G3" ca="1">ZMap(B3:E4)</f>
        <v>#NAME?</v>
      </c>
      <c r="H3" s="153"/>
      <c r="I3" s="153"/>
      <c r="J3" s="195"/>
      <c r="K3" s="153"/>
      <c r="L3" s="153"/>
      <c r="M3" s="153"/>
      <c r="N3" s="195"/>
    </row>
    <row r="4" spans="2:24" x14ac:dyDescent="0.35">
      <c r="B4" s="201" t="s">
        <v>312</v>
      </c>
      <c r="C4" s="92" t="s">
        <v>656</v>
      </c>
      <c r="D4" s="92" t="s">
        <v>657</v>
      </c>
      <c r="E4" s="202" t="s">
        <v>317</v>
      </c>
      <c r="G4" s="198"/>
      <c r="H4" s="103"/>
      <c r="I4" s="103"/>
      <c r="J4" s="199"/>
      <c r="K4" s="103"/>
      <c r="L4" s="103"/>
      <c r="M4" s="103"/>
      <c r="N4" s="199"/>
    </row>
    <row r="6" spans="2:24" x14ac:dyDescent="0.35">
      <c r="B6" s="184"/>
      <c r="G6" s="94" t="e">
        <f t="shared" ref="G6:I7" ca="1" si="0">G3</f>
        <v>#NAME?</v>
      </c>
      <c r="H6" s="95">
        <f t="shared" si="0"/>
        <v>0</v>
      </c>
      <c r="I6" s="95">
        <f t="shared" si="0"/>
        <v>0</v>
      </c>
      <c r="J6" s="94">
        <f t="shared" ref="J6:L7" si="1">-G8</f>
        <v>0</v>
      </c>
      <c r="K6" s="95">
        <f t="shared" si="1"/>
        <v>0</v>
      </c>
      <c r="L6" s="96">
        <f t="shared" si="1"/>
        <v>0</v>
      </c>
      <c r="M6" s="51">
        <f>J3</f>
        <v>0</v>
      </c>
      <c r="O6" s="94" t="e" cm="1">
        <f t="array" aca="1" ref="O6" ca="1">LinEqSolve(G6:M9)</f>
        <v>#NAME?</v>
      </c>
      <c r="P6" s="95"/>
      <c r="Q6" s="96"/>
      <c r="S6" s="51" t="e" cm="1">
        <f t="array" aca="1" ref="S6" ca="1">ZMROUND(ZText(ZSet(O6:O8,O9:O11)),2)</f>
        <v>#NAME?</v>
      </c>
      <c r="T6" s="94" t="e" cm="1">
        <f t="array" aca="1" ref="T6" ca="1">ZMROUND(ZText(ZSet(P6:P8,P9:P11)),2)</f>
        <v>#NAME?</v>
      </c>
      <c r="U6" s="51" t="e" cm="1">
        <f t="array" aca="1" ref="U6" ca="1">ZMROUND(ZText(ZSet(Q6:Q8,Q9:Q11)),2)</f>
        <v>#NAME?</v>
      </c>
    </row>
    <row r="7" spans="2:24" x14ac:dyDescent="0.35">
      <c r="G7" s="191">
        <f t="shared" si="0"/>
        <v>0</v>
      </c>
      <c r="H7" s="187">
        <f t="shared" si="0"/>
        <v>0</v>
      </c>
      <c r="I7" s="187">
        <f t="shared" si="0"/>
        <v>0</v>
      </c>
      <c r="J7" s="191">
        <f t="shared" si="1"/>
        <v>0</v>
      </c>
      <c r="K7" s="187">
        <f t="shared" si="1"/>
        <v>0</v>
      </c>
      <c r="L7" s="185">
        <f t="shared" si="1"/>
        <v>0</v>
      </c>
      <c r="M7" s="190">
        <f>J4</f>
        <v>0</v>
      </c>
      <c r="O7" s="191"/>
      <c r="Q7" s="185"/>
      <c r="S7" s="190"/>
      <c r="T7" s="191"/>
      <c r="U7" s="190"/>
    </row>
    <row r="8" spans="2:24" x14ac:dyDescent="0.35">
      <c r="G8" s="94">
        <f t="shared" ref="G8:I9" si="2">K3</f>
        <v>0</v>
      </c>
      <c r="H8" s="95">
        <f t="shared" si="2"/>
        <v>0</v>
      </c>
      <c r="I8" s="95">
        <f t="shared" si="2"/>
        <v>0</v>
      </c>
      <c r="J8" s="94" t="e">
        <f t="shared" ref="J8:L9" ca="1" si="3">G6</f>
        <v>#NAME?</v>
      </c>
      <c r="K8" s="95">
        <f t="shared" si="3"/>
        <v>0</v>
      </c>
      <c r="L8" s="96">
        <f t="shared" si="3"/>
        <v>0</v>
      </c>
      <c r="M8" s="51">
        <f>N3</f>
        <v>0</v>
      </c>
      <c r="O8" s="191"/>
      <c r="Q8" s="185"/>
      <c r="S8" s="53"/>
      <c r="T8" s="27"/>
      <c r="U8" s="53"/>
    </row>
    <row r="9" spans="2:24" x14ac:dyDescent="0.35">
      <c r="G9" s="27">
        <f t="shared" si="2"/>
        <v>0</v>
      </c>
      <c r="H9" s="28">
        <f t="shared" si="2"/>
        <v>0</v>
      </c>
      <c r="I9" s="28">
        <f t="shared" si="2"/>
        <v>0</v>
      </c>
      <c r="J9" s="27">
        <f t="shared" si="3"/>
        <v>0</v>
      </c>
      <c r="K9" s="28">
        <f t="shared" si="3"/>
        <v>0</v>
      </c>
      <c r="L9" s="29">
        <f t="shared" si="3"/>
        <v>0</v>
      </c>
      <c r="M9" s="53">
        <f>N4</f>
        <v>0</v>
      </c>
      <c r="O9" s="191"/>
      <c r="Q9" s="185"/>
    </row>
    <row r="10" spans="2:24" x14ac:dyDescent="0.35">
      <c r="O10" s="191"/>
      <c r="Q10" s="185"/>
    </row>
    <row r="11" spans="2:24" x14ac:dyDescent="0.35">
      <c r="O11" s="27"/>
      <c r="P11" s="28"/>
      <c r="Q11" s="29"/>
      <c r="S11" s="94" t="e" cm="1">
        <f t="array" aca="1" ref="S11" ca="1">ZLinEqSolve(_xlfn.ANCHORARRAY(G3))</f>
        <v>#NAME?</v>
      </c>
      <c r="T11" s="96"/>
      <c r="U11" s="95"/>
      <c r="V11" s="95"/>
      <c r="W11" s="94"/>
      <c r="X11" s="96"/>
    </row>
    <row r="12" spans="2:24" x14ac:dyDescent="0.35">
      <c r="S12" s="191"/>
      <c r="T12" s="185"/>
      <c r="W12" s="191"/>
      <c r="X12" s="185"/>
    </row>
    <row r="13" spans="2:24" x14ac:dyDescent="0.35">
      <c r="S13" s="27"/>
      <c r="T13" s="29"/>
      <c r="U13" s="28"/>
      <c r="V13" s="28"/>
      <c r="W13" s="27"/>
      <c r="X13" s="29"/>
    </row>
    <row r="15" spans="2:24" x14ac:dyDescent="0.35">
      <c r="S15" s="94" t="e" cm="1">
        <f t="array" aca="1" ref="S15" ca="1">IMLinEqSolve(B3:E4,2)</f>
        <v>#NAME?</v>
      </c>
      <c r="T15" s="95"/>
      <c r="U15" s="96"/>
    </row>
    <row r="16" spans="2:24" x14ac:dyDescent="0.35">
      <c r="S16" s="191"/>
      <c r="U16" s="185"/>
    </row>
    <row r="17" spans="19:21" x14ac:dyDescent="0.35">
      <c r="S17" s="27"/>
      <c r="T17" s="28"/>
      <c r="U17" s="29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E129-2FB6-4F1A-A6C3-2110D89465AA}">
  <sheetPr codeName="Sheet76"/>
  <dimension ref="B1:R12"/>
  <sheetViews>
    <sheetView workbookViewId="0">
      <selection activeCell="Y17" sqref="Y17"/>
    </sheetView>
  </sheetViews>
  <sheetFormatPr defaultRowHeight="14.5" x14ac:dyDescent="0.35"/>
  <cols>
    <col min="1" max="1" width="2.6328125" style="187" customWidth="1"/>
    <col min="2" max="5" width="4.6328125" style="187" customWidth="1"/>
    <col min="6" max="6" width="4.54296875" style="187" customWidth="1"/>
    <col min="7" max="14" width="5.08984375" style="187" customWidth="1"/>
    <col min="15" max="15" width="8.7265625" style="187"/>
    <col min="16" max="16" width="3.7265625" style="187" customWidth="1"/>
    <col min="17" max="17" width="14.26953125" style="187" customWidth="1"/>
    <col min="18" max="16384" width="8.7265625" style="187"/>
  </cols>
  <sheetData>
    <row r="1" spans="2:18" x14ac:dyDescent="0.35">
      <c r="B1" s="10" t="s">
        <v>654</v>
      </c>
    </row>
    <row r="3" spans="2:18" x14ac:dyDescent="0.35">
      <c r="B3" s="129" t="s">
        <v>655</v>
      </c>
      <c r="C3" s="97" t="s">
        <v>317</v>
      </c>
      <c r="D3" s="97" t="s">
        <v>661</v>
      </c>
      <c r="E3" s="193">
        <v>0</v>
      </c>
      <c r="G3" s="194" t="e" cm="1">
        <f t="array" aca="1" ref="G3" ca="1">ZMap(B3:E5)</f>
        <v>#NAME?</v>
      </c>
      <c r="H3" s="153"/>
      <c r="I3" s="153"/>
      <c r="J3" s="195"/>
      <c r="K3" s="153"/>
      <c r="L3" s="153"/>
      <c r="M3" s="153"/>
      <c r="N3" s="195"/>
    </row>
    <row r="4" spans="2:18" x14ac:dyDescent="0.35">
      <c r="B4" s="200" t="s">
        <v>312</v>
      </c>
      <c r="C4" s="184" t="s">
        <v>656</v>
      </c>
      <c r="D4" s="184" t="s">
        <v>657</v>
      </c>
      <c r="E4" s="192" t="s">
        <v>317</v>
      </c>
      <c r="G4" s="196"/>
      <c r="H4" s="12"/>
      <c r="I4" s="12"/>
      <c r="J4" s="197"/>
      <c r="K4" s="12"/>
      <c r="L4" s="12"/>
      <c r="M4" s="12"/>
      <c r="N4" s="197"/>
    </row>
    <row r="5" spans="2:18" x14ac:dyDescent="0.35">
      <c r="B5" s="201" t="s">
        <v>658</v>
      </c>
      <c r="C5" s="92" t="s">
        <v>316</v>
      </c>
      <c r="D5" s="92" t="s">
        <v>662</v>
      </c>
      <c r="E5" s="202">
        <v>1</v>
      </c>
      <c r="G5" s="198"/>
      <c r="H5" s="103"/>
      <c r="I5" s="103"/>
      <c r="J5" s="199"/>
      <c r="K5" s="103"/>
      <c r="L5" s="103"/>
      <c r="M5" s="103"/>
      <c r="N5" s="199"/>
    </row>
    <row r="7" spans="2:18" x14ac:dyDescent="0.35">
      <c r="B7" s="184"/>
      <c r="G7" s="94" t="e">
        <f ca="1">G3</f>
        <v>#NAME?</v>
      </c>
      <c r="H7" s="95">
        <f t="shared" ref="H7:I7" si="0">H3</f>
        <v>0</v>
      </c>
      <c r="I7" s="95">
        <f t="shared" si="0"/>
        <v>0</v>
      </c>
      <c r="J7" s="94">
        <f>-G10</f>
        <v>0</v>
      </c>
      <c r="K7" s="95">
        <f t="shared" ref="K7:L9" si="1">-H10</f>
        <v>0</v>
      </c>
      <c r="L7" s="96">
        <f t="shared" si="1"/>
        <v>0</v>
      </c>
      <c r="M7" s="51">
        <f>J3</f>
        <v>0</v>
      </c>
      <c r="O7" s="51" t="e" cm="1">
        <f t="array" aca="1" ref="O7" ca="1">LinEqSolve(G7:M12)</f>
        <v>#NAME?</v>
      </c>
      <c r="R7" s="187" t="e" cm="1">
        <f t="array" aca="1" ref="R7" ca="1">ZLinEqSolve(_xlfn.ANCHORARRAY(G3))</f>
        <v>#NAME?</v>
      </c>
    </row>
    <row r="8" spans="2:18" x14ac:dyDescent="0.35">
      <c r="G8" s="191">
        <f t="shared" ref="G8:I9" si="2">G4</f>
        <v>0</v>
      </c>
      <c r="H8" s="187">
        <f t="shared" si="2"/>
        <v>0</v>
      </c>
      <c r="I8" s="187">
        <f t="shared" si="2"/>
        <v>0</v>
      </c>
      <c r="J8" s="191">
        <f t="shared" ref="J8:J9" si="3">-G11</f>
        <v>0</v>
      </c>
      <c r="K8" s="187">
        <f t="shared" si="1"/>
        <v>0</v>
      </c>
      <c r="L8" s="185">
        <f t="shared" si="1"/>
        <v>0</v>
      </c>
      <c r="M8" s="190">
        <f t="shared" ref="M8:M9" si="4">J4</f>
        <v>0</v>
      </c>
      <c r="O8" s="190"/>
    </row>
    <row r="9" spans="2:18" x14ac:dyDescent="0.35">
      <c r="G9" s="27">
        <f t="shared" si="2"/>
        <v>0</v>
      </c>
      <c r="H9" s="28">
        <f t="shared" si="2"/>
        <v>0</v>
      </c>
      <c r="I9" s="28">
        <f t="shared" si="2"/>
        <v>0</v>
      </c>
      <c r="J9" s="27">
        <f t="shared" si="3"/>
        <v>0</v>
      </c>
      <c r="K9" s="28">
        <f t="shared" si="1"/>
        <v>0</v>
      </c>
      <c r="L9" s="29">
        <f t="shared" si="1"/>
        <v>0</v>
      </c>
      <c r="M9" s="53">
        <f t="shared" si="4"/>
        <v>0</v>
      </c>
      <c r="O9" s="190"/>
      <c r="R9" s="187" t="e" cm="1">
        <f t="array" aca="1" ref="R9" ca="1">IMLinEqSolve(B3:E5)</f>
        <v>#NAME?</v>
      </c>
    </row>
    <row r="10" spans="2:18" x14ac:dyDescent="0.35">
      <c r="G10" s="94">
        <f>K3</f>
        <v>0</v>
      </c>
      <c r="H10" s="95">
        <f t="shared" ref="H10:I12" si="5">L3</f>
        <v>0</v>
      </c>
      <c r="I10" s="95">
        <f t="shared" si="5"/>
        <v>0</v>
      </c>
      <c r="J10" s="94" t="e">
        <f ca="1">G7</f>
        <v>#NAME?</v>
      </c>
      <c r="K10" s="95">
        <f t="shared" ref="K10:L12" si="6">H7</f>
        <v>0</v>
      </c>
      <c r="L10" s="96">
        <f t="shared" si="6"/>
        <v>0</v>
      </c>
      <c r="M10" s="190">
        <f>N3</f>
        <v>0</v>
      </c>
      <c r="O10" s="190"/>
    </row>
    <row r="11" spans="2:18" x14ac:dyDescent="0.35">
      <c r="G11" s="191">
        <f t="shared" ref="G11:G12" si="7">K4</f>
        <v>0</v>
      </c>
      <c r="H11" s="187">
        <f t="shared" si="5"/>
        <v>0</v>
      </c>
      <c r="I11" s="187">
        <f t="shared" si="5"/>
        <v>0</v>
      </c>
      <c r="J11" s="191">
        <f t="shared" ref="J11:J12" si="8">G8</f>
        <v>0</v>
      </c>
      <c r="K11" s="187">
        <f t="shared" si="6"/>
        <v>0</v>
      </c>
      <c r="L11" s="185">
        <f t="shared" si="6"/>
        <v>0</v>
      </c>
      <c r="M11" s="190">
        <f t="shared" ref="M11:M12" si="9">N4</f>
        <v>0</v>
      </c>
      <c r="O11" s="190"/>
    </row>
    <row r="12" spans="2:18" x14ac:dyDescent="0.35">
      <c r="G12" s="27">
        <f t="shared" si="7"/>
        <v>0</v>
      </c>
      <c r="H12" s="28">
        <f t="shared" si="5"/>
        <v>0</v>
      </c>
      <c r="I12" s="28">
        <f t="shared" si="5"/>
        <v>0</v>
      </c>
      <c r="J12" s="27">
        <f t="shared" si="8"/>
        <v>0</v>
      </c>
      <c r="K12" s="28">
        <f t="shared" si="6"/>
        <v>0</v>
      </c>
      <c r="L12" s="29">
        <f t="shared" si="6"/>
        <v>0</v>
      </c>
      <c r="M12" s="53">
        <f t="shared" si="9"/>
        <v>0</v>
      </c>
      <c r="O12" s="5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5EBF-DED6-4A29-8025-35C2FAE9552A}">
  <sheetPr codeName="Sheet77"/>
  <dimension ref="B1:J11"/>
  <sheetViews>
    <sheetView workbookViewId="0">
      <selection activeCell="B1" sqref="B1"/>
    </sheetView>
  </sheetViews>
  <sheetFormatPr defaultRowHeight="14.5" x14ac:dyDescent="0.35"/>
  <cols>
    <col min="1" max="1" width="2.54296875" style="187" customWidth="1"/>
    <col min="2" max="5" width="4.90625" style="187" customWidth="1"/>
    <col min="6" max="6" width="3.7265625" style="187" customWidth="1"/>
    <col min="7" max="16384" width="8.7265625" style="187"/>
  </cols>
  <sheetData>
    <row r="1" spans="2:10" x14ac:dyDescent="0.35">
      <c r="B1" s="187" t="s">
        <v>667</v>
      </c>
    </row>
    <row r="3" spans="2:10" x14ac:dyDescent="0.35">
      <c r="B3" s="94">
        <v>2</v>
      </c>
      <c r="C3" s="95">
        <v>-1</v>
      </c>
      <c r="D3" s="95">
        <v>3</v>
      </c>
      <c r="E3" s="96">
        <v>-1</v>
      </c>
      <c r="G3" s="187" t="e" cm="1">
        <f t="array" aca="1" ref="G3" ca="1">FTEXT(G4)</f>
        <v>#NAME?</v>
      </c>
    </row>
    <row r="4" spans="2:10" x14ac:dyDescent="0.35">
      <c r="B4" s="191">
        <v>0</v>
      </c>
      <c r="C4" s="187">
        <v>2</v>
      </c>
      <c r="D4" s="187">
        <v>5</v>
      </c>
      <c r="E4" s="185">
        <v>-2</v>
      </c>
      <c r="G4" s="94" t="e" cm="1">
        <f t="array" aca="1" ref="G4" ca="1">ZEigVAL(B3:E6)</f>
        <v>#NAME?</v>
      </c>
      <c r="H4" s="95"/>
      <c r="I4" s="95"/>
      <c r="J4" s="96"/>
    </row>
    <row r="5" spans="2:10" x14ac:dyDescent="0.35">
      <c r="B5" s="191">
        <v>1</v>
      </c>
      <c r="C5" s="187">
        <v>3</v>
      </c>
      <c r="D5" s="187">
        <v>2</v>
      </c>
      <c r="E5" s="185">
        <v>1</v>
      </c>
      <c r="G5" s="27"/>
      <c r="H5" s="28"/>
      <c r="I5" s="28"/>
      <c r="J5" s="29"/>
    </row>
    <row r="6" spans="2:10" x14ac:dyDescent="0.35">
      <c r="B6" s="27">
        <v>-2</v>
      </c>
      <c r="C6" s="28">
        <v>2</v>
      </c>
      <c r="D6" s="28">
        <v>-1</v>
      </c>
      <c r="E6" s="29">
        <v>2</v>
      </c>
    </row>
    <row r="8" spans="2:10" x14ac:dyDescent="0.35">
      <c r="B8" s="94">
        <v>2</v>
      </c>
      <c r="C8" s="95">
        <v>-1</v>
      </c>
      <c r="D8" s="95">
        <v>3</v>
      </c>
      <c r="E8" s="96">
        <v>-4</v>
      </c>
      <c r="G8" s="187" t="e" cm="1">
        <f t="array" aca="1" ref="G8" ca="1">FTEXT(G9)</f>
        <v>#NAME?</v>
      </c>
    </row>
    <row r="9" spans="2:10" x14ac:dyDescent="0.35">
      <c r="B9" s="191">
        <v>0</v>
      </c>
      <c r="C9" s="187">
        <v>2</v>
      </c>
      <c r="D9" s="187">
        <v>5</v>
      </c>
      <c r="E9" s="185">
        <v>-2</v>
      </c>
      <c r="G9" s="94" t="e" cm="1">
        <f t="array" aca="1" ref="G9" ca="1">ZEigVAL(B8:E11)</f>
        <v>#NAME?</v>
      </c>
      <c r="H9" s="95"/>
      <c r="I9" s="95"/>
      <c r="J9" s="96"/>
    </row>
    <row r="10" spans="2:10" x14ac:dyDescent="0.35">
      <c r="B10" s="191">
        <v>1</v>
      </c>
      <c r="C10" s="187">
        <v>0</v>
      </c>
      <c r="D10" s="187">
        <v>2</v>
      </c>
      <c r="E10" s="185">
        <v>1</v>
      </c>
      <c r="G10" s="27"/>
      <c r="H10" s="28"/>
      <c r="I10" s="28"/>
      <c r="J10" s="29"/>
    </row>
    <row r="11" spans="2:10" x14ac:dyDescent="0.35">
      <c r="B11" s="27">
        <v>-2</v>
      </c>
      <c r="C11" s="28">
        <v>2</v>
      </c>
      <c r="D11" s="28">
        <v>-1</v>
      </c>
      <c r="E11" s="2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EEA-4E54-457D-9EC4-855F01DE5122}">
  <sheetPr codeName="Sheet78"/>
  <dimension ref="A1:T16"/>
  <sheetViews>
    <sheetView workbookViewId="0"/>
  </sheetViews>
  <sheetFormatPr defaultRowHeight="14.5" x14ac:dyDescent="0.35"/>
  <cols>
    <col min="1" max="1" width="3.26953125" style="187" customWidth="1"/>
    <col min="2" max="5" width="4.90625" style="187" customWidth="1"/>
    <col min="6" max="6" width="8.7265625" style="187"/>
    <col min="7" max="7" width="9.6328125" style="187" customWidth="1"/>
    <col min="8" max="11" width="8.7265625" style="187"/>
    <col min="12" max="12" width="3.1796875" style="187" customWidth="1"/>
    <col min="13" max="14" width="8.7265625" style="187"/>
    <col min="15" max="16" width="9.7265625" style="187" customWidth="1"/>
    <col min="17" max="16384" width="8.7265625" style="187"/>
  </cols>
  <sheetData>
    <row r="1" spans="1:20" x14ac:dyDescent="0.35">
      <c r="A1" s="187" t="s">
        <v>666</v>
      </c>
    </row>
    <row r="3" spans="1:20" x14ac:dyDescent="0.35">
      <c r="B3" s="94">
        <v>2</v>
      </c>
      <c r="C3" s="95">
        <v>-1</v>
      </c>
      <c r="D3" s="95">
        <v>3</v>
      </c>
      <c r="E3" s="96">
        <v>-1</v>
      </c>
      <c r="G3" s="187" t="s">
        <v>669</v>
      </c>
      <c r="H3" s="94" t="e" cm="1">
        <f t="array" aca="1" ref="H3" ca="1">eigVECT(B3:E6)</f>
        <v>#NAME?</v>
      </c>
      <c r="I3" s="95"/>
      <c r="J3" s="95"/>
      <c r="K3" s="96"/>
      <c r="M3" s="46" t="e" cm="1">
        <f t="array" aca="1" ref="M3" ca="1">ZEigVECT(B3:E6)</f>
        <v>#NAME?</v>
      </c>
      <c r="N3" s="47"/>
      <c r="O3" s="46"/>
      <c r="P3" s="47"/>
      <c r="Q3" s="46"/>
      <c r="R3" s="48"/>
      <c r="S3" s="47"/>
      <c r="T3" s="48"/>
    </row>
    <row r="4" spans="1:20" x14ac:dyDescent="0.35">
      <c r="B4" s="191">
        <v>0</v>
      </c>
      <c r="C4" s="187">
        <v>2</v>
      </c>
      <c r="D4" s="187">
        <v>5</v>
      </c>
      <c r="E4" s="185">
        <v>-2</v>
      </c>
      <c r="G4" s="187" t="s">
        <v>670</v>
      </c>
      <c r="H4" s="27"/>
      <c r="I4" s="28"/>
      <c r="J4" s="28"/>
      <c r="K4" s="29"/>
      <c r="M4" s="94"/>
      <c r="N4" s="95"/>
      <c r="O4" s="94"/>
      <c r="P4" s="95"/>
      <c r="Q4" s="94"/>
      <c r="R4" s="96"/>
      <c r="S4" s="95"/>
      <c r="T4" s="96"/>
    </row>
    <row r="5" spans="1:20" x14ac:dyDescent="0.35">
      <c r="B5" s="191">
        <v>1</v>
      </c>
      <c r="C5" s="187">
        <v>3</v>
      </c>
      <c r="D5" s="187">
        <v>2</v>
      </c>
      <c r="E5" s="185">
        <v>1</v>
      </c>
      <c r="G5" s="187" t="s">
        <v>671</v>
      </c>
      <c r="H5" s="94"/>
      <c r="I5" s="95"/>
      <c r="J5" s="95"/>
      <c r="K5" s="96"/>
      <c r="M5" s="191"/>
      <c r="O5" s="191"/>
      <c r="Q5" s="191"/>
      <c r="R5" s="185"/>
      <c r="T5" s="185"/>
    </row>
    <row r="6" spans="1:20" x14ac:dyDescent="0.35">
      <c r="B6" s="27">
        <v>-2</v>
      </c>
      <c r="C6" s="28">
        <v>2</v>
      </c>
      <c r="D6" s="28">
        <v>-1</v>
      </c>
      <c r="E6" s="29">
        <v>2</v>
      </c>
      <c r="H6" s="191"/>
      <c r="K6" s="185"/>
      <c r="M6" s="191"/>
      <c r="O6" s="191"/>
      <c r="Q6" s="191"/>
      <c r="R6" s="185"/>
      <c r="T6" s="185"/>
    </row>
    <row r="7" spans="1:20" x14ac:dyDescent="0.35">
      <c r="H7" s="191"/>
      <c r="K7" s="185"/>
      <c r="M7" s="27"/>
      <c r="N7" s="28"/>
      <c r="O7" s="27"/>
      <c r="P7" s="28"/>
      <c r="Q7" s="27"/>
      <c r="R7" s="29"/>
      <c r="S7" s="28"/>
      <c r="T7" s="29"/>
    </row>
    <row r="8" spans="1:20" x14ac:dyDescent="0.35">
      <c r="H8" s="27"/>
      <c r="I8" s="28"/>
      <c r="J8" s="28"/>
      <c r="K8" s="29"/>
    </row>
    <row r="9" spans="1:20" x14ac:dyDescent="0.35">
      <c r="G9" s="187" t="s">
        <v>672</v>
      </c>
      <c r="H9" s="94"/>
      <c r="I9" s="95"/>
      <c r="J9" s="95"/>
      <c r="K9" s="96"/>
    </row>
    <row r="10" spans="1:20" x14ac:dyDescent="0.35">
      <c r="G10" s="187" t="s">
        <v>673</v>
      </c>
      <c r="H10" s="27"/>
      <c r="I10" s="28"/>
      <c r="J10" s="28"/>
      <c r="K10" s="29"/>
    </row>
    <row r="11" spans="1:20" x14ac:dyDescent="0.35">
      <c r="M11" s="187" t="e" cm="1">
        <f t="array" aca="1" ref="M11" ca="1">IMEigVECT(B3:E6,2)</f>
        <v>#NAME?</v>
      </c>
    </row>
    <row r="12" spans="1:20" x14ac:dyDescent="0.35">
      <c r="M12" s="94"/>
      <c r="N12" s="95"/>
      <c r="O12" s="95"/>
      <c r="P12" s="96"/>
    </row>
    <row r="13" spans="1:20" x14ac:dyDescent="0.35">
      <c r="H13" s="94" t="e" cm="1">
        <f t="array" aca="1" ref="H13" ca="1">ZEigMultVECT(B3:E6,J3,J4)</f>
        <v>#NAME?</v>
      </c>
      <c r="I13" s="95"/>
      <c r="J13" s="94"/>
      <c r="K13" s="96"/>
      <c r="M13" s="191"/>
      <c r="P13" s="185"/>
    </row>
    <row r="14" spans="1:20" x14ac:dyDescent="0.35">
      <c r="H14" s="191"/>
      <c r="J14" s="191"/>
      <c r="K14" s="185"/>
      <c r="M14" s="191"/>
      <c r="P14" s="185"/>
    </row>
    <row r="15" spans="1:20" x14ac:dyDescent="0.35">
      <c r="H15" s="191"/>
      <c r="J15" s="191"/>
      <c r="K15" s="185"/>
      <c r="M15" s="27"/>
      <c r="N15" s="28"/>
      <c r="O15" s="28"/>
      <c r="P15" s="29"/>
    </row>
    <row r="16" spans="1:20" x14ac:dyDescent="0.35">
      <c r="H16" s="27"/>
      <c r="I16" s="28"/>
      <c r="J16" s="27"/>
      <c r="K16" s="2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76BA-A04E-4A5C-A6EE-601643CE2C59}">
  <sheetPr codeName="Sheet79"/>
  <dimension ref="A1:T21"/>
  <sheetViews>
    <sheetView workbookViewId="0"/>
  </sheetViews>
  <sheetFormatPr defaultRowHeight="14.5" x14ac:dyDescent="0.35"/>
  <cols>
    <col min="1" max="1" width="3.26953125" style="187" customWidth="1"/>
    <col min="2" max="5" width="4.90625" style="187" customWidth="1"/>
    <col min="6" max="6" width="8.7265625" style="187"/>
    <col min="7" max="7" width="9.6328125" style="187" customWidth="1"/>
    <col min="8" max="11" width="8.7265625" style="187"/>
    <col min="12" max="12" width="2.08984375" style="187" customWidth="1"/>
    <col min="13" max="14" width="8.7265625" style="187"/>
    <col min="15" max="16" width="9.7265625" style="187" customWidth="1"/>
    <col min="17" max="16384" width="8.7265625" style="187"/>
  </cols>
  <sheetData>
    <row r="1" spans="1:20" x14ac:dyDescent="0.35">
      <c r="A1" s="187" t="s">
        <v>666</v>
      </c>
    </row>
    <row r="3" spans="1:20" x14ac:dyDescent="0.35">
      <c r="B3" s="94">
        <v>2</v>
      </c>
      <c r="C3" s="95">
        <v>-1</v>
      </c>
      <c r="D3" s="95">
        <v>3</v>
      </c>
      <c r="E3" s="96">
        <v>-4</v>
      </c>
      <c r="G3" s="187" t="s">
        <v>669</v>
      </c>
      <c r="H3" s="94" t="e" cm="1">
        <f t="array" aca="1" ref="H3" ca="1">eigVECT(B3:E6)</f>
        <v>#NAME?</v>
      </c>
      <c r="I3" s="95"/>
      <c r="J3" s="95"/>
      <c r="K3" s="96"/>
      <c r="M3" s="46" t="e" cm="1">
        <f t="array" aca="1" ref="M3" ca="1">ZEigVECT(B3:E6)</f>
        <v>#NAME?</v>
      </c>
      <c r="N3" s="48"/>
      <c r="O3" s="46"/>
      <c r="P3" s="47"/>
      <c r="Q3" s="46"/>
      <c r="R3" s="48"/>
      <c r="S3" s="46"/>
      <c r="T3" s="48"/>
    </row>
    <row r="4" spans="1:20" x14ac:dyDescent="0.35">
      <c r="B4" s="191">
        <v>0</v>
      </c>
      <c r="C4" s="187">
        <v>2</v>
      </c>
      <c r="D4" s="187">
        <v>5</v>
      </c>
      <c r="E4" s="185">
        <v>-2</v>
      </c>
      <c r="G4" s="187" t="s">
        <v>670</v>
      </c>
      <c r="H4" s="27"/>
      <c r="I4" s="28"/>
      <c r="J4" s="28"/>
      <c r="K4" s="29"/>
      <c r="M4" s="94"/>
      <c r="N4" s="95"/>
      <c r="O4" s="94"/>
      <c r="P4" s="95"/>
      <c r="Q4" s="94"/>
      <c r="R4" s="96"/>
      <c r="S4" s="95"/>
      <c r="T4" s="96"/>
    </row>
    <row r="5" spans="1:20" x14ac:dyDescent="0.35">
      <c r="B5" s="191">
        <v>1</v>
      </c>
      <c r="C5" s="187">
        <v>0</v>
      </c>
      <c r="D5" s="187">
        <v>2</v>
      </c>
      <c r="E5" s="185">
        <v>1</v>
      </c>
      <c r="G5" s="187" t="s">
        <v>671</v>
      </c>
      <c r="H5" s="94"/>
      <c r="I5" s="95"/>
      <c r="J5" s="95"/>
      <c r="K5" s="96"/>
      <c r="M5" s="191"/>
      <c r="O5" s="191"/>
      <c r="Q5" s="191"/>
      <c r="R5" s="185"/>
      <c r="T5" s="185"/>
    </row>
    <row r="6" spans="1:20" x14ac:dyDescent="0.35">
      <c r="B6" s="27">
        <v>-2</v>
      </c>
      <c r="C6" s="28">
        <v>2</v>
      </c>
      <c r="D6" s="28">
        <v>-1</v>
      </c>
      <c r="E6" s="29">
        <v>2</v>
      </c>
      <c r="H6" s="191"/>
      <c r="K6" s="185"/>
      <c r="M6" s="191"/>
      <c r="O6" s="191"/>
      <c r="Q6" s="191"/>
      <c r="R6" s="185"/>
      <c r="T6" s="185"/>
    </row>
    <row r="7" spans="1:20" x14ac:dyDescent="0.35">
      <c r="H7" s="191"/>
      <c r="K7" s="185"/>
      <c r="M7" s="27"/>
      <c r="N7" s="28"/>
      <c r="O7" s="27"/>
      <c r="P7" s="28"/>
      <c r="Q7" s="27"/>
      <c r="R7" s="29"/>
      <c r="S7" s="28"/>
      <c r="T7" s="29"/>
    </row>
    <row r="8" spans="1:20" x14ac:dyDescent="0.35">
      <c r="H8" s="27"/>
      <c r="I8" s="28"/>
      <c r="J8" s="28"/>
      <c r="K8" s="29"/>
    </row>
    <row r="9" spans="1:20" x14ac:dyDescent="0.35">
      <c r="G9" s="187" t="s">
        <v>672</v>
      </c>
      <c r="H9" s="94"/>
      <c r="I9" s="95"/>
      <c r="J9" s="95"/>
      <c r="K9" s="96"/>
    </row>
    <row r="10" spans="1:20" x14ac:dyDescent="0.35">
      <c r="G10" s="187" t="s">
        <v>673</v>
      </c>
      <c r="H10" s="27"/>
      <c r="I10" s="28"/>
      <c r="J10" s="28"/>
      <c r="K10" s="29"/>
    </row>
    <row r="11" spans="1:20" x14ac:dyDescent="0.35">
      <c r="M11" s="187" t="e" cm="1">
        <f t="array" aca="1" ref="M11" ca="1">IMEigVECT(B3:E6,2)</f>
        <v>#NAME?</v>
      </c>
    </row>
    <row r="12" spans="1:20" x14ac:dyDescent="0.35">
      <c r="M12" s="94"/>
      <c r="N12" s="95"/>
      <c r="O12" s="95"/>
      <c r="P12" s="96"/>
    </row>
    <row r="13" spans="1:20" x14ac:dyDescent="0.35">
      <c r="H13" s="94" t="e" cm="1">
        <f t="array" aca="1" ref="H13" ca="1">ZEigMultVECT(B3:E6,J3,J4)</f>
        <v>#NAME?</v>
      </c>
      <c r="I13" s="95"/>
      <c r="J13" s="94"/>
      <c r="K13" s="96"/>
      <c r="M13" s="191"/>
      <c r="P13" s="185"/>
    </row>
    <row r="14" spans="1:20" x14ac:dyDescent="0.35">
      <c r="H14" s="191"/>
      <c r="J14" s="191"/>
      <c r="K14" s="185"/>
      <c r="M14" s="191"/>
      <c r="P14" s="185"/>
    </row>
    <row r="15" spans="1:20" x14ac:dyDescent="0.35">
      <c r="H15" s="191"/>
      <c r="J15" s="191"/>
      <c r="K15" s="185"/>
      <c r="M15" s="27"/>
      <c r="N15" s="28"/>
      <c r="O15" s="28"/>
      <c r="P15" s="29"/>
    </row>
    <row r="16" spans="1:20" x14ac:dyDescent="0.35">
      <c r="H16" s="27"/>
      <c r="I16" s="28"/>
      <c r="J16" s="27"/>
      <c r="K16" s="29"/>
    </row>
    <row r="20" spans="13:16" x14ac:dyDescent="0.35">
      <c r="M20" s="94" t="e" cm="1">
        <f t="array" aca="1" ref="M20" ca="1">ZEigVAL(B3:E6)</f>
        <v>#NAME?</v>
      </c>
      <c r="N20" s="95"/>
      <c r="O20" s="95"/>
      <c r="P20" s="96"/>
    </row>
    <row r="21" spans="13:16" x14ac:dyDescent="0.35">
      <c r="M21" s="27"/>
      <c r="N21" s="28"/>
      <c r="O21" s="28"/>
      <c r="P21" s="2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F45-9541-4B4A-B7E1-5B52CB559355}">
  <sheetPr codeName="Sheet80"/>
  <dimension ref="A1:T15"/>
  <sheetViews>
    <sheetView workbookViewId="0"/>
  </sheetViews>
  <sheetFormatPr defaultRowHeight="14.5" x14ac:dyDescent="0.35"/>
  <cols>
    <col min="1" max="1" width="3.26953125" style="187" customWidth="1"/>
    <col min="2" max="5" width="4.90625" style="187" customWidth="1"/>
    <col min="6" max="6" width="8.7265625" style="187" customWidth="1"/>
    <col min="7" max="7" width="9.6328125" style="187" customWidth="1"/>
    <col min="8" max="12" width="8.7265625" style="187" customWidth="1"/>
    <col min="13" max="14" width="8.7265625" style="187"/>
    <col min="15" max="16" width="9.7265625" style="187" customWidth="1"/>
    <col min="17" max="16384" width="8.7265625" style="187"/>
  </cols>
  <sheetData>
    <row r="1" spans="1:20" x14ac:dyDescent="0.35">
      <c r="A1" s="187" t="s">
        <v>666</v>
      </c>
    </row>
    <row r="3" spans="1:20" x14ac:dyDescent="0.35">
      <c r="B3" s="94">
        <v>2</v>
      </c>
      <c r="C3" s="95">
        <v>0</v>
      </c>
      <c r="D3" s="95">
        <v>0</v>
      </c>
      <c r="E3" s="96">
        <v>-3</v>
      </c>
      <c r="G3" s="187" t="s">
        <v>669</v>
      </c>
      <c r="H3" s="94" t="e" cm="1">
        <f t="array" aca="1" ref="H3" ca="1">eigVECT(B3:E6)</f>
        <v>#NAME?</v>
      </c>
      <c r="I3" s="95"/>
      <c r="J3" s="95"/>
      <c r="K3" s="96"/>
      <c r="M3" s="187" t="e" cm="1">
        <f t="array" aca="1" ref="M3" ca="1">ZEigVECT(B3:E6)</f>
        <v>#NAME?</v>
      </c>
    </row>
    <row r="4" spans="1:20" x14ac:dyDescent="0.35">
      <c r="B4" s="191">
        <v>0</v>
      </c>
      <c r="C4" s="187">
        <v>2</v>
      </c>
      <c r="D4" s="187">
        <v>0</v>
      </c>
      <c r="E4" s="185">
        <v>0</v>
      </c>
      <c r="G4" s="187" t="s">
        <v>670</v>
      </c>
      <c r="H4" s="27"/>
      <c r="I4" s="28"/>
      <c r="J4" s="28"/>
      <c r="K4" s="29"/>
      <c r="M4" s="94"/>
      <c r="N4" s="95"/>
      <c r="O4" s="95"/>
      <c r="P4" s="95"/>
      <c r="Q4" s="95"/>
      <c r="R4" s="95"/>
      <c r="S4" s="95"/>
      <c r="T4" s="96"/>
    </row>
    <row r="5" spans="1:20" x14ac:dyDescent="0.35">
      <c r="B5" s="191">
        <v>0</v>
      </c>
      <c r="C5" s="187">
        <v>0</v>
      </c>
      <c r="D5" s="187">
        <v>2</v>
      </c>
      <c r="E5" s="185">
        <v>1</v>
      </c>
      <c r="G5" s="187" t="s">
        <v>671</v>
      </c>
      <c r="H5" s="94"/>
      <c r="I5" s="95"/>
      <c r="J5" s="95"/>
      <c r="K5" s="96"/>
      <c r="M5" s="191"/>
      <c r="T5" s="185"/>
    </row>
    <row r="6" spans="1:20" x14ac:dyDescent="0.35">
      <c r="B6" s="27">
        <v>3</v>
      </c>
      <c r="C6" s="28">
        <v>0</v>
      </c>
      <c r="D6" s="28">
        <v>1</v>
      </c>
      <c r="E6" s="29">
        <v>2</v>
      </c>
      <c r="H6" s="191"/>
      <c r="K6" s="185"/>
      <c r="M6" s="191"/>
      <c r="T6" s="185"/>
    </row>
    <row r="7" spans="1:20" x14ac:dyDescent="0.35">
      <c r="H7" s="191"/>
      <c r="K7" s="185"/>
      <c r="M7" s="27"/>
      <c r="N7" s="28"/>
      <c r="O7" s="28"/>
      <c r="P7" s="28"/>
      <c r="Q7" s="28"/>
      <c r="R7" s="28"/>
      <c r="S7" s="28"/>
      <c r="T7" s="29"/>
    </row>
    <row r="8" spans="1:20" x14ac:dyDescent="0.35">
      <c r="H8" s="27"/>
      <c r="I8" s="28"/>
      <c r="J8" s="28"/>
      <c r="K8" s="29"/>
    </row>
    <row r="9" spans="1:20" x14ac:dyDescent="0.35">
      <c r="G9" s="187" t="s">
        <v>672</v>
      </c>
      <c r="H9" s="94"/>
      <c r="I9" s="95"/>
      <c r="J9" s="95"/>
      <c r="K9" s="96"/>
    </row>
    <row r="10" spans="1:20" x14ac:dyDescent="0.35">
      <c r="G10" s="187" t="s">
        <v>673</v>
      </c>
      <c r="H10" s="27"/>
      <c r="I10" s="28"/>
      <c r="J10" s="28"/>
      <c r="K10" s="29"/>
    </row>
    <row r="11" spans="1:20" x14ac:dyDescent="0.35">
      <c r="M11" s="187" t="e" cm="1">
        <f t="array" aca="1" ref="M11" ca="1">IMEigVECT(B3:E6,2)</f>
        <v>#NAME?</v>
      </c>
    </row>
    <row r="12" spans="1:20" x14ac:dyDescent="0.35">
      <c r="B12" s="94">
        <v>2</v>
      </c>
      <c r="C12" s="95">
        <v>0</v>
      </c>
      <c r="D12" s="95">
        <v>0</v>
      </c>
      <c r="E12" s="96">
        <v>-3</v>
      </c>
      <c r="M12" s="94"/>
      <c r="N12" s="95"/>
      <c r="O12" s="95"/>
      <c r="P12" s="96"/>
    </row>
    <row r="13" spans="1:20" x14ac:dyDescent="0.35">
      <c r="B13" s="191">
        <v>0</v>
      </c>
      <c r="C13" s="187">
        <v>2</v>
      </c>
      <c r="D13" s="187">
        <v>0</v>
      </c>
      <c r="E13" s="185">
        <v>0</v>
      </c>
      <c r="M13" s="191"/>
      <c r="P13" s="185"/>
    </row>
    <row r="14" spans="1:20" x14ac:dyDescent="0.35">
      <c r="B14" s="191">
        <v>0</v>
      </c>
      <c r="C14" s="187">
        <v>0</v>
      </c>
      <c r="D14" s="187">
        <v>2</v>
      </c>
      <c r="E14" s="185">
        <v>1</v>
      </c>
      <c r="M14" s="191"/>
      <c r="P14" s="185"/>
    </row>
    <row r="15" spans="1:20" x14ac:dyDescent="0.35">
      <c r="B15" s="27">
        <v>3</v>
      </c>
      <c r="C15" s="28">
        <v>0</v>
      </c>
      <c r="D15" s="28">
        <v>1</v>
      </c>
      <c r="E15" s="29">
        <v>2</v>
      </c>
      <c r="M15" s="27"/>
      <c r="N15" s="28"/>
      <c r="O15" s="28"/>
      <c r="P15" s="29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838B-A3A7-405B-BCEF-028DAD4C63F3}">
  <sheetPr codeName="Sheet81"/>
  <dimension ref="A1:T20"/>
  <sheetViews>
    <sheetView workbookViewId="0"/>
  </sheetViews>
  <sheetFormatPr defaultRowHeight="14.5" x14ac:dyDescent="0.35"/>
  <cols>
    <col min="1" max="1" width="3.26953125" style="187" customWidth="1"/>
    <col min="2" max="5" width="4.90625" style="187" customWidth="1"/>
    <col min="6" max="6" width="8.7265625" style="187" customWidth="1"/>
    <col min="7" max="7" width="9.6328125" style="187" customWidth="1"/>
    <col min="8" max="12" width="8.7265625" style="187" customWidth="1"/>
    <col min="13" max="14" width="8.7265625" style="187"/>
    <col min="15" max="16" width="8.7265625" style="187" customWidth="1"/>
    <col min="17" max="16384" width="8.7265625" style="187"/>
  </cols>
  <sheetData>
    <row r="1" spans="1:20" x14ac:dyDescent="0.35">
      <c r="A1" s="187" t="s">
        <v>666</v>
      </c>
    </row>
    <row r="3" spans="1:20" x14ac:dyDescent="0.35">
      <c r="B3" s="94">
        <v>0</v>
      </c>
      <c r="C3" s="95">
        <v>1</v>
      </c>
      <c r="D3" s="95">
        <v>1</v>
      </c>
      <c r="E3" s="96">
        <v>0</v>
      </c>
      <c r="G3" s="187" t="s">
        <v>669</v>
      </c>
      <c r="H3" s="94" t="e" cm="1">
        <f t="array" aca="1" ref="H3" ca="1">eigVECT(B3:E6)</f>
        <v>#NAME?</v>
      </c>
      <c r="I3" s="95"/>
      <c r="J3" s="95"/>
      <c r="K3" s="96"/>
      <c r="M3" s="187" t="e" cm="1">
        <f t="array" aca="1" ref="M3" ca="1">ZEigVECT(B3:E6)</f>
        <v>#NAME?</v>
      </c>
    </row>
    <row r="4" spans="1:20" x14ac:dyDescent="0.35">
      <c r="B4" s="191">
        <v>-1</v>
      </c>
      <c r="C4" s="187">
        <v>0</v>
      </c>
      <c r="D4" s="187">
        <v>0</v>
      </c>
      <c r="E4" s="185">
        <v>1</v>
      </c>
      <c r="G4" s="187" t="s">
        <v>670</v>
      </c>
      <c r="H4" s="27"/>
      <c r="I4" s="28"/>
      <c r="J4" s="28"/>
      <c r="K4" s="29"/>
      <c r="M4" s="94"/>
      <c r="N4" s="95"/>
      <c r="O4" s="95"/>
      <c r="P4" s="95"/>
      <c r="Q4" s="95"/>
      <c r="R4" s="95"/>
      <c r="S4" s="95"/>
      <c r="T4" s="96"/>
    </row>
    <row r="5" spans="1:20" x14ac:dyDescent="0.35">
      <c r="B5" s="191">
        <v>0</v>
      </c>
      <c r="C5" s="187">
        <v>0</v>
      </c>
      <c r="D5" s="187">
        <v>0</v>
      </c>
      <c r="E5" s="185">
        <v>1</v>
      </c>
      <c r="G5" s="187" t="s">
        <v>671</v>
      </c>
      <c r="H5" s="94"/>
      <c r="I5" s="95"/>
      <c r="J5" s="95"/>
      <c r="K5" s="96"/>
      <c r="M5" s="191"/>
      <c r="T5" s="185"/>
    </row>
    <row r="6" spans="1:20" x14ac:dyDescent="0.35">
      <c r="B6" s="27">
        <v>0</v>
      </c>
      <c r="C6" s="28">
        <v>0</v>
      </c>
      <c r="D6" s="28">
        <v>-1</v>
      </c>
      <c r="E6" s="29">
        <v>0</v>
      </c>
      <c r="H6" s="191"/>
      <c r="K6" s="185"/>
      <c r="M6" s="191"/>
      <c r="T6" s="185"/>
    </row>
    <row r="7" spans="1:20" x14ac:dyDescent="0.35">
      <c r="H7" s="191"/>
      <c r="K7" s="185"/>
      <c r="M7" s="27"/>
      <c r="N7" s="28"/>
      <c r="O7" s="28"/>
      <c r="P7" s="28"/>
      <c r="Q7" s="28"/>
      <c r="R7" s="28"/>
      <c r="S7" s="28"/>
      <c r="T7" s="29"/>
    </row>
    <row r="8" spans="1:20" x14ac:dyDescent="0.35">
      <c r="H8" s="27"/>
      <c r="I8" s="28"/>
      <c r="J8" s="28"/>
      <c r="K8" s="29"/>
    </row>
    <row r="9" spans="1:20" x14ac:dyDescent="0.35">
      <c r="G9" s="187" t="s">
        <v>672</v>
      </c>
      <c r="H9" s="94"/>
      <c r="I9" s="95"/>
      <c r="J9" s="95"/>
      <c r="K9" s="96"/>
    </row>
    <row r="10" spans="1:20" x14ac:dyDescent="0.35">
      <c r="G10" s="187" t="s">
        <v>673</v>
      </c>
      <c r="H10" s="27"/>
      <c r="I10" s="28"/>
      <c r="J10" s="28"/>
      <c r="K10" s="29"/>
    </row>
    <row r="11" spans="1:20" x14ac:dyDescent="0.35">
      <c r="M11" s="187" t="e" cm="1">
        <f t="array" aca="1" ref="M11" ca="1">IMEigVECT(B3:E6,2)</f>
        <v>#NAME?</v>
      </c>
    </row>
    <row r="12" spans="1:20" x14ac:dyDescent="0.35">
      <c r="B12" s="94">
        <v>0</v>
      </c>
      <c r="C12" s="95">
        <v>1</v>
      </c>
      <c r="D12" s="95">
        <v>1</v>
      </c>
      <c r="E12" s="96">
        <v>0</v>
      </c>
      <c r="M12" s="94"/>
      <c r="N12" s="95"/>
      <c r="O12" s="95"/>
      <c r="P12" s="96"/>
    </row>
    <row r="13" spans="1:20" x14ac:dyDescent="0.35">
      <c r="B13" s="191">
        <v>-1</v>
      </c>
      <c r="C13" s="187">
        <v>0</v>
      </c>
      <c r="D13" s="187">
        <v>0</v>
      </c>
      <c r="E13" s="185">
        <v>1</v>
      </c>
      <c r="H13" s="94" t="e" cm="1">
        <f t="array" aca="1" ref="H13" ca="1">ZEigMultVECT(B3:E6,J3,J4)</f>
        <v>#NAME?</v>
      </c>
      <c r="I13" s="95"/>
      <c r="J13" s="94"/>
      <c r="K13" s="96"/>
      <c r="M13" s="191"/>
      <c r="P13" s="185"/>
    </row>
    <row r="14" spans="1:20" x14ac:dyDescent="0.35">
      <c r="B14" s="191">
        <v>0</v>
      </c>
      <c r="C14" s="187">
        <v>0</v>
      </c>
      <c r="D14" s="187">
        <v>0</v>
      </c>
      <c r="E14" s="185">
        <v>1</v>
      </c>
      <c r="H14" s="191"/>
      <c r="J14" s="191"/>
      <c r="K14" s="185"/>
      <c r="M14" s="191"/>
      <c r="P14" s="185"/>
    </row>
    <row r="15" spans="1:20" x14ac:dyDescent="0.35">
      <c r="B15" s="27">
        <v>0</v>
      </c>
      <c r="C15" s="28">
        <v>0</v>
      </c>
      <c r="D15" s="28">
        <v>-1</v>
      </c>
      <c r="E15" s="29">
        <v>0</v>
      </c>
      <c r="H15" s="191"/>
      <c r="J15" s="191"/>
      <c r="K15" s="185"/>
      <c r="M15" s="27"/>
      <c r="N15" s="28"/>
      <c r="O15" s="28"/>
      <c r="P15" s="29"/>
    </row>
    <row r="16" spans="1:20" x14ac:dyDescent="0.35">
      <c r="H16" s="27"/>
      <c r="I16" s="28"/>
      <c r="J16" s="27"/>
      <c r="K16" s="29"/>
    </row>
    <row r="20" spans="13:13" x14ac:dyDescent="0.35">
      <c r="M20" s="187" t="e" cm="1">
        <f t="array" aca="1" ref="M20" ca="1">ZEigVAL(B3:E6)</f>
        <v>#NAME?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DB89-2D1E-48EC-8D4E-B5886A0BF341}">
  <sheetPr codeName="Sheet82"/>
  <dimension ref="A1:L16"/>
  <sheetViews>
    <sheetView workbookViewId="0"/>
  </sheetViews>
  <sheetFormatPr defaultRowHeight="14.5" x14ac:dyDescent="0.35"/>
  <cols>
    <col min="1" max="1" width="3.26953125" style="187" customWidth="1"/>
    <col min="2" max="3" width="4.90625" style="187" customWidth="1"/>
    <col min="4" max="4" width="8.7265625" style="187"/>
    <col min="5" max="5" width="9.6328125" style="187" customWidth="1"/>
    <col min="6" max="16384" width="8.7265625" style="187"/>
  </cols>
  <sheetData>
    <row r="1" spans="1:12" x14ac:dyDescent="0.35">
      <c r="A1" s="187" t="s">
        <v>666</v>
      </c>
    </row>
    <row r="3" spans="1:12" x14ac:dyDescent="0.35">
      <c r="B3" s="94">
        <v>0</v>
      </c>
      <c r="C3" s="96">
        <v>1</v>
      </c>
      <c r="E3" s="187" t="s">
        <v>669</v>
      </c>
      <c r="F3" s="187" t="e" cm="1">
        <f t="array" aca="1" ref="F3" ca="1">eigVECT(B3:C4)</f>
        <v>#NAME?</v>
      </c>
      <c r="I3" s="187" t="e" cm="1">
        <f t="array" aca="1" ref="I3" ca="1">ZEigVECT(B3:C4)</f>
        <v>#NAME?</v>
      </c>
    </row>
    <row r="4" spans="1:12" x14ac:dyDescent="0.35">
      <c r="B4" s="27">
        <v>-1</v>
      </c>
      <c r="C4" s="29">
        <v>0</v>
      </c>
      <c r="E4" s="187" t="s">
        <v>670</v>
      </c>
      <c r="I4" s="94"/>
      <c r="J4" s="95"/>
      <c r="K4" s="95"/>
      <c r="L4" s="96"/>
    </row>
    <row r="5" spans="1:12" x14ac:dyDescent="0.35">
      <c r="E5" s="187" t="s">
        <v>671</v>
      </c>
      <c r="F5" s="94"/>
      <c r="G5" s="96"/>
      <c r="I5" s="27"/>
      <c r="J5" s="28"/>
      <c r="K5" s="28"/>
      <c r="L5" s="29"/>
    </row>
    <row r="6" spans="1:12" x14ac:dyDescent="0.35">
      <c r="F6" s="27"/>
      <c r="G6" s="29"/>
    </row>
    <row r="7" spans="1:12" x14ac:dyDescent="0.35">
      <c r="E7" s="187" t="s">
        <v>672</v>
      </c>
    </row>
    <row r="8" spans="1:12" x14ac:dyDescent="0.35">
      <c r="E8" s="187" t="s">
        <v>673</v>
      </c>
    </row>
    <row r="11" spans="1:12" x14ac:dyDescent="0.35">
      <c r="B11" s="94">
        <v>2</v>
      </c>
      <c r="C11" s="96">
        <v>1</v>
      </c>
      <c r="E11" s="187" t="s">
        <v>669</v>
      </c>
      <c r="F11" s="187" t="e" cm="1">
        <f t="array" aca="1" ref="F11" ca="1">eigVECT(B11:C12)</f>
        <v>#NAME?</v>
      </c>
      <c r="I11" s="187" t="e" cm="1">
        <f t="array" aca="1" ref="I11" ca="1">ZEigVECT(B11:C12)</f>
        <v>#NAME?</v>
      </c>
    </row>
    <row r="12" spans="1:12" x14ac:dyDescent="0.35">
      <c r="B12" s="27">
        <v>1</v>
      </c>
      <c r="C12" s="29">
        <v>3</v>
      </c>
      <c r="E12" s="187" t="s">
        <v>670</v>
      </c>
      <c r="I12" s="94"/>
      <c r="J12" s="95"/>
      <c r="K12" s="95"/>
      <c r="L12" s="96"/>
    </row>
    <row r="13" spans="1:12" x14ac:dyDescent="0.35">
      <c r="E13" s="187" t="s">
        <v>671</v>
      </c>
      <c r="F13" s="94"/>
      <c r="G13" s="96"/>
      <c r="I13" s="27"/>
      <c r="J13" s="28"/>
      <c r="K13" s="28"/>
      <c r="L13" s="29"/>
    </row>
    <row r="14" spans="1:12" x14ac:dyDescent="0.35">
      <c r="F14" s="27"/>
      <c r="G14" s="29"/>
    </row>
    <row r="15" spans="1:12" x14ac:dyDescent="0.35">
      <c r="E15" s="187" t="s">
        <v>672</v>
      </c>
    </row>
    <row r="16" spans="1:12" x14ac:dyDescent="0.35">
      <c r="E16" s="187" t="s">
        <v>673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3B24-9C40-49CA-A5DB-34040D5EC099}">
  <sheetPr codeName="Sheet28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TOC0</vt:lpstr>
      <vt:lpstr>TOC</vt:lpstr>
      <vt:lpstr>Matrix</vt:lpstr>
      <vt:lpstr>Length</vt:lpstr>
      <vt:lpstr>Diag</vt:lpstr>
      <vt:lpstr>Mat Power</vt:lpstr>
      <vt:lpstr>MSUB</vt:lpstr>
      <vt:lpstr>Inverse</vt:lpstr>
      <vt:lpstr>Det 1</vt:lpstr>
      <vt:lpstr>Det 2</vt:lpstr>
      <vt:lpstr>Cramer Rule</vt:lpstr>
      <vt:lpstr>Gauss Elim 1</vt:lpstr>
      <vt:lpstr>Gauss Elim 2</vt:lpstr>
      <vt:lpstr>LinEqSolve</vt:lpstr>
      <vt:lpstr>Newton</vt:lpstr>
      <vt:lpstr>Goal Seek</vt:lpstr>
      <vt:lpstr>NFL</vt:lpstr>
      <vt:lpstr>LUP</vt:lpstr>
      <vt:lpstr>eVAL 1</vt:lpstr>
      <vt:lpstr>eVAL 2</vt:lpstr>
      <vt:lpstr>eVAL 3</vt:lpstr>
      <vt:lpstr>QR 1</vt:lpstr>
      <vt:lpstr>QR 2</vt:lpstr>
      <vt:lpstr>Hess</vt:lpstr>
      <vt:lpstr>Hess 2</vt:lpstr>
      <vt:lpstr>Eigen 1</vt:lpstr>
      <vt:lpstr>Eigen 2</vt:lpstr>
      <vt:lpstr>QR</vt:lpstr>
      <vt:lpstr>QR A</vt:lpstr>
      <vt:lpstr>QR B</vt:lpstr>
      <vt:lpstr>QR C</vt:lpstr>
      <vt:lpstr>Spectral</vt:lpstr>
      <vt:lpstr>SVD</vt:lpstr>
      <vt:lpstr>SVD 2</vt:lpstr>
      <vt:lpstr>PseudoInv</vt:lpstr>
      <vt:lpstr>PseudoInv 1</vt:lpstr>
      <vt:lpstr>PseudoInv 2</vt:lpstr>
      <vt:lpstr>PseudoInv 3</vt:lpstr>
      <vt:lpstr>PseudoInv 4</vt:lpstr>
      <vt:lpstr>PseudoInv 5</vt:lpstr>
      <vt:lpstr>PseudoInv 6</vt:lpstr>
      <vt:lpstr>Matrix 1</vt:lpstr>
      <vt:lpstr>Matrix 2</vt:lpstr>
      <vt:lpstr>Matrix 3</vt:lpstr>
      <vt:lpstr>Par Cor</vt:lpstr>
      <vt:lpstr>SQRT</vt:lpstr>
      <vt:lpstr>Gram</vt:lpstr>
      <vt:lpstr>Cholesky</vt:lpstr>
      <vt:lpstr>Varimax</vt:lpstr>
      <vt:lpstr>Varimax 1</vt:lpstr>
      <vt:lpstr>Graph</vt:lpstr>
      <vt:lpstr>Kruskal</vt:lpstr>
      <vt:lpstr>Kruskal 1</vt:lpstr>
      <vt:lpstr>Prim</vt:lpstr>
      <vt:lpstr>MSTVEctors</vt:lpstr>
      <vt:lpstr>Diagram</vt:lpstr>
      <vt:lpstr>Complex 0</vt:lpstr>
      <vt:lpstr>Complex 1</vt:lpstr>
      <vt:lpstr>Complex 1a</vt:lpstr>
      <vt:lpstr>Complex 2</vt:lpstr>
      <vt:lpstr>Complex 2a</vt:lpstr>
      <vt:lpstr>Spline</vt:lpstr>
      <vt:lpstr>Cubic 1</vt:lpstr>
      <vt:lpstr>Cubic 2</vt:lpstr>
      <vt:lpstr>Roots</vt:lpstr>
      <vt:lpstr>Roots 1</vt:lpstr>
      <vt:lpstr>Roots 2</vt:lpstr>
      <vt:lpstr>Roots A</vt:lpstr>
      <vt:lpstr>Roots B</vt:lpstr>
      <vt:lpstr>Roots C</vt:lpstr>
      <vt:lpstr>Roots D</vt:lpstr>
      <vt:lpstr>MNEWTON</vt:lpstr>
      <vt:lpstr>Markov</vt:lpstr>
      <vt:lpstr>Markov 1</vt:lpstr>
      <vt:lpstr>Prime</vt:lpstr>
      <vt:lpstr>Deriv</vt:lpstr>
      <vt:lpstr>Integ 0</vt:lpstr>
      <vt:lpstr>Integ</vt:lpstr>
      <vt:lpstr>Integ 1</vt:lpstr>
      <vt:lpstr>Surface</vt:lpstr>
      <vt:lpstr>Surface 1</vt:lpstr>
      <vt:lpstr>Surface 2</vt:lpstr>
      <vt:lpstr>Surface 3</vt:lpstr>
      <vt:lpstr>MNEWTON2</vt:lpstr>
      <vt:lpstr>MNEWTON3</vt:lpstr>
      <vt:lpstr>NEWTON2</vt:lpstr>
      <vt:lpstr>F2MIN</vt:lpstr>
      <vt:lpstr>LinEq 1</vt:lpstr>
      <vt:lpstr>LinEq 2</vt:lpstr>
      <vt:lpstr>LinEq 3</vt:lpstr>
      <vt:lpstr>EVal</vt:lpstr>
      <vt:lpstr>Eig A</vt:lpstr>
      <vt:lpstr>Eig B</vt:lpstr>
      <vt:lpstr>Eig C</vt:lpstr>
      <vt:lpstr>Eig D</vt:lpstr>
      <vt:lpstr>Eig E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2013-09-20T04:33:09Z</cp:lastPrinted>
  <dcterms:created xsi:type="dcterms:W3CDTF">2013-08-08T05:03:19Z</dcterms:created>
  <dcterms:modified xsi:type="dcterms:W3CDTF">2021-11-30T21:57:54Z</dcterms:modified>
</cp:coreProperties>
</file>