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drawings/drawing10.xml" ContentType="application/vnd.openxmlformats-officedocument.drawing+xml"/>
  <Override PartName="/xl/charts/chart2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1.xml" ContentType="application/vnd.openxmlformats-officedocument.drawing+xml"/>
  <Override PartName="/xl/charts/chart2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drawings/drawing16.xml" ContentType="application/vnd.openxmlformats-officedocument.drawing+xml"/>
  <Override PartName="/xl/charts/chart3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A8643DC0-5627-4361-BABA-075D9DBCF99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C0" sheetId="36" r:id="rId1"/>
    <sheet name="TOC" sheetId="1" r:id="rId2"/>
    <sheet name="Desc" sheetId="2" r:id="rId3"/>
    <sheet name="Ellipse" sheetId="94" r:id="rId4"/>
    <sheet name="Ellipse 2" sheetId="95" r:id="rId5"/>
    <sheet name="Bivar" sheetId="85" r:id="rId6"/>
    <sheet name="Bivar 1" sheetId="84" r:id="rId7"/>
    <sheet name="FR" sheetId="116" r:id="rId8"/>
    <sheet name="FRSJ" sheetId="117" r:id="rId9"/>
    <sheet name="Hotel 1" sheetId="3" r:id="rId10"/>
    <sheet name="Hotel 2P" sheetId="4" r:id="rId11"/>
    <sheet name="Hotel 2" sheetId="5" r:id="rId12"/>
    <sheet name="Hotel 2a" sheetId="7" r:id="rId13"/>
    <sheet name="Hotel 2b" sheetId="96" r:id="rId14"/>
    <sheet name="Hotel 3" sheetId="6" r:id="rId15"/>
    <sheet name="Hotel 3a" sheetId="12" r:id="rId16"/>
    <sheet name="Hotel 3b" sheetId="66" r:id="rId17"/>
    <sheet name="Rep Measures 1" sheetId="64" r:id="rId18"/>
    <sheet name="Rep Measures 2" sheetId="68" r:id="rId19"/>
    <sheet name="Rep Measures 3" sheetId="69" r:id="rId20"/>
    <sheet name="Hot1 Power" sheetId="100" r:id="rId21"/>
    <sheet name="Hot2 Power" sheetId="101" r:id="rId22"/>
    <sheet name="Box 2" sheetId="11" r:id="rId23"/>
    <sheet name="Box 2a" sheetId="9" r:id="rId24"/>
    <sheet name="Box 3a" sheetId="13" r:id="rId25"/>
    <sheet name="Box 3b" sheetId="38" r:id="rId26"/>
    <sheet name="Manova 1" sheetId="15" r:id="rId27"/>
    <sheet name="Manova 1a" sheetId="21" r:id="rId28"/>
    <sheet name="Manova 1b" sheetId="29" r:id="rId29"/>
    <sheet name="Manova 1c" sheetId="14" r:id="rId30"/>
    <sheet name="Manova 1d" sheetId="31" r:id="rId31"/>
    <sheet name="Manova 1e" sheetId="30" r:id="rId32"/>
    <sheet name="Manova 1f" sheetId="32" r:id="rId33"/>
    <sheet name="Manova 1g" sheetId="33" r:id="rId34"/>
    <sheet name="Manova 1h" sheetId="17" r:id="rId35"/>
    <sheet name="Manova 1i" sheetId="18" r:id="rId36"/>
    <sheet name="Manova 1j" sheetId="34" r:id="rId37"/>
    <sheet name="Manova 1k" sheetId="35" r:id="rId38"/>
    <sheet name="Manova2" sheetId="97" r:id="rId39"/>
    <sheet name="Man Power" sheetId="99" r:id="rId40"/>
    <sheet name="Man2 Power" sheetId="98" r:id="rId41"/>
    <sheet name="PMANOVA1" sheetId="103" r:id="rId42"/>
    <sheet name="PMANOVA2" sheetId="104" r:id="rId43"/>
    <sheet name="PMANOVA3" sheetId="105" r:id="rId44"/>
    <sheet name="PANOVA" sheetId="102" r:id="rId45"/>
    <sheet name="Box" sheetId="37" r:id="rId46"/>
    <sheet name="PCA" sheetId="39" r:id="rId47"/>
    <sheet name="Factor" sheetId="40" r:id="rId48"/>
    <sheet name="Box Factor" sheetId="41" r:id="rId49"/>
    <sheet name="KMO" sheetId="44" r:id="rId50"/>
    <sheet name="Clust 1" sheetId="79" r:id="rId51"/>
    <sheet name="Clust 2" sheetId="77" r:id="rId52"/>
    <sheet name="Clust 3" sheetId="76" r:id="rId53"/>
    <sheet name="Clust 3a" sheetId="75" r:id="rId54"/>
    <sheet name="Clust 3b" sheetId="74" r:id="rId55"/>
    <sheet name="Clust A" sheetId="109" r:id="rId56"/>
    <sheet name="Clust B" sheetId="110" r:id="rId57"/>
    <sheet name="Clust C" sheetId="111" r:id="rId58"/>
    <sheet name="Clust D" sheetId="112" r:id="rId59"/>
    <sheet name="Clust E" sheetId="113" r:id="rId60"/>
    <sheet name="Clust E1" sheetId="114" r:id="rId61"/>
    <sheet name="Clust F" sheetId="115" r:id="rId62"/>
    <sheet name="Jenks 1" sheetId="83" r:id="rId63"/>
    <sheet name="Jenks 2" sheetId="82" r:id="rId64"/>
    <sheet name="Jenks 3" sheetId="81" r:id="rId65"/>
    <sheet name="Jenks 4" sheetId="80" r:id="rId66"/>
    <sheet name="Discrim 1" sheetId="86" r:id="rId67"/>
    <sheet name="Discrim 2" sheetId="87" r:id="rId68"/>
    <sheet name="Discrim 3" sheetId="88" r:id="rId69"/>
    <sheet name="Discrim 4" sheetId="89" r:id="rId70"/>
    <sheet name="CA 1" sheetId="90" r:id="rId71"/>
    <sheet name="CA 2" sheetId="91" r:id="rId72"/>
    <sheet name="CA 3" sheetId="92" r:id="rId73"/>
    <sheet name="CA 4" sheetId="93" r:id="rId74"/>
    <sheet name="Fact PCA" sheetId="51" r:id="rId75"/>
    <sheet name="PAF Comm" sheetId="55" r:id="rId76"/>
    <sheet name="Fact PAF" sheetId="54" r:id="rId77"/>
  </sheets>
  <externalReferences>
    <externalReference r:id="rId78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3" i="54" l="1" a="1"/>
  <c r="M108" i="54" a="1"/>
  <c r="Q113" i="54" s="1"/>
  <c r="R91" i="54"/>
  <c r="M91" i="54" a="1"/>
  <c r="Q91" i="54" s="1"/>
  <c r="M86" i="54" a="1"/>
  <c r="T86" i="54" s="1"/>
  <c r="N68" i="54"/>
  <c r="M59" i="54" a="1"/>
  <c r="R65" i="54" s="1"/>
  <c r="W28" i="54" a="1"/>
  <c r="N21" i="54"/>
  <c r="R18" i="54"/>
  <c r="Q16" i="54"/>
  <c r="M14" i="54"/>
  <c r="M14" i="54" a="1"/>
  <c r="T22" i="54" s="1"/>
  <c r="T41" i="55"/>
  <c r="T40" i="55"/>
  <c r="T39" i="55"/>
  <c r="T38" i="55"/>
  <c r="T37" i="55"/>
  <c r="T36" i="55"/>
  <c r="T35" i="55"/>
  <c r="T34" i="55"/>
  <c r="T33" i="55"/>
  <c r="MN23" i="55"/>
  <c r="MS22" i="55"/>
  <c r="MK19" i="55" a="1"/>
  <c r="MS23" i="55" s="1"/>
  <c r="LY27" i="55"/>
  <c r="MD24" i="55"/>
  <c r="LZ20" i="55"/>
  <c r="LY19" i="55" a="1"/>
  <c r="MC25" i="55" s="1"/>
  <c r="LP27" i="55"/>
  <c r="LS21" i="55"/>
  <c r="LM19" i="55" a="1"/>
  <c r="LA27" i="55"/>
  <c r="LA19" i="55" a="1"/>
  <c r="LB24" i="55" s="1"/>
  <c r="KU24" i="55"/>
  <c r="KR22" i="55"/>
  <c r="KO20" i="55"/>
  <c r="KO19" i="55" a="1"/>
  <c r="KP27" i="55" s="1"/>
  <c r="KH26" i="55"/>
  <c r="KJ24" i="55"/>
  <c r="KF22" i="55"/>
  <c r="KF20" i="55"/>
  <c r="KC19" i="55" a="1"/>
  <c r="KE28" i="55" s="1"/>
  <c r="JQ28" i="55"/>
  <c r="JR25" i="55"/>
  <c r="JR22" i="55"/>
  <c r="JR19" i="55"/>
  <c r="JQ19" i="55" a="1"/>
  <c r="JT28" i="55" s="1"/>
  <c r="JL27" i="55"/>
  <c r="JI27" i="55"/>
  <c r="JF26" i="55"/>
  <c r="JL25" i="55"/>
  <c r="JI24" i="55"/>
  <c r="JH24" i="55"/>
  <c r="JE23" i="55"/>
  <c r="JK22" i="55"/>
  <c r="JH21" i="55"/>
  <c r="JE21" i="55"/>
  <c r="JL19" i="55"/>
  <c r="JJ19" i="55"/>
  <c r="JE19" i="55" a="1"/>
  <c r="JK28" i="55" s="1"/>
  <c r="IT25" i="55"/>
  <c r="IX21" i="55"/>
  <c r="IS19" i="55" a="1"/>
  <c r="IZ24" i="55" s="1"/>
  <c r="IM26" i="55"/>
  <c r="IG19" i="55" a="1"/>
  <c r="II24" i="55" s="1"/>
  <c r="HX27" i="55"/>
  <c r="HV23" i="55"/>
  <c r="HW20" i="55"/>
  <c r="HU19" i="55" a="1"/>
  <c r="IB28" i="55" s="1"/>
  <c r="HN22" i="55"/>
  <c r="HL22" i="55"/>
  <c r="HI19" i="55" a="1"/>
  <c r="HE28" i="55"/>
  <c r="HB28" i="55"/>
  <c r="HA28" i="55"/>
  <c r="HE27" i="55"/>
  <c r="HC27" i="55"/>
  <c r="GZ27" i="55"/>
  <c r="GY27" i="55"/>
  <c r="HC26" i="55"/>
  <c r="HA26" i="55"/>
  <c r="GY26" i="55"/>
  <c r="GX26" i="55"/>
  <c r="HA25" i="55"/>
  <c r="GZ25" i="55"/>
  <c r="GW25" i="55"/>
  <c r="HE24" i="55"/>
  <c r="GZ24" i="55"/>
  <c r="GX24" i="55"/>
  <c r="HD23" i="55"/>
  <c r="HC23" i="55"/>
  <c r="GX23" i="55"/>
  <c r="HE22" i="55"/>
  <c r="HC22" i="55"/>
  <c r="HB22" i="55"/>
  <c r="HE21" i="55"/>
  <c r="HD21" i="55"/>
  <c r="HA21" i="55"/>
  <c r="GZ21" i="55"/>
  <c r="HD20" i="55"/>
  <c r="HB20" i="55"/>
  <c r="GY20" i="55"/>
  <c r="GX20" i="55"/>
  <c r="HB19" i="55"/>
  <c r="GZ19" i="55"/>
  <c r="GX19" i="55"/>
  <c r="GW19" i="55"/>
  <c r="GW19" i="55" a="1"/>
  <c r="HC28" i="55" s="1"/>
  <c r="GP28" i="55"/>
  <c r="GO28" i="55"/>
  <c r="GM28" i="55"/>
  <c r="GK28" i="55"/>
  <c r="GS27" i="55"/>
  <c r="GO27" i="55"/>
  <c r="GN27" i="55"/>
  <c r="GK27" i="55"/>
  <c r="GR26" i="55"/>
  <c r="GQ26" i="55"/>
  <c r="GM26" i="55"/>
  <c r="GL26" i="55"/>
  <c r="GR25" i="55"/>
  <c r="GQ25" i="55"/>
  <c r="GP25" i="55"/>
  <c r="GK25" i="55"/>
  <c r="GS24" i="55"/>
  <c r="GQ24" i="55"/>
  <c r="GO24" i="55"/>
  <c r="GN24" i="55"/>
  <c r="GS23" i="55"/>
  <c r="GR23" i="55"/>
  <c r="GO23" i="55"/>
  <c r="GM23" i="55"/>
  <c r="GL23" i="55"/>
  <c r="GQ22" i="55"/>
  <c r="GP22" i="55"/>
  <c r="GM22" i="55"/>
  <c r="GL22" i="55"/>
  <c r="GK22" i="55"/>
  <c r="GO21" i="55"/>
  <c r="GN21" i="55"/>
  <c r="GL21" i="55"/>
  <c r="GS20" i="55"/>
  <c r="GR20" i="55"/>
  <c r="GN20" i="55"/>
  <c r="GM20" i="55"/>
  <c r="GS19" i="55"/>
  <c r="GQ19" i="55"/>
  <c r="GP19" i="55"/>
  <c r="GL19" i="55"/>
  <c r="GK19" i="55"/>
  <c r="GK19" i="55" a="1"/>
  <c r="GL28" i="55" s="1"/>
  <c r="FY27" i="55"/>
  <c r="GE25" i="55"/>
  <c r="GC22" i="55"/>
  <c r="GG19" i="55"/>
  <c r="FY19" i="55" a="1"/>
  <c r="GF26" i="55" s="1"/>
  <c r="FT27" i="55"/>
  <c r="FS24" i="55"/>
  <c r="FM19" i="55" a="1"/>
  <c r="FE28" i="55"/>
  <c r="FI25" i="55"/>
  <c r="FA24" i="55"/>
  <c r="FI21" i="55"/>
  <c r="FE19" i="55"/>
  <c r="FA19" i="55" a="1"/>
  <c r="FF27" i="55" s="1"/>
  <c r="EO19" i="55" a="1"/>
  <c r="EW28" i="55" s="1"/>
  <c r="EI28" i="55"/>
  <c r="EG27" i="55"/>
  <c r="EF26" i="55"/>
  <c r="EH25" i="55"/>
  <c r="EH24" i="55"/>
  <c r="EJ23" i="55"/>
  <c r="EC23" i="55"/>
  <c r="ED22" i="55"/>
  <c r="EF21" i="55"/>
  <c r="EI20" i="55"/>
  <c r="EJ19" i="55"/>
  <c r="EC19" i="55"/>
  <c r="EC19" i="55" a="1"/>
  <c r="EC27" i="55" s="1"/>
  <c r="DY27" i="55"/>
  <c r="DU26" i="55"/>
  <c r="DT26" i="55"/>
  <c r="DV25" i="55"/>
  <c r="DT24" i="55"/>
  <c r="DQ24" i="55"/>
  <c r="DQ23" i="55"/>
  <c r="DQ22" i="55"/>
  <c r="DY21" i="55"/>
  <c r="DQ21" i="55"/>
  <c r="DS20" i="55"/>
  <c r="DX19" i="55"/>
  <c r="DT19" i="55"/>
  <c r="DQ19" i="55" a="1"/>
  <c r="DU28" i="55" s="1"/>
  <c r="DE19" i="55" a="1"/>
  <c r="CS28" i="55"/>
  <c r="CS27" i="55"/>
  <c r="CU26" i="55"/>
  <c r="CV25" i="55"/>
  <c r="CV24" i="55"/>
  <c r="CV23" i="55"/>
  <c r="CU22" i="55"/>
  <c r="CX21" i="55"/>
  <c r="CY20" i="55"/>
  <c r="CX19" i="55"/>
  <c r="CS19" i="55" a="1"/>
  <c r="CT28" i="55" s="1"/>
  <c r="CG19" i="55" a="1"/>
  <c r="CC27" i="55"/>
  <c r="CC26" i="55"/>
  <c r="CC25" i="55"/>
  <c r="BV25" i="55"/>
  <c r="BW24" i="55"/>
  <c r="BW23" i="55"/>
  <c r="BW22" i="55"/>
  <c r="BV21" i="55"/>
  <c r="BY20" i="55"/>
  <c r="BZ19" i="55"/>
  <c r="BU19" i="55" a="1"/>
  <c r="BU27" i="55" s="1"/>
  <c r="BP28" i="55"/>
  <c r="BJ28" i="55"/>
  <c r="BN27" i="55"/>
  <c r="BI27" i="55"/>
  <c r="BL26" i="55"/>
  <c r="BP25" i="55"/>
  <c r="BK25" i="55"/>
  <c r="BN24" i="55"/>
  <c r="BI24" i="55"/>
  <c r="BM23" i="55"/>
  <c r="BP22" i="55"/>
  <c r="BK22" i="55"/>
  <c r="BO21" i="55"/>
  <c r="BI21" i="55"/>
  <c r="BM20" i="55"/>
  <c r="BQ19" i="55"/>
  <c r="BK19" i="55"/>
  <c r="BI19" i="55" a="1"/>
  <c r="BO28" i="55" s="1"/>
  <c r="AW19" i="55" a="1"/>
  <c r="AN27" i="55"/>
  <c r="AN25" i="55"/>
  <c r="AN23" i="55"/>
  <c r="AQ21" i="55"/>
  <c r="AQ19" i="55"/>
  <c r="AK19" i="55" a="1"/>
  <c r="AM28" i="55" s="1"/>
  <c r="Y19" i="55" a="1"/>
  <c r="U11" i="55"/>
  <c r="S7" i="55"/>
  <c r="N6" i="55"/>
  <c r="M6" i="55" a="1"/>
  <c r="N14" i="55" s="1"/>
  <c r="N121" i="51"/>
  <c r="P119" i="51"/>
  <c r="O118" i="51"/>
  <c r="O116" i="51"/>
  <c r="N115" i="51"/>
  <c r="O114" i="51"/>
  <c r="M114" i="51" a="1"/>
  <c r="M122" i="51" s="1"/>
  <c r="O68" i="51"/>
  <c r="Q66" i="51"/>
  <c r="S64" i="51"/>
  <c r="U62" i="51"/>
  <c r="N61" i="51"/>
  <c r="P59" i="51"/>
  <c r="M59" i="51" a="1"/>
  <c r="N68" i="51" s="1"/>
  <c r="W28" i="51" a="1"/>
  <c r="N22" i="51"/>
  <c r="Q19" i="51"/>
  <c r="R18" i="51"/>
  <c r="S17" i="51"/>
  <c r="T16" i="51"/>
  <c r="M15" i="51"/>
  <c r="M14" i="51" a="1"/>
  <c r="U22" i="51" s="1"/>
  <c r="AC25" i="93"/>
  <c r="AB25" i="93"/>
  <c r="AB25" i="93" a="1"/>
  <c r="AB21" i="93" a="1"/>
  <c r="D15" i="93"/>
  <c r="D14" i="93"/>
  <c r="E13" i="93"/>
  <c r="B13" i="93" a="1"/>
  <c r="C16" i="93" s="1"/>
  <c r="AB12" i="93" a="1"/>
  <c r="AB10" i="93"/>
  <c r="AB8" i="93"/>
  <c r="AB6" i="93" a="1"/>
  <c r="AC11" i="93" s="1"/>
  <c r="S8" i="93"/>
  <c r="S6" i="93" a="1"/>
  <c r="S7" i="93" s="1"/>
  <c r="AB25" i="92" a="1"/>
  <c r="AB22" i="92"/>
  <c r="AB21" i="92"/>
  <c r="AB21" i="92" a="1"/>
  <c r="AC22" i="92" s="1"/>
  <c r="C16" i="92"/>
  <c r="C14" i="92"/>
  <c r="B13" i="92" a="1"/>
  <c r="B16" i="92" s="1"/>
  <c r="AC12" i="92"/>
  <c r="AB12" i="92" a="1"/>
  <c r="AB6" i="92" a="1"/>
  <c r="AC7" i="92" s="1"/>
  <c r="S6" i="92" a="1"/>
  <c r="Y21" i="91" a="1"/>
  <c r="C15" i="91"/>
  <c r="C13" i="91"/>
  <c r="B13" i="91" a="1"/>
  <c r="B15" i="91" s="1"/>
  <c r="Y12" i="91" a="1"/>
  <c r="Y15" i="91" s="1"/>
  <c r="Y6" i="91" a="1"/>
  <c r="P7" i="91"/>
  <c r="P6" i="91" a="1"/>
  <c r="P8" i="91" s="1"/>
  <c r="AQ61" i="90" a="1"/>
  <c r="AR51" i="90"/>
  <c r="AS50" i="90"/>
  <c r="AT49" i="90"/>
  <c r="AR49" i="90"/>
  <c r="AR49" i="90" a="1"/>
  <c r="AT52" i="90" s="1"/>
  <c r="AS46" i="90"/>
  <c r="AR46" i="90" a="1"/>
  <c r="AR46" i="90" s="1"/>
  <c r="AK45" i="90"/>
  <c r="AM44" i="90"/>
  <c r="AK44" i="90"/>
  <c r="AM43" i="90"/>
  <c r="AK43" i="90"/>
  <c r="AM42" i="90"/>
  <c r="AK42" i="90" a="1"/>
  <c r="AL44" i="90" s="1"/>
  <c r="AD44" i="90"/>
  <c r="AD42" i="90"/>
  <c r="AD42" i="90" a="1"/>
  <c r="AD43" i="90" s="1"/>
  <c r="V41" i="90" a="1"/>
  <c r="AD36" i="90" a="1"/>
  <c r="V36" i="90"/>
  <c r="V35" i="90"/>
  <c r="V34" i="90"/>
  <c r="V32" i="90"/>
  <c r="V32" i="90" a="1"/>
  <c r="Y36" i="90" s="1"/>
  <c r="I25" i="90"/>
  <c r="Z24" i="90"/>
  <c r="V23" i="90"/>
  <c r="V23" i="90" a="1"/>
  <c r="V27" i="90" s="1"/>
  <c r="I21" i="90"/>
  <c r="I20" i="90"/>
  <c r="P13" i="90" a="1"/>
  <c r="AI7" i="90"/>
  <c r="AJ6" i="90"/>
  <c r="AJ4" i="90"/>
  <c r="AH4" i="90" a="1"/>
  <c r="AH7" i="90" s="1"/>
  <c r="AD4" i="90" a="1"/>
  <c r="Z9" i="90"/>
  <c r="X9" i="90"/>
  <c r="Z8" i="90"/>
  <c r="V8" i="90"/>
  <c r="Z6" i="90"/>
  <c r="V6" i="90"/>
  <c r="Z5" i="90"/>
  <c r="X5" i="90"/>
  <c r="X4" i="90"/>
  <c r="V4" i="90" a="1"/>
  <c r="Y9" i="90" s="1"/>
  <c r="K24" i="89"/>
  <c r="P21" i="89"/>
  <c r="T18" i="89"/>
  <c r="P17" i="89" a="1"/>
  <c r="J8" i="89" a="1"/>
  <c r="P11" i="89"/>
  <c r="P7" i="89" a="1"/>
  <c r="U11" i="89" s="1"/>
  <c r="G9" i="89"/>
  <c r="G7" i="89" a="1"/>
  <c r="G10" i="89" s="1"/>
  <c r="AB37" i="89"/>
  <c r="Z34" i="89"/>
  <c r="AC30" i="89"/>
  <c r="Z27" i="89"/>
  <c r="Z24" i="89"/>
  <c r="AB21" i="89"/>
  <c r="X19" i="89"/>
  <c r="Z16" i="89"/>
  <c r="AB13" i="89"/>
  <c r="X11" i="89"/>
  <c r="Z8" i="89"/>
  <c r="AB5" i="89"/>
  <c r="X4" i="89" a="1"/>
  <c r="X38" i="89" s="1"/>
  <c r="G23" i="88"/>
  <c r="P18" i="88"/>
  <c r="N16" i="88" a="1"/>
  <c r="F19" i="88"/>
  <c r="H17" i="88"/>
  <c r="F16" i="88" a="1"/>
  <c r="G18" i="88" s="1"/>
  <c r="F11" i="88"/>
  <c r="F8" i="88"/>
  <c r="F8" i="88" a="1"/>
  <c r="F10" i="88" s="1"/>
  <c r="W36" i="88"/>
  <c r="Y34" i="88"/>
  <c r="U30" i="88"/>
  <c r="W28" i="88"/>
  <c r="X23" i="88"/>
  <c r="U22" i="88"/>
  <c r="V17" i="88"/>
  <c r="X15" i="88"/>
  <c r="Y10" i="88"/>
  <c r="V9" i="88"/>
  <c r="U7" i="88" a="1"/>
  <c r="W38" i="88" s="1"/>
  <c r="Q11" i="88"/>
  <c r="S8" i="88"/>
  <c r="N7" i="88" a="1"/>
  <c r="R12" i="88" s="1"/>
  <c r="G33" i="87"/>
  <c r="H32" i="87"/>
  <c r="G31" i="87"/>
  <c r="G30" i="87" a="1"/>
  <c r="J32" i="87" s="1"/>
  <c r="I26" i="87"/>
  <c r="G24" i="87" a="1"/>
  <c r="G27" i="87" s="1"/>
  <c r="R22" i="87"/>
  <c r="J21" i="87"/>
  <c r="G21" i="87"/>
  <c r="J19" i="87"/>
  <c r="G19" i="87"/>
  <c r="G18" i="87" a="1"/>
  <c r="AM16" i="87"/>
  <c r="AM14" i="87"/>
  <c r="AM14" i="87" a="1"/>
  <c r="AM18" i="87" s="1"/>
  <c r="I15" i="87"/>
  <c r="J14" i="87"/>
  <c r="J12" i="87"/>
  <c r="G12" i="87" a="1"/>
  <c r="H15" i="87" s="1"/>
  <c r="G6" i="87" a="1"/>
  <c r="AC14" i="86"/>
  <c r="AC13" i="86" a="1"/>
  <c r="AC16" i="86" s="1"/>
  <c r="F11" i="86"/>
  <c r="F10" i="86"/>
  <c r="F9" i="86" a="1"/>
  <c r="H10" i="86" s="1"/>
  <c r="G5" i="86"/>
  <c r="K17" i="80"/>
  <c r="L15" i="80"/>
  <c r="K14" i="80" a="1"/>
  <c r="N18" i="80" s="1"/>
  <c r="M6" i="80"/>
  <c r="K4" i="80" a="1"/>
  <c r="K8" i="80" s="1"/>
  <c r="M6" i="81"/>
  <c r="N5" i="81"/>
  <c r="N3" i="81"/>
  <c r="K3" i="81" a="1"/>
  <c r="L6" i="81" s="1"/>
  <c r="U13" i="82"/>
  <c r="W11" i="82"/>
  <c r="W10" i="82" a="1"/>
  <c r="W13" i="82" s="1"/>
  <c r="R14" i="82"/>
  <c r="Q14" i="82"/>
  <c r="P13" i="82"/>
  <c r="R11" i="82"/>
  <c r="R10" i="82"/>
  <c r="Q10" i="82"/>
  <c r="P10" i="82" a="1"/>
  <c r="P14" i="82" s="1"/>
  <c r="P3" i="82" a="1"/>
  <c r="K5" i="82"/>
  <c r="K3" i="82" a="1"/>
  <c r="M7" i="82" s="1"/>
  <c r="P30" i="115" a="1"/>
  <c r="P30" i="115" s="1"/>
  <c r="N30" i="115" a="1"/>
  <c r="N30" i="115" s="1"/>
  <c r="R25" i="115" a="1"/>
  <c r="R25" i="115" s="1"/>
  <c r="N25" i="115"/>
  <c r="U23" i="115" s="1" a="1"/>
  <c r="U23" i="115" s="1"/>
  <c r="N25" i="115" a="1"/>
  <c r="W23" i="115" a="1"/>
  <c r="W23" i="115" s="1"/>
  <c r="P23" i="115" a="1"/>
  <c r="P23" i="115" s="1"/>
  <c r="N23" i="115"/>
  <c r="N23" i="115" a="1"/>
  <c r="N17" i="115"/>
  <c r="K17" i="115"/>
  <c r="K9" i="115"/>
  <c r="K5" i="115"/>
  <c r="K4" i="115" a="1"/>
  <c r="K15" i="115" s="1"/>
  <c r="M17" i="114"/>
  <c r="J12" i="114"/>
  <c r="J9" i="114"/>
  <c r="J4" i="114" a="1"/>
  <c r="J16" i="114" s="1"/>
  <c r="M17" i="113"/>
  <c r="J15" i="113"/>
  <c r="J7" i="113"/>
  <c r="J4" i="113" a="1"/>
  <c r="J17" i="113" s="1"/>
  <c r="O17" i="112"/>
  <c r="L4" i="112" a="1"/>
  <c r="L16" i="112" s="1"/>
  <c r="N17" i="111"/>
  <c r="K17" i="111"/>
  <c r="K15" i="111"/>
  <c r="K13" i="111"/>
  <c r="K7" i="111"/>
  <c r="K5" i="111"/>
  <c r="K4" i="111"/>
  <c r="K4" i="111" a="1"/>
  <c r="K11" i="111" s="1"/>
  <c r="J17" i="110"/>
  <c r="G14" i="110"/>
  <c r="G10" i="110"/>
  <c r="G8" i="110"/>
  <c r="G6" i="110"/>
  <c r="G5" i="110"/>
  <c r="G4" i="110" a="1"/>
  <c r="G12" i="110" s="1"/>
  <c r="L17" i="109"/>
  <c r="I4" i="109" a="1"/>
  <c r="I6" i="109" s="1"/>
  <c r="H22" i="74" a="1"/>
  <c r="H29" i="74" s="1"/>
  <c r="H4" i="74" a="1"/>
  <c r="W6" i="75"/>
  <c r="W4" i="75" a="1"/>
  <c r="W11" i="75" s="1"/>
  <c r="H12" i="77"/>
  <c r="H7" i="77"/>
  <c r="H4" i="77"/>
  <c r="H4" i="77" a="1"/>
  <c r="H11" i="77" s="1"/>
  <c r="L25" i="44"/>
  <c r="L24" i="44"/>
  <c r="L20" i="44" a="1"/>
  <c r="L23" i="44" s="1"/>
  <c r="H27" i="41"/>
  <c r="I26" i="41"/>
  <c r="F26" i="41"/>
  <c r="G25" i="41"/>
  <c r="C24" i="41"/>
  <c r="D23" i="41"/>
  <c r="J22" i="41"/>
  <c r="B22" i="41"/>
  <c r="G20" i="41"/>
  <c r="H19" i="41"/>
  <c r="E19" i="41"/>
  <c r="B19" i="41" a="1"/>
  <c r="G27" i="41" s="1"/>
  <c r="M12" i="41"/>
  <c r="M8" i="41" a="1"/>
  <c r="M11" i="41" s="1"/>
  <c r="G75" i="40"/>
  <c r="C75" i="40"/>
  <c r="F74" i="40"/>
  <c r="G73" i="40"/>
  <c r="C73" i="40"/>
  <c r="F72" i="40"/>
  <c r="G71" i="40"/>
  <c r="C71" i="40"/>
  <c r="F70" i="40"/>
  <c r="G69" i="40"/>
  <c r="C69" i="40"/>
  <c r="F68" i="40"/>
  <c r="G67" i="40"/>
  <c r="C67" i="40"/>
  <c r="A67" i="40" a="1"/>
  <c r="E75" i="40" s="1"/>
  <c r="L47" i="40"/>
  <c r="I44" i="40" a="1"/>
  <c r="L52" i="40" s="1"/>
  <c r="EM29" i="40"/>
  <c r="EL29" i="40"/>
  <c r="EN28" i="40"/>
  <c r="EK28" i="40"/>
  <c r="EM27" i="40"/>
  <c r="EL27" i="40"/>
  <c r="EK27" i="40"/>
  <c r="EN26" i="40"/>
  <c r="EK26" i="40"/>
  <c r="EK26" i="40" a="1"/>
  <c r="EM28" i="40" s="1"/>
  <c r="DY26" i="40" a="1"/>
  <c r="G27" i="40"/>
  <c r="J26" i="40"/>
  <c r="D26" i="40"/>
  <c r="I25" i="40"/>
  <c r="C25" i="40"/>
  <c r="F24" i="40"/>
  <c r="B24" i="40"/>
  <c r="E23" i="40"/>
  <c r="H22" i="40"/>
  <c r="D22" i="40"/>
  <c r="G21" i="40"/>
  <c r="J20" i="40"/>
  <c r="F20" i="40"/>
  <c r="E20" i="40"/>
  <c r="B20" i="40"/>
  <c r="I19" i="40"/>
  <c r="C19" i="40"/>
  <c r="H18" i="40"/>
  <c r="G18" i="40"/>
  <c r="D18" i="40"/>
  <c r="B18" i="40"/>
  <c r="B18" i="40" a="1"/>
  <c r="E27" i="40" s="1"/>
  <c r="DT13" i="40"/>
  <c r="DR12" i="40" a="1"/>
  <c r="DS14" i="40" s="1"/>
  <c r="AP27" i="39"/>
  <c r="AK27" i="39"/>
  <c r="AO26" i="39"/>
  <c r="AM26" i="39"/>
  <c r="AP25" i="39"/>
  <c r="AM25" i="39"/>
  <c r="AQ24" i="39"/>
  <c r="AN24" i="39"/>
  <c r="AQ23" i="39"/>
  <c r="AO23" i="39"/>
  <c r="AJ23" i="39"/>
  <c r="AO22" i="39"/>
  <c r="AL22" i="39"/>
  <c r="AP21" i="39"/>
  <c r="AL21" i="39"/>
  <c r="AQ20" i="39"/>
  <c r="AM20" i="39"/>
  <c r="AP19" i="39"/>
  <c r="AN19" i="39"/>
  <c r="AJ19" i="39"/>
  <c r="AN18" i="39"/>
  <c r="AL18" i="39"/>
  <c r="AI18" i="39" a="1"/>
  <c r="AQ26" i="39" s="1"/>
  <c r="P25" i="39"/>
  <c r="O18" i="39"/>
  <c r="M18" i="39" a="1"/>
  <c r="R23" i="39" s="1"/>
  <c r="AI4" i="39" a="1"/>
  <c r="AM10" i="39" s="1"/>
  <c r="Q12" i="39"/>
  <c r="O12" i="39"/>
  <c r="N12" i="39"/>
  <c r="Q11" i="39"/>
  <c r="O11" i="39"/>
  <c r="S10" i="39"/>
  <c r="R10" i="39"/>
  <c r="M10" i="39"/>
  <c r="S9" i="39"/>
  <c r="Q9" i="39"/>
  <c r="N9" i="39"/>
  <c r="S8" i="39"/>
  <c r="O8" i="39"/>
  <c r="U7" i="39"/>
  <c r="T7" i="39"/>
  <c r="N7" i="39"/>
  <c r="U6" i="39"/>
  <c r="Q6" i="39"/>
  <c r="O6" i="39"/>
  <c r="U5" i="39"/>
  <c r="R5" i="39"/>
  <c r="O5" i="39"/>
  <c r="N5" i="39"/>
  <c r="S4" i="39"/>
  <c r="P4" i="39"/>
  <c r="N4" i="39"/>
  <c r="M4" i="39"/>
  <c r="M4" i="39" a="1"/>
  <c r="U12" i="39" s="1"/>
  <c r="AC4" i="37"/>
  <c r="AC4" i="37" a="1"/>
  <c r="AC8" i="37" s="1"/>
  <c r="E16" i="102"/>
  <c r="D5" i="102" a="1"/>
  <c r="H15" i="105"/>
  <c r="P8" i="105"/>
  <c r="H8" i="105"/>
  <c r="P7" i="105"/>
  <c r="L7" i="105"/>
  <c r="K7" i="105"/>
  <c r="J7" i="105"/>
  <c r="I7" i="105"/>
  <c r="H7" i="105"/>
  <c r="P6" i="105"/>
  <c r="L6" i="105"/>
  <c r="K6" i="105"/>
  <c r="J6" i="105"/>
  <c r="I6" i="105"/>
  <c r="H6" i="105"/>
  <c r="P5" i="105"/>
  <c r="L5" i="105"/>
  <c r="K5" i="105"/>
  <c r="J5" i="105"/>
  <c r="I5" i="105"/>
  <c r="H5" i="105"/>
  <c r="P4" i="105"/>
  <c r="K21" i="104"/>
  <c r="G21" i="104"/>
  <c r="C21" i="104"/>
  <c r="P6" i="104"/>
  <c r="J4" i="104" a="1"/>
  <c r="F16" i="104"/>
  <c r="F15" i="104"/>
  <c r="F14" i="104"/>
  <c r="F12" i="104"/>
  <c r="F8" i="104"/>
  <c r="F6" i="104"/>
  <c r="F5" i="104"/>
  <c r="F4" i="104"/>
  <c r="F4" i="104" a="1"/>
  <c r="F19" i="104" s="1"/>
  <c r="R26" i="103"/>
  <c r="I23" i="103"/>
  <c r="D22" i="98"/>
  <c r="B22" i="98"/>
  <c r="D21" i="98"/>
  <c r="B21" i="98"/>
  <c r="D20" i="98"/>
  <c r="B20" i="98"/>
  <c r="D18" i="98"/>
  <c r="B18" i="98"/>
  <c r="D17" i="98"/>
  <c r="B17" i="98"/>
  <c r="D15" i="98"/>
  <c r="D14" i="98"/>
  <c r="D13" i="98"/>
  <c r="D12" i="98"/>
  <c r="D11" i="98"/>
  <c r="D10" i="98"/>
  <c r="I9" i="98"/>
  <c r="G9" i="98"/>
  <c r="D9" i="98"/>
  <c r="I8" i="98"/>
  <c r="G8" i="98"/>
  <c r="D8" i="98"/>
  <c r="D7" i="98"/>
  <c r="B7" i="98"/>
  <c r="D6" i="98"/>
  <c r="B6" i="98"/>
  <c r="D5" i="98"/>
  <c r="D4" i="98"/>
  <c r="D3" i="98"/>
  <c r="D19" i="99"/>
  <c r="B19" i="99"/>
  <c r="D18" i="99"/>
  <c r="B18" i="99"/>
  <c r="D17" i="99"/>
  <c r="B17" i="99"/>
  <c r="D15" i="99"/>
  <c r="B15" i="99"/>
  <c r="D14" i="99"/>
  <c r="B14" i="99"/>
  <c r="D12" i="99"/>
  <c r="D11" i="99"/>
  <c r="D10" i="99"/>
  <c r="D9" i="99"/>
  <c r="I8" i="99"/>
  <c r="G8" i="99"/>
  <c r="D8" i="99"/>
  <c r="I7" i="99"/>
  <c r="G7" i="99"/>
  <c r="D7" i="99"/>
  <c r="D6" i="99"/>
  <c r="D5" i="99"/>
  <c r="D4" i="99"/>
  <c r="D3" i="99"/>
  <c r="Q33" i="97"/>
  <c r="Q33" i="97" a="1"/>
  <c r="R34" i="97" s="1"/>
  <c r="Q29" i="97" a="1"/>
  <c r="Q25" i="97"/>
  <c r="Q25" i="97" a="1"/>
  <c r="Q26" i="97" s="1"/>
  <c r="Q21" i="97" a="1"/>
  <c r="O22" i="97"/>
  <c r="N22" i="97"/>
  <c r="N21" i="97"/>
  <c r="N21" i="97" a="1"/>
  <c r="O21" i="97" s="1"/>
  <c r="G20" i="97"/>
  <c r="J19" i="97"/>
  <c r="G19" i="97" a="1"/>
  <c r="G19" i="97" s="1"/>
  <c r="I18" i="97"/>
  <c r="G18" i="97"/>
  <c r="G18" i="97" a="1"/>
  <c r="K18" i="97" s="1"/>
  <c r="Q17" i="97" a="1"/>
  <c r="R18" i="97" s="1"/>
  <c r="K17" i="97"/>
  <c r="G17" i="97" a="1"/>
  <c r="L17" i="97" s="1"/>
  <c r="AE15" i="97"/>
  <c r="AE15" i="97" a="1"/>
  <c r="AF15" i="97" s="1"/>
  <c r="G14" i="97"/>
  <c r="Q14" i="97"/>
  <c r="Q13" i="97"/>
  <c r="Q13" i="97" a="1"/>
  <c r="R14" i="97" s="1"/>
  <c r="N13" i="97" a="1"/>
  <c r="O13" i="97" s="1"/>
  <c r="G13" i="97" a="1"/>
  <c r="L13" i="97" s="1"/>
  <c r="J12" i="97"/>
  <c r="I12" i="97"/>
  <c r="G12" i="97" a="1"/>
  <c r="K12" i="97" s="1"/>
  <c r="G11" i="97" a="1"/>
  <c r="Q9" i="97" a="1"/>
  <c r="N10" i="97"/>
  <c r="O9" i="97"/>
  <c r="N9" i="97" a="1"/>
  <c r="O10" i="97" s="1"/>
  <c r="G8" i="97"/>
  <c r="J7" i="97"/>
  <c r="H7" i="97"/>
  <c r="G7" i="97" a="1"/>
  <c r="G7" i="97" s="1"/>
  <c r="I6" i="97"/>
  <c r="G6" i="97"/>
  <c r="G6" i="97" a="1"/>
  <c r="K6" i="97" s="1"/>
  <c r="W6" i="97"/>
  <c r="W5" i="97"/>
  <c r="W5" i="97" a="1"/>
  <c r="X6" i="97" s="1"/>
  <c r="Q5" i="97" a="1"/>
  <c r="Q6" i="97" s="1"/>
  <c r="N5" i="97"/>
  <c r="N5" i="97" a="1"/>
  <c r="N6" i="97" s="1"/>
  <c r="J5" i="97"/>
  <c r="G5" i="97" a="1"/>
  <c r="H5" i="97" s="1"/>
  <c r="AA5" i="97"/>
  <c r="AA4" i="97"/>
  <c r="Z4" i="97" a="1"/>
  <c r="Z8" i="97" s="1"/>
  <c r="X44" i="35"/>
  <c r="V37" i="35" a="1"/>
  <c r="V39" i="35" s="1"/>
  <c r="X29" i="35"/>
  <c r="R29" i="35" a="1"/>
  <c r="R24" i="35" a="1"/>
  <c r="S26" i="35" s="1"/>
  <c r="V25" i="35"/>
  <c r="V22" i="35" a="1"/>
  <c r="V22" i="35" s="1"/>
  <c r="R21" i="35"/>
  <c r="S20" i="35"/>
  <c r="R20" i="35"/>
  <c r="R19" i="35"/>
  <c r="R19" i="35" a="1"/>
  <c r="S21" i="35" s="1"/>
  <c r="X14" i="35"/>
  <c r="R14" i="35" a="1"/>
  <c r="P16" i="35"/>
  <c r="N14" i="35" a="1"/>
  <c r="O16" i="35" s="1"/>
  <c r="AQ12" i="35" a="1"/>
  <c r="AR12" i="35" s="1"/>
  <c r="R9" i="35" a="1"/>
  <c r="S9" i="35" s="1"/>
  <c r="AN7" i="35"/>
  <c r="V8" i="35"/>
  <c r="V7" i="35" a="1"/>
  <c r="G7" i="35"/>
  <c r="AN6" i="35"/>
  <c r="K6" i="35"/>
  <c r="J6" i="35"/>
  <c r="I6" i="35"/>
  <c r="H6" i="35"/>
  <c r="G6" i="35"/>
  <c r="AN5" i="35"/>
  <c r="K5" i="35"/>
  <c r="J5" i="35"/>
  <c r="I5" i="35"/>
  <c r="H5" i="35"/>
  <c r="G5" i="35"/>
  <c r="AN4" i="35"/>
  <c r="AJ6" i="35"/>
  <c r="AJ4" i="35"/>
  <c r="AI4" i="35" a="1"/>
  <c r="AK5" i="35" s="1"/>
  <c r="R4" i="35" a="1"/>
  <c r="S4" i="35" s="1"/>
  <c r="P5" i="35"/>
  <c r="P4" i="35"/>
  <c r="N4" i="35" a="1"/>
  <c r="O6" i="35" s="1"/>
  <c r="K4" i="35"/>
  <c r="J4" i="35"/>
  <c r="I4" i="35"/>
  <c r="H4" i="35"/>
  <c r="G4" i="35"/>
  <c r="AN3" i="35"/>
  <c r="G38" i="34" a="1"/>
  <c r="O36" i="34"/>
  <c r="N35" i="34" a="1"/>
  <c r="O37" i="34" s="1"/>
  <c r="I25" i="34"/>
  <c r="G25" i="34"/>
  <c r="G25" i="34" a="1"/>
  <c r="H25" i="34" s="1"/>
  <c r="N22" i="34" a="1"/>
  <c r="P23" i="34" s="1"/>
  <c r="G12" i="34"/>
  <c r="G12" i="34" a="1"/>
  <c r="I12" i="34" s="1"/>
  <c r="P11" i="34"/>
  <c r="N9" i="34" a="1"/>
  <c r="O11" i="34" s="1"/>
  <c r="H29" i="18"/>
  <c r="F25" i="18"/>
  <c r="F22" i="18" a="1"/>
  <c r="F24" i="18" s="1"/>
  <c r="R14" i="18"/>
  <c r="H14" i="18"/>
  <c r="P7" i="18" a="1"/>
  <c r="P9" i="18" s="1"/>
  <c r="F10" i="18"/>
  <c r="F7" i="18" a="1"/>
  <c r="H44" i="17"/>
  <c r="F37" i="17" a="1"/>
  <c r="F38" i="17" s="1"/>
  <c r="H29" i="17"/>
  <c r="F22" i="17" a="1"/>
  <c r="F24" i="17" s="1"/>
  <c r="H14" i="17"/>
  <c r="F7" i="17" a="1"/>
  <c r="F8" i="17" s="1"/>
  <c r="G7" i="33"/>
  <c r="G6" i="33"/>
  <c r="G5" i="33"/>
  <c r="G4" i="33"/>
  <c r="J3" i="33" a="1"/>
  <c r="J6" i="33" s="1"/>
  <c r="G3" i="33"/>
  <c r="M35" i="32"/>
  <c r="M34" i="32"/>
  <c r="M33" i="32"/>
  <c r="M32" i="32"/>
  <c r="M31" i="32"/>
  <c r="M30" i="32"/>
  <c r="M29" i="32"/>
  <c r="M28" i="32"/>
  <c r="M27" i="32"/>
  <c r="M26" i="32"/>
  <c r="M25" i="32"/>
  <c r="M24" i="32"/>
  <c r="M23" i="32"/>
  <c r="M22" i="32"/>
  <c r="M21" i="32"/>
  <c r="M20" i="32"/>
  <c r="M19" i="32"/>
  <c r="M18" i="32"/>
  <c r="M17" i="32"/>
  <c r="M16" i="32"/>
  <c r="M15" i="32"/>
  <c r="M14" i="32"/>
  <c r="M13" i="32"/>
  <c r="M12" i="32"/>
  <c r="M11" i="32"/>
  <c r="M10" i="32"/>
  <c r="M9" i="32"/>
  <c r="M8" i="32"/>
  <c r="M7" i="32"/>
  <c r="M6" i="32"/>
  <c r="M5" i="32"/>
  <c r="R4" i="32"/>
  <c r="M4" i="32"/>
  <c r="I4" i="32" a="1"/>
  <c r="J6" i="32" s="1"/>
  <c r="F3" i="30" a="1"/>
  <c r="O67" i="31"/>
  <c r="N67" i="31"/>
  <c r="M67" i="31"/>
  <c r="L67" i="31"/>
  <c r="O66" i="31"/>
  <c r="N66" i="31"/>
  <c r="M66" i="31"/>
  <c r="L66" i="31"/>
  <c r="AA51" i="31"/>
  <c r="Z51" i="31"/>
  <c r="Y51" i="31"/>
  <c r="X51" i="31"/>
  <c r="AA50" i="31"/>
  <c r="Z50" i="31"/>
  <c r="Y50" i="31"/>
  <c r="X50" i="31"/>
  <c r="G51" i="31"/>
  <c r="F49" i="31" a="1"/>
  <c r="I54" i="31" s="1"/>
  <c r="O44" i="31"/>
  <c r="N44" i="31"/>
  <c r="M44" i="31"/>
  <c r="L44" i="31"/>
  <c r="O43" i="31"/>
  <c r="N43" i="31"/>
  <c r="M43" i="31"/>
  <c r="L43" i="31"/>
  <c r="AA28" i="31"/>
  <c r="Z28" i="31"/>
  <c r="Y28" i="31"/>
  <c r="X28" i="31"/>
  <c r="AA27" i="31"/>
  <c r="Z27" i="31"/>
  <c r="Y27" i="31"/>
  <c r="X27" i="31"/>
  <c r="F26" i="31" a="1"/>
  <c r="I33" i="31" s="1"/>
  <c r="O21" i="31"/>
  <c r="N21" i="31"/>
  <c r="M21" i="31"/>
  <c r="L21" i="31"/>
  <c r="O20" i="31"/>
  <c r="N20" i="31"/>
  <c r="M20" i="31"/>
  <c r="L20" i="31"/>
  <c r="AA5" i="31"/>
  <c r="Z5" i="31"/>
  <c r="Y5" i="31"/>
  <c r="X5" i="31"/>
  <c r="G10" i="31"/>
  <c r="H7" i="31"/>
  <c r="F5" i="31" a="1"/>
  <c r="H5" i="31" s="1"/>
  <c r="AA4" i="31"/>
  <c r="Z4" i="31"/>
  <c r="Y4" i="31"/>
  <c r="X4" i="31"/>
  <c r="I86" i="14" a="1"/>
  <c r="J88" i="14" s="1"/>
  <c r="I50" i="14" a="1"/>
  <c r="J52" i="14" s="1"/>
  <c r="I38" i="14"/>
  <c r="H34" i="14"/>
  <c r="F33" i="14" a="1"/>
  <c r="G41" i="14" s="1"/>
  <c r="F19" i="14" a="1"/>
  <c r="G25" i="14" s="1"/>
  <c r="AA10" i="14" a="1"/>
  <c r="AA40" i="14" s="1"/>
  <c r="AN8" i="14" a="1"/>
  <c r="AN14" i="14" s="1"/>
  <c r="H13" i="14"/>
  <c r="I11" i="14"/>
  <c r="H10" i="14"/>
  <c r="F9" i="14"/>
  <c r="F8" i="14"/>
  <c r="G6" i="14"/>
  <c r="H5" i="14"/>
  <c r="F5" i="14" a="1"/>
  <c r="G13" i="14" s="1"/>
  <c r="L34" i="29"/>
  <c r="K28" i="29"/>
  <c r="J26" i="29" a="1"/>
  <c r="L35" i="29" s="1"/>
  <c r="L23" i="29"/>
  <c r="K20" i="29"/>
  <c r="K16" i="29"/>
  <c r="J15" i="29" a="1"/>
  <c r="L22" i="29" s="1"/>
  <c r="H14" i="29"/>
  <c r="F13" i="29" a="1"/>
  <c r="G13" i="29" s="1"/>
  <c r="H8" i="29"/>
  <c r="F7" i="29" a="1"/>
  <c r="H9" i="29" s="1"/>
  <c r="N9" i="29"/>
  <c r="N3" i="29" a="1"/>
  <c r="J3" i="29" a="1"/>
  <c r="F3" i="29" a="1"/>
  <c r="H4" i="29" s="1"/>
  <c r="T30" i="21"/>
  <c r="R29" i="21"/>
  <c r="R29" i="21" a="1"/>
  <c r="T31" i="21" s="1"/>
  <c r="R24" i="21" a="1"/>
  <c r="R26" i="21" s="1"/>
  <c r="R21" i="21"/>
  <c r="T19" i="21"/>
  <c r="R19" i="21" a="1"/>
  <c r="S21" i="21" s="1"/>
  <c r="T15" i="21"/>
  <c r="T14" i="21"/>
  <c r="R14" i="21"/>
  <c r="R14" i="21" a="1"/>
  <c r="S14" i="21" s="1"/>
  <c r="N14" i="21" a="1"/>
  <c r="N15" i="21" s="1"/>
  <c r="R9" i="21" a="1"/>
  <c r="R11" i="21" s="1"/>
  <c r="G7" i="21"/>
  <c r="K6" i="21"/>
  <c r="J6" i="21"/>
  <c r="I6" i="21"/>
  <c r="H6" i="21"/>
  <c r="G6" i="21"/>
  <c r="K5" i="21"/>
  <c r="J5" i="21"/>
  <c r="I5" i="21"/>
  <c r="H5" i="21"/>
  <c r="G5" i="21"/>
  <c r="R6" i="21"/>
  <c r="S5" i="21"/>
  <c r="R4" i="21"/>
  <c r="R4" i="21" a="1"/>
  <c r="T4" i="21" s="1"/>
  <c r="N6" i="21"/>
  <c r="N5" i="21"/>
  <c r="N4" i="21" a="1"/>
  <c r="O5" i="21" s="1"/>
  <c r="K4" i="21"/>
  <c r="J4" i="21"/>
  <c r="I4" i="21"/>
  <c r="H4" i="21"/>
  <c r="G4" i="21"/>
  <c r="V33" i="15"/>
  <c r="T32" i="15" a="1"/>
  <c r="T33" i="15" s="1"/>
  <c r="P32" i="15" a="1"/>
  <c r="P34" i="15" s="1"/>
  <c r="X15" i="15" a="1"/>
  <c r="Y15" i="15" s="1"/>
  <c r="AG6" i="15"/>
  <c r="AG5" i="15"/>
  <c r="H12" i="38" a="1"/>
  <c r="H14" i="38" s="1"/>
  <c r="L9" i="38"/>
  <c r="L8" i="38"/>
  <c r="L7" i="38"/>
  <c r="I7" i="38"/>
  <c r="L6" i="38"/>
  <c r="I6" i="38"/>
  <c r="L5" i="38"/>
  <c r="I5" i="38"/>
  <c r="S14" i="13"/>
  <c r="S12" i="13" a="1"/>
  <c r="T14" i="13" s="1"/>
  <c r="W9" i="13"/>
  <c r="W8" i="13"/>
  <c r="W7" i="13"/>
  <c r="T7" i="13"/>
  <c r="W6" i="13"/>
  <c r="T6" i="13"/>
  <c r="W5" i="13"/>
  <c r="T5" i="13"/>
  <c r="I13" i="101"/>
  <c r="G13" i="101"/>
  <c r="D13" i="101"/>
  <c r="B13" i="101"/>
  <c r="I12" i="101"/>
  <c r="G12" i="101"/>
  <c r="I11" i="101"/>
  <c r="D11" i="101"/>
  <c r="B11" i="101"/>
  <c r="I10" i="101"/>
  <c r="D10" i="101"/>
  <c r="B10" i="101"/>
  <c r="I9" i="101"/>
  <c r="I8" i="101"/>
  <c r="G8" i="101"/>
  <c r="D8" i="101"/>
  <c r="D7" i="101"/>
  <c r="D12" i="100"/>
  <c r="B12" i="100"/>
  <c r="I11" i="100"/>
  <c r="G11" i="100"/>
  <c r="I10" i="100"/>
  <c r="G10" i="100"/>
  <c r="D10" i="100"/>
  <c r="B10" i="100"/>
  <c r="I9" i="100"/>
  <c r="D9" i="100"/>
  <c r="B9" i="100"/>
  <c r="I8" i="100"/>
  <c r="I7" i="100"/>
  <c r="G7" i="100"/>
  <c r="D7" i="100"/>
  <c r="D6" i="100"/>
  <c r="I9" i="69"/>
  <c r="M8" i="69"/>
  <c r="L8" i="69"/>
  <c r="K8" i="69"/>
  <c r="J8" i="69"/>
  <c r="I8" i="69"/>
  <c r="M7" i="69"/>
  <c r="L7" i="69"/>
  <c r="K7" i="69"/>
  <c r="J7" i="69" a="1"/>
  <c r="J7" i="69" s="1"/>
  <c r="I7" i="69"/>
  <c r="M6" i="69"/>
  <c r="L6" i="69"/>
  <c r="K6" i="69"/>
  <c r="J6" i="69"/>
  <c r="I6" i="69"/>
  <c r="Q12" i="69"/>
  <c r="P12" i="69"/>
  <c r="R10" i="69"/>
  <c r="Q9" i="69"/>
  <c r="R8" i="69"/>
  <c r="P8" i="69"/>
  <c r="Q6" i="69"/>
  <c r="Q5" i="69"/>
  <c r="P5" i="69" a="1"/>
  <c r="P11" i="69" s="1"/>
  <c r="AH57" i="68"/>
  <c r="AF53" i="68"/>
  <c r="AF51" i="68" a="1"/>
  <c r="AF52" i="68" s="1"/>
  <c r="AH43" i="68"/>
  <c r="AF37" i="68"/>
  <c r="AF37" i="68" a="1"/>
  <c r="AF39" i="68" s="1"/>
  <c r="AA30" i="68" a="1"/>
  <c r="AC33" i="68" s="1"/>
  <c r="AH29" i="68"/>
  <c r="AA26" i="68"/>
  <c r="AC24" i="68"/>
  <c r="AA24" i="68" a="1"/>
  <c r="AD27" i="68" s="1"/>
  <c r="AF23" i="68" a="1"/>
  <c r="AF25" i="68" s="1"/>
  <c r="AA20" i="68"/>
  <c r="AA18" i="68" a="1"/>
  <c r="AA21" i="68" s="1"/>
  <c r="V18" i="68" a="1"/>
  <c r="X21" i="68" s="1"/>
  <c r="AH15" i="68"/>
  <c r="BB13" i="68" a="1"/>
  <c r="BE13" i="68" s="1"/>
  <c r="AD14" i="68"/>
  <c r="AC13" i="68"/>
  <c r="AB13" i="68"/>
  <c r="AD12" i="68"/>
  <c r="AA12" i="68"/>
  <c r="AA12" i="68" a="1"/>
  <c r="AA15" i="68" s="1"/>
  <c r="AY9" i="68"/>
  <c r="AF11" i="68"/>
  <c r="AF9" i="68"/>
  <c r="AF9" i="68" a="1"/>
  <c r="AF10" i="68" s="1"/>
  <c r="O9" i="68"/>
  <c r="AY8" i="68"/>
  <c r="R8" i="68"/>
  <c r="Q8" i="68"/>
  <c r="P8" i="68"/>
  <c r="O8" i="68"/>
  <c r="AY7" i="68"/>
  <c r="R7" i="68"/>
  <c r="Q7" i="68"/>
  <c r="P7" i="68"/>
  <c r="O7" i="68"/>
  <c r="AY6" i="68"/>
  <c r="AS6" i="68" a="1"/>
  <c r="AV9" i="68" s="1"/>
  <c r="AC8" i="68"/>
  <c r="AA6" i="68" a="1"/>
  <c r="W8" i="68"/>
  <c r="X6" i="68"/>
  <c r="W6" i="68"/>
  <c r="V6" i="68" a="1"/>
  <c r="V8" i="68" s="1"/>
  <c r="R6" i="68"/>
  <c r="Q6" i="68"/>
  <c r="P6" i="68"/>
  <c r="O6" i="68"/>
  <c r="AY5" i="68"/>
  <c r="Y25" i="64"/>
  <c r="Y24" i="64"/>
  <c r="T9" i="64"/>
  <c r="T6" i="64" a="1"/>
  <c r="T7" i="64" s="1"/>
  <c r="Q6" i="64" a="1"/>
  <c r="Q9" i="64" s="1"/>
  <c r="N8" i="64"/>
  <c r="N6" i="64" a="1"/>
  <c r="N10" i="64" s="1"/>
  <c r="I8" i="66"/>
  <c r="I6" i="66" a="1"/>
  <c r="J7" i="66" s="1"/>
  <c r="J32" i="12"/>
  <c r="J31" i="12"/>
  <c r="J30" i="12"/>
  <c r="J29" i="12"/>
  <c r="M32" i="12"/>
  <c r="M30" i="12"/>
  <c r="L30" i="12"/>
  <c r="M29" i="12"/>
  <c r="M28" i="12"/>
  <c r="L28" i="12" a="1"/>
  <c r="L29" i="12" s="1"/>
  <c r="J28" i="12"/>
  <c r="M11" i="12" a="1"/>
  <c r="M13" i="12" s="1"/>
  <c r="I13" i="12"/>
  <c r="K11" i="12"/>
  <c r="I11" i="12" a="1"/>
  <c r="J13" i="12" s="1"/>
  <c r="J32" i="6"/>
  <c r="J31" i="6"/>
  <c r="J30" i="6"/>
  <c r="J29" i="6"/>
  <c r="J28" i="6"/>
  <c r="M11" i="6" a="1"/>
  <c r="N13" i="6" s="1"/>
  <c r="K11" i="6"/>
  <c r="J11" i="6"/>
  <c r="I11" i="6" a="1"/>
  <c r="K13" i="6" s="1"/>
  <c r="L25" i="96"/>
  <c r="J25" i="96"/>
  <c r="L23" i="96"/>
  <c r="L22" i="96"/>
  <c r="J22" i="96"/>
  <c r="L21" i="96"/>
  <c r="L20" i="96"/>
  <c r="L19" i="96"/>
  <c r="L17" i="96"/>
  <c r="L16" i="96"/>
  <c r="M13" i="96"/>
  <c r="M12" i="96"/>
  <c r="M11" i="96"/>
  <c r="M11" i="96" a="1"/>
  <c r="N12" i="96" s="1"/>
  <c r="K13" i="96"/>
  <c r="I11" i="96"/>
  <c r="I11" i="96" a="1"/>
  <c r="J13" i="96" s="1"/>
  <c r="J32" i="7"/>
  <c r="J31" i="7"/>
  <c r="J30" i="7"/>
  <c r="J29" i="7"/>
  <c r="J28" i="7"/>
  <c r="M11" i="7" a="1"/>
  <c r="M13" i="7" s="1"/>
  <c r="I11" i="7" a="1"/>
  <c r="J32" i="5"/>
  <c r="J31" i="5"/>
  <c r="J30" i="5"/>
  <c r="J29" i="5"/>
  <c r="J28" i="5"/>
  <c r="M11" i="5" a="1"/>
  <c r="I11" i="5" a="1"/>
  <c r="K13" i="5" s="1"/>
  <c r="U8" i="5"/>
  <c r="U6" i="5" a="1"/>
  <c r="V7" i="5" s="1"/>
  <c r="U37" i="4"/>
  <c r="U36" i="4"/>
  <c r="U35" i="4"/>
  <c r="U34" i="4"/>
  <c r="X37" i="4"/>
  <c r="X35" i="4"/>
  <c r="W35" i="4"/>
  <c r="X34" i="4"/>
  <c r="X33" i="4"/>
  <c r="W33" i="4" a="1"/>
  <c r="W34" i="4" s="1"/>
  <c r="U33" i="4"/>
  <c r="Z14" i="4" a="1"/>
  <c r="AB18" i="4" s="1"/>
  <c r="V18" i="4"/>
  <c r="X17" i="4"/>
  <c r="W17" i="4"/>
  <c r="V17" i="4"/>
  <c r="U16" i="4"/>
  <c r="X15" i="4"/>
  <c r="W15" i="4"/>
  <c r="U15" i="4"/>
  <c r="W14" i="4"/>
  <c r="T14" i="4"/>
  <c r="T14" i="4" a="1"/>
  <c r="W18" i="4" s="1"/>
  <c r="K37" i="3"/>
  <c r="K37" i="3" a="1"/>
  <c r="H40" i="3"/>
  <c r="H37" i="3"/>
  <c r="H37" i="3" a="1"/>
  <c r="H39" i="3" s="1"/>
  <c r="I35" i="3"/>
  <c r="I34" i="3"/>
  <c r="I33" i="3"/>
  <c r="I32" i="3"/>
  <c r="I31" i="3"/>
  <c r="N12" i="3" a="1"/>
  <c r="N16" i="3" s="1"/>
  <c r="H12" i="3" a="1"/>
  <c r="J16" i="3" s="1"/>
  <c r="N22" i="117" a="1"/>
  <c r="O22" i="117" s="1"/>
  <c r="H22" i="117"/>
  <c r="H22" i="117" a="1"/>
  <c r="I22" i="117" s="1"/>
  <c r="N21" i="117" a="1"/>
  <c r="O21" i="117" s="1"/>
  <c r="H21" i="117"/>
  <c r="H21" i="117" a="1"/>
  <c r="I21" i="117" s="1"/>
  <c r="N20" i="117" a="1"/>
  <c r="O20" i="117" s="1"/>
  <c r="I20" i="117"/>
  <c r="H20" i="117" a="1"/>
  <c r="H20" i="117" s="1"/>
  <c r="N19" i="117" a="1"/>
  <c r="O19" i="117" s="1"/>
  <c r="H19" i="117"/>
  <c r="H19" i="117" a="1"/>
  <c r="I19" i="117" s="1"/>
  <c r="O18" i="117"/>
  <c r="N18" i="117"/>
  <c r="N18" i="117" a="1"/>
  <c r="H18" i="117" a="1"/>
  <c r="H18" i="117" s="1"/>
  <c r="N17" i="117" a="1"/>
  <c r="N17" i="117" s="1"/>
  <c r="H17" i="117" a="1"/>
  <c r="I17" i="117" s="1"/>
  <c r="N16" i="117" a="1"/>
  <c r="H16" i="117"/>
  <c r="H16" i="117" a="1"/>
  <c r="I16" i="117" s="1"/>
  <c r="O15" i="117"/>
  <c r="N15" i="117" a="1"/>
  <c r="N15" i="117" s="1"/>
  <c r="L15" i="117"/>
  <c r="L15" i="117" a="1"/>
  <c r="H15" i="117"/>
  <c r="H15" i="117" a="1"/>
  <c r="I15" i="117" s="1"/>
  <c r="N14" i="117" a="1"/>
  <c r="O14" i="117" s="1"/>
  <c r="I14" i="117"/>
  <c r="H14" i="117" a="1"/>
  <c r="H14" i="117" s="1"/>
  <c r="N13" i="117"/>
  <c r="N13" i="117" a="1"/>
  <c r="O13" i="117" s="1"/>
  <c r="H13" i="117" a="1"/>
  <c r="N12" i="117" a="1"/>
  <c r="O12" i="117" s="1"/>
  <c r="L12" i="117" a="1"/>
  <c r="L12" i="117" s="1"/>
  <c r="H12" i="117"/>
  <c r="H12" i="117" a="1"/>
  <c r="I12" i="117" s="1"/>
  <c r="N11" i="117" a="1"/>
  <c r="O11" i="117" s="1"/>
  <c r="I11" i="117"/>
  <c r="H11" i="117" a="1"/>
  <c r="H11" i="117" s="1"/>
  <c r="N10" i="117"/>
  <c r="N10" i="117" a="1"/>
  <c r="O10" i="117" s="1"/>
  <c r="H10" i="117"/>
  <c r="H10" i="117" a="1"/>
  <c r="I10" i="117" s="1"/>
  <c r="N9" i="117"/>
  <c r="N9" i="117" a="1"/>
  <c r="O9" i="117" s="1"/>
  <c r="H9" i="117"/>
  <c r="H9" i="117" a="1"/>
  <c r="I9" i="117" s="1"/>
  <c r="O8" i="117"/>
  <c r="N8" i="117" a="1"/>
  <c r="N8" i="117" s="1"/>
  <c r="H8" i="117" a="1"/>
  <c r="I8" i="117" s="1"/>
  <c r="R7" i="117" a="1"/>
  <c r="S8" i="117" s="1"/>
  <c r="N7" i="117"/>
  <c r="N7" i="117" a="1"/>
  <c r="O7" i="117" s="1"/>
  <c r="H7" i="117"/>
  <c r="H7" i="117" a="1"/>
  <c r="I7" i="117" s="1"/>
  <c r="E7" i="117"/>
  <c r="E7" i="117" a="1"/>
  <c r="F8" i="117" s="1"/>
  <c r="N6" i="117" a="1"/>
  <c r="H6" i="117" a="1"/>
  <c r="I6" i="117" s="1"/>
  <c r="N5" i="117" a="1"/>
  <c r="O5" i="117" s="1"/>
  <c r="I5" i="117"/>
  <c r="H5" i="117" a="1"/>
  <c r="H5" i="117" s="1"/>
  <c r="Y8" i="117"/>
  <c r="X4" i="117" a="1"/>
  <c r="Y7" i="117" s="1"/>
  <c r="N4" i="117" a="1"/>
  <c r="O4" i="117" s="1"/>
  <c r="L10" i="117"/>
  <c r="K8" i="117"/>
  <c r="L6" i="117"/>
  <c r="K6" i="117"/>
  <c r="K4" i="117"/>
  <c r="K4" i="117" a="1"/>
  <c r="K9" i="117" s="1"/>
  <c r="H4" i="117"/>
  <c r="H4" i="117" a="1"/>
  <c r="I4" i="117" s="1"/>
  <c r="J3" i="116" a="1"/>
  <c r="J3" i="116" s="1"/>
  <c r="E3" i="116" a="1"/>
  <c r="E3" i="116" s="1"/>
  <c r="D12" i="84"/>
  <c r="E10" i="84"/>
  <c r="D10" i="84" a="1"/>
  <c r="D10" i="84" s="1"/>
  <c r="E8" i="84"/>
  <c r="E7" i="84"/>
  <c r="D6" i="84"/>
  <c r="D3" i="84"/>
  <c r="D3" i="84" a="1"/>
  <c r="E6" i="84" s="1"/>
  <c r="O19" i="85"/>
  <c r="M19" i="85" a="1"/>
  <c r="M20" i="85" s="1"/>
  <c r="L19" i="85" a="1"/>
  <c r="K19" i="85" a="1"/>
  <c r="K20" i="85" s="1"/>
  <c r="J19" i="85" a="1"/>
  <c r="J20" i="85" s="1"/>
  <c r="I19" i="85" a="1"/>
  <c r="G18" i="85"/>
  <c r="E18" i="85"/>
  <c r="G17" i="85"/>
  <c r="E17" i="85"/>
  <c r="O15" i="85"/>
  <c r="U14" i="85"/>
  <c r="G14" i="85"/>
  <c r="U13" i="85"/>
  <c r="S13" i="85"/>
  <c r="G13" i="85"/>
  <c r="G12" i="85"/>
  <c r="U11" i="85"/>
  <c r="S11" i="85"/>
  <c r="O11" i="85"/>
  <c r="G11" i="85"/>
  <c r="Z13" i="85"/>
  <c r="Z10" i="85"/>
  <c r="Z10" i="85" a="1"/>
  <c r="Z14" i="85" s="1"/>
  <c r="O10" i="85"/>
  <c r="G10" i="85"/>
  <c r="U8" i="85"/>
  <c r="U7" i="85"/>
  <c r="S7" i="85"/>
  <c r="U6" i="85"/>
  <c r="U5" i="85"/>
  <c r="S5" i="85"/>
  <c r="O5" i="85"/>
  <c r="O5" i="85" a="1"/>
  <c r="I5" i="85" a="1"/>
  <c r="J6" i="85" s="1"/>
  <c r="G5" i="85"/>
  <c r="D6" i="85"/>
  <c r="D5" i="85" a="1"/>
  <c r="E5" i="85" s="1"/>
  <c r="D7" i="95" a="1"/>
  <c r="G4" i="94"/>
  <c r="G4" i="94" a="1"/>
  <c r="H4" i="94" s="1"/>
  <c r="D4" i="94" a="1"/>
  <c r="D5" i="94" s="1"/>
  <c r="H20" i="2" a="1"/>
  <c r="J24" i="2" s="1"/>
  <c r="Z16" i="2"/>
  <c r="J11" i="2"/>
  <c r="I11" i="2"/>
  <c r="H11" i="2" a="1"/>
  <c r="L15" i="2" s="1"/>
  <c r="Z10" i="2"/>
  <c r="Z10" i="2" a="1"/>
  <c r="Z14" i="2" s="1"/>
  <c r="N4" i="2" a="1"/>
  <c r="L5" i="2"/>
  <c r="H4" i="2" a="1"/>
  <c r="K7" i="2" s="1"/>
  <c r="F5" i="117"/>
  <c r="E5" i="117"/>
  <c r="M20" i="76"/>
  <c r="H20" i="76"/>
  <c r="C20" i="76"/>
  <c r="R8" i="2" l="1"/>
  <c r="N6" i="2"/>
  <c r="O4" i="2"/>
  <c r="P7" i="2"/>
  <c r="R5" i="2"/>
  <c r="Q7" i="2"/>
  <c r="P4" i="2"/>
  <c r="J13" i="7"/>
  <c r="J12" i="7"/>
  <c r="I12" i="7"/>
  <c r="K11" i="7"/>
  <c r="J11" i="7"/>
  <c r="I11" i="7"/>
  <c r="K13" i="7"/>
  <c r="I13" i="7"/>
  <c r="H11" i="30"/>
  <c r="G9" i="30"/>
  <c r="F6" i="30"/>
  <c r="F3" i="30"/>
  <c r="O6" i="117"/>
  <c r="N6" i="117"/>
  <c r="O16" i="117"/>
  <c r="N16" i="117"/>
  <c r="D9" i="95"/>
  <c r="D10" i="95"/>
  <c r="E9" i="95"/>
  <c r="E8" i="95"/>
  <c r="D7" i="95"/>
  <c r="D11" i="95"/>
  <c r="I20" i="85"/>
  <c r="I19" i="85"/>
  <c r="N13" i="5"/>
  <c r="O13" i="5"/>
  <c r="M11" i="5"/>
  <c r="AD9" i="68"/>
  <c r="AC7" i="68"/>
  <c r="AD6" i="68"/>
  <c r="AC6" i="68"/>
  <c r="AC9" i="68"/>
  <c r="AB6" i="68"/>
  <c r="AD8" i="68"/>
  <c r="AA6" i="68"/>
  <c r="AB8" i="68"/>
  <c r="AA8" i="68"/>
  <c r="I13" i="117"/>
  <c r="H13" i="117"/>
  <c r="L20" i="85"/>
  <c r="L19" i="85"/>
  <c r="P10" i="29"/>
  <c r="P6" i="29"/>
  <c r="P12" i="29"/>
  <c r="O6" i="29"/>
  <c r="Q11" i="29"/>
  <c r="P4" i="29"/>
  <c r="O11" i="29"/>
  <c r="Q3" i="29"/>
  <c r="Q9" i="29"/>
  <c r="O3" i="29"/>
  <c r="Q8" i="29"/>
  <c r="N7" i="29"/>
  <c r="K4" i="2"/>
  <c r="H13" i="2"/>
  <c r="L4" i="2"/>
  <c r="H8" i="2"/>
  <c r="J14" i="2"/>
  <c r="G5" i="94"/>
  <c r="K19" i="85"/>
  <c r="E3" i="84"/>
  <c r="D11" i="84"/>
  <c r="L9" i="117"/>
  <c r="X7" i="117"/>
  <c r="H6" i="117"/>
  <c r="N12" i="117"/>
  <c r="I18" i="117"/>
  <c r="N19" i="117"/>
  <c r="N21" i="117"/>
  <c r="O16" i="3"/>
  <c r="I38" i="3"/>
  <c r="U14" i="4"/>
  <c r="X16" i="4"/>
  <c r="J11" i="5"/>
  <c r="O13" i="96"/>
  <c r="M11" i="6"/>
  <c r="I11" i="12"/>
  <c r="O6" i="64"/>
  <c r="T8" i="64"/>
  <c r="X8" i="68"/>
  <c r="AB15" i="68"/>
  <c r="AB19" i="68"/>
  <c r="AA24" i="68"/>
  <c r="AD26" i="68"/>
  <c r="AF51" i="68"/>
  <c r="R6" i="69"/>
  <c r="Q11" i="69"/>
  <c r="U12" i="13"/>
  <c r="X15" i="15"/>
  <c r="P6" i="21"/>
  <c r="T6" i="21"/>
  <c r="R19" i="21"/>
  <c r="G5" i="29"/>
  <c r="F7" i="29"/>
  <c r="F14" i="29"/>
  <c r="L15" i="29"/>
  <c r="J19" i="29"/>
  <c r="J23" i="29"/>
  <c r="K27" i="29"/>
  <c r="J33" i="29"/>
  <c r="I5" i="14"/>
  <c r="G8" i="14"/>
  <c r="F11" i="14"/>
  <c r="I13" i="14"/>
  <c r="G33" i="14"/>
  <c r="G37" i="14"/>
  <c r="K88" i="14"/>
  <c r="I7" i="31"/>
  <c r="H27" i="31"/>
  <c r="G30" i="31"/>
  <c r="I32" i="31"/>
  <c r="G49" i="31"/>
  <c r="F56" i="31"/>
  <c r="F39" i="17"/>
  <c r="N10" i="34"/>
  <c r="O24" i="34"/>
  <c r="N4" i="35"/>
  <c r="S6" i="35"/>
  <c r="R11" i="35"/>
  <c r="N15" i="35"/>
  <c r="T19" i="35"/>
  <c r="V24" i="35"/>
  <c r="L6" i="97"/>
  <c r="N9" i="97"/>
  <c r="H12" i="97"/>
  <c r="J13" i="97"/>
  <c r="Q18" i="97"/>
  <c r="H19" i="97"/>
  <c r="H14" i="74"/>
  <c r="H6" i="74"/>
  <c r="G28" i="31"/>
  <c r="D4" i="94"/>
  <c r="Y5" i="117"/>
  <c r="I5" i="2"/>
  <c r="J8" i="2"/>
  <c r="K14" i="2"/>
  <c r="H5" i="94"/>
  <c r="D5" i="85"/>
  <c r="E4" i="84"/>
  <c r="E11" i="84"/>
  <c r="K10" i="117"/>
  <c r="X8" i="117"/>
  <c r="I39" i="3"/>
  <c r="V14" i="4"/>
  <c r="U17" i="4"/>
  <c r="K11" i="5"/>
  <c r="O13" i="6"/>
  <c r="J11" i="12"/>
  <c r="N7" i="64"/>
  <c r="U8" i="64"/>
  <c r="V9" i="68"/>
  <c r="AC15" i="68"/>
  <c r="AC19" i="68"/>
  <c r="AB24" i="68"/>
  <c r="AC27" i="68"/>
  <c r="P7" i="69"/>
  <c r="R11" i="69"/>
  <c r="S13" i="13"/>
  <c r="Z15" i="15"/>
  <c r="S19" i="21"/>
  <c r="G8" i="29"/>
  <c r="G14" i="29"/>
  <c r="J16" i="29"/>
  <c r="L19" i="29"/>
  <c r="K23" i="29"/>
  <c r="L27" i="29"/>
  <c r="K34" i="29"/>
  <c r="F6" i="14"/>
  <c r="H8" i="14"/>
  <c r="H11" i="14"/>
  <c r="F34" i="14"/>
  <c r="H37" i="14"/>
  <c r="J50" i="14"/>
  <c r="G8" i="31"/>
  <c r="F28" i="31"/>
  <c r="H30" i="31"/>
  <c r="F33" i="31"/>
  <c r="H50" i="31"/>
  <c r="I56" i="31"/>
  <c r="F40" i="17"/>
  <c r="F23" i="18"/>
  <c r="P10" i="34"/>
  <c r="O4" i="35"/>
  <c r="S11" i="35"/>
  <c r="P15" i="35"/>
  <c r="K13" i="97"/>
  <c r="I19" i="97"/>
  <c r="P27" i="39"/>
  <c r="U27" i="39"/>
  <c r="M26" i="39"/>
  <c r="O24" i="39"/>
  <c r="Q22" i="39"/>
  <c r="S20" i="39"/>
  <c r="U18" i="39"/>
  <c r="S27" i="39"/>
  <c r="T25" i="39"/>
  <c r="M24" i="39"/>
  <c r="O22" i="39"/>
  <c r="Q20" i="39"/>
  <c r="S18" i="39"/>
  <c r="R27" i="39"/>
  <c r="S25" i="39"/>
  <c r="U23" i="39"/>
  <c r="N22" i="39"/>
  <c r="P20" i="39"/>
  <c r="R18" i="39"/>
  <c r="U26" i="39"/>
  <c r="N25" i="39"/>
  <c r="P23" i="39"/>
  <c r="R21" i="39"/>
  <c r="T19" i="39"/>
  <c r="M18" i="39"/>
  <c r="R26" i="39"/>
  <c r="T24" i="39"/>
  <c r="M23" i="39"/>
  <c r="O21" i="39"/>
  <c r="Q19" i="39"/>
  <c r="O26" i="39"/>
  <c r="Q24" i="39"/>
  <c r="S22" i="39"/>
  <c r="U20" i="39"/>
  <c r="N19" i="39"/>
  <c r="U24" i="39"/>
  <c r="I30" i="31"/>
  <c r="J19" i="104"/>
  <c r="J7" i="104"/>
  <c r="J6" i="104"/>
  <c r="J15" i="104"/>
  <c r="J4" i="104"/>
  <c r="J13" i="104"/>
  <c r="D8" i="102"/>
  <c r="F8" i="102"/>
  <c r="E8" i="102"/>
  <c r="F7" i="102"/>
  <c r="F6" i="102"/>
  <c r="F9" i="102"/>
  <c r="F5" i="102"/>
  <c r="D9" i="102"/>
  <c r="D5" i="102"/>
  <c r="AB25" i="92"/>
  <c r="AC25" i="92"/>
  <c r="AX28" i="55"/>
  <c r="BE27" i="55"/>
  <c r="BC26" i="55"/>
  <c r="BB25" i="55"/>
  <c r="AZ24" i="55"/>
  <c r="AX23" i="55"/>
  <c r="AW22" i="55"/>
  <c r="BD20" i="55"/>
  <c r="BB19" i="55"/>
  <c r="BE28" i="55"/>
  <c r="BC27" i="55"/>
  <c r="BB26" i="55"/>
  <c r="AZ25" i="55"/>
  <c r="AX24" i="55"/>
  <c r="AW23" i="55"/>
  <c r="BD21" i="55"/>
  <c r="BB20" i="55"/>
  <c r="BA19" i="55"/>
  <c r="BD28" i="55"/>
  <c r="BB27" i="55"/>
  <c r="BA26" i="55"/>
  <c r="AY25" i="55"/>
  <c r="AW24" i="55"/>
  <c r="BE22" i="55"/>
  <c r="BC21" i="55"/>
  <c r="BA20" i="55"/>
  <c r="AZ19" i="55"/>
  <c r="BB28" i="55"/>
  <c r="BA27" i="55"/>
  <c r="AY26" i="55"/>
  <c r="AW25" i="55"/>
  <c r="BE23" i="55"/>
  <c r="BC22" i="55"/>
  <c r="BA21" i="55"/>
  <c r="AZ20" i="55"/>
  <c r="AX19" i="55"/>
  <c r="BA28" i="55"/>
  <c r="AZ27" i="55"/>
  <c r="AX26" i="55"/>
  <c r="BE24" i="55"/>
  <c r="BD23" i="55"/>
  <c r="BB22" i="55"/>
  <c r="AZ21" i="55"/>
  <c r="AY20" i="55"/>
  <c r="AW19" i="55"/>
  <c r="AY28" i="55"/>
  <c r="AW27" i="55"/>
  <c r="BD25" i="55"/>
  <c r="BC24" i="55"/>
  <c r="BA23" i="55"/>
  <c r="AY22" i="55"/>
  <c r="AX21" i="55"/>
  <c r="BE19" i="55"/>
  <c r="AW28" i="55"/>
  <c r="BD26" i="55"/>
  <c r="BC25" i="55"/>
  <c r="BA24" i="55"/>
  <c r="AY23" i="55"/>
  <c r="AX22" i="55"/>
  <c r="BE20" i="55"/>
  <c r="BC19" i="55"/>
  <c r="BD24" i="55"/>
  <c r="BB23" i="55"/>
  <c r="AZ22" i="55"/>
  <c r="AY21" i="55"/>
  <c r="AW20" i="55"/>
  <c r="AX27" i="55"/>
  <c r="BE25" i="55"/>
  <c r="I6" i="2"/>
  <c r="E6" i="85"/>
  <c r="D7" i="84"/>
  <c r="L5" i="117"/>
  <c r="Y9" i="117"/>
  <c r="H41" i="3"/>
  <c r="I12" i="12"/>
  <c r="O10" i="64"/>
  <c r="U10" i="64"/>
  <c r="AD20" i="68"/>
  <c r="AD24" i="68"/>
  <c r="U14" i="13"/>
  <c r="S4" i="21"/>
  <c r="R15" i="21"/>
  <c r="R20" i="21"/>
  <c r="S31" i="21"/>
  <c r="F9" i="29"/>
  <c r="F15" i="29"/>
  <c r="J17" i="29"/>
  <c r="L20" i="29"/>
  <c r="J24" i="29"/>
  <c r="L29" i="29"/>
  <c r="J35" i="29"/>
  <c r="H6" i="14"/>
  <c r="H9" i="14"/>
  <c r="F12" i="14"/>
  <c r="AA10" i="14"/>
  <c r="I34" i="14"/>
  <c r="G39" i="14"/>
  <c r="I86" i="14"/>
  <c r="I10" i="31"/>
  <c r="F26" i="31"/>
  <c r="H28" i="31"/>
  <c r="F31" i="31"/>
  <c r="F34" i="31"/>
  <c r="F52" i="31"/>
  <c r="J3" i="33"/>
  <c r="N5" i="35"/>
  <c r="AJ5" i="35"/>
  <c r="T20" i="35"/>
  <c r="S25" i="35"/>
  <c r="Z5" i="97"/>
  <c r="I7" i="97"/>
  <c r="L12" i="97"/>
  <c r="N14" i="97"/>
  <c r="H18" i="97"/>
  <c r="K19" i="97"/>
  <c r="J5" i="104"/>
  <c r="E6" i="102"/>
  <c r="R19" i="39"/>
  <c r="S26" i="39"/>
  <c r="I14" i="109"/>
  <c r="AZ28" i="55"/>
  <c r="J12" i="12"/>
  <c r="AB21" i="68"/>
  <c r="AC25" i="68"/>
  <c r="P9" i="69"/>
  <c r="U33" i="15"/>
  <c r="N4" i="21"/>
  <c r="R5" i="21"/>
  <c r="S15" i="21"/>
  <c r="T20" i="21"/>
  <c r="G9" i="29"/>
  <c r="H15" i="29"/>
  <c r="L17" i="29"/>
  <c r="J21" i="29"/>
  <c r="K24" i="29"/>
  <c r="K30" i="29"/>
  <c r="K35" i="29"/>
  <c r="F7" i="14"/>
  <c r="I9" i="14"/>
  <c r="G12" i="14"/>
  <c r="AA22" i="14"/>
  <c r="F35" i="14"/>
  <c r="H39" i="14"/>
  <c r="J86" i="14"/>
  <c r="I11" i="31"/>
  <c r="G26" i="31"/>
  <c r="I28" i="31"/>
  <c r="H31" i="31"/>
  <c r="G34" i="31"/>
  <c r="H52" i="31"/>
  <c r="T25" i="35"/>
  <c r="O14" i="97"/>
  <c r="J9" i="104"/>
  <c r="D7" i="102"/>
  <c r="AP12" i="39"/>
  <c r="AI12" i="39"/>
  <c r="AM8" i="39"/>
  <c r="AQ4" i="39"/>
  <c r="AL11" i="39"/>
  <c r="AP7" i="39"/>
  <c r="AK4" i="39"/>
  <c r="AJ11" i="39"/>
  <c r="AN7" i="39"/>
  <c r="AI4" i="39"/>
  <c r="AK10" i="39"/>
  <c r="AO6" i="39"/>
  <c r="AQ12" i="39"/>
  <c r="AL9" i="39"/>
  <c r="AP5" i="39"/>
  <c r="AK12" i="39"/>
  <c r="AO8" i="39"/>
  <c r="AJ5" i="39"/>
  <c r="M20" i="39"/>
  <c r="N27" i="39"/>
  <c r="EB28" i="40"/>
  <c r="DZ27" i="40"/>
  <c r="DY27" i="40"/>
  <c r="DZ26" i="40"/>
  <c r="DY29" i="40"/>
  <c r="DZ28" i="40"/>
  <c r="X4" i="117"/>
  <c r="AC21" i="68"/>
  <c r="J18" i="29"/>
  <c r="K21" i="29"/>
  <c r="J31" i="29"/>
  <c r="H7" i="14"/>
  <c r="F10" i="14"/>
  <c r="H12" i="14"/>
  <c r="AA32" i="14"/>
  <c r="F36" i="14"/>
  <c r="F40" i="14"/>
  <c r="K86" i="14"/>
  <c r="I13" i="31"/>
  <c r="H26" i="31"/>
  <c r="F29" i="31"/>
  <c r="F32" i="31"/>
  <c r="H34" i="31"/>
  <c r="F54" i="31"/>
  <c r="N9" i="34"/>
  <c r="P6" i="35"/>
  <c r="N14" i="35"/>
  <c r="T21" i="35"/>
  <c r="Z6" i="97"/>
  <c r="H6" i="97"/>
  <c r="K7" i="97"/>
  <c r="G13" i="97"/>
  <c r="J18" i="97"/>
  <c r="J12" i="104"/>
  <c r="AI6" i="39"/>
  <c r="P21" i="39"/>
  <c r="DZ29" i="40"/>
  <c r="H33" i="31"/>
  <c r="J6" i="2"/>
  <c r="L6" i="2"/>
  <c r="I4" i="2"/>
  <c r="J7" i="2"/>
  <c r="L12" i="2"/>
  <c r="J19" i="85"/>
  <c r="K7" i="117"/>
  <c r="Y4" i="117"/>
  <c r="O17" i="117"/>
  <c r="N13" i="3"/>
  <c r="T16" i="4"/>
  <c r="X18" i="4"/>
  <c r="W36" i="4"/>
  <c r="V8" i="5"/>
  <c r="O12" i="96"/>
  <c r="J12" i="6"/>
  <c r="K13" i="12"/>
  <c r="L31" i="12"/>
  <c r="J8" i="66"/>
  <c r="U6" i="64"/>
  <c r="V7" i="68"/>
  <c r="AS6" i="68"/>
  <c r="AA14" i="68"/>
  <c r="AA18" i="68"/>
  <c r="AB26" i="68"/>
  <c r="P6" i="69"/>
  <c r="R9" i="69"/>
  <c r="S12" i="13"/>
  <c r="P5" i="21"/>
  <c r="T5" i="21"/>
  <c r="O15" i="21"/>
  <c r="T16" i="21"/>
  <c r="T21" i="21"/>
  <c r="G3" i="29"/>
  <c r="F13" i="29"/>
  <c r="J15" i="29"/>
  <c r="K18" i="29"/>
  <c r="L21" i="29"/>
  <c r="K26" i="29"/>
  <c r="L31" i="29"/>
  <c r="F5" i="14"/>
  <c r="I7" i="14"/>
  <c r="G10" i="14"/>
  <c r="F13" i="14"/>
  <c r="I36" i="14"/>
  <c r="H40" i="14"/>
  <c r="I87" i="14"/>
  <c r="I26" i="31"/>
  <c r="H29" i="31"/>
  <c r="G32" i="31"/>
  <c r="I34" i="31"/>
  <c r="H54" i="31"/>
  <c r="F37" i="17"/>
  <c r="O9" i="34"/>
  <c r="P22" i="34"/>
  <c r="O14" i="35"/>
  <c r="Z7" i="97"/>
  <c r="H13" i="97"/>
  <c r="L18" i="97"/>
  <c r="R29" i="97"/>
  <c r="Q30" i="97"/>
  <c r="J14" i="104"/>
  <c r="AQ6" i="39"/>
  <c r="T21" i="39"/>
  <c r="Q6" i="82"/>
  <c r="S7" i="82"/>
  <c r="R6" i="82"/>
  <c r="S5" i="82"/>
  <c r="R4" i="82"/>
  <c r="S3" i="82"/>
  <c r="L7" i="2"/>
  <c r="Q14" i="3"/>
  <c r="U7" i="64"/>
  <c r="AS8" i="68"/>
  <c r="AD18" i="68"/>
  <c r="AC26" i="68"/>
  <c r="T12" i="13"/>
  <c r="P15" i="21"/>
  <c r="H13" i="29"/>
  <c r="K15" i="29"/>
  <c r="L18" i="29"/>
  <c r="K22" i="29"/>
  <c r="J27" i="29"/>
  <c r="J32" i="29"/>
  <c r="F37" i="14"/>
  <c r="K87" i="14"/>
  <c r="F27" i="31"/>
  <c r="F30" i="31"/>
  <c r="H32" i="31"/>
  <c r="K4" i="32"/>
  <c r="P9" i="34"/>
  <c r="P36" i="34"/>
  <c r="P14" i="35"/>
  <c r="S19" i="35"/>
  <c r="V23" i="35"/>
  <c r="AA8" i="97"/>
  <c r="J6" i="97"/>
  <c r="G12" i="97"/>
  <c r="I13" i="97"/>
  <c r="Q17" i="97"/>
  <c r="R30" i="97"/>
  <c r="J17" i="104"/>
  <c r="AN9" i="39"/>
  <c r="N23" i="39"/>
  <c r="AL19" i="39"/>
  <c r="AN20" i="39"/>
  <c r="AQ21" i="39"/>
  <c r="AL23" i="39"/>
  <c r="AO24" i="39"/>
  <c r="AQ25" i="39"/>
  <c r="AN27" i="39"/>
  <c r="I21" i="40"/>
  <c r="G23" i="40"/>
  <c r="E25" i="40"/>
  <c r="C27" i="40"/>
  <c r="G68" i="40"/>
  <c r="G70" i="40"/>
  <c r="G72" i="40"/>
  <c r="G74" i="40"/>
  <c r="E22" i="41"/>
  <c r="J25" i="41"/>
  <c r="H13" i="77"/>
  <c r="H24" i="74"/>
  <c r="K14" i="111"/>
  <c r="J4" i="114"/>
  <c r="K4" i="82"/>
  <c r="L7" i="82"/>
  <c r="R13" i="82"/>
  <c r="M4" i="81"/>
  <c r="M5" i="80"/>
  <c r="L14" i="80"/>
  <c r="I13" i="87"/>
  <c r="I25" i="87"/>
  <c r="H31" i="87"/>
  <c r="N8" i="88"/>
  <c r="R10" i="88"/>
  <c r="X7" i="88"/>
  <c r="U14" i="88"/>
  <c r="W20" i="88"/>
  <c r="Y26" i="88"/>
  <c r="V33" i="88"/>
  <c r="X39" i="88"/>
  <c r="X5" i="89"/>
  <c r="AB7" i="89"/>
  <c r="Z10" i="89"/>
  <c r="X13" i="89"/>
  <c r="AB15" i="89"/>
  <c r="Z18" i="89"/>
  <c r="X21" i="89"/>
  <c r="AB23" i="89"/>
  <c r="AC26" i="89"/>
  <c r="AB29" i="89"/>
  <c r="AA33" i="89"/>
  <c r="X37" i="89"/>
  <c r="Z40" i="89"/>
  <c r="U8" i="89"/>
  <c r="T22" i="89"/>
  <c r="T17" i="89"/>
  <c r="AD38" i="90"/>
  <c r="AD37" i="90"/>
  <c r="F7" i="104"/>
  <c r="F18" i="104"/>
  <c r="O4" i="39"/>
  <c r="P5" i="39"/>
  <c r="T6" i="39"/>
  <c r="M8" i="39"/>
  <c r="R9" i="39"/>
  <c r="U10" i="39"/>
  <c r="P12" i="39"/>
  <c r="AI18" i="39"/>
  <c r="AM19" i="39"/>
  <c r="AO20" i="39"/>
  <c r="AJ22" i="39"/>
  <c r="AN23" i="39"/>
  <c r="AP24" i="39"/>
  <c r="AK26" i="39"/>
  <c r="AO27" i="39"/>
  <c r="C22" i="40"/>
  <c r="J23" i="40"/>
  <c r="H25" i="40"/>
  <c r="F27" i="40"/>
  <c r="A67" i="40"/>
  <c r="A69" i="40"/>
  <c r="A71" i="40"/>
  <c r="A73" i="40"/>
  <c r="A75" i="40"/>
  <c r="H32" i="74"/>
  <c r="J6" i="114"/>
  <c r="M4" i="82"/>
  <c r="N7" i="82"/>
  <c r="L6" i="80"/>
  <c r="K15" i="80"/>
  <c r="G26" i="87"/>
  <c r="P8" i="88"/>
  <c r="N11" i="88"/>
  <c r="V8" i="88"/>
  <c r="X14" i="88"/>
  <c r="U21" i="88"/>
  <c r="W27" i="88"/>
  <c r="Y33" i="88"/>
  <c r="AA5" i="89"/>
  <c r="Y8" i="89"/>
  <c r="AC10" i="89"/>
  <c r="AA13" i="89"/>
  <c r="Y16" i="89"/>
  <c r="AC18" i="89"/>
  <c r="AA21" i="89"/>
  <c r="Y24" i="89"/>
  <c r="X27" i="89"/>
  <c r="X30" i="89"/>
  <c r="X34" i="89"/>
  <c r="AA37" i="89"/>
  <c r="AB40" i="89"/>
  <c r="P10" i="89"/>
  <c r="Y28" i="90"/>
  <c r="Z28" i="90"/>
  <c r="V25" i="90"/>
  <c r="Z27" i="90"/>
  <c r="X24" i="90"/>
  <c r="X27" i="90"/>
  <c r="Z23" i="90"/>
  <c r="X28" i="90"/>
  <c r="AC14" i="92"/>
  <c r="AB15" i="92"/>
  <c r="AB13" i="92"/>
  <c r="AB12" i="92"/>
  <c r="F10" i="104"/>
  <c r="Q4" i="39"/>
  <c r="T5" i="39"/>
  <c r="M7" i="39"/>
  <c r="R8" i="39"/>
  <c r="T9" i="39"/>
  <c r="P11" i="39"/>
  <c r="S12" i="39"/>
  <c r="AM18" i="39"/>
  <c r="AO19" i="39"/>
  <c r="AJ21" i="39"/>
  <c r="AM22" i="39"/>
  <c r="AP23" i="39"/>
  <c r="AJ25" i="39"/>
  <c r="AN26" i="39"/>
  <c r="J18" i="40"/>
  <c r="H20" i="40"/>
  <c r="F22" i="40"/>
  <c r="D24" i="40"/>
  <c r="B26" i="40"/>
  <c r="I27" i="40"/>
  <c r="EK29" i="40"/>
  <c r="F67" i="40"/>
  <c r="F69" i="40"/>
  <c r="F71" i="40"/>
  <c r="F73" i="40"/>
  <c r="F75" i="40"/>
  <c r="D20" i="41"/>
  <c r="I23" i="41"/>
  <c r="E27" i="41"/>
  <c r="H5" i="77"/>
  <c r="W14" i="75"/>
  <c r="G13" i="110"/>
  <c r="K6" i="111"/>
  <c r="J10" i="113"/>
  <c r="J10" i="114"/>
  <c r="K8" i="115"/>
  <c r="L5" i="82"/>
  <c r="P11" i="82"/>
  <c r="N7" i="81"/>
  <c r="K7" i="80"/>
  <c r="L16" i="80"/>
  <c r="H27" i="87"/>
  <c r="H33" i="87"/>
  <c r="N9" i="88"/>
  <c r="R11" i="88"/>
  <c r="Y9" i="88"/>
  <c r="V16" i="88"/>
  <c r="X22" i="88"/>
  <c r="U29" i="88"/>
  <c r="W35" i="88"/>
  <c r="F9" i="88"/>
  <c r="X6" i="89"/>
  <c r="AB8" i="89"/>
  <c r="Z11" i="89"/>
  <c r="X14" i="89"/>
  <c r="AB16" i="89"/>
  <c r="Z19" i="89"/>
  <c r="X22" i="89"/>
  <c r="AB24" i="89"/>
  <c r="AB27" i="89"/>
  <c r="Z31" i="89"/>
  <c r="AC34" i="89"/>
  <c r="P22" i="89"/>
  <c r="X23" i="90"/>
  <c r="AB14" i="92"/>
  <c r="N5" i="82"/>
  <c r="M7" i="80"/>
  <c r="I27" i="87"/>
  <c r="P9" i="88"/>
  <c r="N12" i="88"/>
  <c r="AA40" i="89"/>
  <c r="X39" i="89"/>
  <c r="Z36" i="89"/>
  <c r="AB33" i="89"/>
  <c r="X31" i="89"/>
  <c r="Z28" i="89"/>
  <c r="AB25" i="89"/>
  <c r="Z38" i="89"/>
  <c r="AB35" i="89"/>
  <c r="X33" i="89"/>
  <c r="Z30" i="89"/>
  <c r="Z6" i="89"/>
  <c r="X9" i="89"/>
  <c r="AB11" i="89"/>
  <c r="Z14" i="89"/>
  <c r="X17" i="89"/>
  <c r="AB19" i="89"/>
  <c r="Z22" i="89"/>
  <c r="X25" i="89"/>
  <c r="Y28" i="89"/>
  <c r="AB31" i="89"/>
  <c r="X35" i="89"/>
  <c r="AC38" i="89"/>
  <c r="S13" i="89"/>
  <c r="R10" i="89"/>
  <c r="S9" i="89"/>
  <c r="R12" i="89"/>
  <c r="P16" i="90"/>
  <c r="S15" i="90"/>
  <c r="Q14" i="90"/>
  <c r="Z24" i="91"/>
  <c r="Y21" i="91"/>
  <c r="Y23" i="91"/>
  <c r="Y22" i="91"/>
  <c r="DH28" i="55"/>
  <c r="DK23" i="55"/>
  <c r="DL22" i="55"/>
  <c r="DG21" i="55"/>
  <c r="DI20" i="55"/>
  <c r="DG27" i="55"/>
  <c r="DE20" i="55"/>
  <c r="DE26" i="55"/>
  <c r="DE24" i="55"/>
  <c r="Q34" i="97"/>
  <c r="F13" i="104"/>
  <c r="AC6" i="37"/>
  <c r="U4" i="39"/>
  <c r="M6" i="39"/>
  <c r="P7" i="39"/>
  <c r="T8" i="39"/>
  <c r="P10" i="39"/>
  <c r="R11" i="39"/>
  <c r="AO18" i="39"/>
  <c r="AJ20" i="39"/>
  <c r="AM21" i="39"/>
  <c r="AP22" i="39"/>
  <c r="AJ24" i="39"/>
  <c r="AN25" i="39"/>
  <c r="AP26" i="39"/>
  <c r="DR14" i="40"/>
  <c r="F19" i="40"/>
  <c r="D21" i="40"/>
  <c r="B23" i="40"/>
  <c r="I24" i="40"/>
  <c r="G26" i="40"/>
  <c r="A68" i="40"/>
  <c r="A70" i="40"/>
  <c r="A72" i="40"/>
  <c r="A74" i="40"/>
  <c r="C21" i="41"/>
  <c r="H24" i="41"/>
  <c r="H9" i="77"/>
  <c r="G16" i="110"/>
  <c r="K9" i="111"/>
  <c r="L8" i="112"/>
  <c r="J18" i="113"/>
  <c r="J14" i="114"/>
  <c r="K13" i="115"/>
  <c r="K3" i="82"/>
  <c r="K6" i="82"/>
  <c r="Q12" i="82"/>
  <c r="L4" i="80"/>
  <c r="L8" i="80"/>
  <c r="L17" i="80"/>
  <c r="G24" i="87"/>
  <c r="N7" i="88"/>
  <c r="R9" i="88"/>
  <c r="P12" i="88"/>
  <c r="W11" i="88"/>
  <c r="Y17" i="88"/>
  <c r="V24" i="88"/>
  <c r="X30" i="88"/>
  <c r="U37" i="88"/>
  <c r="Y4" i="89"/>
  <c r="AC6" i="89"/>
  <c r="AA9" i="89"/>
  <c r="Y12" i="89"/>
  <c r="AC14" i="89"/>
  <c r="AA17" i="89"/>
  <c r="Y20" i="89"/>
  <c r="AC22" i="89"/>
  <c r="AA25" i="89"/>
  <c r="AB28" i="89"/>
  <c r="Y32" i="89"/>
  <c r="Z35" i="89"/>
  <c r="Z39" i="89"/>
  <c r="Q7" i="89"/>
  <c r="T12" i="89"/>
  <c r="S13" i="90"/>
  <c r="Z25" i="90"/>
  <c r="Y24" i="91"/>
  <c r="AB23" i="93"/>
  <c r="AC23" i="93"/>
  <c r="AC22" i="93"/>
  <c r="DF27" i="55"/>
  <c r="M5" i="39"/>
  <c r="N6" i="39"/>
  <c r="S7" i="39"/>
  <c r="U8" i="39"/>
  <c r="Q10" i="39"/>
  <c r="T11" i="39"/>
  <c r="AP18" i="39"/>
  <c r="AL20" i="39"/>
  <c r="AN21" i="39"/>
  <c r="AQ22" i="39"/>
  <c r="AM24" i="39"/>
  <c r="AO25" i="39"/>
  <c r="G19" i="40"/>
  <c r="E21" i="40"/>
  <c r="C23" i="40"/>
  <c r="J24" i="40"/>
  <c r="H26" i="40"/>
  <c r="C68" i="40"/>
  <c r="C70" i="40"/>
  <c r="C72" i="40"/>
  <c r="C74" i="40"/>
  <c r="M9" i="41"/>
  <c r="F21" i="41"/>
  <c r="B25" i="41"/>
  <c r="L21" i="44"/>
  <c r="H10" i="77"/>
  <c r="G18" i="110"/>
  <c r="K12" i="111"/>
  <c r="L11" i="112"/>
  <c r="J17" i="114"/>
  <c r="K16" i="115"/>
  <c r="L3" i="82"/>
  <c r="M6" i="82"/>
  <c r="R12" i="82"/>
  <c r="M4" i="80"/>
  <c r="M8" i="80"/>
  <c r="L18" i="80"/>
  <c r="I24" i="87"/>
  <c r="H30" i="87"/>
  <c r="Q7" i="88"/>
  <c r="O10" i="88"/>
  <c r="S12" i="88"/>
  <c r="W12" i="88"/>
  <c r="Y18" i="88"/>
  <c r="V25" i="88"/>
  <c r="X31" i="88"/>
  <c r="U38" i="88"/>
  <c r="I16" i="88"/>
  <c r="Z4" i="89"/>
  <c r="X7" i="89"/>
  <c r="AB9" i="89"/>
  <c r="Z12" i="89"/>
  <c r="X15" i="89"/>
  <c r="AB17" i="89"/>
  <c r="Z20" i="89"/>
  <c r="X23" i="89"/>
  <c r="X26" i="89"/>
  <c r="X29" i="89"/>
  <c r="Z32" i="89"/>
  <c r="Y36" i="89"/>
  <c r="AB39" i="89"/>
  <c r="U7" i="89"/>
  <c r="R13" i="89"/>
  <c r="Q16" i="90"/>
  <c r="V26" i="90"/>
  <c r="J18" i="114"/>
  <c r="N3" i="82"/>
  <c r="K7" i="82"/>
  <c r="K5" i="80"/>
  <c r="H25" i="87"/>
  <c r="R7" i="88"/>
  <c r="P10" i="88"/>
  <c r="U13" i="88"/>
  <c r="W19" i="88"/>
  <c r="Y25" i="88"/>
  <c r="V32" i="88"/>
  <c r="X38" i="88"/>
  <c r="AB4" i="89"/>
  <c r="Z7" i="89"/>
  <c r="X10" i="89"/>
  <c r="AB12" i="89"/>
  <c r="Z15" i="89"/>
  <c r="X18" i="89"/>
  <c r="AB20" i="89"/>
  <c r="Z23" i="89"/>
  <c r="Z26" i="89"/>
  <c r="AA29" i="89"/>
  <c r="AB32" i="89"/>
  <c r="AB36" i="89"/>
  <c r="Y40" i="89"/>
  <c r="P8" i="89"/>
  <c r="X26" i="90"/>
  <c r="Z12" i="91"/>
  <c r="Y12" i="91"/>
  <c r="Y14" i="91"/>
  <c r="Y13" i="91"/>
  <c r="AB11" i="92"/>
  <c r="AC8" i="92"/>
  <c r="AC6" i="92"/>
  <c r="AC11" i="92"/>
  <c r="AC10" i="92"/>
  <c r="V7" i="90"/>
  <c r="V33" i="90"/>
  <c r="V37" i="90"/>
  <c r="AM45" i="90"/>
  <c r="AT51" i="90"/>
  <c r="AB23" i="92"/>
  <c r="AB6" i="93"/>
  <c r="B13" i="93"/>
  <c r="B16" i="93"/>
  <c r="P20" i="51"/>
  <c r="O60" i="51"/>
  <c r="T63" i="51"/>
  <c r="P67" i="51"/>
  <c r="O115" i="51"/>
  <c r="M120" i="51"/>
  <c r="N9" i="55"/>
  <c r="AN19" i="55"/>
  <c r="AS20" i="55"/>
  <c r="AK23" i="55"/>
  <c r="AK25" i="55"/>
  <c r="AR26" i="55"/>
  <c r="AR28" i="55"/>
  <c r="BI19" i="55"/>
  <c r="BJ20" i="55"/>
  <c r="BL21" i="55"/>
  <c r="BN22" i="55"/>
  <c r="BO23" i="55"/>
  <c r="BQ24" i="55"/>
  <c r="BJ26" i="55"/>
  <c r="BK27" i="55"/>
  <c r="BM28" i="55"/>
  <c r="CB19" i="55"/>
  <c r="CC21" i="55"/>
  <c r="BY23" i="55"/>
  <c r="BZ25" i="55"/>
  <c r="BZ27" i="55"/>
  <c r="CT19" i="55"/>
  <c r="DA20" i="55"/>
  <c r="CS23" i="55"/>
  <c r="CX24" i="55"/>
  <c r="CY26" i="55"/>
  <c r="CY28" i="55"/>
  <c r="DW19" i="55"/>
  <c r="DX21" i="55"/>
  <c r="DT23" i="55"/>
  <c r="DR26" i="55"/>
  <c r="DW28" i="55"/>
  <c r="EE20" i="55"/>
  <c r="EK21" i="55"/>
  <c r="EF23" i="55"/>
  <c r="EK24" i="55"/>
  <c r="EV24" i="55"/>
  <c r="FC22" i="55"/>
  <c r="FY19" i="55"/>
  <c r="GG23" i="55"/>
  <c r="GF28" i="55"/>
  <c r="HX19" i="55"/>
  <c r="HW22" i="55"/>
  <c r="HV26" i="55"/>
  <c r="IG24" i="55"/>
  <c r="IV23" i="55"/>
  <c r="LU28" i="55"/>
  <c r="LO28" i="55"/>
  <c r="LS26" i="55"/>
  <c r="LQ25" i="55"/>
  <c r="LU23" i="55"/>
  <c r="LR22" i="55"/>
  <c r="LN21" i="55"/>
  <c r="LR19" i="55"/>
  <c r="LN28" i="55"/>
  <c r="LR26" i="55"/>
  <c r="LO25" i="55"/>
  <c r="LT23" i="55"/>
  <c r="LO22" i="55"/>
  <c r="LM21" i="55"/>
  <c r="LQ19" i="55"/>
  <c r="LU27" i="55"/>
  <c r="LQ26" i="55"/>
  <c r="LU24" i="55"/>
  <c r="LS23" i="55"/>
  <c r="LN22" i="55"/>
  <c r="LT20" i="55"/>
  <c r="LP19" i="55"/>
  <c r="LR27" i="55"/>
  <c r="LP26" i="55"/>
  <c r="LT24" i="55"/>
  <c r="LQ23" i="55"/>
  <c r="LM22" i="55"/>
  <c r="LQ20" i="55"/>
  <c r="LO19" i="55"/>
  <c r="LQ27" i="55"/>
  <c r="LN26" i="55"/>
  <c r="LS24" i="55"/>
  <c r="LN23" i="55"/>
  <c r="LU21" i="55"/>
  <c r="LP20" i="55"/>
  <c r="LM19" i="55"/>
  <c r="LQ28" i="55"/>
  <c r="LO27" i="55"/>
  <c r="LS25" i="55"/>
  <c r="LP24" i="55"/>
  <c r="LU22" i="55"/>
  <c r="LP21" i="55"/>
  <c r="LN20" i="55"/>
  <c r="LP28" i="55"/>
  <c r="LM27" i="55"/>
  <c r="LR25" i="55"/>
  <c r="LM24" i="55"/>
  <c r="LT22" i="55"/>
  <c r="LO21" i="55"/>
  <c r="LU19" i="55"/>
  <c r="Q63" i="54"/>
  <c r="V4" i="90"/>
  <c r="X7" i="90"/>
  <c r="AH4" i="90"/>
  <c r="X33" i="90"/>
  <c r="X37" i="90"/>
  <c r="AK42" i="90"/>
  <c r="AS52" i="90"/>
  <c r="E13" i="92"/>
  <c r="AB24" i="92"/>
  <c r="AB7" i="93"/>
  <c r="D13" i="93"/>
  <c r="D16" i="93"/>
  <c r="N14" i="51"/>
  <c r="O21" i="51"/>
  <c r="U60" i="51"/>
  <c r="Q64" i="51"/>
  <c r="M68" i="51"/>
  <c r="M116" i="51"/>
  <c r="O120" i="51"/>
  <c r="Q10" i="55"/>
  <c r="AO19" i="55"/>
  <c r="AO21" i="55"/>
  <c r="AM23" i="55"/>
  <c r="AM25" i="55"/>
  <c r="AS26" i="55"/>
  <c r="AS28" i="55"/>
  <c r="BJ19" i="55"/>
  <c r="BK20" i="55"/>
  <c r="BM21" i="55"/>
  <c r="BO22" i="55"/>
  <c r="BP23" i="55"/>
  <c r="BI25" i="55"/>
  <c r="BK26" i="55"/>
  <c r="BL27" i="55"/>
  <c r="BN28" i="55"/>
  <c r="CC19" i="55"/>
  <c r="BU22" i="55"/>
  <c r="BU24" i="55"/>
  <c r="CB25" i="55"/>
  <c r="CB27" i="55"/>
  <c r="CW19" i="55"/>
  <c r="CS21" i="55"/>
  <c r="CT23" i="55"/>
  <c r="CT25" i="55"/>
  <c r="DA26" i="55"/>
  <c r="DA28" i="55"/>
  <c r="EE28" i="55"/>
  <c r="EI26" i="55"/>
  <c r="ED25" i="55"/>
  <c r="ED28" i="55"/>
  <c r="EH26" i="55"/>
  <c r="EF20" i="55"/>
  <c r="EC22" i="55"/>
  <c r="EG23" i="55"/>
  <c r="EG25" i="55"/>
  <c r="EF27" i="55"/>
  <c r="FD26" i="55"/>
  <c r="FC23" i="55"/>
  <c r="FD20" i="55"/>
  <c r="FA26" i="55"/>
  <c r="FE22" i="55"/>
  <c r="FH19" i="55"/>
  <c r="FG23" i="55"/>
  <c r="FH27" i="55"/>
  <c r="GE19" i="55"/>
  <c r="GC24" i="55"/>
  <c r="GG28" i="55"/>
  <c r="HQ26" i="55"/>
  <c r="HQ27" i="55"/>
  <c r="HP19" i="55"/>
  <c r="HM26" i="55"/>
  <c r="HN19" i="55"/>
  <c r="HM23" i="55"/>
  <c r="HM28" i="55"/>
  <c r="HO20" i="55"/>
  <c r="HY19" i="55"/>
  <c r="HU23" i="55"/>
  <c r="HZ26" i="55"/>
  <c r="KT23" i="55"/>
  <c r="LO20" i="55"/>
  <c r="Z4" i="90"/>
  <c r="X8" i="90"/>
  <c r="AI5" i="90"/>
  <c r="X34" i="90"/>
  <c r="E15" i="92"/>
  <c r="AB9" i="93"/>
  <c r="B14" i="93"/>
  <c r="U15" i="51"/>
  <c r="T61" i="51"/>
  <c r="P65" i="51"/>
  <c r="U68" i="51"/>
  <c r="N117" i="51"/>
  <c r="N122" i="51"/>
  <c r="O13" i="55"/>
  <c r="AR19" i="55"/>
  <c r="AR21" i="55"/>
  <c r="AR23" i="55"/>
  <c r="AP25" i="55"/>
  <c r="AQ27" i="55"/>
  <c r="BL19" i="55"/>
  <c r="BN20" i="55"/>
  <c r="BP21" i="55"/>
  <c r="BQ22" i="55"/>
  <c r="BJ24" i="55"/>
  <c r="BL25" i="55"/>
  <c r="BM26" i="55"/>
  <c r="BO27" i="55"/>
  <c r="BQ28" i="55"/>
  <c r="CA20" i="55"/>
  <c r="BX22" i="55"/>
  <c r="BX24" i="55"/>
  <c r="BX26" i="55"/>
  <c r="BV28" i="55"/>
  <c r="CZ19" i="55"/>
  <c r="CZ21" i="55"/>
  <c r="CW23" i="55"/>
  <c r="CW25" i="55"/>
  <c r="CW27" i="55"/>
  <c r="DV20" i="55"/>
  <c r="DR22" i="55"/>
  <c r="DV24" i="55"/>
  <c r="DS27" i="55"/>
  <c r="EE19" i="55"/>
  <c r="EJ20" i="55"/>
  <c r="EE22" i="55"/>
  <c r="EK23" i="55"/>
  <c r="EI25" i="55"/>
  <c r="EJ27" i="55"/>
  <c r="FE20" i="55"/>
  <c r="FB24" i="55"/>
  <c r="FG28" i="55"/>
  <c r="GD21" i="55"/>
  <c r="FY26" i="55"/>
  <c r="HX20" i="55"/>
  <c r="IB23" i="55"/>
  <c r="HY27" i="55"/>
  <c r="IT28" i="55"/>
  <c r="IU27" i="55"/>
  <c r="IZ23" i="55"/>
  <c r="IS21" i="55"/>
  <c r="IW26" i="55"/>
  <c r="IY23" i="55"/>
  <c r="IU20" i="55"/>
  <c r="IZ28" i="55"/>
  <c r="IY25" i="55"/>
  <c r="IZ22" i="55"/>
  <c r="IZ19" i="55"/>
  <c r="IW28" i="55"/>
  <c r="IU25" i="55"/>
  <c r="IT22" i="55"/>
  <c r="IV19" i="55"/>
  <c r="IV27" i="55"/>
  <c r="JA23" i="55"/>
  <c r="IV21" i="55"/>
  <c r="IS26" i="55"/>
  <c r="KW25" i="55"/>
  <c r="LM23" i="55"/>
  <c r="M62" i="51"/>
  <c r="R65" i="51"/>
  <c r="O117" i="51"/>
  <c r="O122" i="51"/>
  <c r="T14" i="55"/>
  <c r="AM20" i="55"/>
  <c r="AK22" i="55"/>
  <c r="AL24" i="55"/>
  <c r="AQ25" i="55"/>
  <c r="AR27" i="55"/>
  <c r="BN19" i="55"/>
  <c r="BP20" i="55"/>
  <c r="BQ21" i="55"/>
  <c r="BJ23" i="55"/>
  <c r="BL24" i="55"/>
  <c r="BM25" i="55"/>
  <c r="BO26" i="55"/>
  <c r="BQ27" i="55"/>
  <c r="CB20" i="55"/>
  <c r="CB22" i="55"/>
  <c r="BZ24" i="55"/>
  <c r="CA26" i="55"/>
  <c r="BW28" i="55"/>
  <c r="DA19" i="55"/>
  <c r="DA21" i="55"/>
  <c r="DA23" i="55"/>
  <c r="CY25" i="55"/>
  <c r="CZ27" i="55"/>
  <c r="DW20" i="55"/>
  <c r="DW22" i="55"/>
  <c r="DY24" i="55"/>
  <c r="DV27" i="55"/>
  <c r="EG19" i="55"/>
  <c r="EC21" i="55"/>
  <c r="EH22" i="55"/>
  <c r="EE24" i="55"/>
  <c r="EJ25" i="55"/>
  <c r="EK27" i="55"/>
  <c r="FF20" i="55"/>
  <c r="FF24" i="55"/>
  <c r="FP23" i="55"/>
  <c r="FS22" i="55"/>
  <c r="GE21" i="55"/>
  <c r="FZ26" i="55"/>
  <c r="HJ25" i="55"/>
  <c r="IB20" i="55"/>
  <c r="HZ24" i="55"/>
  <c r="HV28" i="55"/>
  <c r="IS19" i="55"/>
  <c r="IW27" i="55"/>
  <c r="LR24" i="55"/>
  <c r="X35" i="90"/>
  <c r="S6" i="93"/>
  <c r="AB11" i="93"/>
  <c r="B15" i="93"/>
  <c r="N59" i="51"/>
  <c r="S62" i="51"/>
  <c r="O66" i="51"/>
  <c r="M114" i="51"/>
  <c r="M118" i="51"/>
  <c r="AP20" i="55"/>
  <c r="AL22" i="55"/>
  <c r="AM24" i="55"/>
  <c r="AL26" i="55"/>
  <c r="AS27" i="55"/>
  <c r="BO19" i="55"/>
  <c r="BQ20" i="55"/>
  <c r="BI22" i="55"/>
  <c r="BK23" i="55"/>
  <c r="BM24" i="55"/>
  <c r="BN25" i="55"/>
  <c r="BP26" i="55"/>
  <c r="BI28" i="55"/>
  <c r="BW19" i="55"/>
  <c r="BU21" i="55"/>
  <c r="BV23" i="55"/>
  <c r="CA24" i="55"/>
  <c r="CB26" i="55"/>
  <c r="CA28" i="55"/>
  <c r="CV20" i="55"/>
  <c r="CT22" i="55"/>
  <c r="CU24" i="55"/>
  <c r="CZ25" i="55"/>
  <c r="DA27" i="55"/>
  <c r="DR19" i="55"/>
  <c r="DY20" i="55"/>
  <c r="DY22" i="55"/>
  <c r="DQ25" i="55"/>
  <c r="DW27" i="55"/>
  <c r="EH19" i="55"/>
  <c r="ED21" i="55"/>
  <c r="EJ22" i="55"/>
  <c r="EF24" i="55"/>
  <c r="ED26" i="55"/>
  <c r="EG28" i="55"/>
  <c r="FD21" i="55"/>
  <c r="FA25" i="55"/>
  <c r="GF21" i="55"/>
  <c r="HN25" i="55"/>
  <c r="HU21" i="55"/>
  <c r="IA24" i="55"/>
  <c r="IT20" i="55"/>
  <c r="IX27" i="55"/>
  <c r="KU28" i="55"/>
  <c r="KW27" i="55"/>
  <c r="KU26" i="55"/>
  <c r="KS25" i="55"/>
  <c r="KR24" i="55"/>
  <c r="KP23" i="55"/>
  <c r="KW21" i="55"/>
  <c r="KV20" i="55"/>
  <c r="KT19" i="55"/>
  <c r="KW28" i="55"/>
  <c r="KU27" i="55"/>
  <c r="KS26" i="55"/>
  <c r="KR25" i="55"/>
  <c r="KP24" i="55"/>
  <c r="KW22" i="55"/>
  <c r="KV21" i="55"/>
  <c r="KT20" i="55"/>
  <c r="KR19" i="55"/>
  <c r="KV28" i="55"/>
  <c r="KT27" i="55"/>
  <c r="KR26" i="55"/>
  <c r="KQ25" i="55"/>
  <c r="KO24" i="55"/>
  <c r="KV22" i="55"/>
  <c r="KU21" i="55"/>
  <c r="KS20" i="55"/>
  <c r="KQ19" i="55"/>
  <c r="KT28" i="55"/>
  <c r="KR27" i="55"/>
  <c r="KQ26" i="55"/>
  <c r="KO25" i="55"/>
  <c r="KV23" i="55"/>
  <c r="KU22" i="55"/>
  <c r="KS21" i="55"/>
  <c r="KQ20" i="55"/>
  <c r="KP19" i="55"/>
  <c r="KS28" i="55"/>
  <c r="KQ27" i="55"/>
  <c r="KP26" i="55"/>
  <c r="KW24" i="55"/>
  <c r="KU23" i="55"/>
  <c r="KT22" i="55"/>
  <c r="KR21" i="55"/>
  <c r="KP20" i="55"/>
  <c r="KO19" i="55"/>
  <c r="KP28" i="55"/>
  <c r="KO27" i="55"/>
  <c r="KV25" i="55"/>
  <c r="KT24" i="55"/>
  <c r="KS23" i="55"/>
  <c r="KQ22" i="55"/>
  <c r="KO21" i="55"/>
  <c r="KW19" i="55"/>
  <c r="KO28" i="55"/>
  <c r="KV26" i="55"/>
  <c r="KT25" i="55"/>
  <c r="KS24" i="55"/>
  <c r="KQ23" i="55"/>
  <c r="KO22" i="55"/>
  <c r="KW20" i="55"/>
  <c r="KU19" i="55"/>
  <c r="KQ28" i="55"/>
  <c r="LT25" i="55"/>
  <c r="AQ20" i="55"/>
  <c r="AP22" i="55"/>
  <c r="AN24" i="55"/>
  <c r="AO26" i="55"/>
  <c r="AK28" i="55"/>
  <c r="IC28" i="55"/>
  <c r="HX28" i="55"/>
  <c r="HU27" i="55"/>
  <c r="HZ25" i="55"/>
  <c r="HU24" i="55"/>
  <c r="IB22" i="55"/>
  <c r="HW21" i="55"/>
  <c r="IC19" i="55"/>
  <c r="HW28" i="55"/>
  <c r="IA26" i="55"/>
  <c r="HY25" i="55"/>
  <c r="IC23" i="55"/>
  <c r="HZ22" i="55"/>
  <c r="HV21" i="55"/>
  <c r="HZ19" i="55"/>
  <c r="IC27" i="55"/>
  <c r="HY26" i="55"/>
  <c r="IC24" i="55"/>
  <c r="IA23" i="55"/>
  <c r="HV22" i="55"/>
  <c r="HZ27" i="55"/>
  <c r="HX26" i="55"/>
  <c r="IB24" i="55"/>
  <c r="HY23" i="55"/>
  <c r="HU22" i="55"/>
  <c r="HY20" i="55"/>
  <c r="HW19" i="55"/>
  <c r="HY28" i="55"/>
  <c r="HW27" i="55"/>
  <c r="IA25" i="55"/>
  <c r="HX24" i="55"/>
  <c r="IC22" i="55"/>
  <c r="HX21" i="55"/>
  <c r="HV20" i="55"/>
  <c r="IA21" i="55"/>
  <c r="HW25" i="55"/>
  <c r="IO27" i="55"/>
  <c r="IL21" i="55"/>
  <c r="IN27" i="55"/>
  <c r="IN20" i="55"/>
  <c r="IK25" i="55"/>
  <c r="IH20" i="55"/>
  <c r="IL24" i="55"/>
  <c r="II19" i="55"/>
  <c r="II28" i="55"/>
  <c r="IN22" i="55"/>
  <c r="U68" i="54"/>
  <c r="O67" i="54"/>
  <c r="S64" i="54"/>
  <c r="R62" i="54"/>
  <c r="N60" i="54"/>
  <c r="M67" i="54"/>
  <c r="R64" i="54"/>
  <c r="M62" i="54"/>
  <c r="U59" i="54"/>
  <c r="Q66" i="54"/>
  <c r="P64" i="54"/>
  <c r="U61" i="54"/>
  <c r="P59" i="54"/>
  <c r="T68" i="54"/>
  <c r="P66" i="54"/>
  <c r="T63" i="54"/>
  <c r="S61" i="54"/>
  <c r="O59" i="54"/>
  <c r="O68" i="54"/>
  <c r="N66" i="54"/>
  <c r="S63" i="54"/>
  <c r="N61" i="54"/>
  <c r="M59" i="54"/>
  <c r="U67" i="54"/>
  <c r="Q65" i="54"/>
  <c r="U62" i="54"/>
  <c r="T60" i="54"/>
  <c r="P67" i="54"/>
  <c r="O65" i="54"/>
  <c r="T62" i="54"/>
  <c r="O60" i="54"/>
  <c r="X32" i="90"/>
  <c r="X36" i="90"/>
  <c r="E15" i="93"/>
  <c r="M60" i="51"/>
  <c r="R63" i="51"/>
  <c r="N67" i="51"/>
  <c r="AK19" i="55"/>
  <c r="AR20" i="55"/>
  <c r="AS22" i="55"/>
  <c r="AO24" i="55"/>
  <c r="AP26" i="55"/>
  <c r="AP28" i="55"/>
  <c r="BI20" i="55"/>
  <c r="BJ21" i="55"/>
  <c r="BL22" i="55"/>
  <c r="BN23" i="55"/>
  <c r="BO24" i="55"/>
  <c r="BQ25" i="55"/>
  <c r="BJ27" i="55"/>
  <c r="BK28" i="55"/>
  <c r="CA19" i="55"/>
  <c r="BZ21" i="55"/>
  <c r="BX23" i="55"/>
  <c r="BY25" i="55"/>
  <c r="CZ20" i="55"/>
  <c r="CY22" i="55"/>
  <c r="CW24" i="55"/>
  <c r="CX26" i="55"/>
  <c r="DU19" i="55"/>
  <c r="DU21" i="55"/>
  <c r="DS23" i="55"/>
  <c r="DQ26" i="55"/>
  <c r="DR28" i="55"/>
  <c r="EK19" i="55"/>
  <c r="EH21" i="55"/>
  <c r="ED23" i="55"/>
  <c r="EI24" i="55"/>
  <c r="EK26" i="55"/>
  <c r="FB22" i="55"/>
  <c r="FF26" i="55"/>
  <c r="GC27" i="55"/>
  <c r="GD28" i="55"/>
  <c r="GB24" i="55"/>
  <c r="GG20" i="55"/>
  <c r="GE27" i="55"/>
  <c r="GA24" i="55"/>
  <c r="FY20" i="55"/>
  <c r="GA23" i="55"/>
  <c r="GE28" i="55"/>
  <c r="HU19" i="55"/>
  <c r="IC21" i="55"/>
  <c r="IB25" i="55"/>
  <c r="IK20" i="55"/>
  <c r="IY21" i="55"/>
  <c r="KP21" i="55"/>
  <c r="LT28" i="55"/>
  <c r="M61" i="54"/>
  <c r="O170" i="54"/>
  <c r="O168" i="54"/>
  <c r="M168" i="54"/>
  <c r="P166" i="54"/>
  <c r="P164" i="54"/>
  <c r="GW20" i="55"/>
  <c r="GX21" i="55"/>
  <c r="GZ22" i="55"/>
  <c r="HB23" i="55"/>
  <c r="HC24" i="55"/>
  <c r="HE25" i="55"/>
  <c r="GX27" i="55"/>
  <c r="GY28" i="55"/>
  <c r="JI19" i="55"/>
  <c r="JM20" i="55"/>
  <c r="JJ22" i="55"/>
  <c r="JG24" i="55"/>
  <c r="JK25" i="55"/>
  <c r="JG27" i="55"/>
  <c r="JM28" i="55"/>
  <c r="JU21" i="55"/>
  <c r="JQ24" i="55"/>
  <c r="JU27" i="55"/>
  <c r="KI19" i="55"/>
  <c r="KD22" i="55"/>
  <c r="KK23" i="55"/>
  <c r="KF26" i="55"/>
  <c r="KG28" i="55"/>
  <c r="MC23" i="55"/>
  <c r="MM21" i="55"/>
  <c r="T15" i="54"/>
  <c r="O18" i="54"/>
  <c r="P20" i="54"/>
  <c r="U22" i="54"/>
  <c r="N91" i="54"/>
  <c r="R112" i="54"/>
  <c r="JV21" i="55"/>
  <c r="JY24" i="55"/>
  <c r="JV27" i="55"/>
  <c r="KK19" i="55"/>
  <c r="KE22" i="55"/>
  <c r="KG24" i="55"/>
  <c r="KG26" i="55"/>
  <c r="KK28" i="55"/>
  <c r="U15" i="54"/>
  <c r="Q18" i="54"/>
  <c r="U20" i="54"/>
  <c r="P91" i="54"/>
  <c r="O115" i="54"/>
  <c r="GK20" i="55"/>
  <c r="GM21" i="55"/>
  <c r="GN22" i="55"/>
  <c r="GP23" i="55"/>
  <c r="GR24" i="55"/>
  <c r="GS25" i="55"/>
  <c r="GL27" i="55"/>
  <c r="GN28" i="55"/>
  <c r="GY19" i="55"/>
  <c r="HA20" i="55"/>
  <c r="HC21" i="55"/>
  <c r="HD22" i="55"/>
  <c r="GW24" i="55"/>
  <c r="GY25" i="55"/>
  <c r="GZ26" i="55"/>
  <c r="HB27" i="55"/>
  <c r="HD28" i="55"/>
  <c r="JM19" i="55"/>
  <c r="JJ21" i="55"/>
  <c r="JF23" i="55"/>
  <c r="JJ24" i="55"/>
  <c r="JG26" i="55"/>
  <c r="JM27" i="55"/>
  <c r="JW19" i="55"/>
  <c r="JT22" i="55"/>
  <c r="JW25" i="55"/>
  <c r="JV28" i="55"/>
  <c r="KJ20" i="55"/>
  <c r="KH22" i="55"/>
  <c r="KK24" i="55"/>
  <c r="KE27" i="55"/>
  <c r="MD27" i="55"/>
  <c r="ML25" i="55"/>
  <c r="N14" i="54"/>
  <c r="S16" i="54"/>
  <c r="N19" i="54"/>
  <c r="O21" i="54"/>
  <c r="S91" i="54"/>
  <c r="JF20" i="55"/>
  <c r="JL21" i="55"/>
  <c r="JH23" i="55"/>
  <c r="JM24" i="55"/>
  <c r="JJ26" i="55"/>
  <c r="JE28" i="55"/>
  <c r="JQ20" i="55"/>
  <c r="JX22" i="55"/>
  <c r="JY25" i="55"/>
  <c r="KK20" i="55"/>
  <c r="KD23" i="55"/>
  <c r="KE25" i="55"/>
  <c r="KG27" i="55"/>
  <c r="LZ19" i="55"/>
  <c r="MG27" i="55"/>
  <c r="MN27" i="55"/>
  <c r="S14" i="54"/>
  <c r="T16" i="54"/>
  <c r="P19" i="54"/>
  <c r="T21" i="54"/>
  <c r="JH20" i="55"/>
  <c r="JM21" i="55"/>
  <c r="JI23" i="55"/>
  <c r="JF25" i="55"/>
  <c r="JK26" i="55"/>
  <c r="JF28" i="55"/>
  <c r="JR20" i="55"/>
  <c r="JV23" i="55"/>
  <c r="JQ26" i="55"/>
  <c r="KD19" i="55"/>
  <c r="KD21" i="55"/>
  <c r="KG23" i="55"/>
  <c r="KF25" i="55"/>
  <c r="KH27" i="55"/>
  <c r="MQ27" i="55"/>
  <c r="U14" i="54"/>
  <c r="P17" i="54"/>
  <c r="Q19" i="54"/>
  <c r="M22" i="54"/>
  <c r="O108" i="54"/>
  <c r="GN19" i="55"/>
  <c r="GO20" i="55"/>
  <c r="GQ21" i="55"/>
  <c r="GS22" i="55"/>
  <c r="GK24" i="55"/>
  <c r="GM25" i="55"/>
  <c r="GO26" i="55"/>
  <c r="GP27" i="55"/>
  <c r="GR28" i="55"/>
  <c r="HC19" i="55"/>
  <c r="HE20" i="55"/>
  <c r="GW22" i="55"/>
  <c r="GY23" i="55"/>
  <c r="HA24" i="55"/>
  <c r="HB25" i="55"/>
  <c r="HD26" i="55"/>
  <c r="GW28" i="55"/>
  <c r="JE19" i="55"/>
  <c r="JK20" i="55"/>
  <c r="JF22" i="55"/>
  <c r="JK23" i="55"/>
  <c r="JH25" i="55"/>
  <c r="JM26" i="55"/>
  <c r="JI28" i="55"/>
  <c r="JT20" i="55"/>
  <c r="JW23" i="55"/>
  <c r="JX26" i="55"/>
  <c r="KF19" i="55"/>
  <c r="KE21" i="55"/>
  <c r="KH23" i="55"/>
  <c r="KJ25" i="55"/>
  <c r="KK27" i="55"/>
  <c r="MF20" i="55"/>
  <c r="MR19" i="55"/>
  <c r="MM28" i="55"/>
  <c r="M15" i="54"/>
  <c r="R17" i="54"/>
  <c r="M20" i="54"/>
  <c r="N22" i="54"/>
  <c r="T108" i="54"/>
  <c r="GO19" i="55"/>
  <c r="GP20" i="55"/>
  <c r="GR21" i="55"/>
  <c r="GK23" i="55"/>
  <c r="GL24" i="55"/>
  <c r="GN25" i="55"/>
  <c r="GP26" i="55"/>
  <c r="GQ27" i="55"/>
  <c r="GS28" i="55"/>
  <c r="HE19" i="55"/>
  <c r="GW21" i="55"/>
  <c r="GY22" i="55"/>
  <c r="HA23" i="55"/>
  <c r="HB24" i="55"/>
  <c r="HD25" i="55"/>
  <c r="GW27" i="55"/>
  <c r="GX28" i="55"/>
  <c r="JF19" i="55"/>
  <c r="JL20" i="55"/>
  <c r="JG22" i="55"/>
  <c r="JM23" i="55"/>
  <c r="JI25" i="55"/>
  <c r="JE27" i="55"/>
  <c r="JS21" i="55"/>
  <c r="JY23" i="55"/>
  <c r="JS27" i="55"/>
  <c r="KG19" i="55"/>
  <c r="KJ21" i="55"/>
  <c r="KJ23" i="55"/>
  <c r="KE26" i="55"/>
  <c r="KC28" i="55"/>
  <c r="MB23" i="55"/>
  <c r="ML21" i="55"/>
  <c r="MN28" i="55"/>
  <c r="R15" i="54"/>
  <c r="S17" i="54"/>
  <c r="O20" i="54"/>
  <c r="S22" i="54"/>
  <c r="S109" i="54"/>
  <c r="Z17" i="4"/>
  <c r="N13" i="12"/>
  <c r="R9" i="64"/>
  <c r="J11" i="29"/>
  <c r="K8" i="29"/>
  <c r="L5" i="29"/>
  <c r="J3" i="29"/>
  <c r="K10" i="29"/>
  <c r="L7" i="29"/>
  <c r="J5" i="29"/>
  <c r="L9" i="29"/>
  <c r="I21" i="14"/>
  <c r="R10" i="97"/>
  <c r="Q10" i="97"/>
  <c r="Q9" i="97"/>
  <c r="H5" i="2"/>
  <c r="K6" i="2"/>
  <c r="I8" i="2"/>
  <c r="Q4" i="2"/>
  <c r="O6" i="2"/>
  <c r="R7" i="2"/>
  <c r="Z11" i="2"/>
  <c r="K11" i="2"/>
  <c r="I13" i="2"/>
  <c r="L14" i="2"/>
  <c r="H20" i="2"/>
  <c r="K21" i="2"/>
  <c r="I23" i="2"/>
  <c r="L24" i="2"/>
  <c r="E4" i="94"/>
  <c r="E10" i="95"/>
  <c r="D4" i="84"/>
  <c r="D8" i="84"/>
  <c r="E12" i="84"/>
  <c r="L7" i="117"/>
  <c r="N4" i="117"/>
  <c r="X5" i="117"/>
  <c r="X9" i="117"/>
  <c r="N5" i="117"/>
  <c r="F7" i="117"/>
  <c r="N11" i="117"/>
  <c r="N14" i="117"/>
  <c r="N20" i="117"/>
  <c r="H12" i="3"/>
  <c r="K13" i="3"/>
  <c r="I15" i="3"/>
  <c r="L16" i="3"/>
  <c r="O13" i="3"/>
  <c r="R14" i="3"/>
  <c r="P16" i="3"/>
  <c r="I40" i="3"/>
  <c r="Z14" i="4"/>
  <c r="AC15" i="4"/>
  <c r="AA17" i="4"/>
  <c r="AD18" i="4"/>
  <c r="U9" i="5"/>
  <c r="I12" i="5"/>
  <c r="N11" i="5"/>
  <c r="M11" i="7"/>
  <c r="O13" i="7"/>
  <c r="J11" i="96"/>
  <c r="N13" i="96"/>
  <c r="I12" i="6"/>
  <c r="N11" i="6"/>
  <c r="M11" i="12"/>
  <c r="O13" i="12"/>
  <c r="I9" i="66"/>
  <c r="O7" i="64"/>
  <c r="Q6" i="64"/>
  <c r="Q10" i="64"/>
  <c r="Y6" i="68"/>
  <c r="Y8" i="68"/>
  <c r="AT6" i="68"/>
  <c r="AT8" i="68"/>
  <c r="AD13" i="68"/>
  <c r="AD15" i="68"/>
  <c r="V18" i="68"/>
  <c r="V20" i="68"/>
  <c r="AD19" i="68"/>
  <c r="AD21" i="68"/>
  <c r="AA30" i="68"/>
  <c r="AA32" i="68"/>
  <c r="H12" i="38"/>
  <c r="J14" i="38"/>
  <c r="P32" i="15"/>
  <c r="R34" i="15"/>
  <c r="T34" i="15"/>
  <c r="O6" i="21"/>
  <c r="R9" i="21"/>
  <c r="T11" i="21"/>
  <c r="N16" i="21"/>
  <c r="R24" i="21"/>
  <c r="S30" i="21"/>
  <c r="T29" i="21"/>
  <c r="H3" i="29"/>
  <c r="H5" i="29"/>
  <c r="F3" i="29"/>
  <c r="K3" i="29"/>
  <c r="L6" i="29"/>
  <c r="J10" i="29"/>
  <c r="O4" i="29"/>
  <c r="Q6" i="29"/>
  <c r="O9" i="29"/>
  <c r="O12" i="29"/>
  <c r="AN8" i="14"/>
  <c r="AA12" i="14"/>
  <c r="AA23" i="14"/>
  <c r="AA33" i="14"/>
  <c r="G19" i="14"/>
  <c r="F22" i="14"/>
  <c r="H24" i="14"/>
  <c r="G27" i="14"/>
  <c r="K50" i="14"/>
  <c r="G13" i="31"/>
  <c r="G11" i="31"/>
  <c r="G9" i="31"/>
  <c r="G7" i="31"/>
  <c r="G5" i="31"/>
  <c r="F13" i="31"/>
  <c r="F11" i="31"/>
  <c r="F9" i="31"/>
  <c r="F7" i="31"/>
  <c r="F5" i="31"/>
  <c r="H12" i="31"/>
  <c r="H10" i="31"/>
  <c r="H8" i="31"/>
  <c r="H6" i="31"/>
  <c r="F8" i="31"/>
  <c r="H11" i="31"/>
  <c r="I57" i="31"/>
  <c r="I55" i="31"/>
  <c r="I53" i="31"/>
  <c r="I51" i="31"/>
  <c r="I49" i="31"/>
  <c r="H57" i="31"/>
  <c r="H55" i="31"/>
  <c r="H53" i="31"/>
  <c r="H51" i="31"/>
  <c r="H49" i="31"/>
  <c r="F57" i="31"/>
  <c r="F55" i="31"/>
  <c r="F53" i="31"/>
  <c r="F51" i="31"/>
  <c r="F49" i="31"/>
  <c r="G52" i="31"/>
  <c r="G55" i="31"/>
  <c r="G3" i="30"/>
  <c r="I6" i="30"/>
  <c r="H9" i="30"/>
  <c r="I5" i="32"/>
  <c r="J4" i="33"/>
  <c r="P7" i="18"/>
  <c r="T5" i="35"/>
  <c r="S5" i="35"/>
  <c r="T4" i="35"/>
  <c r="T6" i="35"/>
  <c r="R4" i="35"/>
  <c r="V10" i="35"/>
  <c r="V9" i="35"/>
  <c r="V7" i="35"/>
  <c r="AS12" i="35"/>
  <c r="AQ12" i="35"/>
  <c r="V37" i="35"/>
  <c r="R5" i="97"/>
  <c r="Q5" i="97"/>
  <c r="R9" i="97"/>
  <c r="L48" i="40"/>
  <c r="AB15" i="4"/>
  <c r="Y19" i="68"/>
  <c r="Z12" i="2"/>
  <c r="P13" i="3"/>
  <c r="N15" i="3"/>
  <c r="AA14" i="4"/>
  <c r="AD15" i="4"/>
  <c r="AB17" i="4"/>
  <c r="V9" i="5"/>
  <c r="J12" i="5"/>
  <c r="O11" i="5"/>
  <c r="N11" i="7"/>
  <c r="K11" i="96"/>
  <c r="O11" i="6"/>
  <c r="N11" i="12"/>
  <c r="J9" i="66"/>
  <c r="R6" i="64"/>
  <c r="R10" i="64"/>
  <c r="AU6" i="68"/>
  <c r="AU8" i="68"/>
  <c r="W18" i="68"/>
  <c r="W20" i="68"/>
  <c r="AB30" i="68"/>
  <c r="AB32" i="68"/>
  <c r="I12" i="38"/>
  <c r="Q32" i="15"/>
  <c r="U34" i="15"/>
  <c r="S9" i="21"/>
  <c r="O16" i="21"/>
  <c r="S24" i="21"/>
  <c r="L3" i="29"/>
  <c r="J7" i="29"/>
  <c r="L10" i="29"/>
  <c r="AN9" i="14"/>
  <c r="AA14" i="14"/>
  <c r="AA24" i="14"/>
  <c r="AA34" i="14"/>
  <c r="I19" i="14"/>
  <c r="G22" i="14"/>
  <c r="I24" i="14"/>
  <c r="I27" i="14"/>
  <c r="I51" i="14"/>
  <c r="H3" i="30"/>
  <c r="F7" i="30"/>
  <c r="F10" i="30"/>
  <c r="J5" i="32"/>
  <c r="H38" i="34"/>
  <c r="G38" i="34"/>
  <c r="T15" i="35"/>
  <c r="S15" i="35"/>
  <c r="T14" i="35"/>
  <c r="T16" i="35"/>
  <c r="R14" i="35"/>
  <c r="S29" i="35"/>
  <c r="T31" i="35"/>
  <c r="R29" i="35"/>
  <c r="R31" i="35"/>
  <c r="S30" i="35"/>
  <c r="L11" i="97"/>
  <c r="J11" i="97"/>
  <c r="H11" i="97"/>
  <c r="R22" i="97"/>
  <c r="Q22" i="97"/>
  <c r="R21" i="97"/>
  <c r="Q21" i="97"/>
  <c r="J21" i="2"/>
  <c r="H15" i="3"/>
  <c r="N13" i="7"/>
  <c r="I14" i="38"/>
  <c r="Q34" i="15"/>
  <c r="K6" i="29"/>
  <c r="P10" i="18"/>
  <c r="P8" i="18"/>
  <c r="V40" i="35"/>
  <c r="V38" i="35"/>
  <c r="X44" i="90"/>
  <c r="X42" i="90"/>
  <c r="W44" i="90"/>
  <c r="W42" i="90"/>
  <c r="V44" i="90"/>
  <c r="V42" i="90"/>
  <c r="Y43" i="90"/>
  <c r="Y41" i="90"/>
  <c r="X43" i="90"/>
  <c r="X41" i="90"/>
  <c r="W43" i="90"/>
  <c r="W41" i="90"/>
  <c r="V43" i="90"/>
  <c r="V41" i="90"/>
  <c r="Y44" i="90"/>
  <c r="Y42" i="90"/>
  <c r="R4" i="2"/>
  <c r="N8" i="2"/>
  <c r="J13" i="2"/>
  <c r="L21" i="2"/>
  <c r="E8" i="117"/>
  <c r="Q16" i="3"/>
  <c r="J5" i="2"/>
  <c r="H7" i="2"/>
  <c r="K8" i="2"/>
  <c r="N5" i="2"/>
  <c r="Q6" i="2"/>
  <c r="O8" i="2"/>
  <c r="Z13" i="2"/>
  <c r="H12" i="2"/>
  <c r="K13" i="2"/>
  <c r="I15" i="2"/>
  <c r="J20" i="2"/>
  <c r="H22" i="2"/>
  <c r="K23" i="2"/>
  <c r="I25" i="2"/>
  <c r="E5" i="94"/>
  <c r="E7" i="95"/>
  <c r="E11" i="95"/>
  <c r="I5" i="85"/>
  <c r="Z11" i="85"/>
  <c r="M19" i="85"/>
  <c r="D5" i="84"/>
  <c r="L4" i="117"/>
  <c r="L8" i="117"/>
  <c r="X6" i="117"/>
  <c r="X10" i="117"/>
  <c r="R7" i="117"/>
  <c r="R11" i="117" s="1" a="1"/>
  <c r="H8" i="117"/>
  <c r="H17" i="117"/>
  <c r="N22" i="117"/>
  <c r="J12" i="3"/>
  <c r="H14" i="3"/>
  <c r="K15" i="3"/>
  <c r="N12" i="3"/>
  <c r="Q13" i="3"/>
  <c r="O15" i="3"/>
  <c r="R16" i="3"/>
  <c r="I37" i="3"/>
  <c r="I41" i="3"/>
  <c r="X14" i="4"/>
  <c r="V16" i="4"/>
  <c r="T18" i="4"/>
  <c r="AB14" i="4"/>
  <c r="Z16" i="4"/>
  <c r="AC17" i="4"/>
  <c r="X36" i="4"/>
  <c r="U6" i="5"/>
  <c r="U10" i="5"/>
  <c r="K12" i="5"/>
  <c r="M12" i="5"/>
  <c r="O11" i="7"/>
  <c r="I12" i="96"/>
  <c r="N11" i="96"/>
  <c r="K12" i="6"/>
  <c r="M12" i="6"/>
  <c r="O11" i="12"/>
  <c r="M31" i="12"/>
  <c r="I6" i="66"/>
  <c r="I10" i="66"/>
  <c r="O8" i="64"/>
  <c r="Q7" i="64"/>
  <c r="U9" i="64"/>
  <c r="W7" i="68"/>
  <c r="W9" i="68"/>
  <c r="AA7" i="68"/>
  <c r="AA9" i="68"/>
  <c r="AV6" i="68"/>
  <c r="AV8" i="68"/>
  <c r="AB12" i="68"/>
  <c r="AB14" i="68"/>
  <c r="BB13" i="68"/>
  <c r="X18" i="68"/>
  <c r="X20" i="68"/>
  <c r="AB18" i="68"/>
  <c r="AB20" i="68"/>
  <c r="AF23" i="68"/>
  <c r="AA25" i="68"/>
  <c r="AA27" i="68"/>
  <c r="AC30" i="68"/>
  <c r="AC32" i="68"/>
  <c r="AF38" i="68"/>
  <c r="Q7" i="69"/>
  <c r="P10" i="69"/>
  <c r="R12" i="69"/>
  <c r="T13" i="13"/>
  <c r="J12" i="38"/>
  <c r="R32" i="15"/>
  <c r="T32" i="15"/>
  <c r="V34" i="15"/>
  <c r="O4" i="21"/>
  <c r="S6" i="21"/>
  <c r="T9" i="21"/>
  <c r="N14" i="21"/>
  <c r="P16" i="21"/>
  <c r="R16" i="21"/>
  <c r="S20" i="21"/>
  <c r="T24" i="21"/>
  <c r="S29" i="21"/>
  <c r="F4" i="29"/>
  <c r="J4" i="29"/>
  <c r="K7" i="29"/>
  <c r="K11" i="29"/>
  <c r="Q4" i="29"/>
  <c r="O7" i="29"/>
  <c r="O10" i="29"/>
  <c r="Q12" i="29"/>
  <c r="J29" i="29"/>
  <c r="K32" i="29"/>
  <c r="AN11" i="14"/>
  <c r="AA15" i="14"/>
  <c r="AA25" i="14"/>
  <c r="AA36" i="14"/>
  <c r="F20" i="14"/>
  <c r="H22" i="14"/>
  <c r="G40" i="14"/>
  <c r="G38" i="14"/>
  <c r="G36" i="14"/>
  <c r="G34" i="14"/>
  <c r="I41" i="14"/>
  <c r="I39" i="14"/>
  <c r="I37" i="14"/>
  <c r="I35" i="14"/>
  <c r="I33" i="14"/>
  <c r="G35" i="14"/>
  <c r="F38" i="14"/>
  <c r="I40" i="14"/>
  <c r="J51" i="14"/>
  <c r="I5" i="31"/>
  <c r="I8" i="31"/>
  <c r="F12" i="31"/>
  <c r="F50" i="31"/>
  <c r="I52" i="31"/>
  <c r="G56" i="31"/>
  <c r="F4" i="30"/>
  <c r="G7" i="30"/>
  <c r="I10" i="30"/>
  <c r="K5" i="32"/>
  <c r="F22" i="17"/>
  <c r="H12" i="34"/>
  <c r="I38" i="34"/>
  <c r="R5" i="35"/>
  <c r="S14" i="35"/>
  <c r="T29" i="35"/>
  <c r="L5" i="97"/>
  <c r="K5" i="97"/>
  <c r="I5" i="97"/>
  <c r="G5" i="97"/>
  <c r="R6" i="97"/>
  <c r="G11" i="97"/>
  <c r="J17" i="97"/>
  <c r="I17" i="97"/>
  <c r="H17" i="97"/>
  <c r="G17" i="97"/>
  <c r="R26" i="97"/>
  <c r="R25" i="97"/>
  <c r="H23" i="2"/>
  <c r="AD31" i="68"/>
  <c r="S11" i="21"/>
  <c r="H27" i="14"/>
  <c r="H25" i="14"/>
  <c r="H23" i="14"/>
  <c r="H21" i="14"/>
  <c r="H19" i="14"/>
  <c r="F27" i="14"/>
  <c r="F25" i="14"/>
  <c r="F23" i="14"/>
  <c r="F21" i="14"/>
  <c r="F19" i="14"/>
  <c r="I26" i="14"/>
  <c r="P6" i="2"/>
  <c r="L11" i="2"/>
  <c r="H15" i="2"/>
  <c r="I20" i="2"/>
  <c r="J23" i="2"/>
  <c r="H25" i="2"/>
  <c r="I12" i="3"/>
  <c r="L13" i="3"/>
  <c r="J15" i="3"/>
  <c r="H4" i="2"/>
  <c r="K5" i="2"/>
  <c r="I7" i="2"/>
  <c r="L8" i="2"/>
  <c r="O5" i="2"/>
  <c r="R6" i="2"/>
  <c r="P8" i="2"/>
  <c r="I12" i="2"/>
  <c r="L13" i="2"/>
  <c r="J15" i="2"/>
  <c r="K20" i="2"/>
  <c r="I22" i="2"/>
  <c r="L23" i="2"/>
  <c r="J25" i="2"/>
  <c r="D8" i="95"/>
  <c r="J5" i="85"/>
  <c r="Z12" i="85"/>
  <c r="E5" i="84"/>
  <c r="K5" i="117"/>
  <c r="Y6" i="117"/>
  <c r="Y10" i="117"/>
  <c r="S7" i="117"/>
  <c r="K12" i="3"/>
  <c r="I14" i="3"/>
  <c r="L15" i="3"/>
  <c r="O12" i="3"/>
  <c r="R13" i="3"/>
  <c r="P15" i="3"/>
  <c r="H38" i="3"/>
  <c r="T15" i="4"/>
  <c r="W16" i="4"/>
  <c r="U18" i="4"/>
  <c r="AC14" i="4"/>
  <c r="AA16" i="4"/>
  <c r="AD17" i="4"/>
  <c r="W33" i="4"/>
  <c r="W37" i="4"/>
  <c r="V6" i="5"/>
  <c r="V10" i="5"/>
  <c r="I13" i="5"/>
  <c r="N12" i="5"/>
  <c r="K12" i="7"/>
  <c r="M12" i="7"/>
  <c r="J12" i="96"/>
  <c r="O11" i="96"/>
  <c r="I13" i="6"/>
  <c r="N12" i="6"/>
  <c r="K12" i="12"/>
  <c r="M12" i="12"/>
  <c r="L28" i="12"/>
  <c r="L32" i="12"/>
  <c r="J6" i="66"/>
  <c r="J10" i="66"/>
  <c r="N9" i="64"/>
  <c r="R7" i="64"/>
  <c r="T6" i="64"/>
  <c r="T10" i="64"/>
  <c r="X7" i="68"/>
  <c r="X9" i="68"/>
  <c r="AB7" i="68"/>
  <c r="AB9" i="68"/>
  <c r="AS7" i="68"/>
  <c r="AS9" i="68"/>
  <c r="AC12" i="68"/>
  <c r="AC14" i="68"/>
  <c r="BC13" i="68"/>
  <c r="Y18" i="68"/>
  <c r="Y20" i="68"/>
  <c r="AC18" i="68"/>
  <c r="AC20" i="68"/>
  <c r="AF24" i="68"/>
  <c r="AB25" i="68"/>
  <c r="AB27" i="68"/>
  <c r="AD30" i="68"/>
  <c r="AD32" i="68"/>
  <c r="P5" i="69"/>
  <c r="R7" i="69"/>
  <c r="Q10" i="69"/>
  <c r="U13" i="13"/>
  <c r="H13" i="38"/>
  <c r="P33" i="15"/>
  <c r="U32" i="15"/>
  <c r="P4" i="21"/>
  <c r="R10" i="21"/>
  <c r="O14" i="21"/>
  <c r="S16" i="21"/>
  <c r="R25" i="21"/>
  <c r="R30" i="21"/>
  <c r="G4" i="29"/>
  <c r="K4" i="29"/>
  <c r="J8" i="29"/>
  <c r="L11" i="29"/>
  <c r="N5" i="29"/>
  <c r="Q7" i="29"/>
  <c r="F8" i="29"/>
  <c r="G7" i="29"/>
  <c r="J34" i="29"/>
  <c r="K31" i="29"/>
  <c r="L28" i="29"/>
  <c r="J26" i="29"/>
  <c r="K33" i="29"/>
  <c r="L30" i="29"/>
  <c r="J28" i="29"/>
  <c r="K29" i="29"/>
  <c r="L32" i="29"/>
  <c r="AN13" i="14"/>
  <c r="AA16" i="14"/>
  <c r="AA26" i="14"/>
  <c r="AA38" i="14"/>
  <c r="G20" i="14"/>
  <c r="I22" i="14"/>
  <c r="I25" i="14"/>
  <c r="F33" i="14"/>
  <c r="H35" i="14"/>
  <c r="H38" i="14"/>
  <c r="F41" i="14"/>
  <c r="K51" i="14"/>
  <c r="F6" i="31"/>
  <c r="H9" i="31"/>
  <c r="G12" i="31"/>
  <c r="G50" i="31"/>
  <c r="G53" i="31"/>
  <c r="H56" i="31"/>
  <c r="I4" i="30"/>
  <c r="H7" i="30"/>
  <c r="F11" i="30"/>
  <c r="F23" i="17"/>
  <c r="O22" i="34"/>
  <c r="P24" i="34"/>
  <c r="N22" i="34"/>
  <c r="N24" i="34"/>
  <c r="O23" i="34"/>
  <c r="R6" i="35"/>
  <c r="T10" i="35"/>
  <c r="S10" i="35"/>
  <c r="T9" i="35"/>
  <c r="T11" i="35"/>
  <c r="R9" i="35"/>
  <c r="R15" i="35"/>
  <c r="R30" i="35"/>
  <c r="I11" i="97"/>
  <c r="P5" i="2"/>
  <c r="N7" i="2"/>
  <c r="Q8" i="2"/>
  <c r="H14" i="2"/>
  <c r="H24" i="2"/>
  <c r="I6" i="85"/>
  <c r="L12" i="3"/>
  <c r="J14" i="3"/>
  <c r="H16" i="3"/>
  <c r="P12" i="3"/>
  <c r="N14" i="3"/>
  <c r="Q15" i="3"/>
  <c r="AD14" i="4"/>
  <c r="AB16" i="4"/>
  <c r="Z18" i="4"/>
  <c r="U7" i="5"/>
  <c r="J13" i="5"/>
  <c r="O12" i="5"/>
  <c r="N12" i="7"/>
  <c r="K12" i="96"/>
  <c r="J13" i="6"/>
  <c r="O12" i="6"/>
  <c r="N12" i="12"/>
  <c r="I7" i="66"/>
  <c r="O9" i="64"/>
  <c r="Q8" i="64"/>
  <c r="Y7" i="68"/>
  <c r="Y9" i="68"/>
  <c r="AT7" i="68"/>
  <c r="AT9" i="68"/>
  <c r="BD13" i="68"/>
  <c r="V19" i="68"/>
  <c r="V21" i="68"/>
  <c r="AA31" i="68"/>
  <c r="AA33" i="68"/>
  <c r="I13" i="38"/>
  <c r="Q33" i="15"/>
  <c r="V32" i="15"/>
  <c r="S10" i="21"/>
  <c r="P14" i="21"/>
  <c r="S25" i="21"/>
  <c r="L4" i="29"/>
  <c r="L8" i="29"/>
  <c r="N12" i="29"/>
  <c r="N10" i="29"/>
  <c r="N8" i="29"/>
  <c r="N6" i="29"/>
  <c r="N4" i="29"/>
  <c r="P11" i="29"/>
  <c r="P9" i="29"/>
  <c r="P7" i="29"/>
  <c r="P5" i="29"/>
  <c r="P3" i="29"/>
  <c r="O5" i="29"/>
  <c r="O8" i="29"/>
  <c r="Q10" i="29"/>
  <c r="AA17" i="14"/>
  <c r="AA28" i="14"/>
  <c r="AA39" i="14"/>
  <c r="H20" i="14"/>
  <c r="G23" i="14"/>
  <c r="F26" i="14"/>
  <c r="G6" i="31"/>
  <c r="I9" i="31"/>
  <c r="I12" i="31"/>
  <c r="F5" i="30"/>
  <c r="F8" i="30"/>
  <c r="G11" i="30"/>
  <c r="F25" i="17"/>
  <c r="F8" i="18"/>
  <c r="F7" i="18"/>
  <c r="N36" i="34"/>
  <c r="P35" i="34"/>
  <c r="P37" i="34"/>
  <c r="N35" i="34"/>
  <c r="N37" i="34"/>
  <c r="R16" i="35"/>
  <c r="R25" i="35"/>
  <c r="T24" i="35"/>
  <c r="T26" i="35"/>
  <c r="R24" i="35"/>
  <c r="R26" i="35"/>
  <c r="T30" i="35"/>
  <c r="K11" i="97"/>
  <c r="I9" i="87"/>
  <c r="I7" i="87"/>
  <c r="H9" i="87"/>
  <c r="H7" i="87"/>
  <c r="J8" i="87"/>
  <c r="J6" i="87"/>
  <c r="I8" i="87"/>
  <c r="I6" i="87"/>
  <c r="H8" i="87"/>
  <c r="H6" i="87"/>
  <c r="G8" i="87"/>
  <c r="G6" i="87"/>
  <c r="J9" i="87"/>
  <c r="G9" i="87"/>
  <c r="G7" i="87"/>
  <c r="K24" i="2"/>
  <c r="J13" i="3"/>
  <c r="K16" i="3"/>
  <c r="AC18" i="4"/>
  <c r="Y21" i="68"/>
  <c r="AD33" i="68"/>
  <c r="T26" i="21"/>
  <c r="AN12" i="14"/>
  <c r="AN10" i="14"/>
  <c r="G24" i="14"/>
  <c r="J12" i="2"/>
  <c r="K15" i="2"/>
  <c r="L20" i="2"/>
  <c r="J22" i="2"/>
  <c r="K25" i="2"/>
  <c r="R8" i="117"/>
  <c r="J4" i="2"/>
  <c r="H6" i="2"/>
  <c r="N4" i="2"/>
  <c r="Q5" i="2"/>
  <c r="O7" i="2"/>
  <c r="H11" i="2"/>
  <c r="K12" i="2"/>
  <c r="I14" i="2"/>
  <c r="H21" i="2"/>
  <c r="K22" i="2"/>
  <c r="I24" i="2"/>
  <c r="L25" i="2"/>
  <c r="H13" i="3"/>
  <c r="K14" i="3"/>
  <c r="I16" i="3"/>
  <c r="Q12" i="3"/>
  <c r="O14" i="3"/>
  <c r="R15" i="3"/>
  <c r="V15" i="4"/>
  <c r="T17" i="4"/>
  <c r="Z15" i="4"/>
  <c r="AC16" i="4"/>
  <c r="AA18" i="4"/>
  <c r="I11" i="5"/>
  <c r="M13" i="5"/>
  <c r="O12" i="7"/>
  <c r="I13" i="96"/>
  <c r="I11" i="6"/>
  <c r="M13" i="6"/>
  <c r="O12" i="12"/>
  <c r="N6" i="64"/>
  <c r="R8" i="64"/>
  <c r="V6" i="68"/>
  <c r="AD7" i="68"/>
  <c r="AU7" i="68"/>
  <c r="AU9" i="68"/>
  <c r="AA13" i="68"/>
  <c r="W19" i="68"/>
  <c r="W21" i="68"/>
  <c r="AA19" i="68"/>
  <c r="AD25" i="68"/>
  <c r="AB31" i="68"/>
  <c r="AB33" i="68"/>
  <c r="R5" i="69"/>
  <c r="Q8" i="69"/>
  <c r="J13" i="38"/>
  <c r="R33" i="15"/>
  <c r="T10" i="21"/>
  <c r="T25" i="21"/>
  <c r="R31" i="21"/>
  <c r="F5" i="29"/>
  <c r="K5" i="29"/>
  <c r="J9" i="29"/>
  <c r="N3" i="29"/>
  <c r="Q5" i="29"/>
  <c r="P8" i="29"/>
  <c r="N11" i="29"/>
  <c r="H7" i="29"/>
  <c r="L26" i="29"/>
  <c r="J30" i="29"/>
  <c r="L33" i="29"/>
  <c r="AN15" i="14"/>
  <c r="AA18" i="14"/>
  <c r="AA30" i="14"/>
  <c r="I20" i="14"/>
  <c r="I23" i="14"/>
  <c r="G26" i="14"/>
  <c r="H33" i="14"/>
  <c r="H36" i="14"/>
  <c r="F39" i="14"/>
  <c r="H41" i="14"/>
  <c r="I6" i="31"/>
  <c r="F10" i="31"/>
  <c r="H13" i="31"/>
  <c r="I50" i="31"/>
  <c r="G54" i="31"/>
  <c r="G57" i="31"/>
  <c r="G5" i="30"/>
  <c r="I8" i="30"/>
  <c r="F9" i="18"/>
  <c r="F22" i="18"/>
  <c r="N23" i="34"/>
  <c r="O35" i="34"/>
  <c r="AI5" i="35"/>
  <c r="AK4" i="35"/>
  <c r="AK6" i="35"/>
  <c r="AI4" i="35"/>
  <c r="AI6" i="35"/>
  <c r="R10" i="35"/>
  <c r="S16" i="35"/>
  <c r="S24" i="35"/>
  <c r="S31" i="35"/>
  <c r="O6" i="97"/>
  <c r="O5" i="97"/>
  <c r="J7" i="87"/>
  <c r="I21" i="2"/>
  <c r="L22" i="2"/>
  <c r="I13" i="3"/>
  <c r="L14" i="3"/>
  <c r="R12" i="3"/>
  <c r="P14" i="3"/>
  <c r="AA15" i="4"/>
  <c r="AD16" i="4"/>
  <c r="AV7" i="68"/>
  <c r="X19" i="68"/>
  <c r="AC31" i="68"/>
  <c r="S26" i="21"/>
  <c r="J6" i="29"/>
  <c r="K9" i="29"/>
  <c r="AA37" i="14"/>
  <c r="AA29" i="14"/>
  <c r="AA21" i="14"/>
  <c r="AA13" i="14"/>
  <c r="AA35" i="14"/>
  <c r="AA27" i="14"/>
  <c r="AA19" i="14"/>
  <c r="AA11" i="14"/>
  <c r="AA20" i="14"/>
  <c r="AA31" i="14"/>
  <c r="AA41" i="14"/>
  <c r="G21" i="14"/>
  <c r="F24" i="14"/>
  <c r="H26" i="14"/>
  <c r="K52" i="14"/>
  <c r="I50" i="14"/>
  <c r="I52" i="14"/>
  <c r="H10" i="30"/>
  <c r="H8" i="30"/>
  <c r="H6" i="30"/>
  <c r="H4" i="30"/>
  <c r="G10" i="30"/>
  <c r="G8" i="30"/>
  <c r="G6" i="30"/>
  <c r="G4" i="30"/>
  <c r="I11" i="30"/>
  <c r="I9" i="30"/>
  <c r="I7" i="30"/>
  <c r="I5" i="30"/>
  <c r="I3" i="30"/>
  <c r="H5" i="30"/>
  <c r="F9" i="30"/>
  <c r="J4" i="32"/>
  <c r="K6" i="32"/>
  <c r="I4" i="32"/>
  <c r="I6" i="32"/>
  <c r="J7" i="33"/>
  <c r="J5" i="33"/>
  <c r="F10" i="17"/>
  <c r="F9" i="17"/>
  <c r="F7" i="17"/>
  <c r="J52" i="40"/>
  <c r="J50" i="40"/>
  <c r="J48" i="40"/>
  <c r="J46" i="40"/>
  <c r="J44" i="40"/>
  <c r="I52" i="40"/>
  <c r="I50" i="40"/>
  <c r="I48" i="40"/>
  <c r="I46" i="40"/>
  <c r="I44" i="40"/>
  <c r="K51" i="40"/>
  <c r="K49" i="40"/>
  <c r="K47" i="40"/>
  <c r="K45" i="40"/>
  <c r="J51" i="40"/>
  <c r="J49" i="40"/>
  <c r="J47" i="40"/>
  <c r="J45" i="40"/>
  <c r="I51" i="40"/>
  <c r="I49" i="40"/>
  <c r="I47" i="40"/>
  <c r="I45" i="40"/>
  <c r="K52" i="40"/>
  <c r="L46" i="40"/>
  <c r="L51" i="40"/>
  <c r="K46" i="40"/>
  <c r="L50" i="40"/>
  <c r="L45" i="40"/>
  <c r="K50" i="40"/>
  <c r="L44" i="40"/>
  <c r="L49" i="40"/>
  <c r="K44" i="40"/>
  <c r="K48" i="40"/>
  <c r="P21" i="88"/>
  <c r="R19" i="88"/>
  <c r="O18" i="88"/>
  <c r="Q16" i="88"/>
  <c r="R20" i="88"/>
  <c r="O19" i="88"/>
  <c r="Q17" i="88"/>
  <c r="N16" i="88"/>
  <c r="R21" i="88"/>
  <c r="O20" i="88"/>
  <c r="Q18" i="88"/>
  <c r="N17" i="88"/>
  <c r="Q20" i="88"/>
  <c r="N18" i="88"/>
  <c r="P20" i="88"/>
  <c r="R17" i="88"/>
  <c r="Q19" i="88"/>
  <c r="O17" i="88"/>
  <c r="P19" i="88"/>
  <c r="R16" i="88"/>
  <c r="Q21" i="88"/>
  <c r="N19" i="88"/>
  <c r="P16" i="88"/>
  <c r="O21" i="88"/>
  <c r="R18" i="88"/>
  <c r="O16" i="88"/>
  <c r="AS61" i="90"/>
  <c r="AR61" i="90"/>
  <c r="AQ61" i="90"/>
  <c r="G6" i="102"/>
  <c r="G8" i="102"/>
  <c r="AC5" i="37"/>
  <c r="AJ4" i="39"/>
  <c r="AI5" i="39"/>
  <c r="AQ5" i="39"/>
  <c r="AP6" i="39"/>
  <c r="AO7" i="39"/>
  <c r="AN8" i="39"/>
  <c r="AM9" i="39"/>
  <c r="AL10" i="39"/>
  <c r="AK11" i="39"/>
  <c r="AJ12" i="39"/>
  <c r="T18" i="39"/>
  <c r="S19" i="39"/>
  <c r="R20" i="39"/>
  <c r="Q21" i="39"/>
  <c r="P22" i="39"/>
  <c r="O23" i="39"/>
  <c r="N24" i="39"/>
  <c r="M25" i="39"/>
  <c r="U25" i="39"/>
  <c r="T26" i="39"/>
  <c r="T27" i="39"/>
  <c r="DU13" i="40"/>
  <c r="P17" i="88"/>
  <c r="G15" i="29"/>
  <c r="L16" i="29"/>
  <c r="K19" i="29"/>
  <c r="J22" i="29"/>
  <c r="L24" i="29"/>
  <c r="I6" i="14"/>
  <c r="I8" i="14"/>
  <c r="I10" i="14"/>
  <c r="I12" i="14"/>
  <c r="J87" i="14"/>
  <c r="G27" i="31"/>
  <c r="G29" i="31"/>
  <c r="G31" i="31"/>
  <c r="G33" i="31"/>
  <c r="O10" i="34"/>
  <c r="O5" i="35"/>
  <c r="O15" i="35"/>
  <c r="AA6" i="97"/>
  <c r="X5" i="97"/>
  <c r="L7" i="97"/>
  <c r="R13" i="97"/>
  <c r="R17" i="97"/>
  <c r="L19" i="97"/>
  <c r="R33" i="97"/>
  <c r="F9" i="104"/>
  <c r="F17" i="104"/>
  <c r="J8" i="104"/>
  <c r="J16" i="104"/>
  <c r="E5" i="102"/>
  <c r="E7" i="102"/>
  <c r="E9" i="102"/>
  <c r="AC7" i="37"/>
  <c r="R4" i="39"/>
  <c r="Q5" i="39"/>
  <c r="P6" i="39"/>
  <c r="O7" i="39"/>
  <c r="N8" i="39"/>
  <c r="M9" i="39"/>
  <c r="U9" i="39"/>
  <c r="T10" i="39"/>
  <c r="S11" i="39"/>
  <c r="R12" i="39"/>
  <c r="AL4" i="39"/>
  <c r="AK5" i="39"/>
  <c r="AJ6" i="39"/>
  <c r="AI7" i="39"/>
  <c r="AQ7" i="39"/>
  <c r="AP8" i="39"/>
  <c r="AO9" i="39"/>
  <c r="AN10" i="39"/>
  <c r="AM11" i="39"/>
  <c r="AL12" i="39"/>
  <c r="N18" i="39"/>
  <c r="M19" i="39"/>
  <c r="U19" i="39"/>
  <c r="T20" i="39"/>
  <c r="S21" i="39"/>
  <c r="R22" i="39"/>
  <c r="Q23" i="39"/>
  <c r="P24" i="39"/>
  <c r="O25" i="39"/>
  <c r="N26" i="39"/>
  <c r="M27" i="39"/>
  <c r="AQ27" i="39"/>
  <c r="AI27" i="39"/>
  <c r="AJ26" i="39"/>
  <c r="AK25" i="39"/>
  <c r="AL24" i="39"/>
  <c r="AM23" i="39"/>
  <c r="AN22" i="39"/>
  <c r="AO21" i="39"/>
  <c r="AP20" i="39"/>
  <c r="AQ19" i="39"/>
  <c r="AI19" i="39"/>
  <c r="AJ18" i="39"/>
  <c r="AQ18" i="39"/>
  <c r="AI20" i="39"/>
  <c r="AI21" i="39"/>
  <c r="AI22" i="39"/>
  <c r="AI23" i="39"/>
  <c r="AI24" i="39"/>
  <c r="AI25" i="39"/>
  <c r="AI26" i="39"/>
  <c r="AJ27" i="39"/>
  <c r="H13" i="74"/>
  <c r="H5" i="74"/>
  <c r="H12" i="74"/>
  <c r="H4" i="74"/>
  <c r="H18" i="74"/>
  <c r="H10" i="74"/>
  <c r="H17" i="74"/>
  <c r="H9" i="74"/>
  <c r="H16" i="74"/>
  <c r="H8" i="74"/>
  <c r="H15" i="74"/>
  <c r="H7" i="74"/>
  <c r="I13" i="109"/>
  <c r="I5" i="109"/>
  <c r="I12" i="109"/>
  <c r="I4" i="109"/>
  <c r="I18" i="109"/>
  <c r="I10" i="109"/>
  <c r="I17" i="109"/>
  <c r="I9" i="109"/>
  <c r="I16" i="109"/>
  <c r="I8" i="109"/>
  <c r="I15" i="109"/>
  <c r="I7" i="109"/>
  <c r="N20" i="88"/>
  <c r="AM4" i="39"/>
  <c r="AL5" i="39"/>
  <c r="AK6" i="39"/>
  <c r="AJ7" i="39"/>
  <c r="AI8" i="39"/>
  <c r="AQ8" i="39"/>
  <c r="AP9" i="39"/>
  <c r="AO10" i="39"/>
  <c r="AN11" i="39"/>
  <c r="AM12" i="39"/>
  <c r="DS15" i="40"/>
  <c r="DS13" i="40"/>
  <c r="DR15" i="40"/>
  <c r="DR13" i="40"/>
  <c r="DT14" i="40"/>
  <c r="DT12" i="40"/>
  <c r="DU14" i="40"/>
  <c r="N21" i="88"/>
  <c r="AD8" i="90"/>
  <c r="AE5" i="90"/>
  <c r="AE7" i="90"/>
  <c r="AF4" i="90"/>
  <c r="AF9" i="90"/>
  <c r="AD7" i="90"/>
  <c r="AE4" i="90"/>
  <c r="AE9" i="90"/>
  <c r="AF6" i="90"/>
  <c r="AD4" i="90"/>
  <c r="AF8" i="90"/>
  <c r="AD6" i="90"/>
  <c r="AF5" i="90"/>
  <c r="AD5" i="90"/>
  <c r="AD9" i="90"/>
  <c r="AE8" i="90"/>
  <c r="AF7" i="90"/>
  <c r="AB15" i="93"/>
  <c r="AC14" i="93"/>
  <c r="AB14" i="93"/>
  <c r="AC13" i="93"/>
  <c r="AB13" i="93"/>
  <c r="AC12" i="93"/>
  <c r="AB12" i="93"/>
  <c r="AC15" i="93"/>
  <c r="K17" i="29"/>
  <c r="J20" i="29"/>
  <c r="G5" i="14"/>
  <c r="G7" i="14"/>
  <c r="G9" i="14"/>
  <c r="G11" i="14"/>
  <c r="I88" i="14"/>
  <c r="I27" i="31"/>
  <c r="I29" i="31"/>
  <c r="I31" i="31"/>
  <c r="N11" i="34"/>
  <c r="N6" i="35"/>
  <c r="N16" i="35"/>
  <c r="AA7" i="97"/>
  <c r="N13" i="97"/>
  <c r="Q29" i="97"/>
  <c r="F11" i="104"/>
  <c r="J10" i="104"/>
  <c r="J18" i="104"/>
  <c r="G5" i="102"/>
  <c r="G7" i="102"/>
  <c r="G9" i="102"/>
  <c r="T4" i="39"/>
  <c r="S5" i="39"/>
  <c r="R6" i="39"/>
  <c r="Q7" i="39"/>
  <c r="P8" i="39"/>
  <c r="O9" i="39"/>
  <c r="N10" i="39"/>
  <c r="M11" i="39"/>
  <c r="U11" i="39"/>
  <c r="T12" i="39"/>
  <c r="AN4" i="39"/>
  <c r="AM5" i="39"/>
  <c r="AL6" i="39"/>
  <c r="AK7" i="39"/>
  <c r="AJ8" i="39"/>
  <c r="AI9" i="39"/>
  <c r="AQ9" i="39"/>
  <c r="AP10" i="39"/>
  <c r="AO11" i="39"/>
  <c r="AN12" i="39"/>
  <c r="P18" i="39"/>
  <c r="O19" i="39"/>
  <c r="N20" i="39"/>
  <c r="M21" i="39"/>
  <c r="U21" i="39"/>
  <c r="T22" i="39"/>
  <c r="S23" i="39"/>
  <c r="R24" i="39"/>
  <c r="Q25" i="39"/>
  <c r="P26" i="39"/>
  <c r="O27" i="39"/>
  <c r="AK18" i="39"/>
  <c r="AK19" i="39"/>
  <c r="AK20" i="39"/>
  <c r="AK21" i="39"/>
  <c r="AK22" i="39"/>
  <c r="AK23" i="39"/>
  <c r="AK24" i="39"/>
  <c r="AL25" i="39"/>
  <c r="AL26" i="39"/>
  <c r="AL27" i="39"/>
  <c r="DR12" i="40"/>
  <c r="DT15" i="40"/>
  <c r="H11" i="74"/>
  <c r="I11" i="109"/>
  <c r="I21" i="87"/>
  <c r="I19" i="87"/>
  <c r="H21" i="87"/>
  <c r="H19" i="87"/>
  <c r="J20" i="87"/>
  <c r="J18" i="87"/>
  <c r="I20" i="87"/>
  <c r="I18" i="87"/>
  <c r="H20" i="87"/>
  <c r="H18" i="87"/>
  <c r="G20" i="87"/>
  <c r="G18" i="87"/>
  <c r="AE6" i="90"/>
  <c r="Z4" i="97"/>
  <c r="J11" i="104"/>
  <c r="D6" i="102"/>
  <c r="S6" i="39"/>
  <c r="R7" i="39"/>
  <c r="Q8" i="39"/>
  <c r="P9" i="39"/>
  <c r="O10" i="39"/>
  <c r="N11" i="39"/>
  <c r="M12" i="39"/>
  <c r="AO4" i="39"/>
  <c r="AN5" i="39"/>
  <c r="AM6" i="39"/>
  <c r="AL7" i="39"/>
  <c r="AK8" i="39"/>
  <c r="AJ9" i="39"/>
  <c r="AI10" i="39"/>
  <c r="AQ10" i="39"/>
  <c r="AP11" i="39"/>
  <c r="AO12" i="39"/>
  <c r="Q18" i="39"/>
  <c r="P19" i="39"/>
  <c r="O20" i="39"/>
  <c r="N21" i="39"/>
  <c r="M22" i="39"/>
  <c r="U22" i="39"/>
  <c r="T23" i="39"/>
  <c r="S24" i="39"/>
  <c r="R25" i="39"/>
  <c r="Q26" i="39"/>
  <c r="Q27" i="39"/>
  <c r="AM27" i="39"/>
  <c r="DS12" i="40"/>
  <c r="DU15" i="40"/>
  <c r="L18" i="112"/>
  <c r="L10" i="112"/>
  <c r="L17" i="112"/>
  <c r="L9" i="112"/>
  <c r="L15" i="112"/>
  <c r="L7" i="112"/>
  <c r="L14" i="112"/>
  <c r="L6" i="112"/>
  <c r="L13" i="112"/>
  <c r="L5" i="112"/>
  <c r="L12" i="112"/>
  <c r="L4" i="112"/>
  <c r="J12" i="89"/>
  <c r="J9" i="89"/>
  <c r="J8" i="89"/>
  <c r="J11" i="89"/>
  <c r="J10" i="89"/>
  <c r="M185" i="51" a="1"/>
  <c r="M167" i="51" a="1"/>
  <c r="M179" i="51" a="1"/>
  <c r="AP4" i="39"/>
  <c r="AO5" i="39"/>
  <c r="AN6" i="39"/>
  <c r="AM7" i="39"/>
  <c r="AL8" i="39"/>
  <c r="AK9" i="39"/>
  <c r="AJ10" i="39"/>
  <c r="AI11" i="39"/>
  <c r="AQ11" i="39"/>
  <c r="DU12" i="40"/>
  <c r="W13" i="75"/>
  <c r="W5" i="75"/>
  <c r="W12" i="75"/>
  <c r="W4" i="75"/>
  <c r="W18" i="75"/>
  <c r="W10" i="75"/>
  <c r="W17" i="75"/>
  <c r="W9" i="75"/>
  <c r="W16" i="75"/>
  <c r="W8" i="75"/>
  <c r="W15" i="75"/>
  <c r="W7" i="75"/>
  <c r="H31" i="74"/>
  <c r="H23" i="74"/>
  <c r="H30" i="74"/>
  <c r="H22" i="74"/>
  <c r="H36" i="74"/>
  <c r="H28" i="74"/>
  <c r="H35" i="74"/>
  <c r="H27" i="74"/>
  <c r="H34" i="74"/>
  <c r="H26" i="74"/>
  <c r="H33" i="74"/>
  <c r="H25" i="74"/>
  <c r="I19" i="41"/>
  <c r="H20" i="41"/>
  <c r="G21" i="41"/>
  <c r="F22" i="41"/>
  <c r="E23" i="41"/>
  <c r="D24" i="41"/>
  <c r="C25" i="41"/>
  <c r="B26" i="41"/>
  <c r="J26" i="41"/>
  <c r="I27" i="41"/>
  <c r="J11" i="113"/>
  <c r="S4" i="82"/>
  <c r="S6" i="82"/>
  <c r="N4" i="81"/>
  <c r="N6" i="81"/>
  <c r="G11" i="86"/>
  <c r="J13" i="87"/>
  <c r="J15" i="87"/>
  <c r="W8" i="88"/>
  <c r="U10" i="88"/>
  <c r="X11" i="88"/>
  <c r="V13" i="88"/>
  <c r="Y14" i="88"/>
  <c r="W16" i="88"/>
  <c r="U18" i="88"/>
  <c r="X19" i="88"/>
  <c r="V21" i="88"/>
  <c r="Y22" i="88"/>
  <c r="W24" i="88"/>
  <c r="U26" i="88"/>
  <c r="X27" i="88"/>
  <c r="V29" i="88"/>
  <c r="Y30" i="88"/>
  <c r="W32" i="88"/>
  <c r="U34" i="88"/>
  <c r="X35" i="88"/>
  <c r="V37" i="88"/>
  <c r="Y38" i="88"/>
  <c r="J17" i="88"/>
  <c r="T7" i="89"/>
  <c r="V9" i="89"/>
  <c r="Q12" i="89"/>
  <c r="R19" i="89"/>
  <c r="S22" i="89"/>
  <c r="I18" i="40"/>
  <c r="H19" i="40"/>
  <c r="G20" i="40"/>
  <c r="F21" i="40"/>
  <c r="E22" i="40"/>
  <c r="D23" i="40"/>
  <c r="C24" i="40"/>
  <c r="B25" i="40"/>
  <c r="J25" i="40"/>
  <c r="I26" i="40"/>
  <c r="H27" i="40"/>
  <c r="EA27" i="40"/>
  <c r="EA29" i="40"/>
  <c r="H67" i="40"/>
  <c r="H68" i="40"/>
  <c r="H69" i="40"/>
  <c r="H70" i="40"/>
  <c r="H71" i="40"/>
  <c r="H72" i="40"/>
  <c r="H73" i="40"/>
  <c r="H74" i="40"/>
  <c r="H75" i="40"/>
  <c r="B19" i="41"/>
  <c r="J19" i="41"/>
  <c r="I20" i="41"/>
  <c r="H21" i="41"/>
  <c r="G22" i="41"/>
  <c r="F23" i="41"/>
  <c r="E24" i="41"/>
  <c r="D25" i="41"/>
  <c r="C26" i="41"/>
  <c r="B27" i="41"/>
  <c r="J27" i="41"/>
  <c r="L26" i="44"/>
  <c r="H6" i="77"/>
  <c r="G7" i="110"/>
  <c r="G15" i="110"/>
  <c r="J4" i="113"/>
  <c r="J12" i="113"/>
  <c r="J11" i="114"/>
  <c r="K10" i="115"/>
  <c r="K18" i="115"/>
  <c r="L4" i="82"/>
  <c r="L6" i="82"/>
  <c r="P3" i="82"/>
  <c r="P5" i="82"/>
  <c r="P7" i="82"/>
  <c r="S10" i="82"/>
  <c r="S12" i="82"/>
  <c r="S14" i="82"/>
  <c r="K3" i="81"/>
  <c r="K5" i="81"/>
  <c r="K7" i="81"/>
  <c r="N4" i="80"/>
  <c r="N6" i="80"/>
  <c r="N8" i="80"/>
  <c r="M15" i="80"/>
  <c r="M17" i="80"/>
  <c r="F9" i="86"/>
  <c r="H11" i="86"/>
  <c r="G12" i="87"/>
  <c r="G14" i="87"/>
  <c r="J25" i="87"/>
  <c r="J27" i="87"/>
  <c r="I31" i="87"/>
  <c r="I33" i="87"/>
  <c r="S7" i="88"/>
  <c r="O9" i="88"/>
  <c r="Q10" i="88"/>
  <c r="S11" i="88"/>
  <c r="U7" i="88"/>
  <c r="X8" i="88"/>
  <c r="V10" i="88"/>
  <c r="Y11" i="88"/>
  <c r="W13" i="88"/>
  <c r="U15" i="88"/>
  <c r="X16" i="88"/>
  <c r="V18" i="88"/>
  <c r="Y19" i="88"/>
  <c r="W21" i="88"/>
  <c r="U23" i="88"/>
  <c r="X24" i="88"/>
  <c r="V26" i="88"/>
  <c r="Y27" i="88"/>
  <c r="W29" i="88"/>
  <c r="U31" i="88"/>
  <c r="X32" i="88"/>
  <c r="V34" i="88"/>
  <c r="Y35" i="88"/>
  <c r="W37" i="88"/>
  <c r="U39" i="88"/>
  <c r="S19" i="89"/>
  <c r="S8" i="92"/>
  <c r="S7" i="92"/>
  <c r="S6" i="92"/>
  <c r="EB27" i="40"/>
  <c r="EB29" i="40"/>
  <c r="C19" i="41"/>
  <c r="B20" i="41"/>
  <c r="J20" i="41"/>
  <c r="I21" i="41"/>
  <c r="H22" i="41"/>
  <c r="G23" i="41"/>
  <c r="F24" i="41"/>
  <c r="E25" i="41"/>
  <c r="D26" i="41"/>
  <c r="C27" i="41"/>
  <c r="L27" i="44"/>
  <c r="J5" i="113"/>
  <c r="J13" i="113"/>
  <c r="K11" i="115"/>
  <c r="Q3" i="82"/>
  <c r="Q5" i="82"/>
  <c r="Q7" i="82"/>
  <c r="L3" i="81"/>
  <c r="L5" i="81"/>
  <c r="L7" i="81"/>
  <c r="N15" i="80"/>
  <c r="N17" i="80"/>
  <c r="G9" i="86"/>
  <c r="H12" i="87"/>
  <c r="H14" i="87"/>
  <c r="J31" i="87"/>
  <c r="J33" i="87"/>
  <c r="V7" i="88"/>
  <c r="Y8" i="88"/>
  <c r="W10" i="88"/>
  <c r="U12" i="88"/>
  <c r="X13" i="88"/>
  <c r="V15" i="88"/>
  <c r="Y16" i="88"/>
  <c r="W18" i="88"/>
  <c r="U20" i="88"/>
  <c r="X21" i="88"/>
  <c r="V23" i="88"/>
  <c r="Y24" i="88"/>
  <c r="W26" i="88"/>
  <c r="U28" i="88"/>
  <c r="X29" i="88"/>
  <c r="V31" i="88"/>
  <c r="Y32" i="88"/>
  <c r="W34" i="88"/>
  <c r="U36" i="88"/>
  <c r="X37" i="88"/>
  <c r="V39" i="88"/>
  <c r="G19" i="88"/>
  <c r="I17" i="88"/>
  <c r="F16" i="88"/>
  <c r="I18" i="88"/>
  <c r="F17" i="88"/>
  <c r="I19" i="88"/>
  <c r="F18" i="88"/>
  <c r="H16" i="88"/>
  <c r="H18" i="88"/>
  <c r="P23" i="89"/>
  <c r="R21" i="89"/>
  <c r="T19" i="89"/>
  <c r="Q18" i="89"/>
  <c r="R22" i="89"/>
  <c r="T20" i="89"/>
  <c r="Q19" i="89"/>
  <c r="S17" i="89"/>
  <c r="T23" i="89"/>
  <c r="Q22" i="89"/>
  <c r="S20" i="89"/>
  <c r="P19" i="89"/>
  <c r="R17" i="89"/>
  <c r="R23" i="89"/>
  <c r="T21" i="89"/>
  <c r="Q20" i="89"/>
  <c r="S18" i="89"/>
  <c r="P17" i="89"/>
  <c r="P20" i="89"/>
  <c r="Q23" i="89"/>
  <c r="Y9" i="91"/>
  <c r="Z8" i="91"/>
  <c r="Y8" i="91"/>
  <c r="Z11" i="91"/>
  <c r="Z7" i="91"/>
  <c r="Y11" i="91"/>
  <c r="Y7" i="91"/>
  <c r="Z10" i="91"/>
  <c r="Z6" i="91"/>
  <c r="Y10" i="91"/>
  <c r="Y6" i="91"/>
  <c r="W34" i="51"/>
  <c r="W33" i="51"/>
  <c r="W32" i="51"/>
  <c r="W31" i="51"/>
  <c r="W30" i="51"/>
  <c r="W29" i="51"/>
  <c r="W36" i="51"/>
  <c r="W28" i="51"/>
  <c r="C18" i="40"/>
  <c r="B19" i="40"/>
  <c r="J19" i="40"/>
  <c r="I20" i="40"/>
  <c r="H21" i="40"/>
  <c r="G22" i="40"/>
  <c r="F23" i="40"/>
  <c r="E24" i="40"/>
  <c r="D25" i="40"/>
  <c r="C26" i="40"/>
  <c r="B27" i="40"/>
  <c r="J27" i="40"/>
  <c r="DY26" i="40"/>
  <c r="DY28" i="40"/>
  <c r="EN27" i="40"/>
  <c r="EN29" i="40"/>
  <c r="B67" i="40"/>
  <c r="B68" i="40"/>
  <c r="B69" i="40"/>
  <c r="B70" i="40"/>
  <c r="B71" i="40"/>
  <c r="B72" i="40"/>
  <c r="B73" i="40"/>
  <c r="B74" i="40"/>
  <c r="B75" i="40"/>
  <c r="M8" i="41"/>
  <c r="D19" i="41"/>
  <c r="C20" i="41"/>
  <c r="B21" i="41"/>
  <c r="J21" i="41"/>
  <c r="I22" i="41"/>
  <c r="H23" i="41"/>
  <c r="G24" i="41"/>
  <c r="F25" i="41"/>
  <c r="E26" i="41"/>
  <c r="D27" i="41"/>
  <c r="L20" i="44"/>
  <c r="L28" i="44"/>
  <c r="H8" i="77"/>
  <c r="G9" i="110"/>
  <c r="G17" i="110"/>
  <c r="K8" i="111"/>
  <c r="K16" i="111"/>
  <c r="J6" i="113"/>
  <c r="J14" i="113"/>
  <c r="J5" i="114"/>
  <c r="J13" i="114"/>
  <c r="K4" i="115"/>
  <c r="K12" i="115"/>
  <c r="N4" i="82"/>
  <c r="N6" i="82"/>
  <c r="R3" i="82"/>
  <c r="R5" i="82"/>
  <c r="R7" i="82"/>
  <c r="Q11" i="82"/>
  <c r="Q13" i="82"/>
  <c r="W10" i="82"/>
  <c r="M3" i="81"/>
  <c r="M5" i="81"/>
  <c r="M7" i="81"/>
  <c r="L5" i="80"/>
  <c r="L7" i="80"/>
  <c r="K14" i="80"/>
  <c r="K16" i="80"/>
  <c r="K18" i="80"/>
  <c r="H9" i="86"/>
  <c r="AC13" i="86"/>
  <c r="I12" i="87"/>
  <c r="I14" i="87"/>
  <c r="AM15" i="87"/>
  <c r="H24" i="87"/>
  <c r="H26" i="87"/>
  <c r="G30" i="87"/>
  <c r="G32" i="87"/>
  <c r="O8" i="88"/>
  <c r="Q9" i="88"/>
  <c r="S10" i="88"/>
  <c r="O12" i="88"/>
  <c r="W7" i="88"/>
  <c r="U9" i="88"/>
  <c r="X10" i="88"/>
  <c r="V12" i="88"/>
  <c r="Y13" i="88"/>
  <c r="W15" i="88"/>
  <c r="U17" i="88"/>
  <c r="X18" i="88"/>
  <c r="V20" i="88"/>
  <c r="Y21" i="88"/>
  <c r="W23" i="88"/>
  <c r="U25" i="88"/>
  <c r="X26" i="88"/>
  <c r="V28" i="88"/>
  <c r="Y29" i="88"/>
  <c r="W31" i="88"/>
  <c r="U33" i="88"/>
  <c r="X34" i="88"/>
  <c r="V36" i="88"/>
  <c r="Y37" i="88"/>
  <c r="W39" i="88"/>
  <c r="G16" i="88"/>
  <c r="J18" i="88"/>
  <c r="G11" i="89"/>
  <c r="G8" i="89"/>
  <c r="G7" i="89"/>
  <c r="R8" i="89"/>
  <c r="T10" i="89"/>
  <c r="V12" i="89"/>
  <c r="Q17" i="89"/>
  <c r="R20" i="89"/>
  <c r="S23" i="89"/>
  <c r="Z9" i="91"/>
  <c r="W35" i="51"/>
  <c r="E18" i="40"/>
  <c r="D19" i="40"/>
  <c r="C20" i="40"/>
  <c r="B21" i="40"/>
  <c r="J21" i="40"/>
  <c r="I22" i="40"/>
  <c r="H23" i="40"/>
  <c r="G24" i="40"/>
  <c r="F25" i="40"/>
  <c r="E26" i="40"/>
  <c r="D27" i="40"/>
  <c r="EA26" i="40"/>
  <c r="EA28" i="40"/>
  <c r="EL26" i="40"/>
  <c r="EL28" i="40"/>
  <c r="D67" i="40"/>
  <c r="D68" i="40"/>
  <c r="D69" i="40"/>
  <c r="D70" i="40"/>
  <c r="D71" i="40"/>
  <c r="D72" i="40"/>
  <c r="D73" i="40"/>
  <c r="D74" i="40"/>
  <c r="D75" i="40"/>
  <c r="M10" i="41"/>
  <c r="F19" i="41"/>
  <c r="E20" i="41"/>
  <c r="D21" i="41"/>
  <c r="C22" i="41"/>
  <c r="B23" i="41"/>
  <c r="J23" i="41"/>
  <c r="I24" i="41"/>
  <c r="H25" i="41"/>
  <c r="G26" i="41"/>
  <c r="F27" i="41"/>
  <c r="L22" i="44"/>
  <c r="G11" i="110"/>
  <c r="K10" i="111"/>
  <c r="K18" i="111"/>
  <c r="J8" i="113"/>
  <c r="J16" i="113"/>
  <c r="J7" i="114"/>
  <c r="J15" i="114"/>
  <c r="K6" i="115"/>
  <c r="K14" i="115"/>
  <c r="P4" i="82"/>
  <c r="P6" i="82"/>
  <c r="S11" i="82"/>
  <c r="S13" i="82"/>
  <c r="W12" i="82"/>
  <c r="K4" i="81"/>
  <c r="K6" i="81"/>
  <c r="N5" i="80"/>
  <c r="N7" i="80"/>
  <c r="M14" i="80"/>
  <c r="M16" i="80"/>
  <c r="M18" i="80"/>
  <c r="G10" i="86"/>
  <c r="AC15" i="86"/>
  <c r="G13" i="87"/>
  <c r="G15" i="87"/>
  <c r="AM17" i="87"/>
  <c r="J24" i="87"/>
  <c r="J26" i="87"/>
  <c r="I30" i="87"/>
  <c r="I32" i="87"/>
  <c r="O7" i="88"/>
  <c r="Q8" i="88"/>
  <c r="S9" i="88"/>
  <c r="O11" i="88"/>
  <c r="Q12" i="88"/>
  <c r="Y7" i="88"/>
  <c r="W9" i="88"/>
  <c r="U11" i="88"/>
  <c r="X12" i="88"/>
  <c r="V14" i="88"/>
  <c r="Y15" i="88"/>
  <c r="W17" i="88"/>
  <c r="U19" i="88"/>
  <c r="X20" i="88"/>
  <c r="V22" i="88"/>
  <c r="Y23" i="88"/>
  <c r="W25" i="88"/>
  <c r="U27" i="88"/>
  <c r="X28" i="88"/>
  <c r="V30" i="88"/>
  <c r="Y31" i="88"/>
  <c r="W33" i="88"/>
  <c r="U35" i="88"/>
  <c r="X36" i="88"/>
  <c r="V38" i="88"/>
  <c r="Y39" i="88"/>
  <c r="J16" i="88"/>
  <c r="H19" i="88"/>
  <c r="V8" i="89"/>
  <c r="Q11" i="89"/>
  <c r="P18" i="89"/>
  <c r="Q21" i="89"/>
  <c r="F18" i="40"/>
  <c r="E19" i="40"/>
  <c r="D20" i="40"/>
  <c r="C21" i="40"/>
  <c r="B22" i="40"/>
  <c r="J22" i="40"/>
  <c r="I23" i="40"/>
  <c r="H24" i="40"/>
  <c r="G25" i="40"/>
  <c r="F26" i="40"/>
  <c r="EB26" i="40"/>
  <c r="EM26" i="40"/>
  <c r="E67" i="40"/>
  <c r="E68" i="40"/>
  <c r="E69" i="40"/>
  <c r="E70" i="40"/>
  <c r="E71" i="40"/>
  <c r="E72" i="40"/>
  <c r="E73" i="40"/>
  <c r="E74" i="40"/>
  <c r="G19" i="41"/>
  <c r="F20" i="41"/>
  <c r="E21" i="41"/>
  <c r="D22" i="41"/>
  <c r="C23" i="41"/>
  <c r="B24" i="41"/>
  <c r="J24" i="41"/>
  <c r="I25" i="41"/>
  <c r="H26" i="41"/>
  <c r="G4" i="110"/>
  <c r="J9" i="113"/>
  <c r="J8" i="114"/>
  <c r="K7" i="115"/>
  <c r="M3" i="82"/>
  <c r="M5" i="82"/>
  <c r="Q4" i="82"/>
  <c r="P10" i="82"/>
  <c r="P12" i="82"/>
  <c r="L4" i="81"/>
  <c r="K4" i="80"/>
  <c r="K6" i="80"/>
  <c r="N14" i="80"/>
  <c r="N16" i="80"/>
  <c r="H13" i="87"/>
  <c r="G25" i="87"/>
  <c r="J30" i="87"/>
  <c r="P7" i="88"/>
  <c r="R8" i="88"/>
  <c r="N10" i="88"/>
  <c r="P11" i="88"/>
  <c r="U8" i="88"/>
  <c r="X9" i="88"/>
  <c r="V11" i="88"/>
  <c r="Y12" i="88"/>
  <c r="W14" i="88"/>
  <c r="U16" i="88"/>
  <c r="X17" i="88"/>
  <c r="V19" i="88"/>
  <c r="Y20" i="88"/>
  <c r="W22" i="88"/>
  <c r="U24" i="88"/>
  <c r="X25" i="88"/>
  <c r="V27" i="88"/>
  <c r="Y28" i="88"/>
  <c r="W30" i="88"/>
  <c r="U32" i="88"/>
  <c r="X33" i="88"/>
  <c r="V35" i="88"/>
  <c r="Y36" i="88"/>
  <c r="G17" i="88"/>
  <c r="J19" i="88"/>
  <c r="T13" i="89"/>
  <c r="S12" i="89"/>
  <c r="R11" i="89"/>
  <c r="Q10" i="89"/>
  <c r="P9" i="89"/>
  <c r="V7" i="89"/>
  <c r="Q13" i="89"/>
  <c r="P12" i="89"/>
  <c r="V10" i="89"/>
  <c r="U9" i="89"/>
  <c r="T8" i="89"/>
  <c r="S7" i="89"/>
  <c r="P13" i="89"/>
  <c r="V11" i="89"/>
  <c r="U10" i="89"/>
  <c r="T9" i="89"/>
  <c r="S8" i="89"/>
  <c r="R7" i="89"/>
  <c r="V13" i="89"/>
  <c r="U12" i="89"/>
  <c r="T11" i="89"/>
  <c r="S10" i="89"/>
  <c r="R9" i="89"/>
  <c r="Q8" i="89"/>
  <c r="P7" i="89"/>
  <c r="Q9" i="89"/>
  <c r="S11" i="89"/>
  <c r="U13" i="89"/>
  <c r="R18" i="89"/>
  <c r="S21" i="89"/>
  <c r="AC4" i="89"/>
  <c r="Y6" i="89"/>
  <c r="AA7" i="89"/>
  <c r="AC8" i="89"/>
  <c r="Y10" i="89"/>
  <c r="AA11" i="89"/>
  <c r="AC12" i="89"/>
  <c r="Y14" i="89"/>
  <c r="AA15" i="89"/>
  <c r="AC16" i="89"/>
  <c r="Y18" i="89"/>
  <c r="AA19" i="89"/>
  <c r="AC20" i="89"/>
  <c r="Y22" i="89"/>
  <c r="AA23" i="89"/>
  <c r="AC24" i="89"/>
  <c r="Y26" i="89"/>
  <c r="AA27" i="89"/>
  <c r="AC28" i="89"/>
  <c r="Y30" i="89"/>
  <c r="AA31" i="89"/>
  <c r="AC32" i="89"/>
  <c r="Y34" i="89"/>
  <c r="AA35" i="89"/>
  <c r="AC36" i="89"/>
  <c r="Y38" i="89"/>
  <c r="AA39" i="89"/>
  <c r="AC40" i="89"/>
  <c r="Y4" i="90"/>
  <c r="AA5" i="90"/>
  <c r="W7" i="90"/>
  <c r="Y8" i="90"/>
  <c r="AA9" i="90"/>
  <c r="AH5" i="90"/>
  <c r="AJ7" i="90"/>
  <c r="R14" i="90"/>
  <c r="R16" i="90"/>
  <c r="Y23" i="90"/>
  <c r="AA24" i="90"/>
  <c r="W26" i="90"/>
  <c r="Y27" i="90"/>
  <c r="AA28" i="90"/>
  <c r="W33" i="90"/>
  <c r="W35" i="90"/>
  <c r="W37" i="90"/>
  <c r="AN42" i="90"/>
  <c r="AN44" i="90"/>
  <c r="AT46" i="90"/>
  <c r="AT50" i="90"/>
  <c r="Z13" i="91"/>
  <c r="D13" i="91"/>
  <c r="D15" i="91"/>
  <c r="Z21" i="91"/>
  <c r="AB8" i="92"/>
  <c r="AC15" i="92"/>
  <c r="D14" i="92"/>
  <c r="D16" i="92"/>
  <c r="AC23" i="92"/>
  <c r="AC8" i="93"/>
  <c r="E14" i="93"/>
  <c r="E16" i="93"/>
  <c r="AB24" i="93"/>
  <c r="O14" i="51"/>
  <c r="N15" i="51"/>
  <c r="M16" i="51"/>
  <c r="U16" i="51"/>
  <c r="T17" i="51"/>
  <c r="S18" i="51"/>
  <c r="R19" i="51"/>
  <c r="Q20" i="51"/>
  <c r="P21" i="51"/>
  <c r="O22" i="51"/>
  <c r="Q59" i="51"/>
  <c r="P60" i="51"/>
  <c r="O61" i="51"/>
  <c r="N62" i="51"/>
  <c r="M63" i="51"/>
  <c r="U63" i="51"/>
  <c r="T64" i="51"/>
  <c r="S65" i="51"/>
  <c r="R66" i="51"/>
  <c r="Q67" i="51"/>
  <c r="P68" i="51"/>
  <c r="N114" i="51"/>
  <c r="N116" i="51"/>
  <c r="N118" i="51"/>
  <c r="M121" i="51"/>
  <c r="Q6" i="55"/>
  <c r="T7" i="55"/>
  <c r="O9" i="55"/>
  <c r="R10" i="55"/>
  <c r="N12" i="55"/>
  <c r="R13" i="55"/>
  <c r="U14" i="55"/>
  <c r="S14" i="90"/>
  <c r="S16" i="90"/>
  <c r="AU46" i="90"/>
  <c r="E13" i="91"/>
  <c r="E15" i="91"/>
  <c r="E14" i="92"/>
  <c r="E16" i="92"/>
  <c r="AC24" i="93"/>
  <c r="P14" i="51"/>
  <c r="O15" i="51"/>
  <c r="N16" i="51"/>
  <c r="M17" i="51"/>
  <c r="U17" i="51"/>
  <c r="T18" i="51"/>
  <c r="S19" i="51"/>
  <c r="R20" i="51"/>
  <c r="Q21" i="51"/>
  <c r="P22" i="51"/>
  <c r="R59" i="51"/>
  <c r="Q60" i="51"/>
  <c r="P61" i="51"/>
  <c r="O62" i="51"/>
  <c r="N63" i="51"/>
  <c r="M64" i="51"/>
  <c r="U64" i="51"/>
  <c r="T65" i="51"/>
  <c r="S66" i="51"/>
  <c r="R67" i="51"/>
  <c r="Q68" i="51"/>
  <c r="R6" i="55"/>
  <c r="U7" i="55"/>
  <c r="Q9" i="55"/>
  <c r="U10" i="55"/>
  <c r="O12" i="55"/>
  <c r="S13" i="55"/>
  <c r="Y5" i="89"/>
  <c r="AA6" i="89"/>
  <c r="AC7" i="89"/>
  <c r="Y9" i="89"/>
  <c r="AA10" i="89"/>
  <c r="AC11" i="89"/>
  <c r="Y13" i="89"/>
  <c r="AA14" i="89"/>
  <c r="AC15" i="89"/>
  <c r="Y17" i="89"/>
  <c r="AA18" i="89"/>
  <c r="AC19" i="89"/>
  <c r="Y21" i="89"/>
  <c r="AA22" i="89"/>
  <c r="AC23" i="89"/>
  <c r="Y25" i="89"/>
  <c r="AA26" i="89"/>
  <c r="AC27" i="89"/>
  <c r="Y29" i="89"/>
  <c r="AA30" i="89"/>
  <c r="AC31" i="89"/>
  <c r="Y33" i="89"/>
  <c r="AA34" i="89"/>
  <c r="AC35" i="89"/>
  <c r="Y37" i="89"/>
  <c r="AA38" i="89"/>
  <c r="AC39" i="89"/>
  <c r="AA4" i="90"/>
  <c r="W6" i="90"/>
  <c r="Y7" i="90"/>
  <c r="AA8" i="90"/>
  <c r="AJ5" i="90"/>
  <c r="P13" i="90"/>
  <c r="P15" i="90"/>
  <c r="AA23" i="90"/>
  <c r="W25" i="90"/>
  <c r="Y26" i="90"/>
  <c r="AA27" i="90"/>
  <c r="Y33" i="90"/>
  <c r="Y35" i="90"/>
  <c r="Y37" i="90"/>
  <c r="AL43" i="90"/>
  <c r="AL45" i="90"/>
  <c r="AS51" i="90"/>
  <c r="Z14" i="91"/>
  <c r="B14" i="91"/>
  <c r="B16" i="91"/>
  <c r="Z22" i="91"/>
  <c r="AB9" i="92"/>
  <c r="B13" i="92"/>
  <c r="B15" i="92"/>
  <c r="AC24" i="92"/>
  <c r="AC9" i="93"/>
  <c r="C13" i="93"/>
  <c r="C15" i="93"/>
  <c r="AB21" i="93"/>
  <c r="Q14" i="51"/>
  <c r="P15" i="51"/>
  <c r="O16" i="51"/>
  <c r="N17" i="51"/>
  <c r="M18" i="51"/>
  <c r="U18" i="51"/>
  <c r="T19" i="51"/>
  <c r="S20" i="51"/>
  <c r="R21" i="51"/>
  <c r="Q22" i="51"/>
  <c r="S59" i="51"/>
  <c r="R60" i="51"/>
  <c r="Q61" i="51"/>
  <c r="P62" i="51"/>
  <c r="O63" i="51"/>
  <c r="N64" i="51"/>
  <c r="M65" i="51"/>
  <c r="U65" i="51"/>
  <c r="T66" i="51"/>
  <c r="S67" i="51"/>
  <c r="R68" i="51"/>
  <c r="P114" i="51"/>
  <c r="P116" i="51"/>
  <c r="M119" i="51"/>
  <c r="P121" i="51"/>
  <c r="T6" i="55"/>
  <c r="O8" i="55"/>
  <c r="R9" i="55"/>
  <c r="M11" i="55"/>
  <c r="P12" i="55"/>
  <c r="U13" i="55"/>
  <c r="X4" i="89"/>
  <c r="Z5" i="89"/>
  <c r="AB6" i="89"/>
  <c r="X8" i="89"/>
  <c r="Z9" i="89"/>
  <c r="AB10" i="89"/>
  <c r="X12" i="89"/>
  <c r="Z13" i="89"/>
  <c r="AB14" i="89"/>
  <c r="X16" i="89"/>
  <c r="Z17" i="89"/>
  <c r="AB18" i="89"/>
  <c r="X20" i="89"/>
  <c r="Z21" i="89"/>
  <c r="AB22" i="89"/>
  <c r="X24" i="89"/>
  <c r="Z25" i="89"/>
  <c r="AB26" i="89"/>
  <c r="X28" i="89"/>
  <c r="Z29" i="89"/>
  <c r="AB30" i="89"/>
  <c r="X32" i="89"/>
  <c r="Z33" i="89"/>
  <c r="AB34" i="89"/>
  <c r="X36" i="89"/>
  <c r="Z37" i="89"/>
  <c r="AB38" i="89"/>
  <c r="X40" i="89"/>
  <c r="V5" i="90"/>
  <c r="X6" i="90"/>
  <c r="Z7" i="90"/>
  <c r="V9" i="90"/>
  <c r="AH6" i="90"/>
  <c r="Q13" i="90"/>
  <c r="Q15" i="90"/>
  <c r="V24" i="90"/>
  <c r="X25" i="90"/>
  <c r="Z26" i="90"/>
  <c r="V28" i="90"/>
  <c r="C14" i="91"/>
  <c r="C16" i="91"/>
  <c r="AC9" i="92"/>
  <c r="C13" i="92"/>
  <c r="C15" i="92"/>
  <c r="AC21" i="93"/>
  <c r="R14" i="51"/>
  <c r="Q15" i="51"/>
  <c r="P16" i="51"/>
  <c r="O17" i="51"/>
  <c r="N18" i="51"/>
  <c r="M19" i="51"/>
  <c r="U19" i="51"/>
  <c r="T20" i="51"/>
  <c r="S21" i="51"/>
  <c r="R22" i="51"/>
  <c r="T59" i="51"/>
  <c r="S60" i="51"/>
  <c r="R61" i="51"/>
  <c r="Q62" i="51"/>
  <c r="P63" i="51"/>
  <c r="O64" i="51"/>
  <c r="N65" i="51"/>
  <c r="M66" i="51"/>
  <c r="U66" i="51"/>
  <c r="T67" i="51"/>
  <c r="S68" i="51"/>
  <c r="M115" i="51"/>
  <c r="M117" i="51"/>
  <c r="N119" i="51"/>
  <c r="U6" i="55"/>
  <c r="P8" i="55"/>
  <c r="S9" i="55"/>
  <c r="O11" i="55"/>
  <c r="S12" i="55"/>
  <c r="M14" i="55"/>
  <c r="W5" i="90"/>
  <c r="Y6" i="90"/>
  <c r="AA7" i="90"/>
  <c r="W9" i="90"/>
  <c r="AI6" i="90"/>
  <c r="R13" i="90"/>
  <c r="R15" i="90"/>
  <c r="W24" i="90"/>
  <c r="Y25" i="90"/>
  <c r="AA26" i="90"/>
  <c r="W28" i="90"/>
  <c r="W32" i="90"/>
  <c r="W34" i="90"/>
  <c r="W36" i="90"/>
  <c r="AD36" i="90"/>
  <c r="AN43" i="90"/>
  <c r="AN45" i="90"/>
  <c r="AS49" i="90"/>
  <c r="AR52" i="90"/>
  <c r="P6" i="91"/>
  <c r="Z15" i="91"/>
  <c r="D14" i="91"/>
  <c r="D16" i="91"/>
  <c r="Z23" i="91"/>
  <c r="AB6" i="92"/>
  <c r="AB10" i="92"/>
  <c r="AC13" i="92"/>
  <c r="D13" i="92"/>
  <c r="D15" i="92"/>
  <c r="AC21" i="92"/>
  <c r="AC6" i="93"/>
  <c r="AC10" i="93"/>
  <c r="AB22" i="93"/>
  <c r="S14" i="51"/>
  <c r="R15" i="51"/>
  <c r="Q16" i="51"/>
  <c r="P17" i="51"/>
  <c r="O18" i="51"/>
  <c r="N19" i="51"/>
  <c r="M20" i="51"/>
  <c r="U20" i="51"/>
  <c r="T21" i="51"/>
  <c r="S22" i="51"/>
  <c r="M59" i="51"/>
  <c r="U59" i="51"/>
  <c r="T60" i="51"/>
  <c r="S61" i="51"/>
  <c r="R62" i="51"/>
  <c r="Q63" i="51"/>
  <c r="P64" i="51"/>
  <c r="O65" i="51"/>
  <c r="N66" i="51"/>
  <c r="M67" i="51"/>
  <c r="U67" i="51"/>
  <c r="T68" i="51"/>
  <c r="M7" i="55"/>
  <c r="R8" i="55"/>
  <c r="M10" i="55"/>
  <c r="P11" i="55"/>
  <c r="T12" i="55"/>
  <c r="E14" i="91"/>
  <c r="E16" i="91"/>
  <c r="T14" i="51"/>
  <c r="S15" i="51"/>
  <c r="R16" i="51"/>
  <c r="Q17" i="51"/>
  <c r="P18" i="51"/>
  <c r="O19" i="51"/>
  <c r="N20" i="51"/>
  <c r="M21" i="51"/>
  <c r="U21" i="51"/>
  <c r="T22" i="51"/>
  <c r="S14" i="55"/>
  <c r="T13" i="55"/>
  <c r="U12" i="55"/>
  <c r="M12" i="55"/>
  <c r="N11" i="55"/>
  <c r="O10" i="55"/>
  <c r="P9" i="55"/>
  <c r="Q8" i="55"/>
  <c r="R7" i="55"/>
  <c r="S6" i="55"/>
  <c r="P14" i="55"/>
  <c r="Q13" i="55"/>
  <c r="R12" i="55"/>
  <c r="S11" i="55"/>
  <c r="T10" i="55"/>
  <c r="U9" i="55"/>
  <c r="M9" i="55"/>
  <c r="N8" i="55"/>
  <c r="O7" i="55"/>
  <c r="P6" i="55"/>
  <c r="O14" i="55"/>
  <c r="P13" i="55"/>
  <c r="Q12" i="55"/>
  <c r="R11" i="55"/>
  <c r="S10" i="55"/>
  <c r="T9" i="55"/>
  <c r="U8" i="55"/>
  <c r="M8" i="55"/>
  <c r="N7" i="55"/>
  <c r="O6" i="55"/>
  <c r="P7" i="55"/>
  <c r="S8" i="55"/>
  <c r="N10" i="55"/>
  <c r="Q11" i="55"/>
  <c r="M13" i="55"/>
  <c r="Q14" i="55"/>
  <c r="AA4" i="89"/>
  <c r="AC5" i="89"/>
  <c r="Y7" i="89"/>
  <c r="AA8" i="89"/>
  <c r="AC9" i="89"/>
  <c r="Y11" i="89"/>
  <c r="AA12" i="89"/>
  <c r="AC13" i="89"/>
  <c r="Y15" i="89"/>
  <c r="AA16" i="89"/>
  <c r="AC17" i="89"/>
  <c r="Y19" i="89"/>
  <c r="AA20" i="89"/>
  <c r="AC21" i="89"/>
  <c r="Y23" i="89"/>
  <c r="AA24" i="89"/>
  <c r="AC25" i="89"/>
  <c r="Y27" i="89"/>
  <c r="AA28" i="89"/>
  <c r="AC29" i="89"/>
  <c r="Y31" i="89"/>
  <c r="AA32" i="89"/>
  <c r="AC33" i="89"/>
  <c r="Y35" i="89"/>
  <c r="AA36" i="89"/>
  <c r="AC37" i="89"/>
  <c r="Y39" i="89"/>
  <c r="W4" i="90"/>
  <c r="Y5" i="90"/>
  <c r="AA6" i="90"/>
  <c r="W8" i="90"/>
  <c r="AI4" i="90"/>
  <c r="P14" i="90"/>
  <c r="W23" i="90"/>
  <c r="Y24" i="90"/>
  <c r="AA25" i="90"/>
  <c r="W27" i="90"/>
  <c r="Y32" i="90"/>
  <c r="Y34" i="90"/>
  <c r="AL42" i="90"/>
  <c r="AR50" i="90"/>
  <c r="B13" i="91"/>
  <c r="AB7" i="92"/>
  <c r="B14" i="92"/>
  <c r="AC7" i="93"/>
  <c r="C14" i="93"/>
  <c r="M14" i="51"/>
  <c r="U14" i="51"/>
  <c r="T15" i="51"/>
  <c r="S16" i="51"/>
  <c r="R17" i="51"/>
  <c r="Q18" i="51"/>
  <c r="P19" i="51"/>
  <c r="O20" i="51"/>
  <c r="N21" i="51"/>
  <c r="M22" i="51"/>
  <c r="O59" i="51"/>
  <c r="N60" i="51"/>
  <c r="M61" i="51"/>
  <c r="U61" i="51"/>
  <c r="T62" i="51"/>
  <c r="S63" i="51"/>
  <c r="R64" i="51"/>
  <c r="Q65" i="51"/>
  <c r="P66" i="51"/>
  <c r="O67" i="51"/>
  <c r="O121" i="51"/>
  <c r="O119" i="51"/>
  <c r="P122" i="51"/>
  <c r="P120" i="51"/>
  <c r="P118" i="51"/>
  <c r="P115" i="51"/>
  <c r="P117" i="51"/>
  <c r="N120" i="51"/>
  <c r="M6" i="55"/>
  <c r="Q7" i="55"/>
  <c r="T8" i="55"/>
  <c r="P10" i="55"/>
  <c r="T11" i="55"/>
  <c r="N13" i="55"/>
  <c r="R14" i="55"/>
  <c r="AF28" i="55"/>
  <c r="AG27" i="55"/>
  <c r="Y27" i="55"/>
  <c r="Z26" i="55"/>
  <c r="AA25" i="55"/>
  <c r="AB24" i="55"/>
  <c r="AC23" i="55"/>
  <c r="AD22" i="55"/>
  <c r="AE21" i="55"/>
  <c r="AF20" i="55"/>
  <c r="AG19" i="55"/>
  <c r="Y19" i="55"/>
  <c r="AC28" i="55"/>
  <c r="AD27" i="55"/>
  <c r="AE26" i="55"/>
  <c r="AF25" i="55"/>
  <c r="AG24" i="55"/>
  <c r="Y24" i="55"/>
  <c r="Z23" i="55"/>
  <c r="AA22" i="55"/>
  <c r="AB21" i="55"/>
  <c r="AC20" i="55"/>
  <c r="AD19" i="55"/>
  <c r="AD28" i="55"/>
  <c r="AB27" i="55"/>
  <c r="AA26" i="55"/>
  <c r="Y25" i="55"/>
  <c r="AF23" i="55"/>
  <c r="AE22" i="55"/>
  <c r="AC21" i="55"/>
  <c r="AA20" i="55"/>
  <c r="Z19" i="55"/>
  <c r="Z28" i="55"/>
  <c r="AG26" i="55"/>
  <c r="AE25" i="55"/>
  <c r="AD24" i="55"/>
  <c r="AB23" i="55"/>
  <c r="Z22" i="55"/>
  <c r="Y21" i="55"/>
  <c r="AF19" i="55"/>
  <c r="Y28" i="55"/>
  <c r="AF26" i="55"/>
  <c r="AD25" i="55"/>
  <c r="AC24" i="55"/>
  <c r="AA23" i="55"/>
  <c r="Y22" i="55"/>
  <c r="AG20" i="55"/>
  <c r="AE19" i="55"/>
  <c r="AF27" i="55"/>
  <c r="AD26" i="55"/>
  <c r="AC25" i="55"/>
  <c r="AA24" i="55"/>
  <c r="Y23" i="55"/>
  <c r="AG21" i="55"/>
  <c r="AE20" i="55"/>
  <c r="AC19" i="55"/>
  <c r="AG28" i="55"/>
  <c r="AE27" i="55"/>
  <c r="AC26" i="55"/>
  <c r="AB25" i="55"/>
  <c r="Z24" i="55"/>
  <c r="AG22" i="55"/>
  <c r="AF21" i="55"/>
  <c r="AD20" i="55"/>
  <c r="AB19" i="55"/>
  <c r="AB26" i="55"/>
  <c r="AD23" i="55"/>
  <c r="Z20" i="55"/>
  <c r="AE28" i="55"/>
  <c r="AG25" i="55"/>
  <c r="AC22" i="55"/>
  <c r="AA19" i="55"/>
  <c r="AA28" i="55"/>
  <c r="AF24" i="55"/>
  <c r="AD21" i="55"/>
  <c r="AB28" i="55"/>
  <c r="AE23" i="55"/>
  <c r="AC27" i="55"/>
  <c r="AF22" i="55"/>
  <c r="AA27" i="55"/>
  <c r="AB22" i="55"/>
  <c r="Z27" i="55"/>
  <c r="AA21" i="55"/>
  <c r="Y26" i="55"/>
  <c r="Z21" i="55"/>
  <c r="Z25" i="55"/>
  <c r="AB20" i="55"/>
  <c r="AE24" i="55"/>
  <c r="Y20" i="55"/>
  <c r="AG23" i="55"/>
  <c r="CO28" i="55"/>
  <c r="CG28" i="55"/>
  <c r="CH27" i="55"/>
  <c r="CI26" i="55"/>
  <c r="CJ25" i="55"/>
  <c r="CK24" i="55"/>
  <c r="CL23" i="55"/>
  <c r="CM22" i="55"/>
  <c r="CN21" i="55"/>
  <c r="CO20" i="55"/>
  <c r="CG20" i="55"/>
  <c r="CH19" i="55"/>
  <c r="CL28" i="55"/>
  <c r="CM27" i="55"/>
  <c r="CN26" i="55"/>
  <c r="CO25" i="55"/>
  <c r="CG25" i="55"/>
  <c r="CH24" i="55"/>
  <c r="CI23" i="55"/>
  <c r="CJ22" i="55"/>
  <c r="CK21" i="55"/>
  <c r="CL20" i="55"/>
  <c r="CM19" i="55"/>
  <c r="CM28" i="55"/>
  <c r="CK27" i="55"/>
  <c r="CJ26" i="55"/>
  <c r="CH25" i="55"/>
  <c r="CO23" i="55"/>
  <c r="CN22" i="55"/>
  <c r="CL21" i="55"/>
  <c r="CJ20" i="55"/>
  <c r="CI19" i="55"/>
  <c r="CI28" i="55"/>
  <c r="CG27" i="55"/>
  <c r="CN25" i="55"/>
  <c r="CM24" i="55"/>
  <c r="CK23" i="55"/>
  <c r="CI22" i="55"/>
  <c r="CH21" i="55"/>
  <c r="CO19" i="55"/>
  <c r="CH28" i="55"/>
  <c r="CO26" i="55"/>
  <c r="CM25" i="55"/>
  <c r="CL24" i="55"/>
  <c r="CJ23" i="55"/>
  <c r="CH22" i="55"/>
  <c r="CG21" i="55"/>
  <c r="CN19" i="55"/>
  <c r="CO27" i="55"/>
  <c r="CM26" i="55"/>
  <c r="CL25" i="55"/>
  <c r="CJ24" i="55"/>
  <c r="CH23" i="55"/>
  <c r="CG22" i="55"/>
  <c r="CN20" i="55"/>
  <c r="CL19" i="55"/>
  <c r="CN27" i="55"/>
  <c r="CL26" i="55"/>
  <c r="CK25" i="55"/>
  <c r="CI24" i="55"/>
  <c r="CG23" i="55"/>
  <c r="CO21" i="55"/>
  <c r="CM20" i="55"/>
  <c r="CK19" i="55"/>
  <c r="CK28" i="55"/>
  <c r="CI25" i="55"/>
  <c r="CK22" i="55"/>
  <c r="CG19" i="55"/>
  <c r="CL27" i="55"/>
  <c r="CN24" i="55"/>
  <c r="CJ21" i="55"/>
  <c r="CI27" i="55"/>
  <c r="CN23" i="55"/>
  <c r="CK20" i="55"/>
  <c r="CK26" i="55"/>
  <c r="CM23" i="55"/>
  <c r="CI20" i="55"/>
  <c r="CG24" i="55"/>
  <c r="CO22" i="55"/>
  <c r="CN28" i="55"/>
  <c r="CL22" i="55"/>
  <c r="CJ28" i="55"/>
  <c r="CM21" i="55"/>
  <c r="CJ27" i="55"/>
  <c r="CI21" i="55"/>
  <c r="CH26" i="55"/>
  <c r="CH20" i="55"/>
  <c r="CG26" i="55"/>
  <c r="CJ19" i="55"/>
  <c r="CO24" i="55"/>
  <c r="EO28" i="55"/>
  <c r="ET28" i="55"/>
  <c r="EU27" i="55"/>
  <c r="EV26" i="55"/>
  <c r="EW25" i="55"/>
  <c r="EO25" i="55"/>
  <c r="EP24" i="55"/>
  <c r="EQ23" i="55"/>
  <c r="ER22" i="55"/>
  <c r="ES21" i="55"/>
  <c r="ET20" i="55"/>
  <c r="EU19" i="55"/>
  <c r="ER28" i="55"/>
  <c r="ES27" i="55"/>
  <c r="ET26" i="55"/>
  <c r="EU25" i="55"/>
  <c r="EQ28" i="55"/>
  <c r="ER27" i="55"/>
  <c r="ES26" i="55"/>
  <c r="ET25" i="55"/>
  <c r="EU24" i="55"/>
  <c r="EV23" i="55"/>
  <c r="EW22" i="55"/>
  <c r="EO22" i="55"/>
  <c r="EP21" i="55"/>
  <c r="EQ20" i="55"/>
  <c r="ER19" i="55"/>
  <c r="EV28" i="55"/>
  <c r="EQ27" i="55"/>
  <c r="EO26" i="55"/>
  <c r="ET24" i="55"/>
  <c r="ES23" i="55"/>
  <c r="EQ22" i="55"/>
  <c r="EO21" i="55"/>
  <c r="EW19" i="55"/>
  <c r="EP28" i="55"/>
  <c r="EW26" i="55"/>
  <c r="ER25" i="55"/>
  <c r="EQ24" i="55"/>
  <c r="EO23" i="55"/>
  <c r="EV21" i="55"/>
  <c r="EU20" i="55"/>
  <c r="ES19" i="55"/>
  <c r="EU28" i="55"/>
  <c r="EU26" i="55"/>
  <c r="EW24" i="55"/>
  <c r="ER23" i="55"/>
  <c r="EU21" i="55"/>
  <c r="EP20" i="55"/>
  <c r="EW27" i="55"/>
  <c r="EP26" i="55"/>
  <c r="ER24" i="55"/>
  <c r="EU22" i="55"/>
  <c r="EQ21" i="55"/>
  <c r="ET19" i="55"/>
  <c r="EV27" i="55"/>
  <c r="EV25" i="55"/>
  <c r="EO24" i="55"/>
  <c r="ET22" i="55"/>
  <c r="EW20" i="55"/>
  <c r="EQ19" i="55"/>
  <c r="ET27" i="55"/>
  <c r="ES25" i="55"/>
  <c r="EW23" i="55"/>
  <c r="ES22" i="55"/>
  <c r="EV20" i="55"/>
  <c r="EP19" i="55"/>
  <c r="EP27" i="55"/>
  <c r="EQ25" i="55"/>
  <c r="EU23" i="55"/>
  <c r="EP22" i="55"/>
  <c r="ES20" i="55"/>
  <c r="EO19" i="55"/>
  <c r="ES28" i="55"/>
  <c r="ET23" i="55"/>
  <c r="EV19" i="55"/>
  <c r="EO27" i="55"/>
  <c r="EV22" i="55"/>
  <c r="ER26" i="55"/>
  <c r="EW21" i="55"/>
  <c r="EQ26" i="55"/>
  <c r="ET21" i="55"/>
  <c r="EP25" i="55"/>
  <c r="ER21" i="55"/>
  <c r="EO20" i="55"/>
  <c r="ER20" i="55"/>
  <c r="EP23" i="55"/>
  <c r="ES24" i="55"/>
  <c r="DH21" i="55"/>
  <c r="DL24" i="55"/>
  <c r="DJ27" i="55"/>
  <c r="FT28" i="55"/>
  <c r="FU27" i="55"/>
  <c r="FM27" i="55"/>
  <c r="FN26" i="55"/>
  <c r="FO25" i="55"/>
  <c r="FP24" i="55"/>
  <c r="FQ23" i="55"/>
  <c r="FR22" i="55"/>
  <c r="FS21" i="55"/>
  <c r="FT20" i="55"/>
  <c r="FU19" i="55"/>
  <c r="FM19" i="55"/>
  <c r="FR28" i="55"/>
  <c r="FS27" i="55"/>
  <c r="FT26" i="55"/>
  <c r="FU25" i="55"/>
  <c r="FM25" i="55"/>
  <c r="FN24" i="55"/>
  <c r="FO23" i="55"/>
  <c r="FP22" i="55"/>
  <c r="FQ21" i="55"/>
  <c r="FR20" i="55"/>
  <c r="FS19" i="55"/>
  <c r="FQ28" i="55"/>
  <c r="FR27" i="55"/>
  <c r="FS26" i="55"/>
  <c r="FT25" i="55"/>
  <c r="FU24" i="55"/>
  <c r="FM24" i="55"/>
  <c r="FN23" i="55"/>
  <c r="FO22" i="55"/>
  <c r="FP21" i="55"/>
  <c r="FQ20" i="55"/>
  <c r="FR19" i="55"/>
  <c r="FP28" i="55"/>
  <c r="FN27" i="55"/>
  <c r="FR25" i="55"/>
  <c r="FO24" i="55"/>
  <c r="FT22" i="55"/>
  <c r="FO21" i="55"/>
  <c r="FM20" i="55"/>
  <c r="FN28" i="55"/>
  <c r="FR26" i="55"/>
  <c r="FP25" i="55"/>
  <c r="FT23" i="55"/>
  <c r="FQ22" i="55"/>
  <c r="FM21" i="55"/>
  <c r="FQ19" i="55"/>
  <c r="FM28" i="55"/>
  <c r="FQ26" i="55"/>
  <c r="FN25" i="55"/>
  <c r="FS23" i="55"/>
  <c r="FN22" i="55"/>
  <c r="FU20" i="55"/>
  <c r="FP19" i="55"/>
  <c r="FQ27" i="55"/>
  <c r="FQ25" i="55"/>
  <c r="FM23" i="55"/>
  <c r="FS20" i="55"/>
  <c r="FU26" i="55"/>
  <c r="FR24" i="55"/>
  <c r="FM22" i="55"/>
  <c r="FN20" i="55"/>
  <c r="FU28" i="55"/>
  <c r="FP26" i="55"/>
  <c r="FQ24" i="55"/>
  <c r="FU21" i="55"/>
  <c r="FT19" i="55"/>
  <c r="FS28" i="55"/>
  <c r="FO26" i="55"/>
  <c r="FU23" i="55"/>
  <c r="FT21" i="55"/>
  <c r="FO19" i="55"/>
  <c r="FO28" i="55"/>
  <c r="FM26" i="55"/>
  <c r="FR23" i="55"/>
  <c r="FR21" i="55"/>
  <c r="FN19" i="55"/>
  <c r="FT24" i="55"/>
  <c r="DJ21" i="55"/>
  <c r="DM24" i="55"/>
  <c r="FO20" i="55"/>
  <c r="FS25" i="55"/>
  <c r="DG28" i="55"/>
  <c r="DH27" i="55"/>
  <c r="DI26" i="55"/>
  <c r="DJ25" i="55"/>
  <c r="DK24" i="55"/>
  <c r="DL23" i="55"/>
  <c r="DM22" i="55"/>
  <c r="DE22" i="55"/>
  <c r="DF21" i="55"/>
  <c r="DG20" i="55"/>
  <c r="DH19" i="55"/>
  <c r="DL28" i="55"/>
  <c r="DM27" i="55"/>
  <c r="DE27" i="55"/>
  <c r="DF26" i="55"/>
  <c r="DG25" i="55"/>
  <c r="DH24" i="55"/>
  <c r="DI23" i="55"/>
  <c r="DJ22" i="55"/>
  <c r="DK21" i="55"/>
  <c r="DL20" i="55"/>
  <c r="DM19" i="55"/>
  <c r="DE19" i="55"/>
  <c r="DJ28" i="55"/>
  <c r="DI27" i="55"/>
  <c r="DG26" i="55"/>
  <c r="DE25" i="55"/>
  <c r="DM23" i="55"/>
  <c r="DK22" i="55"/>
  <c r="DI21" i="55"/>
  <c r="DH20" i="55"/>
  <c r="DF19" i="55"/>
  <c r="DF28" i="55"/>
  <c r="DM26" i="55"/>
  <c r="DL25" i="55"/>
  <c r="DJ24" i="55"/>
  <c r="DH23" i="55"/>
  <c r="DG22" i="55"/>
  <c r="DE21" i="55"/>
  <c r="DL19" i="55"/>
  <c r="DE28" i="55"/>
  <c r="DL26" i="55"/>
  <c r="DK25" i="55"/>
  <c r="DI24" i="55"/>
  <c r="DG23" i="55"/>
  <c r="DF22" i="55"/>
  <c r="DM20" i="55"/>
  <c r="DK19" i="55"/>
  <c r="DL27" i="55"/>
  <c r="DK26" i="55"/>
  <c r="DI25" i="55"/>
  <c r="DG24" i="55"/>
  <c r="DF23" i="55"/>
  <c r="DM21" i="55"/>
  <c r="DK20" i="55"/>
  <c r="DJ19" i="55"/>
  <c r="DM28" i="55"/>
  <c r="DK27" i="55"/>
  <c r="DJ26" i="55"/>
  <c r="DH25" i="55"/>
  <c r="DF24" i="55"/>
  <c r="DE23" i="55"/>
  <c r="DL21" i="55"/>
  <c r="DJ20" i="55"/>
  <c r="DI19" i="55"/>
  <c r="DH22" i="55"/>
  <c r="DF25" i="55"/>
  <c r="DI28" i="55"/>
  <c r="FP20" i="55"/>
  <c r="FO27" i="55"/>
  <c r="LD28" i="55"/>
  <c r="LE27" i="55"/>
  <c r="LF26" i="55"/>
  <c r="LG25" i="55"/>
  <c r="LH24" i="55"/>
  <c r="LI23" i="55"/>
  <c r="LA23" i="55"/>
  <c r="LB22" i="55"/>
  <c r="LC21" i="55"/>
  <c r="LD20" i="55"/>
  <c r="LE19" i="55"/>
  <c r="LI28" i="55"/>
  <c r="LA28" i="55"/>
  <c r="LB27" i="55"/>
  <c r="LC26" i="55"/>
  <c r="LD25" i="55"/>
  <c r="LE24" i="55"/>
  <c r="LF23" i="55"/>
  <c r="LG22" i="55"/>
  <c r="LH21" i="55"/>
  <c r="LI20" i="55"/>
  <c r="LA20" i="55"/>
  <c r="LB19" i="55"/>
  <c r="LH27" i="55"/>
  <c r="LG26" i="55"/>
  <c r="LE25" i="55"/>
  <c r="LC24" i="55"/>
  <c r="LB23" i="55"/>
  <c r="LI21" i="55"/>
  <c r="LG20" i="55"/>
  <c r="LF19" i="55"/>
  <c r="LG28" i="55"/>
  <c r="LF27" i="55"/>
  <c r="LD26" i="55"/>
  <c r="LB25" i="55"/>
  <c r="LA24" i="55"/>
  <c r="LH22" i="55"/>
  <c r="LF21" i="55"/>
  <c r="LE20" i="55"/>
  <c r="LC19" i="55"/>
  <c r="LF28" i="55"/>
  <c r="LD27" i="55"/>
  <c r="LB26" i="55"/>
  <c r="LA25" i="55"/>
  <c r="LH23" i="55"/>
  <c r="LF22" i="55"/>
  <c r="LE21" i="55"/>
  <c r="LC20" i="55"/>
  <c r="LA19" i="55"/>
  <c r="LH28" i="55"/>
  <c r="LI26" i="55"/>
  <c r="LI24" i="55"/>
  <c r="LC23" i="55"/>
  <c r="LB21" i="55"/>
  <c r="LD19" i="55"/>
  <c r="LC28" i="55"/>
  <c r="LE26" i="55"/>
  <c r="LF24" i="55"/>
  <c r="LE22" i="55"/>
  <c r="LH20" i="55"/>
  <c r="LB28" i="55"/>
  <c r="LA26" i="55"/>
  <c r="LD24" i="55"/>
  <c r="LD22" i="55"/>
  <c r="LF20" i="55"/>
  <c r="LG27" i="55"/>
  <c r="LG24" i="55"/>
  <c r="LG21" i="55"/>
  <c r="LH26" i="55"/>
  <c r="LE23" i="55"/>
  <c r="LB20" i="55"/>
  <c r="LH25" i="55"/>
  <c r="LI22" i="55"/>
  <c r="LH19" i="55"/>
  <c r="LE28" i="55"/>
  <c r="LF25" i="55"/>
  <c r="LC22" i="55"/>
  <c r="LG19" i="55"/>
  <c r="LI25" i="55"/>
  <c r="LI19" i="55"/>
  <c r="LG23" i="55"/>
  <c r="LD23" i="55"/>
  <c r="LI27" i="55"/>
  <c r="LA22" i="55"/>
  <c r="LC27" i="55"/>
  <c r="LD21" i="55"/>
  <c r="DG19" i="55"/>
  <c r="DI22" i="55"/>
  <c r="DM25" i="55"/>
  <c r="DK28" i="55"/>
  <c r="FN21" i="55"/>
  <c r="FP27" i="55"/>
  <c r="LA21" i="55"/>
  <c r="DF20" i="55"/>
  <c r="DJ23" i="55"/>
  <c r="DH26" i="55"/>
  <c r="FU22" i="55"/>
  <c r="LC25" i="55"/>
  <c r="AS19" i="55"/>
  <c r="AL21" i="55"/>
  <c r="AN22" i="55"/>
  <c r="AO23" i="55"/>
  <c r="AQ24" i="55"/>
  <c r="AS25" i="55"/>
  <c r="AK27" i="55"/>
  <c r="BX28" i="55"/>
  <c r="BY27" i="55"/>
  <c r="BZ26" i="55"/>
  <c r="CA25" i="55"/>
  <c r="CB24" i="55"/>
  <c r="CC23" i="55"/>
  <c r="BU23" i="55"/>
  <c r="BV22" i="55"/>
  <c r="BW21" i="55"/>
  <c r="BX20" i="55"/>
  <c r="BY19" i="55"/>
  <c r="CC28" i="55"/>
  <c r="BU28" i="55"/>
  <c r="BV27" i="55"/>
  <c r="BW26" i="55"/>
  <c r="BX25" i="55"/>
  <c r="BY24" i="55"/>
  <c r="BZ23" i="55"/>
  <c r="CA22" i="55"/>
  <c r="CB21" i="55"/>
  <c r="CC20" i="55"/>
  <c r="BU20" i="55"/>
  <c r="BV19" i="55"/>
  <c r="BV20" i="55"/>
  <c r="BX21" i="55"/>
  <c r="BY22" i="55"/>
  <c r="CA23" i="55"/>
  <c r="CC24" i="55"/>
  <c r="BU26" i="55"/>
  <c r="BW27" i="55"/>
  <c r="BY28" i="55"/>
  <c r="CX28" i="55"/>
  <c r="CY27" i="55"/>
  <c r="CZ26" i="55"/>
  <c r="DA25" i="55"/>
  <c r="CS25" i="55"/>
  <c r="CT24" i="55"/>
  <c r="CU23" i="55"/>
  <c r="CV22" i="55"/>
  <c r="CW21" i="55"/>
  <c r="CX20" i="55"/>
  <c r="CY19" i="55"/>
  <c r="CU28" i="55"/>
  <c r="CV27" i="55"/>
  <c r="CW26" i="55"/>
  <c r="CX25" i="55"/>
  <c r="CY24" i="55"/>
  <c r="CZ23" i="55"/>
  <c r="DA22" i="55"/>
  <c r="CS22" i="55"/>
  <c r="CT21" i="55"/>
  <c r="CU20" i="55"/>
  <c r="CV19" i="55"/>
  <c r="CS20" i="55"/>
  <c r="CU21" i="55"/>
  <c r="CW22" i="55"/>
  <c r="CX23" i="55"/>
  <c r="CZ24" i="55"/>
  <c r="CS26" i="55"/>
  <c r="CT27" i="55"/>
  <c r="CV28" i="55"/>
  <c r="DQ20" i="55"/>
  <c r="DR21" i="55"/>
  <c r="DT22" i="55"/>
  <c r="DW23" i="55"/>
  <c r="DR25" i="55"/>
  <c r="DX26" i="55"/>
  <c r="FC28" i="55"/>
  <c r="FD27" i="55"/>
  <c r="FE26" i="55"/>
  <c r="FF25" i="55"/>
  <c r="FG24" i="55"/>
  <c r="FH23" i="55"/>
  <c r="FI22" i="55"/>
  <c r="FA22" i="55"/>
  <c r="FB21" i="55"/>
  <c r="FC20" i="55"/>
  <c r="FD19" i="55"/>
  <c r="FI28" i="55"/>
  <c r="FA28" i="55"/>
  <c r="FB27" i="55"/>
  <c r="FC26" i="55"/>
  <c r="FD25" i="55"/>
  <c r="FE24" i="55"/>
  <c r="FF23" i="55"/>
  <c r="FG22" i="55"/>
  <c r="FH21" i="55"/>
  <c r="FI20" i="55"/>
  <c r="FA20" i="55"/>
  <c r="FB19" i="55"/>
  <c r="FH28" i="55"/>
  <c r="FI27" i="55"/>
  <c r="FA27" i="55"/>
  <c r="FB26" i="55"/>
  <c r="FC25" i="55"/>
  <c r="FD24" i="55"/>
  <c r="FE23" i="55"/>
  <c r="FF22" i="55"/>
  <c r="FG21" i="55"/>
  <c r="FH20" i="55"/>
  <c r="FI19" i="55"/>
  <c r="FA19" i="55"/>
  <c r="FF28" i="55"/>
  <c r="FC27" i="55"/>
  <c r="FH25" i="55"/>
  <c r="FC24" i="55"/>
  <c r="FA23" i="55"/>
  <c r="FE21" i="55"/>
  <c r="FB20" i="55"/>
  <c r="FD28" i="55"/>
  <c r="FH26" i="55"/>
  <c r="FE25" i="55"/>
  <c r="FB28" i="55"/>
  <c r="FG26" i="55"/>
  <c r="FB25" i="55"/>
  <c r="FI23" i="55"/>
  <c r="FD22" i="55"/>
  <c r="FA21" i="55"/>
  <c r="FF19" i="55"/>
  <c r="FG20" i="55"/>
  <c r="FH22" i="55"/>
  <c r="FH24" i="55"/>
  <c r="FI26" i="55"/>
  <c r="GB20" i="55"/>
  <c r="GE22" i="55"/>
  <c r="GF24" i="55"/>
  <c r="FZ27" i="55"/>
  <c r="HP20" i="55"/>
  <c r="HP23" i="55"/>
  <c r="HO26" i="55"/>
  <c r="IJ28" i="55"/>
  <c r="IK27" i="55"/>
  <c r="IL26" i="55"/>
  <c r="IM25" i="55"/>
  <c r="IN24" i="55"/>
  <c r="IO23" i="55"/>
  <c r="IG23" i="55"/>
  <c r="IH22" i="55"/>
  <c r="II21" i="55"/>
  <c r="IO28" i="55"/>
  <c r="IG28" i="55"/>
  <c r="IH27" i="55"/>
  <c r="II26" i="55"/>
  <c r="IJ25" i="55"/>
  <c r="IK24" i="55"/>
  <c r="IL23" i="55"/>
  <c r="IM22" i="55"/>
  <c r="IN21" i="55"/>
  <c r="IO20" i="55"/>
  <c r="IN28" i="55"/>
  <c r="IM27" i="55"/>
  <c r="IK26" i="55"/>
  <c r="II25" i="55"/>
  <c r="IH24" i="55"/>
  <c r="IO22" i="55"/>
  <c r="IM21" i="55"/>
  <c r="IL20" i="55"/>
  <c r="IM19" i="55"/>
  <c r="IL28" i="55"/>
  <c r="IJ27" i="55"/>
  <c r="IH26" i="55"/>
  <c r="IG25" i="55"/>
  <c r="IN23" i="55"/>
  <c r="IL22" i="55"/>
  <c r="IK21" i="55"/>
  <c r="IJ20" i="55"/>
  <c r="IK19" i="55"/>
  <c r="IK28" i="55"/>
  <c r="II27" i="55"/>
  <c r="IG26" i="55"/>
  <c r="IO24" i="55"/>
  <c r="IM23" i="55"/>
  <c r="IK22" i="55"/>
  <c r="IJ21" i="55"/>
  <c r="II20" i="55"/>
  <c r="IJ19" i="55"/>
  <c r="IH28" i="55"/>
  <c r="IJ26" i="55"/>
  <c r="IJ24" i="55"/>
  <c r="IJ22" i="55"/>
  <c r="IM20" i="55"/>
  <c r="IH19" i="55"/>
  <c r="IL27" i="55"/>
  <c r="IL25" i="55"/>
  <c r="IK23" i="55"/>
  <c r="IO21" i="55"/>
  <c r="IG20" i="55"/>
  <c r="IO26" i="55"/>
  <c r="IH25" i="55"/>
  <c r="II23" i="55"/>
  <c r="IH21" i="55"/>
  <c r="IN19" i="55"/>
  <c r="IM28" i="55"/>
  <c r="IN26" i="55"/>
  <c r="IM24" i="55"/>
  <c r="IH23" i="55"/>
  <c r="IG21" i="55"/>
  <c r="IL19" i="55"/>
  <c r="IG22" i="55"/>
  <c r="IN25" i="55"/>
  <c r="AO28" i="55"/>
  <c r="AP27" i="55"/>
  <c r="AQ26" i="55"/>
  <c r="AR25" i="55"/>
  <c r="AS24" i="55"/>
  <c r="AK24" i="55"/>
  <c r="AL23" i="55"/>
  <c r="AM22" i="55"/>
  <c r="AN21" i="55"/>
  <c r="AO20" i="55"/>
  <c r="AP19" i="55"/>
  <c r="AL28" i="55"/>
  <c r="AM27" i="55"/>
  <c r="AN26" i="55"/>
  <c r="AO25" i="55"/>
  <c r="AP24" i="55"/>
  <c r="AQ23" i="55"/>
  <c r="AR22" i="55"/>
  <c r="AS21" i="55"/>
  <c r="AK21" i="55"/>
  <c r="AL20" i="55"/>
  <c r="AM19" i="55"/>
  <c r="AK20" i="55"/>
  <c r="AM21" i="55"/>
  <c r="AO22" i="55"/>
  <c r="AP23" i="55"/>
  <c r="AR24" i="55"/>
  <c r="AK26" i="55"/>
  <c r="AL27" i="55"/>
  <c r="AN28" i="55"/>
  <c r="BU19" i="55"/>
  <c r="BW20" i="55"/>
  <c r="BY21" i="55"/>
  <c r="BZ22" i="55"/>
  <c r="CB23" i="55"/>
  <c r="BU25" i="55"/>
  <c r="BV26" i="55"/>
  <c r="BX27" i="55"/>
  <c r="BZ28" i="55"/>
  <c r="CS19" i="55"/>
  <c r="CT20" i="55"/>
  <c r="CV21" i="55"/>
  <c r="CX22" i="55"/>
  <c r="CY23" i="55"/>
  <c r="DA24" i="55"/>
  <c r="CT26" i="55"/>
  <c r="CU27" i="55"/>
  <c r="CW28" i="55"/>
  <c r="DT28" i="55"/>
  <c r="DU27" i="55"/>
  <c r="DV26" i="55"/>
  <c r="DW25" i="55"/>
  <c r="DX24" i="55"/>
  <c r="DY23" i="55"/>
  <c r="DY28" i="55"/>
  <c r="DQ28" i="55"/>
  <c r="DR27" i="55"/>
  <c r="DS26" i="55"/>
  <c r="DT25" i="55"/>
  <c r="DU24" i="55"/>
  <c r="DV23" i="55"/>
  <c r="DS28" i="55"/>
  <c r="DQ27" i="55"/>
  <c r="DY25" i="55"/>
  <c r="DW24" i="55"/>
  <c r="DU23" i="55"/>
  <c r="DV22" i="55"/>
  <c r="DW21" i="55"/>
  <c r="DX20" i="55"/>
  <c r="DY19" i="55"/>
  <c r="DQ19" i="55"/>
  <c r="DX27" i="55"/>
  <c r="DW26" i="55"/>
  <c r="DU25" i="55"/>
  <c r="DS24" i="55"/>
  <c r="DR23" i="55"/>
  <c r="DS22" i="55"/>
  <c r="DT21" i="55"/>
  <c r="DU20" i="55"/>
  <c r="DV19" i="55"/>
  <c r="DR20" i="55"/>
  <c r="DS21" i="55"/>
  <c r="DU22" i="55"/>
  <c r="DX23" i="55"/>
  <c r="DS25" i="55"/>
  <c r="DY26" i="55"/>
  <c r="DV28" i="55"/>
  <c r="FC19" i="55"/>
  <c r="FC21" i="55"/>
  <c r="FB23" i="55"/>
  <c r="FI24" i="55"/>
  <c r="FE27" i="55"/>
  <c r="GD20" i="55"/>
  <c r="FY23" i="55"/>
  <c r="GA25" i="55"/>
  <c r="HL21" i="55"/>
  <c r="HJ24" i="55"/>
  <c r="IG19" i="55"/>
  <c r="II22" i="55"/>
  <c r="IO25" i="55"/>
  <c r="HL28" i="55"/>
  <c r="HM27" i="55"/>
  <c r="HN26" i="55"/>
  <c r="HO25" i="55"/>
  <c r="HP24" i="55"/>
  <c r="HQ23" i="55"/>
  <c r="HI23" i="55"/>
  <c r="HJ22" i="55"/>
  <c r="HK21" i="55"/>
  <c r="HL20" i="55"/>
  <c r="HM19" i="55"/>
  <c r="HJ28" i="55"/>
  <c r="HK27" i="55"/>
  <c r="HL26" i="55"/>
  <c r="HM25" i="55"/>
  <c r="HN24" i="55"/>
  <c r="HO23" i="55"/>
  <c r="HP22" i="55"/>
  <c r="HQ21" i="55"/>
  <c r="HI21" i="55"/>
  <c r="HJ20" i="55"/>
  <c r="HK19" i="55"/>
  <c r="HQ28" i="55"/>
  <c r="HI28" i="55"/>
  <c r="HJ27" i="55"/>
  <c r="HK26" i="55"/>
  <c r="HL25" i="55"/>
  <c r="HM24" i="55"/>
  <c r="HN23" i="55"/>
  <c r="HO22" i="55"/>
  <c r="HP21" i="55"/>
  <c r="HQ20" i="55"/>
  <c r="HI20" i="55"/>
  <c r="HJ19" i="55"/>
  <c r="HK28" i="55"/>
  <c r="HP26" i="55"/>
  <c r="HK25" i="55"/>
  <c r="HI24" i="55"/>
  <c r="HM22" i="55"/>
  <c r="HJ21" i="55"/>
  <c r="HO19" i="55"/>
  <c r="HO27" i="55"/>
  <c r="HJ26" i="55"/>
  <c r="HQ24" i="55"/>
  <c r="HL23" i="55"/>
  <c r="HI22" i="55"/>
  <c r="HN20" i="55"/>
  <c r="HI19" i="55"/>
  <c r="HO28" i="55"/>
  <c r="HL27" i="55"/>
  <c r="HQ25" i="55"/>
  <c r="HL24" i="55"/>
  <c r="HJ23" i="55"/>
  <c r="HN21" i="55"/>
  <c r="HK20" i="55"/>
  <c r="HN28" i="55"/>
  <c r="HI27" i="55"/>
  <c r="HP25" i="55"/>
  <c r="HK24" i="55"/>
  <c r="HQ22" i="55"/>
  <c r="HM21" i="55"/>
  <c r="HQ19" i="55"/>
  <c r="HO21" i="55"/>
  <c r="HO24" i="55"/>
  <c r="HN27" i="55"/>
  <c r="AL19" i="55"/>
  <c r="AN20" i="55"/>
  <c r="AP21" i="55"/>
  <c r="AQ22" i="55"/>
  <c r="AS23" i="55"/>
  <c r="AL25" i="55"/>
  <c r="AM26" i="55"/>
  <c r="AO27" i="55"/>
  <c r="AQ28" i="55"/>
  <c r="BX19" i="55"/>
  <c r="BZ20" i="55"/>
  <c r="CA21" i="55"/>
  <c r="CC22" i="55"/>
  <c r="BV24" i="55"/>
  <c r="BW25" i="55"/>
  <c r="BY26" i="55"/>
  <c r="CA27" i="55"/>
  <c r="CB28" i="55"/>
  <c r="CU19" i="55"/>
  <c r="CW20" i="55"/>
  <c r="CY21" i="55"/>
  <c r="CZ22" i="55"/>
  <c r="CS24" i="55"/>
  <c r="CU25" i="55"/>
  <c r="CV26" i="55"/>
  <c r="CX27" i="55"/>
  <c r="CZ28" i="55"/>
  <c r="DS19" i="55"/>
  <c r="DT20" i="55"/>
  <c r="DV21" i="55"/>
  <c r="DX22" i="55"/>
  <c r="DR24" i="55"/>
  <c r="DX25" i="55"/>
  <c r="DT27" i="55"/>
  <c r="DX28" i="55"/>
  <c r="FG19" i="55"/>
  <c r="FF21" i="55"/>
  <c r="FD23" i="55"/>
  <c r="FG25" i="55"/>
  <c r="FG27" i="55"/>
  <c r="GC28" i="55"/>
  <c r="GD27" i="55"/>
  <c r="GE26" i="55"/>
  <c r="GF25" i="55"/>
  <c r="GG24" i="55"/>
  <c r="FY24" i="55"/>
  <c r="FZ23" i="55"/>
  <c r="GA22" i="55"/>
  <c r="GB21" i="55"/>
  <c r="GC20" i="55"/>
  <c r="GD19" i="55"/>
  <c r="GA28" i="55"/>
  <c r="GB27" i="55"/>
  <c r="GC26" i="55"/>
  <c r="GD25" i="55"/>
  <c r="GE24" i="55"/>
  <c r="GF23" i="55"/>
  <c r="GG22" i="55"/>
  <c r="FY22" i="55"/>
  <c r="FZ21" i="55"/>
  <c r="GA20" i="55"/>
  <c r="GB19" i="55"/>
  <c r="FZ28" i="55"/>
  <c r="GA27" i="55"/>
  <c r="GB26" i="55"/>
  <c r="GC25" i="55"/>
  <c r="GD24" i="55"/>
  <c r="GE23" i="55"/>
  <c r="GF22" i="55"/>
  <c r="GG21" i="55"/>
  <c r="FY21" i="55"/>
  <c r="FZ20" i="55"/>
  <c r="GA19" i="55"/>
  <c r="GB28" i="55"/>
  <c r="GG26" i="55"/>
  <c r="GB25" i="55"/>
  <c r="FZ24" i="55"/>
  <c r="GD22" i="55"/>
  <c r="GA21" i="55"/>
  <c r="GF19" i="55"/>
  <c r="GG27" i="55"/>
  <c r="GD26" i="55"/>
  <c r="FZ25" i="55"/>
  <c r="GD23" i="55"/>
  <c r="GB22" i="55"/>
  <c r="GF20" i="55"/>
  <c r="GC19" i="55"/>
  <c r="GF27" i="55"/>
  <c r="GA26" i="55"/>
  <c r="FY25" i="55"/>
  <c r="GC23" i="55"/>
  <c r="FZ22" i="55"/>
  <c r="GE20" i="55"/>
  <c r="FZ19" i="55"/>
  <c r="GC21" i="55"/>
  <c r="GB23" i="55"/>
  <c r="GG25" i="55"/>
  <c r="FY28" i="55"/>
  <c r="HL19" i="55"/>
  <c r="HK22" i="55"/>
  <c r="HI25" i="55"/>
  <c r="HP27" i="55"/>
  <c r="IO19" i="55"/>
  <c r="IJ23" i="55"/>
  <c r="IG27" i="55"/>
  <c r="HM20" i="55"/>
  <c r="HK23" i="55"/>
  <c r="HI26" i="55"/>
  <c r="HP28" i="55"/>
  <c r="BD19" i="55"/>
  <c r="BC20" i="55"/>
  <c r="BB21" i="55"/>
  <c r="BA22" i="55"/>
  <c r="AZ23" i="55"/>
  <c r="AY24" i="55"/>
  <c r="AX25" i="55"/>
  <c r="AW26" i="55"/>
  <c r="BE26" i="55"/>
  <c r="BD27" i="55"/>
  <c r="BC28" i="55"/>
  <c r="BM19" i="55"/>
  <c r="BL20" i="55"/>
  <c r="BK21" i="55"/>
  <c r="BJ22" i="55"/>
  <c r="BI23" i="55"/>
  <c r="BQ23" i="55"/>
  <c r="BP24" i="55"/>
  <c r="BO25" i="55"/>
  <c r="BN26" i="55"/>
  <c r="BM27" i="55"/>
  <c r="BL28" i="55"/>
  <c r="EK28" i="55"/>
  <c r="EC28" i="55"/>
  <c r="ED27" i="55"/>
  <c r="EE26" i="55"/>
  <c r="EF25" i="55"/>
  <c r="EG24" i="55"/>
  <c r="EH23" i="55"/>
  <c r="EI22" i="55"/>
  <c r="EJ21" i="55"/>
  <c r="EK20" i="55"/>
  <c r="EC20" i="55"/>
  <c r="ED19" i="55"/>
  <c r="EH28" i="55"/>
  <c r="EI27" i="55"/>
  <c r="EJ26" i="55"/>
  <c r="EK25" i="55"/>
  <c r="EC25" i="55"/>
  <c r="ED24" i="55"/>
  <c r="EE23" i="55"/>
  <c r="EF22" i="55"/>
  <c r="EG21" i="55"/>
  <c r="EH20" i="55"/>
  <c r="EI19" i="55"/>
  <c r="ED20" i="55"/>
  <c r="EE21" i="55"/>
  <c r="EG22" i="55"/>
  <c r="EI23" i="55"/>
  <c r="EJ24" i="55"/>
  <c r="EC26" i="55"/>
  <c r="EE27" i="55"/>
  <c r="EF28" i="55"/>
  <c r="IV20" i="55"/>
  <c r="IW22" i="55"/>
  <c r="IS24" i="55"/>
  <c r="IT26" i="55"/>
  <c r="JU20" i="55"/>
  <c r="JU22" i="55"/>
  <c r="JU24" i="55"/>
  <c r="JS26" i="55"/>
  <c r="MB21" i="55"/>
  <c r="LZ25" i="55"/>
  <c r="MC28" i="55"/>
  <c r="O113" i="54"/>
  <c r="JA28" i="55"/>
  <c r="IS28" i="55"/>
  <c r="IT27" i="55"/>
  <c r="IU26" i="55"/>
  <c r="IV25" i="55"/>
  <c r="IW24" i="55"/>
  <c r="IX23" i="55"/>
  <c r="IY22" i="55"/>
  <c r="IZ21" i="55"/>
  <c r="JA20" i="55"/>
  <c r="IS20" i="55"/>
  <c r="IT19" i="55"/>
  <c r="IX28" i="55"/>
  <c r="IY27" i="55"/>
  <c r="IZ26" i="55"/>
  <c r="JA25" i="55"/>
  <c r="IS25" i="55"/>
  <c r="IT24" i="55"/>
  <c r="IU23" i="55"/>
  <c r="IV22" i="55"/>
  <c r="IW21" i="55"/>
  <c r="IX20" i="55"/>
  <c r="IY19" i="55"/>
  <c r="IU28" i="55"/>
  <c r="IS27" i="55"/>
  <c r="IZ25" i="55"/>
  <c r="IY24" i="55"/>
  <c r="IW23" i="55"/>
  <c r="IU22" i="55"/>
  <c r="IT21" i="55"/>
  <c r="JA19" i="55"/>
  <c r="JA27" i="55"/>
  <c r="IY26" i="55"/>
  <c r="IX25" i="55"/>
  <c r="IV24" i="55"/>
  <c r="IT23" i="55"/>
  <c r="IS22" i="55"/>
  <c r="IZ20" i="55"/>
  <c r="IX19" i="55"/>
  <c r="IZ27" i="55"/>
  <c r="IX26" i="55"/>
  <c r="IW25" i="55"/>
  <c r="IU24" i="55"/>
  <c r="IS23" i="55"/>
  <c r="JA21" i="55"/>
  <c r="IY20" i="55"/>
  <c r="IW19" i="55"/>
  <c r="IW20" i="55"/>
  <c r="IX22" i="55"/>
  <c r="IX24" i="55"/>
  <c r="IV26" i="55"/>
  <c r="IV28" i="55"/>
  <c r="JS28" i="55"/>
  <c r="JT27" i="55"/>
  <c r="JU26" i="55"/>
  <c r="JV25" i="55"/>
  <c r="JW24" i="55"/>
  <c r="JX23" i="55"/>
  <c r="JY22" i="55"/>
  <c r="JQ22" i="55"/>
  <c r="JR21" i="55"/>
  <c r="JS20" i="55"/>
  <c r="JT19" i="55"/>
  <c r="JX28" i="55"/>
  <c r="JY27" i="55"/>
  <c r="JQ27" i="55"/>
  <c r="JR26" i="55"/>
  <c r="JS25" i="55"/>
  <c r="JT24" i="55"/>
  <c r="JU23" i="55"/>
  <c r="JV22" i="55"/>
  <c r="JW21" i="55"/>
  <c r="JX20" i="55"/>
  <c r="JY19" i="55"/>
  <c r="JQ19" i="55"/>
  <c r="JR28" i="55"/>
  <c r="JY26" i="55"/>
  <c r="JX25" i="55"/>
  <c r="JV24" i="55"/>
  <c r="JT23" i="55"/>
  <c r="JS22" i="55"/>
  <c r="JQ21" i="55"/>
  <c r="JX19" i="55"/>
  <c r="JX27" i="55"/>
  <c r="JW26" i="55"/>
  <c r="JU25" i="55"/>
  <c r="JS24" i="55"/>
  <c r="JR23" i="55"/>
  <c r="JY21" i="55"/>
  <c r="JW20" i="55"/>
  <c r="JV19" i="55"/>
  <c r="JY28" i="55"/>
  <c r="JW27" i="55"/>
  <c r="JV26" i="55"/>
  <c r="JT25" i="55"/>
  <c r="JR24" i="55"/>
  <c r="JQ23" i="55"/>
  <c r="JX21" i="55"/>
  <c r="JV20" i="55"/>
  <c r="JU19" i="55"/>
  <c r="JY20" i="55"/>
  <c r="JW22" i="55"/>
  <c r="JX24" i="55"/>
  <c r="JT26" i="55"/>
  <c r="JU28" i="55"/>
  <c r="ME21" i="55"/>
  <c r="ML28" i="55"/>
  <c r="MM27" i="55"/>
  <c r="MN26" i="55"/>
  <c r="MO25" i="55"/>
  <c r="MP24" i="55"/>
  <c r="MQ23" i="55"/>
  <c r="MR22" i="55"/>
  <c r="MS21" i="55"/>
  <c r="MK21" i="55"/>
  <c r="ML20" i="55"/>
  <c r="MM19" i="55"/>
  <c r="MS28" i="55"/>
  <c r="MK28" i="55"/>
  <c r="ML27" i="55"/>
  <c r="MM26" i="55"/>
  <c r="MN25" i="55"/>
  <c r="MO24" i="55"/>
  <c r="MP23" i="55"/>
  <c r="MQ22" i="55"/>
  <c r="MR21" i="55"/>
  <c r="MS20" i="55"/>
  <c r="MK20" i="55"/>
  <c r="MR28" i="55"/>
  <c r="MS27" i="55"/>
  <c r="MK27" i="55"/>
  <c r="ML26" i="55"/>
  <c r="MM25" i="55"/>
  <c r="MN24" i="55"/>
  <c r="MO23" i="55"/>
  <c r="MP22" i="55"/>
  <c r="MQ21" i="55"/>
  <c r="MR20" i="55"/>
  <c r="MS19" i="55"/>
  <c r="MR27" i="55"/>
  <c r="MP26" i="55"/>
  <c r="MK25" i="55"/>
  <c r="MR23" i="55"/>
  <c r="MM22" i="55"/>
  <c r="MQ20" i="55"/>
  <c r="MO19" i="55"/>
  <c r="MP27" i="55"/>
  <c r="MK26" i="55"/>
  <c r="MR24" i="55"/>
  <c r="MM23" i="55"/>
  <c r="MK22" i="55"/>
  <c r="MO20" i="55"/>
  <c r="ML19" i="55"/>
  <c r="MQ28" i="55"/>
  <c r="MO27" i="55"/>
  <c r="MS25" i="55"/>
  <c r="MQ24" i="55"/>
  <c r="ML23" i="55"/>
  <c r="MP21" i="55"/>
  <c r="MN20" i="55"/>
  <c r="MK19" i="55"/>
  <c r="MS26" i="55"/>
  <c r="MS24" i="55"/>
  <c r="MO22" i="55"/>
  <c r="MM20" i="55"/>
  <c r="MP28" i="55"/>
  <c r="MQ26" i="55"/>
  <c r="ML24" i="55"/>
  <c r="ML22" i="55"/>
  <c r="MQ19" i="55"/>
  <c r="MO28" i="55"/>
  <c r="MO26" i="55"/>
  <c r="MK24" i="55"/>
  <c r="MO21" i="55"/>
  <c r="MP19" i="55"/>
  <c r="MR26" i="55"/>
  <c r="MK23" i="55"/>
  <c r="MN19" i="55"/>
  <c r="MQ25" i="55"/>
  <c r="MN22" i="55"/>
  <c r="MP25" i="55"/>
  <c r="MN21" i="55"/>
  <c r="MM24" i="55"/>
  <c r="MD28" i="55"/>
  <c r="ME27" i="55"/>
  <c r="MF26" i="55"/>
  <c r="MG25" i="55"/>
  <c r="LY25" i="55"/>
  <c r="LZ24" i="55"/>
  <c r="MA23" i="55"/>
  <c r="MB22" i="55"/>
  <c r="MC21" i="55"/>
  <c r="MD20" i="55"/>
  <c r="ME19" i="55"/>
  <c r="MB28" i="55"/>
  <c r="MC27" i="55"/>
  <c r="MD26" i="55"/>
  <c r="ME25" i="55"/>
  <c r="MF24" i="55"/>
  <c r="MG23" i="55"/>
  <c r="LY23" i="55"/>
  <c r="LZ22" i="55"/>
  <c r="MA21" i="55"/>
  <c r="MB20" i="55"/>
  <c r="MC19" i="55"/>
  <c r="MA28" i="55"/>
  <c r="MB27" i="55"/>
  <c r="MC26" i="55"/>
  <c r="MD25" i="55"/>
  <c r="ME24" i="55"/>
  <c r="MF23" i="55"/>
  <c r="MG22" i="55"/>
  <c r="LY22" i="55"/>
  <c r="LZ21" i="55"/>
  <c r="MA20" i="55"/>
  <c r="MB19" i="55"/>
  <c r="ME28" i="55"/>
  <c r="LZ27" i="55"/>
  <c r="MF25" i="55"/>
  <c r="MB24" i="55"/>
  <c r="MF22" i="55"/>
  <c r="MD21" i="55"/>
  <c r="LY20" i="55"/>
  <c r="LZ28" i="55"/>
  <c r="MG26" i="55"/>
  <c r="MB25" i="55"/>
  <c r="LY24" i="55"/>
  <c r="MD22" i="55"/>
  <c r="LY21" i="55"/>
  <c r="MF19" i="55"/>
  <c r="LY28" i="55"/>
  <c r="ME26" i="55"/>
  <c r="MA25" i="55"/>
  <c r="ME23" i="55"/>
  <c r="MC22" i="55"/>
  <c r="MG20" i="55"/>
  <c r="MD19" i="55"/>
  <c r="MA27" i="55"/>
  <c r="MG24" i="55"/>
  <c r="ME22" i="55"/>
  <c r="MC20" i="55"/>
  <c r="MG28" i="55"/>
  <c r="MB26" i="55"/>
  <c r="MC24" i="55"/>
  <c r="MG21" i="55"/>
  <c r="MG19" i="55"/>
  <c r="MF28" i="55"/>
  <c r="MA26" i="55"/>
  <c r="MA24" i="55"/>
  <c r="MF21" i="55"/>
  <c r="MA19" i="55"/>
  <c r="MA22" i="55"/>
  <c r="LY26" i="55"/>
  <c r="W33" i="54"/>
  <c r="W31" i="54"/>
  <c r="W30" i="54"/>
  <c r="W29" i="54"/>
  <c r="W36" i="54"/>
  <c r="W28" i="54"/>
  <c r="W34" i="54"/>
  <c r="W32" i="54"/>
  <c r="W35" i="54"/>
  <c r="AY19" i="55"/>
  <c r="AX20" i="55"/>
  <c r="AW21" i="55"/>
  <c r="BE21" i="55"/>
  <c r="BD22" i="55"/>
  <c r="BC23" i="55"/>
  <c r="BB24" i="55"/>
  <c r="BA25" i="55"/>
  <c r="AZ26" i="55"/>
  <c r="AY27" i="55"/>
  <c r="BP19" i="55"/>
  <c r="BO20" i="55"/>
  <c r="BN21" i="55"/>
  <c r="BM22" i="55"/>
  <c r="BL23" i="55"/>
  <c r="BK24" i="55"/>
  <c r="BJ25" i="55"/>
  <c r="BI26" i="55"/>
  <c r="BQ26" i="55"/>
  <c r="BP27" i="55"/>
  <c r="EF19" i="55"/>
  <c r="EG20" i="55"/>
  <c r="EI21" i="55"/>
  <c r="EK22" i="55"/>
  <c r="EC24" i="55"/>
  <c r="EE25" i="55"/>
  <c r="EG26" i="55"/>
  <c r="EH27" i="55"/>
  <c r="EJ28" i="55"/>
  <c r="IU19" i="55"/>
  <c r="IU21" i="55"/>
  <c r="JA22" i="55"/>
  <c r="JA24" i="55"/>
  <c r="JA26" i="55"/>
  <c r="IY28" i="55"/>
  <c r="JS19" i="55"/>
  <c r="JT21" i="55"/>
  <c r="JS23" i="55"/>
  <c r="JQ25" i="55"/>
  <c r="JR27" i="55"/>
  <c r="JW28" i="55"/>
  <c r="LY19" i="55"/>
  <c r="LZ23" i="55"/>
  <c r="LZ26" i="55"/>
  <c r="MP20" i="55"/>
  <c r="MR25" i="55"/>
  <c r="T117" i="54"/>
  <c r="U116" i="54"/>
  <c r="M116" i="54"/>
  <c r="N115" i="54"/>
  <c r="O114" i="54"/>
  <c r="P113" i="54"/>
  <c r="Q112" i="54"/>
  <c r="R111" i="54"/>
  <c r="S110" i="54"/>
  <c r="T109" i="54"/>
  <c r="U108" i="54"/>
  <c r="M108" i="54"/>
  <c r="R117" i="54"/>
  <c r="S116" i="54"/>
  <c r="T115" i="54"/>
  <c r="U114" i="54"/>
  <c r="M114" i="54"/>
  <c r="N113" i="54"/>
  <c r="O112" i="54"/>
  <c r="P111" i="54"/>
  <c r="Q110" i="54"/>
  <c r="R109" i="54"/>
  <c r="S108" i="54"/>
  <c r="Q117" i="54"/>
  <c r="R116" i="54"/>
  <c r="S115" i="54"/>
  <c r="T114" i="54"/>
  <c r="U113" i="54"/>
  <c r="M113" i="54"/>
  <c r="N112" i="54"/>
  <c r="O111" i="54"/>
  <c r="P110" i="54"/>
  <c r="Q109" i="54"/>
  <c r="R108" i="54"/>
  <c r="P117" i="54"/>
  <c r="Q116" i="54"/>
  <c r="R115" i="54"/>
  <c r="S114" i="54"/>
  <c r="T113" i="54"/>
  <c r="U112" i="54"/>
  <c r="M112" i="54"/>
  <c r="N111" i="54"/>
  <c r="O110" i="54"/>
  <c r="P109" i="54"/>
  <c r="Q108" i="54"/>
  <c r="O117" i="54"/>
  <c r="P116" i="54"/>
  <c r="Q115" i="54"/>
  <c r="R114" i="54"/>
  <c r="S113" i="54"/>
  <c r="T112" i="54"/>
  <c r="U111" i="54"/>
  <c r="M111" i="54"/>
  <c r="N110" i="54"/>
  <c r="O109" i="54"/>
  <c r="P108" i="54"/>
  <c r="M117" i="54"/>
  <c r="Q114" i="54"/>
  <c r="P112" i="54"/>
  <c r="U109" i="54"/>
  <c r="O116" i="54"/>
  <c r="N114" i="54"/>
  <c r="S111" i="54"/>
  <c r="N109" i="54"/>
  <c r="N116" i="54"/>
  <c r="R113" i="54"/>
  <c r="Q111" i="54"/>
  <c r="M109" i="54"/>
  <c r="P115" i="54"/>
  <c r="T111" i="54"/>
  <c r="N108" i="54"/>
  <c r="M115" i="54"/>
  <c r="T110" i="54"/>
  <c r="U117" i="54"/>
  <c r="P114" i="54"/>
  <c r="R110" i="54"/>
  <c r="S112" i="54"/>
  <c r="S117" i="54"/>
  <c r="N117" i="54"/>
  <c r="U110" i="54"/>
  <c r="T116" i="54"/>
  <c r="M110" i="54"/>
  <c r="U115" i="54"/>
  <c r="ME20" i="55"/>
  <c r="MD23" i="55"/>
  <c r="MF27" i="55"/>
  <c r="GR19" i="55"/>
  <c r="GQ20" i="55"/>
  <c r="GP21" i="55"/>
  <c r="GO22" i="55"/>
  <c r="GN23" i="55"/>
  <c r="GM24" i="55"/>
  <c r="GL25" i="55"/>
  <c r="GK26" i="55"/>
  <c r="GS26" i="55"/>
  <c r="GR27" i="55"/>
  <c r="GQ28" i="55"/>
  <c r="HA19" i="55"/>
  <c r="GZ20" i="55"/>
  <c r="GY21" i="55"/>
  <c r="GX22" i="55"/>
  <c r="GW23" i="55"/>
  <c r="HE23" i="55"/>
  <c r="HD24" i="55"/>
  <c r="HC25" i="55"/>
  <c r="HB26" i="55"/>
  <c r="HA27" i="55"/>
  <c r="GZ28" i="55"/>
  <c r="IA19" i="55"/>
  <c r="HZ20" i="55"/>
  <c r="HY21" i="55"/>
  <c r="HX22" i="55"/>
  <c r="HW23" i="55"/>
  <c r="HV24" i="55"/>
  <c r="HU25" i="55"/>
  <c r="IC25" i="55"/>
  <c r="IB26" i="55"/>
  <c r="IA27" i="55"/>
  <c r="HZ28" i="55"/>
  <c r="JJ28" i="55"/>
  <c r="JK27" i="55"/>
  <c r="JL26" i="55"/>
  <c r="JM25" i="55"/>
  <c r="JE25" i="55"/>
  <c r="JF24" i="55"/>
  <c r="JG23" i="55"/>
  <c r="JH22" i="55"/>
  <c r="JI21" i="55"/>
  <c r="JJ20" i="55"/>
  <c r="JK19" i="55"/>
  <c r="JG28" i="55"/>
  <c r="JH27" i="55"/>
  <c r="JI26" i="55"/>
  <c r="JJ25" i="55"/>
  <c r="JK24" i="55"/>
  <c r="JL23" i="55"/>
  <c r="JM22" i="55"/>
  <c r="JE22" i="55"/>
  <c r="JF21" i="55"/>
  <c r="JG20" i="55"/>
  <c r="JH19" i="55"/>
  <c r="JE20" i="55"/>
  <c r="JG21" i="55"/>
  <c r="JI22" i="55"/>
  <c r="JJ23" i="55"/>
  <c r="JL24" i="55"/>
  <c r="JE26" i="55"/>
  <c r="JF27" i="55"/>
  <c r="JH28" i="55"/>
  <c r="KD20" i="55"/>
  <c r="KF21" i="55"/>
  <c r="KJ22" i="55"/>
  <c r="KD24" i="55"/>
  <c r="KG25" i="55"/>
  <c r="KJ26" i="55"/>
  <c r="IB19" i="55"/>
  <c r="IA20" i="55"/>
  <c r="HZ21" i="55"/>
  <c r="HY22" i="55"/>
  <c r="HX23" i="55"/>
  <c r="HW24" i="55"/>
  <c r="HV25" i="55"/>
  <c r="HU26" i="55"/>
  <c r="IC26" i="55"/>
  <c r="IB27" i="55"/>
  <c r="IA28" i="55"/>
  <c r="KI28" i="55"/>
  <c r="KJ27" i="55"/>
  <c r="KK26" i="55"/>
  <c r="KC26" i="55"/>
  <c r="KD25" i="55"/>
  <c r="KE24" i="55"/>
  <c r="KF23" i="55"/>
  <c r="KG22" i="55"/>
  <c r="KH21" i="55"/>
  <c r="KI20" i="55"/>
  <c r="KJ19" i="55"/>
  <c r="KD28" i="55"/>
  <c r="KD27" i="55"/>
  <c r="KD26" i="55"/>
  <c r="KC25" i="55"/>
  <c r="KC24" i="55"/>
  <c r="KC23" i="55"/>
  <c r="KC22" i="55"/>
  <c r="KC21" i="55"/>
  <c r="KC20" i="55"/>
  <c r="KC19" i="55"/>
  <c r="KJ28" i="55"/>
  <c r="KI27" i="55"/>
  <c r="KI26" i="55"/>
  <c r="KI25" i="55"/>
  <c r="KI24" i="55"/>
  <c r="KI23" i="55"/>
  <c r="KI22" i="55"/>
  <c r="KI21" i="55"/>
  <c r="KH20" i="55"/>
  <c r="KH19" i="55"/>
  <c r="KE20" i="55"/>
  <c r="KG21" i="55"/>
  <c r="KK22" i="55"/>
  <c r="KF24" i="55"/>
  <c r="KH25" i="55"/>
  <c r="KC27" i="55"/>
  <c r="KF28" i="55"/>
  <c r="GM19" i="55"/>
  <c r="GL20" i="55"/>
  <c r="GK21" i="55"/>
  <c r="GS21" i="55"/>
  <c r="GR22" i="55"/>
  <c r="GQ23" i="55"/>
  <c r="GP24" i="55"/>
  <c r="GO25" i="55"/>
  <c r="GN26" i="55"/>
  <c r="GM27" i="55"/>
  <c r="HD19" i="55"/>
  <c r="HC20" i="55"/>
  <c r="HB21" i="55"/>
  <c r="HA22" i="55"/>
  <c r="GZ23" i="55"/>
  <c r="GY24" i="55"/>
  <c r="GX25" i="55"/>
  <c r="GW26" i="55"/>
  <c r="HE26" i="55"/>
  <c r="HD27" i="55"/>
  <c r="HV19" i="55"/>
  <c r="HU20" i="55"/>
  <c r="IC20" i="55"/>
  <c r="IB21" i="55"/>
  <c r="IA22" i="55"/>
  <c r="HZ23" i="55"/>
  <c r="HY24" i="55"/>
  <c r="HX25" i="55"/>
  <c r="HW26" i="55"/>
  <c r="HV27" i="55"/>
  <c r="HU28" i="55"/>
  <c r="JG19" i="55"/>
  <c r="JI20" i="55"/>
  <c r="JK21" i="55"/>
  <c r="JL22" i="55"/>
  <c r="JE24" i="55"/>
  <c r="JG25" i="55"/>
  <c r="JH26" i="55"/>
  <c r="JJ27" i="55"/>
  <c r="JL28" i="55"/>
  <c r="KE19" i="55"/>
  <c r="KG20" i="55"/>
  <c r="KK21" i="55"/>
  <c r="KE23" i="55"/>
  <c r="KH24" i="55"/>
  <c r="KK25" i="55"/>
  <c r="KF27" i="55"/>
  <c r="KH28" i="55"/>
  <c r="S86" i="54"/>
  <c r="Q86" i="54"/>
  <c r="P86" i="54"/>
  <c r="O86" i="54"/>
  <c r="N86" i="54"/>
  <c r="U86" i="54"/>
  <c r="R86" i="54"/>
  <c r="M86" i="54"/>
  <c r="N170" i="54"/>
  <c r="N168" i="54"/>
  <c r="N166" i="54"/>
  <c r="N164" i="54"/>
  <c r="P171" i="54"/>
  <c r="P169" i="54"/>
  <c r="P167" i="54"/>
  <c r="P165" i="54"/>
  <c r="P163" i="54"/>
  <c r="O171" i="54"/>
  <c r="O169" i="54"/>
  <c r="O167" i="54"/>
  <c r="O165" i="54"/>
  <c r="O163" i="54"/>
  <c r="N171" i="54"/>
  <c r="N169" i="54"/>
  <c r="N167" i="54"/>
  <c r="N165" i="54"/>
  <c r="N163" i="54"/>
  <c r="M171" i="54"/>
  <c r="M169" i="54"/>
  <c r="M167" i="54"/>
  <c r="M165" i="54"/>
  <c r="M163" i="54"/>
  <c r="P170" i="54"/>
  <c r="M166" i="54"/>
  <c r="M170" i="54"/>
  <c r="O164" i="54"/>
  <c r="P168" i="54"/>
  <c r="M164" i="54"/>
  <c r="O166" i="54"/>
  <c r="KS19" i="55"/>
  <c r="KR20" i="55"/>
  <c r="KQ21" i="55"/>
  <c r="KP22" i="55"/>
  <c r="KO23" i="55"/>
  <c r="KW23" i="55"/>
  <c r="KV24" i="55"/>
  <c r="KU25" i="55"/>
  <c r="KT26" i="55"/>
  <c r="KS27" i="55"/>
  <c r="KR28" i="55"/>
  <c r="LS19" i="55"/>
  <c r="LR20" i="55"/>
  <c r="LQ21" i="55"/>
  <c r="LP22" i="55"/>
  <c r="LO23" i="55"/>
  <c r="LN24" i="55"/>
  <c r="LM25" i="55"/>
  <c r="LU25" i="55"/>
  <c r="LT26" i="55"/>
  <c r="LS27" i="55"/>
  <c r="LR28" i="55"/>
  <c r="LT19" i="55"/>
  <c r="LS20" i="55"/>
  <c r="LR21" i="55"/>
  <c r="LQ22" i="55"/>
  <c r="LP23" i="55"/>
  <c r="LO24" i="55"/>
  <c r="LN25" i="55"/>
  <c r="LM26" i="55"/>
  <c r="LU26" i="55"/>
  <c r="LT27" i="55"/>
  <c r="LS28" i="55"/>
  <c r="KV19" i="55"/>
  <c r="KU20" i="55"/>
  <c r="KT21" i="55"/>
  <c r="KS22" i="55"/>
  <c r="KR23" i="55"/>
  <c r="KQ24" i="55"/>
  <c r="KP25" i="55"/>
  <c r="KO26" i="55"/>
  <c r="KW26" i="55"/>
  <c r="KV27" i="55"/>
  <c r="LN19" i="55"/>
  <c r="LM20" i="55"/>
  <c r="LU20" i="55"/>
  <c r="LT21" i="55"/>
  <c r="LS22" i="55"/>
  <c r="LR23" i="55"/>
  <c r="LQ24" i="55"/>
  <c r="LP25" i="55"/>
  <c r="LO26" i="55"/>
  <c r="LN27" i="55"/>
  <c r="LM28" i="55"/>
  <c r="O14" i="54"/>
  <c r="N15" i="54"/>
  <c r="M16" i="54"/>
  <c r="U16" i="54"/>
  <c r="T17" i="54"/>
  <c r="S18" i="54"/>
  <c r="R19" i="54"/>
  <c r="Q20" i="54"/>
  <c r="P21" i="54"/>
  <c r="O22" i="54"/>
  <c r="Q59" i="54"/>
  <c r="P60" i="54"/>
  <c r="O61" i="54"/>
  <c r="N62" i="54"/>
  <c r="M63" i="54"/>
  <c r="U63" i="54"/>
  <c r="T64" i="54"/>
  <c r="S65" i="54"/>
  <c r="R66" i="54"/>
  <c r="Q67" i="54"/>
  <c r="P68" i="54"/>
  <c r="T91" i="54"/>
  <c r="P14" i="54"/>
  <c r="O15" i="54"/>
  <c r="N16" i="54"/>
  <c r="M17" i="54"/>
  <c r="U17" i="54"/>
  <c r="T18" i="54"/>
  <c r="S19" i="54"/>
  <c r="R20" i="54"/>
  <c r="Q21" i="54"/>
  <c r="P22" i="54"/>
  <c r="R59" i="54"/>
  <c r="Q60" i="54"/>
  <c r="P61" i="54"/>
  <c r="O62" i="54"/>
  <c r="N63" i="54"/>
  <c r="M64" i="54"/>
  <c r="U64" i="54"/>
  <c r="T65" i="54"/>
  <c r="S66" i="54"/>
  <c r="R67" i="54"/>
  <c r="Q68" i="54"/>
  <c r="M91" i="54"/>
  <c r="U91" i="54"/>
  <c r="Q14" i="54"/>
  <c r="P15" i="54"/>
  <c r="O16" i="54"/>
  <c r="N17" i="54"/>
  <c r="M18" i="54"/>
  <c r="U18" i="54"/>
  <c r="T19" i="54"/>
  <c r="S20" i="54"/>
  <c r="R21" i="54"/>
  <c r="Q22" i="54"/>
  <c r="S59" i="54"/>
  <c r="R60" i="54"/>
  <c r="Q61" i="54"/>
  <c r="P62" i="54"/>
  <c r="O63" i="54"/>
  <c r="N64" i="54"/>
  <c r="M65" i="54"/>
  <c r="U65" i="54"/>
  <c r="T66" i="54"/>
  <c r="S67" i="54"/>
  <c r="R68" i="54"/>
  <c r="R14" i="54"/>
  <c r="Q15" i="54"/>
  <c r="P16" i="54"/>
  <c r="O17" i="54"/>
  <c r="N18" i="54"/>
  <c r="M19" i="54"/>
  <c r="U19" i="54"/>
  <c r="T20" i="54"/>
  <c r="S21" i="54"/>
  <c r="R22" i="54"/>
  <c r="T59" i="54"/>
  <c r="S60" i="54"/>
  <c r="R61" i="54"/>
  <c r="Q62" i="54"/>
  <c r="P63" i="54"/>
  <c r="O64" i="54"/>
  <c r="N65" i="54"/>
  <c r="M66" i="54"/>
  <c r="U66" i="54"/>
  <c r="T67" i="54"/>
  <c r="S68" i="54"/>
  <c r="O91" i="54"/>
  <c r="T14" i="54"/>
  <c r="S15" i="54"/>
  <c r="R16" i="54"/>
  <c r="Q17" i="54"/>
  <c r="P18" i="54"/>
  <c r="O19" i="54"/>
  <c r="N20" i="54"/>
  <c r="M21" i="54"/>
  <c r="U21" i="54"/>
  <c r="N59" i="54"/>
  <c r="M60" i="54"/>
  <c r="U60" i="54"/>
  <c r="T61" i="54"/>
  <c r="S62" i="54"/>
  <c r="R63" i="54"/>
  <c r="Q64" i="54"/>
  <c r="P65" i="54"/>
  <c r="O66" i="54"/>
  <c r="N67" i="54"/>
  <c r="M68" i="54"/>
  <c r="R5" i="117"/>
  <c r="S5" i="117"/>
  <c r="M96" i="54" l="1" a="1"/>
  <c r="O104" i="54" s="1"/>
  <c r="U98" i="54"/>
  <c r="M98" i="54"/>
  <c r="P101" i="54"/>
  <c r="Q100" i="54"/>
  <c r="U103" i="54"/>
  <c r="M103" i="54"/>
  <c r="T96" i="54"/>
  <c r="S104" i="54"/>
  <c r="Q98" i="54"/>
  <c r="R97" i="54"/>
  <c r="N100" i="54"/>
  <c r="O99" i="54"/>
  <c r="P97" i="54"/>
  <c r="N104" i="54"/>
  <c r="Q96" i="54"/>
  <c r="U100" i="54"/>
  <c r="N96" i="54"/>
  <c r="O103" i="54"/>
  <c r="S99" i="54"/>
  <c r="T98" i="54"/>
  <c r="M234" i="54" a="1"/>
  <c r="M228" i="54" a="1"/>
  <c r="M216" i="54" a="1"/>
  <c r="V33" i="55" a="1"/>
  <c r="KO6" i="55" a="1"/>
  <c r="IS6" i="55" a="1"/>
  <c r="GW6" i="55" a="1"/>
  <c r="KC6" i="55" a="1"/>
  <c r="HU6" i="55" a="1"/>
  <c r="JE6" i="55" a="1"/>
  <c r="IG6" i="55" a="1"/>
  <c r="GK6" i="55" a="1"/>
  <c r="JQ6" i="55" a="1"/>
  <c r="HI6" i="55" a="1"/>
  <c r="FM6" i="55" a="1"/>
  <c r="DQ6" i="55" a="1"/>
  <c r="BU6" i="55" a="1"/>
  <c r="LA6" i="55" a="1"/>
  <c r="FA6" i="55" a="1"/>
  <c r="DE6" i="55" a="1"/>
  <c r="EO6" i="55" a="1"/>
  <c r="CS6" i="55" a="1"/>
  <c r="FY6" i="55" a="1"/>
  <c r="CG6" i="55" a="1"/>
  <c r="BI6" i="55" a="1"/>
  <c r="EC6" i="55" a="1"/>
  <c r="AW6" i="55" a="1"/>
  <c r="Y6" i="55" a="1"/>
  <c r="AK6" i="55" a="1"/>
  <c r="M182" i="51"/>
  <c r="M180" i="51"/>
  <c r="N181" i="51"/>
  <c r="N179" i="51"/>
  <c r="P182" i="51"/>
  <c r="N180" i="51"/>
  <c r="O182" i="51"/>
  <c r="P179" i="51"/>
  <c r="N182" i="51"/>
  <c r="O179" i="51"/>
  <c r="P181" i="51"/>
  <c r="M179" i="51"/>
  <c r="O181" i="51"/>
  <c r="M181" i="51"/>
  <c r="P180" i="51"/>
  <c r="O180" i="51"/>
  <c r="N175" i="51"/>
  <c r="N173" i="51"/>
  <c r="N171" i="51"/>
  <c r="N169" i="51"/>
  <c r="N167" i="51"/>
  <c r="O174" i="51"/>
  <c r="O172" i="51"/>
  <c r="O170" i="51"/>
  <c r="O168" i="51"/>
  <c r="P174" i="51"/>
  <c r="M172" i="51"/>
  <c r="O169" i="51"/>
  <c r="N174" i="51"/>
  <c r="P171" i="51"/>
  <c r="M169" i="51"/>
  <c r="M174" i="51"/>
  <c r="O171" i="51"/>
  <c r="P168" i="51"/>
  <c r="P173" i="51"/>
  <c r="M171" i="51"/>
  <c r="N168" i="51"/>
  <c r="O173" i="51"/>
  <c r="P170" i="51"/>
  <c r="M168" i="51"/>
  <c r="P175" i="51"/>
  <c r="M173" i="51"/>
  <c r="N170" i="51"/>
  <c r="P167" i="51"/>
  <c r="O175" i="51"/>
  <c r="P172" i="51"/>
  <c r="M170" i="51"/>
  <c r="O167" i="51"/>
  <c r="M175" i="51"/>
  <c r="N172" i="51"/>
  <c r="P169" i="51"/>
  <c r="M167" i="51"/>
  <c r="P193" i="51"/>
  <c r="P191" i="51"/>
  <c r="P189" i="51"/>
  <c r="P187" i="51"/>
  <c r="P185" i="51"/>
  <c r="M193" i="51"/>
  <c r="M191" i="51"/>
  <c r="M189" i="51"/>
  <c r="M187" i="51"/>
  <c r="M185" i="51"/>
  <c r="P192" i="51"/>
  <c r="P190" i="51"/>
  <c r="P188" i="51"/>
  <c r="P186" i="51"/>
  <c r="N191" i="51"/>
  <c r="M188" i="51"/>
  <c r="O190" i="51"/>
  <c r="O187" i="51"/>
  <c r="O193" i="51"/>
  <c r="N190" i="51"/>
  <c r="N187" i="51"/>
  <c r="N193" i="51"/>
  <c r="M190" i="51"/>
  <c r="O186" i="51"/>
  <c r="O192" i="51"/>
  <c r="O189" i="51"/>
  <c r="N186" i="51"/>
  <c r="N192" i="51"/>
  <c r="N189" i="51"/>
  <c r="M186" i="51"/>
  <c r="M192" i="51"/>
  <c r="O188" i="51"/>
  <c r="O185" i="51"/>
  <c r="O191" i="51"/>
  <c r="N188" i="51"/>
  <c r="N185" i="51"/>
  <c r="U16" i="117" a="1"/>
  <c r="U7" i="117" a="1"/>
  <c r="U8" i="117" a="1"/>
  <c r="U15" i="117" a="1"/>
  <c r="U11" i="117" a="1"/>
  <c r="U22" i="117" a="1"/>
  <c r="U21" i="117" a="1"/>
  <c r="U6" i="117" a="1"/>
  <c r="U19" i="117" a="1"/>
  <c r="U13" i="117" a="1"/>
  <c r="U10" i="117" a="1"/>
  <c r="U17" i="117" a="1"/>
  <c r="U20" i="117" a="1"/>
  <c r="U14" i="117" a="1"/>
  <c r="U5" i="117" a="1"/>
  <c r="U4" i="117" a="1"/>
  <c r="U18" i="117" a="1"/>
  <c r="U12" i="117" a="1"/>
  <c r="U9" i="117" a="1"/>
  <c r="S11" i="117"/>
  <c r="R11" i="117"/>
  <c r="A4" i="116"/>
  <c r="A5" i="116" s="1"/>
  <c r="A6" i="116" s="1"/>
  <c r="A7" i="116" s="1"/>
  <c r="A8" i="116" s="1"/>
  <c r="A9" i="116" s="1"/>
  <c r="A10" i="116" s="1"/>
  <c r="A11" i="116" s="1"/>
  <c r="A12" i="116" s="1"/>
  <c r="A13" i="116" s="1"/>
  <c r="A14" i="116" s="1"/>
  <c r="T100" i="54" l="1"/>
  <c r="M100" i="54"/>
  <c r="M99" i="54"/>
  <c r="U99" i="54"/>
  <c r="M101" i="54"/>
  <c r="P99" i="54"/>
  <c r="S97" i="54"/>
  <c r="T104" i="54"/>
  <c r="O102" i="54"/>
  <c r="T99" i="54"/>
  <c r="S102" i="54"/>
  <c r="Q103" i="54"/>
  <c r="Q101" i="54"/>
  <c r="P102" i="54"/>
  <c r="U101" i="54"/>
  <c r="O100" i="54"/>
  <c r="R98" i="54"/>
  <c r="M96" i="54"/>
  <c r="N103" i="54"/>
  <c r="S100" i="54"/>
  <c r="O98" i="54"/>
  <c r="P96" i="54"/>
  <c r="R103" i="54"/>
  <c r="Q104" i="54"/>
  <c r="T102" i="54"/>
  <c r="N101" i="54"/>
  <c r="Q99" i="54"/>
  <c r="U96" i="54"/>
  <c r="M104" i="54"/>
  <c r="R101" i="54"/>
  <c r="T101" i="54"/>
  <c r="R100" i="54"/>
  <c r="M97" i="54"/>
  <c r="R96" i="54"/>
  <c r="S103" i="54"/>
  <c r="M102" i="54"/>
  <c r="P100" i="54"/>
  <c r="T97" i="54"/>
  <c r="U104" i="54"/>
  <c r="Q102" i="54"/>
  <c r="R102" i="54"/>
  <c r="P104" i="54"/>
  <c r="N99" i="54"/>
  <c r="Q97" i="54"/>
  <c r="R104" i="54"/>
  <c r="U102" i="54"/>
  <c r="O101" i="54"/>
  <c r="S98" i="54"/>
  <c r="O96" i="54"/>
  <c r="P103" i="54"/>
  <c r="O97" i="54"/>
  <c r="N98" i="54"/>
  <c r="U97" i="54"/>
  <c r="S101" i="54"/>
  <c r="P98" i="54"/>
  <c r="S96" i="54"/>
  <c r="T103" i="54"/>
  <c r="N102" i="54"/>
  <c r="R99" i="54"/>
  <c r="N97" i="54"/>
  <c r="CM14" i="55"/>
  <c r="CN13" i="55"/>
  <c r="CO12" i="55"/>
  <c r="CG12" i="55"/>
  <c r="CH11" i="55"/>
  <c r="CI10" i="55"/>
  <c r="CJ9" i="55"/>
  <c r="CK8" i="55"/>
  <c r="CL7" i="55"/>
  <c r="CM6" i="55"/>
  <c r="CL14" i="55"/>
  <c r="CM13" i="55"/>
  <c r="CN12" i="55"/>
  <c r="CO11" i="55"/>
  <c r="CG11" i="55"/>
  <c r="CH10" i="55"/>
  <c r="CI9" i="55"/>
  <c r="CJ8" i="55"/>
  <c r="CK7" i="55"/>
  <c r="CL6" i="55"/>
  <c r="CK14" i="55"/>
  <c r="CL13" i="55"/>
  <c r="CM12" i="55"/>
  <c r="CN11" i="55"/>
  <c r="CO10" i="55"/>
  <c r="CG10" i="55"/>
  <c r="CH9" i="55"/>
  <c r="CI8" i="55"/>
  <c r="CJ7" i="55"/>
  <c r="CK6" i="55"/>
  <c r="CI14" i="55"/>
  <c r="CJ13" i="55"/>
  <c r="CK12" i="55"/>
  <c r="CL11" i="55"/>
  <c r="CM10" i="55"/>
  <c r="CN9" i="55"/>
  <c r="CO8" i="55"/>
  <c r="CG8" i="55"/>
  <c r="CH7" i="55"/>
  <c r="CI6" i="55"/>
  <c r="CH14" i="55"/>
  <c r="CI13" i="55"/>
  <c r="CJ12" i="55"/>
  <c r="CK11" i="55"/>
  <c r="CL10" i="55"/>
  <c r="CM9" i="55"/>
  <c r="CN8" i="55"/>
  <c r="CO7" i="55"/>
  <c r="CG7" i="55"/>
  <c r="CH6" i="55"/>
  <c r="CG14" i="55"/>
  <c r="CM11" i="55"/>
  <c r="CK9" i="55"/>
  <c r="CO6" i="55"/>
  <c r="CH13" i="55"/>
  <c r="CN10" i="55"/>
  <c r="CL8" i="55"/>
  <c r="CG6" i="55"/>
  <c r="CG13" i="55"/>
  <c r="CK10" i="55"/>
  <c r="CH8" i="55"/>
  <c r="CO14" i="55"/>
  <c r="CL12" i="55"/>
  <c r="CJ10" i="55"/>
  <c r="CN7" i="55"/>
  <c r="CN14" i="55"/>
  <c r="CI12" i="55"/>
  <c r="CO9" i="55"/>
  <c r="CM7" i="55"/>
  <c r="CJ14" i="55"/>
  <c r="CM8" i="55"/>
  <c r="CO13" i="55"/>
  <c r="CI7" i="55"/>
  <c r="CK13" i="55"/>
  <c r="CN6" i="55"/>
  <c r="CH12" i="55"/>
  <c r="CJ6" i="55"/>
  <c r="CJ11" i="55"/>
  <c r="CI11" i="55"/>
  <c r="CL9" i="55"/>
  <c r="CG9" i="55"/>
  <c r="U12" i="117"/>
  <c r="V12" i="117"/>
  <c r="V13" i="117"/>
  <c r="U13" i="117"/>
  <c r="U7" i="117"/>
  <c r="V7" i="117"/>
  <c r="GG14" i="55"/>
  <c r="FY14" i="55"/>
  <c r="GA14" i="55"/>
  <c r="GA13" i="55"/>
  <c r="FZ14" i="55"/>
  <c r="GG13" i="55"/>
  <c r="FY13" i="55"/>
  <c r="FZ12" i="55"/>
  <c r="GA11" i="55"/>
  <c r="GB10" i="55"/>
  <c r="GC9" i="55"/>
  <c r="GD8" i="55"/>
  <c r="GE14" i="55"/>
  <c r="GE13" i="55"/>
  <c r="GD14" i="55"/>
  <c r="GD13" i="55"/>
  <c r="GE12" i="55"/>
  <c r="GF11" i="55"/>
  <c r="GG10" i="55"/>
  <c r="FY10" i="55"/>
  <c r="FZ9" i="55"/>
  <c r="GA8" i="55"/>
  <c r="GC13" i="55"/>
  <c r="GA12" i="55"/>
  <c r="FY11" i="55"/>
  <c r="GF9" i="55"/>
  <c r="GE8" i="55"/>
  <c r="GD7" i="55"/>
  <c r="GE6" i="55"/>
  <c r="GB13" i="55"/>
  <c r="FY12" i="55"/>
  <c r="GF10" i="55"/>
  <c r="GE9" i="55"/>
  <c r="GC8" i="55"/>
  <c r="GC7" i="55"/>
  <c r="GD6" i="55"/>
  <c r="FZ13" i="55"/>
  <c r="GG11" i="55"/>
  <c r="GE10" i="55"/>
  <c r="GD9" i="55"/>
  <c r="GB8" i="55"/>
  <c r="GB7" i="55"/>
  <c r="GC6" i="55"/>
  <c r="GG12" i="55"/>
  <c r="GE11" i="55"/>
  <c r="GD10" i="55"/>
  <c r="GB9" i="55"/>
  <c r="FZ8" i="55"/>
  <c r="GA7" i="55"/>
  <c r="GB6" i="55"/>
  <c r="GF14" i="55"/>
  <c r="GF12" i="55"/>
  <c r="GD11" i="55"/>
  <c r="GC10" i="55"/>
  <c r="GA9" i="55"/>
  <c r="FY8" i="55"/>
  <c r="FZ7" i="55"/>
  <c r="GA6" i="55"/>
  <c r="GC14" i="55"/>
  <c r="GD12" i="55"/>
  <c r="GC11" i="55"/>
  <c r="GA10" i="55"/>
  <c r="FY9" i="55"/>
  <c r="GG7" i="55"/>
  <c r="FY7" i="55"/>
  <c r="FZ6" i="55"/>
  <c r="GB12" i="55"/>
  <c r="GE7" i="55"/>
  <c r="FZ10" i="55"/>
  <c r="FY6" i="55"/>
  <c r="GG9" i="55"/>
  <c r="GB14" i="55"/>
  <c r="GG8" i="55"/>
  <c r="GF13" i="55"/>
  <c r="GF8" i="55"/>
  <c r="GC12" i="55"/>
  <c r="GB11" i="55"/>
  <c r="FZ11" i="55"/>
  <c r="GF7" i="55"/>
  <c r="GG6" i="55"/>
  <c r="GF6" i="55"/>
  <c r="FU14" i="55"/>
  <c r="FM14" i="55"/>
  <c r="FN13" i="55"/>
  <c r="FO12" i="55"/>
  <c r="FP11" i="55"/>
  <c r="FQ10" i="55"/>
  <c r="FR9" i="55"/>
  <c r="FS8" i="55"/>
  <c r="FT7" i="55"/>
  <c r="FU6" i="55"/>
  <c r="FM6" i="55"/>
  <c r="FT14" i="55"/>
  <c r="FU13" i="55"/>
  <c r="FM13" i="55"/>
  <c r="FN12" i="55"/>
  <c r="FO11" i="55"/>
  <c r="FP10" i="55"/>
  <c r="FQ9" i="55"/>
  <c r="FR8" i="55"/>
  <c r="FS7" i="55"/>
  <c r="FT6" i="55"/>
  <c r="FS14" i="55"/>
  <c r="FT13" i="55"/>
  <c r="FU12" i="55"/>
  <c r="FM12" i="55"/>
  <c r="FN11" i="55"/>
  <c r="FO10" i="55"/>
  <c r="FP9" i="55"/>
  <c r="FQ8" i="55"/>
  <c r="FR7" i="55"/>
  <c r="FS6" i="55"/>
  <c r="FR14" i="55"/>
  <c r="FS13" i="55"/>
  <c r="FT12" i="55"/>
  <c r="FU11" i="55"/>
  <c r="FM11" i="55"/>
  <c r="FN10" i="55"/>
  <c r="FO9" i="55"/>
  <c r="FP8" i="55"/>
  <c r="FQ7" i="55"/>
  <c r="FR6" i="55"/>
  <c r="FQ14" i="55"/>
  <c r="FR13" i="55"/>
  <c r="FS12" i="55"/>
  <c r="FT11" i="55"/>
  <c r="FU10" i="55"/>
  <c r="FM10" i="55"/>
  <c r="FN9" i="55"/>
  <c r="FO8" i="55"/>
  <c r="FP7" i="55"/>
  <c r="FQ6" i="55"/>
  <c r="FP14" i="55"/>
  <c r="FQ13" i="55"/>
  <c r="FR12" i="55"/>
  <c r="FS11" i="55"/>
  <c r="FT10" i="55"/>
  <c r="FU9" i="55"/>
  <c r="FM9" i="55"/>
  <c r="FN8" i="55"/>
  <c r="FO7" i="55"/>
  <c r="FP6" i="55"/>
  <c r="FO13" i="55"/>
  <c r="FS9" i="55"/>
  <c r="FN6" i="55"/>
  <c r="FR11" i="55"/>
  <c r="FM8" i="55"/>
  <c r="FQ11" i="55"/>
  <c r="FU7" i="55"/>
  <c r="FO14" i="55"/>
  <c r="FS10" i="55"/>
  <c r="FN7" i="55"/>
  <c r="FN14" i="55"/>
  <c r="FR10" i="55"/>
  <c r="FM7" i="55"/>
  <c r="FQ12" i="55"/>
  <c r="FP12" i="55"/>
  <c r="FT9" i="55"/>
  <c r="FU8" i="55"/>
  <c r="FT8" i="55"/>
  <c r="FO6" i="55"/>
  <c r="FP13" i="55"/>
  <c r="HD14" i="55"/>
  <c r="HE13" i="55"/>
  <c r="GW13" i="55"/>
  <c r="GX12" i="55"/>
  <c r="GY11" i="55"/>
  <c r="GZ10" i="55"/>
  <c r="HA9" i="55"/>
  <c r="HB8" i="55"/>
  <c r="HC7" i="55"/>
  <c r="HD6" i="55"/>
  <c r="HA14" i="55"/>
  <c r="HB13" i="55"/>
  <c r="HC12" i="55"/>
  <c r="HD11" i="55"/>
  <c r="HE10" i="55"/>
  <c r="GW10" i="55"/>
  <c r="GX9" i="55"/>
  <c r="GY8" i="55"/>
  <c r="GZ7" i="55"/>
  <c r="HA6" i="55"/>
  <c r="HC14" i="55"/>
  <c r="HA13" i="55"/>
  <c r="GZ12" i="55"/>
  <c r="GX11" i="55"/>
  <c r="HE9" i="55"/>
  <c r="HD8" i="55"/>
  <c r="HB7" i="55"/>
  <c r="GZ6" i="55"/>
  <c r="HB14" i="55"/>
  <c r="GZ13" i="55"/>
  <c r="GY12" i="55"/>
  <c r="GW11" i="55"/>
  <c r="HD9" i="55"/>
  <c r="HC8" i="55"/>
  <c r="HA7" i="55"/>
  <c r="GY6" i="55"/>
  <c r="GZ14" i="55"/>
  <c r="GY13" i="55"/>
  <c r="GW12" i="55"/>
  <c r="HD10" i="55"/>
  <c r="HC9" i="55"/>
  <c r="HA8" i="55"/>
  <c r="GY7" i="55"/>
  <c r="GX6" i="55"/>
  <c r="GY14" i="55"/>
  <c r="GX13" i="55"/>
  <c r="HE11" i="55"/>
  <c r="HC10" i="55"/>
  <c r="HB9" i="55"/>
  <c r="GZ8" i="55"/>
  <c r="GX7" i="55"/>
  <c r="GW6" i="55"/>
  <c r="GW14" i="55"/>
  <c r="HD12" i="55"/>
  <c r="HB11" i="55"/>
  <c r="HA10" i="55"/>
  <c r="GY9" i="55"/>
  <c r="GW8" i="55"/>
  <c r="HE6" i="55"/>
  <c r="HD13" i="55"/>
  <c r="HB12" i="55"/>
  <c r="HA11" i="55"/>
  <c r="GY10" i="55"/>
  <c r="GW9" i="55"/>
  <c r="HE7" i="55"/>
  <c r="HC6" i="55"/>
  <c r="HE14" i="55"/>
  <c r="GX10" i="55"/>
  <c r="GX14" i="55"/>
  <c r="GZ9" i="55"/>
  <c r="HC13" i="55"/>
  <c r="HE8" i="55"/>
  <c r="HE12" i="55"/>
  <c r="GX8" i="55"/>
  <c r="HA12" i="55"/>
  <c r="HD7" i="55"/>
  <c r="HC11" i="55"/>
  <c r="GW7" i="55"/>
  <c r="GZ11" i="55"/>
  <c r="HB10" i="55"/>
  <c r="HB6" i="55"/>
  <c r="DY14" i="55"/>
  <c r="DQ14" i="55"/>
  <c r="DR13" i="55"/>
  <c r="DS12" i="55"/>
  <c r="DT11" i="55"/>
  <c r="DU10" i="55"/>
  <c r="DV9" i="55"/>
  <c r="DW8" i="55"/>
  <c r="DX7" i="55"/>
  <c r="DY6" i="55"/>
  <c r="DQ6" i="55"/>
  <c r="DX14" i="55"/>
  <c r="DY13" i="55"/>
  <c r="DQ13" i="55"/>
  <c r="DR12" i="55"/>
  <c r="DS11" i="55"/>
  <c r="DT10" i="55"/>
  <c r="DU9" i="55"/>
  <c r="DV8" i="55"/>
  <c r="DW7" i="55"/>
  <c r="DX6" i="55"/>
  <c r="DW14" i="55"/>
  <c r="DX13" i="55"/>
  <c r="DY12" i="55"/>
  <c r="DQ12" i="55"/>
  <c r="DR11" i="55"/>
  <c r="DS10" i="55"/>
  <c r="DT9" i="55"/>
  <c r="DU8" i="55"/>
  <c r="DV7" i="55"/>
  <c r="DW6" i="55"/>
  <c r="DV14" i="55"/>
  <c r="DW13" i="55"/>
  <c r="DX12" i="55"/>
  <c r="DY11" i="55"/>
  <c r="DQ11" i="55"/>
  <c r="DR10" i="55"/>
  <c r="DS9" i="55"/>
  <c r="DT8" i="55"/>
  <c r="DU7" i="55"/>
  <c r="DV6" i="55"/>
  <c r="DU14" i="55"/>
  <c r="DV13" i="55"/>
  <c r="DW12" i="55"/>
  <c r="DX11" i="55"/>
  <c r="DY10" i="55"/>
  <c r="DQ10" i="55"/>
  <c r="DR9" i="55"/>
  <c r="DS8" i="55"/>
  <c r="DT7" i="55"/>
  <c r="DU6" i="55"/>
  <c r="DT14" i="55"/>
  <c r="DU13" i="55"/>
  <c r="DV12" i="55"/>
  <c r="DW11" i="55"/>
  <c r="DX10" i="55"/>
  <c r="DY9" i="55"/>
  <c r="DQ9" i="55"/>
  <c r="DR8" i="55"/>
  <c r="DS7" i="55"/>
  <c r="DT6" i="55"/>
  <c r="DR14" i="55"/>
  <c r="DV10" i="55"/>
  <c r="DQ7" i="55"/>
  <c r="DU12" i="55"/>
  <c r="DY8" i="55"/>
  <c r="DT12" i="55"/>
  <c r="DX8" i="55"/>
  <c r="DV11" i="55"/>
  <c r="DQ8" i="55"/>
  <c r="DU11" i="55"/>
  <c r="DY7" i="55"/>
  <c r="DW10" i="55"/>
  <c r="DX9" i="55"/>
  <c r="DW9" i="55"/>
  <c r="DR7" i="55"/>
  <c r="DS6" i="55"/>
  <c r="DS14" i="55"/>
  <c r="DR6" i="55"/>
  <c r="DT13" i="55"/>
  <c r="DS13" i="55"/>
  <c r="V18" i="117"/>
  <c r="U18" i="117"/>
  <c r="V19" i="117"/>
  <c r="U19" i="117"/>
  <c r="U16" i="117"/>
  <c r="V16" i="117"/>
  <c r="CW14" i="55"/>
  <c r="CX13" i="55"/>
  <c r="CY12" i="55"/>
  <c r="CZ11" i="55"/>
  <c r="DA10" i="55"/>
  <c r="CS10" i="55"/>
  <c r="CT9" i="55"/>
  <c r="CU8" i="55"/>
  <c r="CV7" i="55"/>
  <c r="CW6" i="55"/>
  <c r="CV14" i="55"/>
  <c r="CW13" i="55"/>
  <c r="CX12" i="55"/>
  <c r="CY11" i="55"/>
  <c r="CZ10" i="55"/>
  <c r="DA9" i="55"/>
  <c r="CS9" i="55"/>
  <c r="CT8" i="55"/>
  <c r="CU7" i="55"/>
  <c r="CV6" i="55"/>
  <c r="CU14" i="55"/>
  <c r="CV13" i="55"/>
  <c r="CW12" i="55"/>
  <c r="CX11" i="55"/>
  <c r="CY10" i="55"/>
  <c r="CZ9" i="55"/>
  <c r="DA8" i="55"/>
  <c r="CS8" i="55"/>
  <c r="CT7" i="55"/>
  <c r="CU6" i="55"/>
  <c r="DA14" i="55"/>
  <c r="CS14" i="55"/>
  <c r="CT13" i="55"/>
  <c r="CU12" i="55"/>
  <c r="CV11" i="55"/>
  <c r="CW10" i="55"/>
  <c r="CX9" i="55"/>
  <c r="CY8" i="55"/>
  <c r="CZ7" i="55"/>
  <c r="DA6" i="55"/>
  <c r="CS6" i="55"/>
  <c r="CZ14" i="55"/>
  <c r="DA13" i="55"/>
  <c r="CS13" i="55"/>
  <c r="CT12" i="55"/>
  <c r="CU11" i="55"/>
  <c r="CV10" i="55"/>
  <c r="CW9" i="55"/>
  <c r="CX8" i="55"/>
  <c r="CY7" i="55"/>
  <c r="CZ6" i="55"/>
  <c r="CX14" i="55"/>
  <c r="CS12" i="55"/>
  <c r="CY9" i="55"/>
  <c r="CW7" i="55"/>
  <c r="CY13" i="55"/>
  <c r="CT11" i="55"/>
  <c r="CZ8" i="55"/>
  <c r="CX6" i="55"/>
  <c r="CU13" i="55"/>
  <c r="CS11" i="55"/>
  <c r="CW8" i="55"/>
  <c r="CT6" i="55"/>
  <c r="DA12" i="55"/>
  <c r="CX10" i="55"/>
  <c r="CV8" i="55"/>
  <c r="CZ12" i="55"/>
  <c r="CU10" i="55"/>
  <c r="DA7" i="55"/>
  <c r="DA11" i="55"/>
  <c r="CW11" i="55"/>
  <c r="CT10" i="55"/>
  <c r="CV9" i="55"/>
  <c r="CY14" i="55"/>
  <c r="CU9" i="55"/>
  <c r="CT14" i="55"/>
  <c r="CX7" i="55"/>
  <c r="CZ13" i="55"/>
  <c r="CS7" i="55"/>
  <c r="CV12" i="55"/>
  <c r="CY6" i="55"/>
  <c r="HN14" i="55"/>
  <c r="HO13" i="55"/>
  <c r="HP12" i="55"/>
  <c r="HQ11" i="55"/>
  <c r="HI11" i="55"/>
  <c r="HJ10" i="55"/>
  <c r="HK9" i="55"/>
  <c r="HL8" i="55"/>
  <c r="HM7" i="55"/>
  <c r="HN6" i="55"/>
  <c r="HK14" i="55"/>
  <c r="HL13" i="55"/>
  <c r="HM12" i="55"/>
  <c r="HN11" i="55"/>
  <c r="HO10" i="55"/>
  <c r="HP9" i="55"/>
  <c r="HQ8" i="55"/>
  <c r="HI8" i="55"/>
  <c r="HJ7" i="55"/>
  <c r="HK6" i="55"/>
  <c r="HQ13" i="55"/>
  <c r="HO12" i="55"/>
  <c r="HM11" i="55"/>
  <c r="HL10" i="55"/>
  <c r="HJ9" i="55"/>
  <c r="HQ7" i="55"/>
  <c r="HP6" i="55"/>
  <c r="HQ14" i="55"/>
  <c r="HP13" i="55"/>
  <c r="HN12" i="55"/>
  <c r="HL11" i="55"/>
  <c r="HK10" i="55"/>
  <c r="HI9" i="55"/>
  <c r="HP7" i="55"/>
  <c r="HO6" i="55"/>
  <c r="HP14" i="55"/>
  <c r="HN13" i="55"/>
  <c r="HL12" i="55"/>
  <c r="HK11" i="55"/>
  <c r="HI10" i="55"/>
  <c r="HP8" i="55"/>
  <c r="HO7" i="55"/>
  <c r="HM6" i="55"/>
  <c r="HO14" i="55"/>
  <c r="HM13" i="55"/>
  <c r="HK12" i="55"/>
  <c r="HJ11" i="55"/>
  <c r="HQ9" i="55"/>
  <c r="HO8" i="55"/>
  <c r="HN7" i="55"/>
  <c r="HL6" i="55"/>
  <c r="HL14" i="55"/>
  <c r="HJ13" i="55"/>
  <c r="HI12" i="55"/>
  <c r="HP10" i="55"/>
  <c r="HN9" i="55"/>
  <c r="HM8" i="55"/>
  <c r="HK7" i="55"/>
  <c r="HI6" i="55"/>
  <c r="HJ14" i="55"/>
  <c r="HI13" i="55"/>
  <c r="HP11" i="55"/>
  <c r="HN10" i="55"/>
  <c r="HM9" i="55"/>
  <c r="HK8" i="55"/>
  <c r="HI7" i="55"/>
  <c r="HM10" i="55"/>
  <c r="HM14" i="55"/>
  <c r="HO9" i="55"/>
  <c r="HI14" i="55"/>
  <c r="HL9" i="55"/>
  <c r="HK13" i="55"/>
  <c r="HN8" i="55"/>
  <c r="HQ12" i="55"/>
  <c r="HJ8" i="55"/>
  <c r="HJ12" i="55"/>
  <c r="HL7" i="55"/>
  <c r="HQ6" i="55"/>
  <c r="HJ6" i="55"/>
  <c r="HO11" i="55"/>
  <c r="HQ10" i="55"/>
  <c r="IZ14" i="55"/>
  <c r="JA13" i="55"/>
  <c r="IS13" i="55"/>
  <c r="IT12" i="55"/>
  <c r="IU11" i="55"/>
  <c r="IV10" i="55"/>
  <c r="IW9" i="55"/>
  <c r="IX8" i="55"/>
  <c r="IY7" i="55"/>
  <c r="IZ6" i="55"/>
  <c r="IX14" i="55"/>
  <c r="IY13" i="55"/>
  <c r="IZ12" i="55"/>
  <c r="IW14" i="55"/>
  <c r="IX13" i="55"/>
  <c r="IY12" i="55"/>
  <c r="IZ11" i="55"/>
  <c r="JA10" i="55"/>
  <c r="IS10" i="55"/>
  <c r="IT9" i="55"/>
  <c r="IU8" i="55"/>
  <c r="IV7" i="55"/>
  <c r="IW6" i="55"/>
  <c r="IT14" i="55"/>
  <c r="IX12" i="55"/>
  <c r="IW11" i="55"/>
  <c r="IU10" i="55"/>
  <c r="IS9" i="55"/>
  <c r="JA7" i="55"/>
  <c r="IY6" i="55"/>
  <c r="IW13" i="55"/>
  <c r="IS12" i="55"/>
  <c r="IY10" i="55"/>
  <c r="IV9" i="55"/>
  <c r="IS8" i="55"/>
  <c r="IX6" i="55"/>
  <c r="IV13" i="55"/>
  <c r="JA11" i="55"/>
  <c r="IX10" i="55"/>
  <c r="IU9" i="55"/>
  <c r="IZ7" i="55"/>
  <c r="IV6" i="55"/>
  <c r="JA14" i="55"/>
  <c r="IU13" i="55"/>
  <c r="IY11" i="55"/>
  <c r="IW10" i="55"/>
  <c r="JA8" i="55"/>
  <c r="IX7" i="55"/>
  <c r="IU6" i="55"/>
  <c r="IY14" i="55"/>
  <c r="IT13" i="55"/>
  <c r="IX11" i="55"/>
  <c r="IT10" i="55"/>
  <c r="IZ8" i="55"/>
  <c r="IW7" i="55"/>
  <c r="IT6" i="55"/>
  <c r="IU14" i="55"/>
  <c r="IW12" i="55"/>
  <c r="IT11" i="55"/>
  <c r="IZ9" i="55"/>
  <c r="IW8" i="55"/>
  <c r="IT7" i="55"/>
  <c r="IS14" i="55"/>
  <c r="IV12" i="55"/>
  <c r="IS11" i="55"/>
  <c r="IY9" i="55"/>
  <c r="IV8" i="55"/>
  <c r="IS7" i="55"/>
  <c r="IX9" i="55"/>
  <c r="IV14" i="55"/>
  <c r="IY8" i="55"/>
  <c r="IZ13" i="55"/>
  <c r="IT8" i="55"/>
  <c r="JA12" i="55"/>
  <c r="IU7" i="55"/>
  <c r="IU12" i="55"/>
  <c r="JA6" i="55"/>
  <c r="IV11" i="55"/>
  <c r="IS6" i="55"/>
  <c r="JA9" i="55"/>
  <c r="IZ10" i="55"/>
  <c r="AQ14" i="55"/>
  <c r="AR13" i="55"/>
  <c r="AS12" i="55"/>
  <c r="AK12" i="55"/>
  <c r="AL11" i="55"/>
  <c r="AM10" i="55"/>
  <c r="AN9" i="55"/>
  <c r="AO8" i="55"/>
  <c r="AP7" i="55"/>
  <c r="AQ6" i="55"/>
  <c r="AO14" i="55"/>
  <c r="AP13" i="55"/>
  <c r="AQ12" i="55"/>
  <c r="AR11" i="55"/>
  <c r="AS10" i="55"/>
  <c r="AK10" i="55"/>
  <c r="AL9" i="55"/>
  <c r="AM8" i="55"/>
  <c r="AN7" i="55"/>
  <c r="AO6" i="55"/>
  <c r="AM14" i="55"/>
  <c r="AN13" i="55"/>
  <c r="AO12" i="55"/>
  <c r="AP11" i="55"/>
  <c r="AQ10" i="55"/>
  <c r="AR9" i="55"/>
  <c r="AS8" i="55"/>
  <c r="AK8" i="55"/>
  <c r="AL7" i="55"/>
  <c r="AM6" i="55"/>
  <c r="AR14" i="55"/>
  <c r="AM13" i="55"/>
  <c r="AS11" i="55"/>
  <c r="AO10" i="55"/>
  <c r="AK9" i="55"/>
  <c r="AQ7" i="55"/>
  <c r="AL6" i="55"/>
  <c r="AL14" i="55"/>
  <c r="AR12" i="55"/>
  <c r="AN11" i="55"/>
  <c r="AS9" i="55"/>
  <c r="AP8" i="55"/>
  <c r="AK7" i="55"/>
  <c r="AK14" i="55"/>
  <c r="AP12" i="55"/>
  <c r="AM11" i="55"/>
  <c r="AQ9" i="55"/>
  <c r="AN8" i="55"/>
  <c r="AS6" i="55"/>
  <c r="AQ13" i="55"/>
  <c r="AM12" i="55"/>
  <c r="AR10" i="55"/>
  <c r="AK13" i="55"/>
  <c r="AL10" i="55"/>
  <c r="AR7" i="55"/>
  <c r="AN12" i="55"/>
  <c r="AP9" i="55"/>
  <c r="AO7" i="55"/>
  <c r="AS14" i="55"/>
  <c r="AL12" i="55"/>
  <c r="AO9" i="55"/>
  <c r="AM7" i="55"/>
  <c r="AP14" i="55"/>
  <c r="AQ11" i="55"/>
  <c r="AM9" i="55"/>
  <c r="AR6" i="55"/>
  <c r="AN14" i="55"/>
  <c r="AO11" i="55"/>
  <c r="AR8" i="55"/>
  <c r="AP6" i="55"/>
  <c r="AS13" i="55"/>
  <c r="AK11" i="55"/>
  <c r="AQ8" i="55"/>
  <c r="AN6" i="55"/>
  <c r="AO13" i="55"/>
  <c r="AP10" i="55"/>
  <c r="AL8" i="55"/>
  <c r="AK6" i="55"/>
  <c r="AN10" i="55"/>
  <c r="AS7" i="55"/>
  <c r="AL13" i="55"/>
  <c r="KV14" i="55"/>
  <c r="KW13" i="55"/>
  <c r="KO13" i="55"/>
  <c r="KP12" i="55"/>
  <c r="KQ11" i="55"/>
  <c r="KR10" i="55"/>
  <c r="KS9" i="55"/>
  <c r="KT8" i="55"/>
  <c r="KU7" i="55"/>
  <c r="KV6" i="55"/>
  <c r="KT14" i="55"/>
  <c r="KU13" i="55"/>
  <c r="KV12" i="55"/>
  <c r="KW11" i="55"/>
  <c r="KO11" i="55"/>
  <c r="KP10" i="55"/>
  <c r="KQ9" i="55"/>
  <c r="KR8" i="55"/>
  <c r="KS7" i="55"/>
  <c r="KT6" i="55"/>
  <c r="KS14" i="55"/>
  <c r="KT13" i="55"/>
  <c r="KU12" i="55"/>
  <c r="KV11" i="55"/>
  <c r="KW10" i="55"/>
  <c r="KO10" i="55"/>
  <c r="KP9" i="55"/>
  <c r="KQ8" i="55"/>
  <c r="KR7" i="55"/>
  <c r="KS6" i="55"/>
  <c r="KU14" i="55"/>
  <c r="KQ13" i="55"/>
  <c r="KU11" i="55"/>
  <c r="KS10" i="55"/>
  <c r="KW8" i="55"/>
  <c r="KT7" i="55"/>
  <c r="KP6" i="55"/>
  <c r="KQ14" i="55"/>
  <c r="KW12" i="55"/>
  <c r="KS11" i="55"/>
  <c r="KW9" i="55"/>
  <c r="KU8" i="55"/>
  <c r="KP7" i="55"/>
  <c r="KO14" i="55"/>
  <c r="KW14" i="55"/>
  <c r="KS12" i="55"/>
  <c r="KU10" i="55"/>
  <c r="KV8" i="55"/>
  <c r="KW6" i="55"/>
  <c r="KR14" i="55"/>
  <c r="KR12" i="55"/>
  <c r="KT10" i="55"/>
  <c r="KS8" i="55"/>
  <c r="KU6" i="55"/>
  <c r="KP14" i="55"/>
  <c r="KQ12" i="55"/>
  <c r="KQ10" i="55"/>
  <c r="KP8" i="55"/>
  <c r="KR6" i="55"/>
  <c r="KV13" i="55"/>
  <c r="KO12" i="55"/>
  <c r="KV9" i="55"/>
  <c r="KO8" i="55"/>
  <c r="KQ6" i="55"/>
  <c r="KS13" i="55"/>
  <c r="KT11" i="55"/>
  <c r="KU9" i="55"/>
  <c r="KW7" i="55"/>
  <c r="KO6" i="55"/>
  <c r="KR13" i="55"/>
  <c r="KR11" i="55"/>
  <c r="KT9" i="55"/>
  <c r="KV7" i="55"/>
  <c r="KP13" i="55"/>
  <c r="KP11" i="55"/>
  <c r="KR9" i="55"/>
  <c r="KQ7" i="55"/>
  <c r="KT12" i="55"/>
  <c r="KV10" i="55"/>
  <c r="KO9" i="55"/>
  <c r="KO7" i="55"/>
  <c r="JT14" i="55"/>
  <c r="JU13" i="55"/>
  <c r="JV12" i="55"/>
  <c r="JW11" i="55"/>
  <c r="JX10" i="55"/>
  <c r="JY9" i="55"/>
  <c r="JQ9" i="55"/>
  <c r="JR8" i="55"/>
  <c r="JS7" i="55"/>
  <c r="JT6" i="55"/>
  <c r="JR14" i="55"/>
  <c r="JS13" i="55"/>
  <c r="JT12" i="55"/>
  <c r="JU11" i="55"/>
  <c r="JV10" i="55"/>
  <c r="JW9" i="55"/>
  <c r="JX8" i="55"/>
  <c r="JY7" i="55"/>
  <c r="JQ7" i="55"/>
  <c r="JR6" i="55"/>
  <c r="JY14" i="55"/>
  <c r="JQ14" i="55"/>
  <c r="JR13" i="55"/>
  <c r="JS12" i="55"/>
  <c r="JT11" i="55"/>
  <c r="JU10" i="55"/>
  <c r="JV9" i="55"/>
  <c r="JW8" i="55"/>
  <c r="JX7" i="55"/>
  <c r="JY6" i="55"/>
  <c r="JQ6" i="55"/>
  <c r="JU14" i="55"/>
  <c r="JY12" i="55"/>
  <c r="JV11" i="55"/>
  <c r="JR10" i="55"/>
  <c r="JV8" i="55"/>
  <c r="JT7" i="55"/>
  <c r="JY13" i="55"/>
  <c r="JW12" i="55"/>
  <c r="JR11" i="55"/>
  <c r="JW13" i="55"/>
  <c r="JY11" i="55"/>
  <c r="JQ10" i="55"/>
  <c r="JT8" i="55"/>
  <c r="JW6" i="55"/>
  <c r="JV13" i="55"/>
  <c r="JX11" i="55"/>
  <c r="JX9" i="55"/>
  <c r="JS8" i="55"/>
  <c r="JV6" i="55"/>
  <c r="JT13" i="55"/>
  <c r="JS11" i="55"/>
  <c r="JU9" i="55"/>
  <c r="JQ8" i="55"/>
  <c r="JU6" i="55"/>
  <c r="JX14" i="55"/>
  <c r="JQ13" i="55"/>
  <c r="JQ11" i="55"/>
  <c r="JT9" i="55"/>
  <c r="JW7" i="55"/>
  <c r="JS6" i="55"/>
  <c r="JW14" i="55"/>
  <c r="JX12" i="55"/>
  <c r="JY10" i="55"/>
  <c r="JS9" i="55"/>
  <c r="JV7" i="55"/>
  <c r="JV14" i="55"/>
  <c r="JU12" i="55"/>
  <c r="JW10" i="55"/>
  <c r="JR9" i="55"/>
  <c r="JU7" i="55"/>
  <c r="JS14" i="55"/>
  <c r="JR12" i="55"/>
  <c r="JT10" i="55"/>
  <c r="JY8" i="55"/>
  <c r="JR7" i="55"/>
  <c r="JU8" i="55"/>
  <c r="JX6" i="55"/>
  <c r="JX13" i="55"/>
  <c r="JQ12" i="55"/>
  <c r="JS10" i="55"/>
  <c r="V5" i="117"/>
  <c r="U5" i="117"/>
  <c r="V21" i="117"/>
  <c r="U21" i="117"/>
  <c r="AG14" i="55"/>
  <c r="Y14" i="55"/>
  <c r="Z13" i="55"/>
  <c r="AE14" i="55"/>
  <c r="AF13" i="55"/>
  <c r="AG12" i="55"/>
  <c r="AC14" i="55"/>
  <c r="AG13" i="55"/>
  <c r="AE12" i="55"/>
  <c r="AF11" i="55"/>
  <c r="AG10" i="55"/>
  <c r="Y10" i="55"/>
  <c r="Z9" i="55"/>
  <c r="AA8" i="55"/>
  <c r="AB7" i="55"/>
  <c r="AC6" i="55"/>
  <c r="AF14" i="55"/>
  <c r="AC13" i="55"/>
  <c r="AB12" i="55"/>
  <c r="AC11" i="55"/>
  <c r="AD10" i="55"/>
  <c r="AE9" i="55"/>
  <c r="AF8" i="55"/>
  <c r="AG7" i="55"/>
  <c r="Y7" i="55"/>
  <c r="Z6" i="55"/>
  <c r="AD14" i="55"/>
  <c r="AB13" i="55"/>
  <c r="AA12" i="55"/>
  <c r="AB11" i="55"/>
  <c r="AC10" i="55"/>
  <c r="AD9" i="55"/>
  <c r="AE8" i="55"/>
  <c r="AF7" i="55"/>
  <c r="AG6" i="55"/>
  <c r="Y6" i="55"/>
  <c r="AB14" i="55"/>
  <c r="AD12" i="55"/>
  <c r="Z11" i="55"/>
  <c r="AF9" i="55"/>
  <c r="AB8" i="55"/>
  <c r="AF6" i="55"/>
  <c r="AA14" i="55"/>
  <c r="AC12" i="55"/>
  <c r="Y11" i="55"/>
  <c r="AC9" i="55"/>
  <c r="Z8" i="55"/>
  <c r="AE6" i="55"/>
  <c r="Z14" i="55"/>
  <c r="Z12" i="55"/>
  <c r="AF10" i="55"/>
  <c r="AB9" i="55"/>
  <c r="Y8" i="55"/>
  <c r="AD6" i="55"/>
  <c r="AE13" i="55"/>
  <c r="Y12" i="55"/>
  <c r="AE10" i="55"/>
  <c r="AA9" i="55"/>
  <c r="AE7" i="55"/>
  <c r="AB6" i="55"/>
  <c r="AD13" i="55"/>
  <c r="AG11" i="55"/>
  <c r="AB10" i="55"/>
  <c r="Y9" i="55"/>
  <c r="AD7" i="55"/>
  <c r="AA6" i="55"/>
  <c r="AA13" i="55"/>
  <c r="AE11" i="55"/>
  <c r="AA10" i="55"/>
  <c r="AG8" i="55"/>
  <c r="AC7" i="55"/>
  <c r="Y13" i="55"/>
  <c r="AD11" i="55"/>
  <c r="Z10" i="55"/>
  <c r="AD8" i="55"/>
  <c r="AA7" i="55"/>
  <c r="AF12" i="55"/>
  <c r="AA11" i="55"/>
  <c r="AG9" i="55"/>
  <c r="AC8" i="55"/>
  <c r="Z7" i="55"/>
  <c r="DG14" i="55"/>
  <c r="DH13" i="55"/>
  <c r="DI12" i="55"/>
  <c r="DJ11" i="55"/>
  <c r="DK10" i="55"/>
  <c r="DL9" i="55"/>
  <c r="DM8" i="55"/>
  <c r="DE8" i="55"/>
  <c r="DF7" i="55"/>
  <c r="DG6" i="55"/>
  <c r="DF14" i="55"/>
  <c r="DG13" i="55"/>
  <c r="DH12" i="55"/>
  <c r="DI11" i="55"/>
  <c r="DJ10" i="55"/>
  <c r="DK9" i="55"/>
  <c r="DL8" i="55"/>
  <c r="DM7" i="55"/>
  <c r="DE7" i="55"/>
  <c r="DF6" i="55"/>
  <c r="DM14" i="55"/>
  <c r="DE14" i="55"/>
  <c r="DF13" i="55"/>
  <c r="DG12" i="55"/>
  <c r="DH11" i="55"/>
  <c r="DI10" i="55"/>
  <c r="DJ9" i="55"/>
  <c r="DK8" i="55"/>
  <c r="DL7" i="55"/>
  <c r="DM6" i="55"/>
  <c r="DE6" i="55"/>
  <c r="DL14" i="55"/>
  <c r="DM13" i="55"/>
  <c r="DE13" i="55"/>
  <c r="DF12" i="55"/>
  <c r="DG11" i="55"/>
  <c r="DH10" i="55"/>
  <c r="DI9" i="55"/>
  <c r="DJ8" i="55"/>
  <c r="DK7" i="55"/>
  <c r="DL6" i="55"/>
  <c r="DK14" i="55"/>
  <c r="DL13" i="55"/>
  <c r="DM12" i="55"/>
  <c r="DE12" i="55"/>
  <c r="DF11" i="55"/>
  <c r="DG10" i="55"/>
  <c r="DH9" i="55"/>
  <c r="DI8" i="55"/>
  <c r="DJ7" i="55"/>
  <c r="DK6" i="55"/>
  <c r="DJ14" i="55"/>
  <c r="DK13" i="55"/>
  <c r="DL12" i="55"/>
  <c r="DM11" i="55"/>
  <c r="DE11" i="55"/>
  <c r="DF10" i="55"/>
  <c r="DG9" i="55"/>
  <c r="DH8" i="55"/>
  <c r="DI7" i="55"/>
  <c r="DJ6" i="55"/>
  <c r="DJ12" i="55"/>
  <c r="DE9" i="55"/>
  <c r="DI14" i="55"/>
  <c r="DM10" i="55"/>
  <c r="DH7" i="55"/>
  <c r="DH14" i="55"/>
  <c r="DL10" i="55"/>
  <c r="DG7" i="55"/>
  <c r="DJ13" i="55"/>
  <c r="DE10" i="55"/>
  <c r="DI6" i="55"/>
  <c r="DI13" i="55"/>
  <c r="DM9" i="55"/>
  <c r="DH6" i="55"/>
  <c r="DK11" i="55"/>
  <c r="DF9" i="55"/>
  <c r="DG8" i="55"/>
  <c r="DF8" i="55"/>
  <c r="DK12" i="55"/>
  <c r="DL11" i="55"/>
  <c r="GQ14" i="55"/>
  <c r="GR13" i="55"/>
  <c r="GS12" i="55"/>
  <c r="GK12" i="55"/>
  <c r="GL11" i="55"/>
  <c r="GM10" i="55"/>
  <c r="GN9" i="55"/>
  <c r="GO8" i="55"/>
  <c r="GP7" i="55"/>
  <c r="GQ6" i="55"/>
  <c r="GN14" i="55"/>
  <c r="GN13" i="55"/>
  <c r="GN12" i="55"/>
  <c r="GN11" i="55"/>
  <c r="GN10" i="55"/>
  <c r="GM9" i="55"/>
  <c r="GM14" i="55"/>
  <c r="GM13" i="55"/>
  <c r="GM12" i="55"/>
  <c r="GM11" i="55"/>
  <c r="GL10" i="55"/>
  <c r="GL9" i="55"/>
  <c r="GL8" i="55"/>
  <c r="GL7" i="55"/>
  <c r="GL6" i="55"/>
  <c r="GL14" i="55"/>
  <c r="GL13" i="55"/>
  <c r="GL12" i="55"/>
  <c r="GK11" i="55"/>
  <c r="GK10" i="55"/>
  <c r="GK9" i="55"/>
  <c r="GK8" i="55"/>
  <c r="GK7" i="55"/>
  <c r="GK6" i="55"/>
  <c r="GK14" i="55"/>
  <c r="GK13" i="55"/>
  <c r="GS11" i="55"/>
  <c r="GS10" i="55"/>
  <c r="GS9" i="55"/>
  <c r="GS8" i="55"/>
  <c r="GS7" i="55"/>
  <c r="GS6" i="55"/>
  <c r="GR14" i="55"/>
  <c r="GQ13" i="55"/>
  <c r="GQ12" i="55"/>
  <c r="GQ11" i="55"/>
  <c r="GQ10" i="55"/>
  <c r="GQ9" i="55"/>
  <c r="GQ8" i="55"/>
  <c r="GQ7" i="55"/>
  <c r="GP6" i="55"/>
  <c r="GP14" i="55"/>
  <c r="GP13" i="55"/>
  <c r="GP12" i="55"/>
  <c r="GP11" i="55"/>
  <c r="GP10" i="55"/>
  <c r="GP9" i="55"/>
  <c r="GP8" i="55"/>
  <c r="GO7" i="55"/>
  <c r="GO6" i="55"/>
  <c r="GO14" i="55"/>
  <c r="GO10" i="55"/>
  <c r="GM7" i="55"/>
  <c r="GS13" i="55"/>
  <c r="GR9" i="55"/>
  <c r="GR6" i="55"/>
  <c r="GO13" i="55"/>
  <c r="GO9" i="55"/>
  <c r="GN6" i="55"/>
  <c r="GR12" i="55"/>
  <c r="GR8" i="55"/>
  <c r="GM6" i="55"/>
  <c r="GO12" i="55"/>
  <c r="GN8" i="55"/>
  <c r="GR11" i="55"/>
  <c r="GM8" i="55"/>
  <c r="GS14" i="55"/>
  <c r="GR7" i="55"/>
  <c r="GN7" i="55"/>
  <c r="GR10" i="55"/>
  <c r="GO11" i="55"/>
  <c r="V40" i="55"/>
  <c r="V39" i="55"/>
  <c r="V38" i="55"/>
  <c r="V37" i="55"/>
  <c r="V34" i="55"/>
  <c r="V33" i="55"/>
  <c r="V41" i="55"/>
  <c r="V35" i="55"/>
  <c r="V36" i="55"/>
  <c r="V10" i="117"/>
  <c r="U10" i="117"/>
  <c r="V6" i="117"/>
  <c r="U6" i="117"/>
  <c r="V14" i="117"/>
  <c r="U14" i="117"/>
  <c r="V22" i="117"/>
  <c r="U22" i="117"/>
  <c r="BA14" i="55"/>
  <c r="BB13" i="55"/>
  <c r="BC12" i="55"/>
  <c r="BD11" i="55"/>
  <c r="BE10" i="55"/>
  <c r="AW10" i="55"/>
  <c r="AX9" i="55"/>
  <c r="AY8" i="55"/>
  <c r="AZ7" i="55"/>
  <c r="BA6" i="55"/>
  <c r="AZ14" i="55"/>
  <c r="BA13" i="55"/>
  <c r="AY14" i="55"/>
  <c r="AZ13" i="55"/>
  <c r="BA12" i="55"/>
  <c r="BB11" i="55"/>
  <c r="BC10" i="55"/>
  <c r="BD9" i="55"/>
  <c r="BE8" i="55"/>
  <c r="AW8" i="55"/>
  <c r="AX7" i="55"/>
  <c r="AY6" i="55"/>
  <c r="BE14" i="55"/>
  <c r="AW14" i="55"/>
  <c r="AX13" i="55"/>
  <c r="AY12" i="55"/>
  <c r="AZ11" i="55"/>
  <c r="BA10" i="55"/>
  <c r="BB9" i="55"/>
  <c r="BC8" i="55"/>
  <c r="BD7" i="55"/>
  <c r="BE6" i="55"/>
  <c r="AW6" i="55"/>
  <c r="BB14" i="55"/>
  <c r="BD12" i="55"/>
  <c r="AY11" i="55"/>
  <c r="BE9" i="55"/>
  <c r="BA8" i="55"/>
  <c r="AW7" i="55"/>
  <c r="BD13" i="55"/>
  <c r="AX12" i="55"/>
  <c r="BD10" i="55"/>
  <c r="AZ9" i="55"/>
  <c r="BE7" i="55"/>
  <c r="BB6" i="55"/>
  <c r="BC13" i="55"/>
  <c r="AW12" i="55"/>
  <c r="BB10" i="55"/>
  <c r="AY9" i="55"/>
  <c r="BC7" i="55"/>
  <c r="AZ6" i="55"/>
  <c r="BD14" i="55"/>
  <c r="AW13" i="55"/>
  <c r="BC11" i="55"/>
  <c r="AY10" i="55"/>
  <c r="BD8" i="55"/>
  <c r="BA7" i="55"/>
  <c r="AZ12" i="55"/>
  <c r="BA9" i="55"/>
  <c r="BC6" i="55"/>
  <c r="BE11" i="55"/>
  <c r="AW9" i="55"/>
  <c r="AX6" i="55"/>
  <c r="BC14" i="55"/>
  <c r="BA11" i="55"/>
  <c r="BB8" i="55"/>
  <c r="AX14" i="55"/>
  <c r="AX11" i="55"/>
  <c r="AZ8" i="55"/>
  <c r="BE13" i="55"/>
  <c r="AW11" i="55"/>
  <c r="AX8" i="55"/>
  <c r="AY13" i="55"/>
  <c r="AZ10" i="55"/>
  <c r="BB7" i="55"/>
  <c r="BE12" i="55"/>
  <c r="AX10" i="55"/>
  <c r="AY7" i="55"/>
  <c r="BB12" i="55"/>
  <c r="BC9" i="55"/>
  <c r="BD6" i="55"/>
  <c r="FC14" i="55"/>
  <c r="FD13" i="55"/>
  <c r="FE12" i="55"/>
  <c r="FF11" i="55"/>
  <c r="FG10" i="55"/>
  <c r="FH9" i="55"/>
  <c r="FI8" i="55"/>
  <c r="FA8" i="55"/>
  <c r="FB7" i="55"/>
  <c r="FC6" i="55"/>
  <c r="FB14" i="55"/>
  <c r="FC13" i="55"/>
  <c r="FD12" i="55"/>
  <c r="FE11" i="55"/>
  <c r="FF10" i="55"/>
  <c r="FG9" i="55"/>
  <c r="FH8" i="55"/>
  <c r="FI7" i="55"/>
  <c r="FA7" i="55"/>
  <c r="FB6" i="55"/>
  <c r="FI14" i="55"/>
  <c r="FA14" i="55"/>
  <c r="FB13" i="55"/>
  <c r="FC12" i="55"/>
  <c r="FD11" i="55"/>
  <c r="FE10" i="55"/>
  <c r="FF9" i="55"/>
  <c r="FG8" i="55"/>
  <c r="FH7" i="55"/>
  <c r="FI6" i="55"/>
  <c r="FA6" i="55"/>
  <c r="FH14" i="55"/>
  <c r="FI13" i="55"/>
  <c r="FA13" i="55"/>
  <c r="FB12" i="55"/>
  <c r="FC11" i="55"/>
  <c r="FD10" i="55"/>
  <c r="FE9" i="55"/>
  <c r="FF8" i="55"/>
  <c r="FG7" i="55"/>
  <c r="FH6" i="55"/>
  <c r="FG14" i="55"/>
  <c r="FH13" i="55"/>
  <c r="FI12" i="55"/>
  <c r="FA12" i="55"/>
  <c r="FB11" i="55"/>
  <c r="FC10" i="55"/>
  <c r="FD9" i="55"/>
  <c r="FE8" i="55"/>
  <c r="FF7" i="55"/>
  <c r="FG6" i="55"/>
  <c r="FF14" i="55"/>
  <c r="FG13" i="55"/>
  <c r="FH12" i="55"/>
  <c r="FI11" i="55"/>
  <c r="FA11" i="55"/>
  <c r="FB10" i="55"/>
  <c r="FC9" i="55"/>
  <c r="FD8" i="55"/>
  <c r="FE7" i="55"/>
  <c r="FF6" i="55"/>
  <c r="FG11" i="55"/>
  <c r="FB8" i="55"/>
  <c r="FF13" i="55"/>
  <c r="FA10" i="55"/>
  <c r="FE6" i="55"/>
  <c r="FE13" i="55"/>
  <c r="FI9" i="55"/>
  <c r="FD6" i="55"/>
  <c r="FG12" i="55"/>
  <c r="FB9" i="55"/>
  <c r="FF12" i="55"/>
  <c r="FA9" i="55"/>
  <c r="FH11" i="55"/>
  <c r="FI10" i="55"/>
  <c r="FH10" i="55"/>
  <c r="FC8" i="55"/>
  <c r="FD7" i="55"/>
  <c r="FC7" i="55"/>
  <c r="FE14" i="55"/>
  <c r="FD14" i="55"/>
  <c r="IH14" i="55"/>
  <c r="II13" i="55"/>
  <c r="IJ12" i="55"/>
  <c r="IK11" i="55"/>
  <c r="IL10" i="55"/>
  <c r="IM9" i="55"/>
  <c r="IN8" i="55"/>
  <c r="IO7" i="55"/>
  <c r="IG7" i="55"/>
  <c r="IH6" i="55"/>
  <c r="IM14" i="55"/>
  <c r="IN13" i="55"/>
  <c r="IO12" i="55"/>
  <c r="IG12" i="55"/>
  <c r="IH11" i="55"/>
  <c r="II10" i="55"/>
  <c r="IJ9" i="55"/>
  <c r="IK8" i="55"/>
  <c r="IL7" i="55"/>
  <c r="IM6" i="55"/>
  <c r="IL14" i="55"/>
  <c r="IK13" i="55"/>
  <c r="II12" i="55"/>
  <c r="IG11" i="55"/>
  <c r="IO9" i="55"/>
  <c r="IM8" i="55"/>
  <c r="IK7" i="55"/>
  <c r="IJ6" i="55"/>
  <c r="IJ14" i="55"/>
  <c r="IG13" i="55"/>
  <c r="IM11" i="55"/>
  <c r="IJ10" i="55"/>
  <c r="IG9" i="55"/>
  <c r="IM7" i="55"/>
  <c r="II6" i="55"/>
  <c r="II14" i="55"/>
  <c r="IN12" i="55"/>
  <c r="IL11" i="55"/>
  <c r="IH10" i="55"/>
  <c r="IO8" i="55"/>
  <c r="IJ7" i="55"/>
  <c r="IG6" i="55"/>
  <c r="IG14" i="55"/>
  <c r="IM12" i="55"/>
  <c r="IJ11" i="55"/>
  <c r="IG10" i="55"/>
  <c r="IL8" i="55"/>
  <c r="II7" i="55"/>
  <c r="IO13" i="55"/>
  <c r="IL12" i="55"/>
  <c r="II11" i="55"/>
  <c r="IN9" i="55"/>
  <c r="IJ8" i="55"/>
  <c r="IH7" i="55"/>
  <c r="IO14" i="55"/>
  <c r="IL13" i="55"/>
  <c r="IH12" i="55"/>
  <c r="IN10" i="55"/>
  <c r="IK9" i="55"/>
  <c r="IH8" i="55"/>
  <c r="IN6" i="55"/>
  <c r="IN14" i="55"/>
  <c r="IJ13" i="55"/>
  <c r="IO11" i="55"/>
  <c r="IM10" i="55"/>
  <c r="II9" i="55"/>
  <c r="IG8" i="55"/>
  <c r="IL6" i="55"/>
  <c r="IH13" i="55"/>
  <c r="IN7" i="55"/>
  <c r="IK12" i="55"/>
  <c r="IO6" i="55"/>
  <c r="IN11" i="55"/>
  <c r="IK6" i="55"/>
  <c r="IO10" i="55"/>
  <c r="IK10" i="55"/>
  <c r="IL9" i="55"/>
  <c r="IH9" i="55"/>
  <c r="II8" i="55"/>
  <c r="IK14" i="55"/>
  <c r="IM13" i="55"/>
  <c r="M224" i="54"/>
  <c r="M222" i="54"/>
  <c r="M220" i="54"/>
  <c r="M218" i="54"/>
  <c r="M216" i="54"/>
  <c r="O223" i="54"/>
  <c r="O221" i="54"/>
  <c r="O219" i="54"/>
  <c r="O217" i="54"/>
  <c r="N223" i="54"/>
  <c r="N221" i="54"/>
  <c r="N219" i="54"/>
  <c r="N217" i="54"/>
  <c r="M223" i="54"/>
  <c r="M221" i="54"/>
  <c r="M219" i="54"/>
  <c r="M217" i="54"/>
  <c r="P224" i="54"/>
  <c r="P222" i="54"/>
  <c r="P220" i="54"/>
  <c r="P218" i="54"/>
  <c r="P216" i="54"/>
  <c r="N220" i="54"/>
  <c r="N224" i="54"/>
  <c r="O218" i="54"/>
  <c r="P223" i="54"/>
  <c r="N218" i="54"/>
  <c r="P217" i="54"/>
  <c r="O224" i="54"/>
  <c r="N216" i="54"/>
  <c r="O222" i="54"/>
  <c r="O220" i="54"/>
  <c r="P219" i="54"/>
  <c r="O216" i="54"/>
  <c r="N222" i="54"/>
  <c r="P221" i="54"/>
  <c r="ES14" i="55"/>
  <c r="ET13" i="55"/>
  <c r="EU12" i="55"/>
  <c r="EV11" i="55"/>
  <c r="EW10" i="55"/>
  <c r="EO10" i="55"/>
  <c r="EP9" i="55"/>
  <c r="EQ8" i="55"/>
  <c r="ER7" i="55"/>
  <c r="ES6" i="55"/>
  <c r="ER14" i="55"/>
  <c r="ES13" i="55"/>
  <c r="ET12" i="55"/>
  <c r="EU11" i="55"/>
  <c r="EV10" i="55"/>
  <c r="EW9" i="55"/>
  <c r="EO9" i="55"/>
  <c r="EP8" i="55"/>
  <c r="EQ7" i="55"/>
  <c r="ER6" i="55"/>
  <c r="EQ14" i="55"/>
  <c r="ER13" i="55"/>
  <c r="ES12" i="55"/>
  <c r="ET11" i="55"/>
  <c r="EU10" i="55"/>
  <c r="EV9" i="55"/>
  <c r="EW8" i="55"/>
  <c r="EO8" i="55"/>
  <c r="EP7" i="55"/>
  <c r="EQ6" i="55"/>
  <c r="EP14" i="55"/>
  <c r="EQ13" i="55"/>
  <c r="ER12" i="55"/>
  <c r="ES11" i="55"/>
  <c r="ET10" i="55"/>
  <c r="EU9" i="55"/>
  <c r="EV8" i="55"/>
  <c r="EW7" i="55"/>
  <c r="EO7" i="55"/>
  <c r="EP6" i="55"/>
  <c r="EW14" i="55"/>
  <c r="EO14" i="55"/>
  <c r="EP13" i="55"/>
  <c r="EQ12" i="55"/>
  <c r="ER11" i="55"/>
  <c r="ES10" i="55"/>
  <c r="ET9" i="55"/>
  <c r="EU8" i="55"/>
  <c r="EV7" i="55"/>
  <c r="EW6" i="55"/>
  <c r="EO6" i="55"/>
  <c r="EV14" i="55"/>
  <c r="EW13" i="55"/>
  <c r="EO13" i="55"/>
  <c r="EP12" i="55"/>
  <c r="EQ11" i="55"/>
  <c r="ER10" i="55"/>
  <c r="ES9" i="55"/>
  <c r="ET8" i="55"/>
  <c r="EU7" i="55"/>
  <c r="EV6" i="55"/>
  <c r="EU13" i="55"/>
  <c r="EP10" i="55"/>
  <c r="ET6" i="55"/>
  <c r="EO12" i="55"/>
  <c r="ES8" i="55"/>
  <c r="EW11" i="55"/>
  <c r="ER8" i="55"/>
  <c r="EU14" i="55"/>
  <c r="EP11" i="55"/>
  <c r="ET7" i="55"/>
  <c r="ET14" i="55"/>
  <c r="EO11" i="55"/>
  <c r="ES7" i="55"/>
  <c r="EV12" i="55"/>
  <c r="EQ10" i="55"/>
  <c r="ER9" i="55"/>
  <c r="EQ9" i="55"/>
  <c r="EU6" i="55"/>
  <c r="EV13" i="55"/>
  <c r="EW12" i="55"/>
  <c r="V20" i="117"/>
  <c r="U20" i="117"/>
  <c r="U11" i="117"/>
  <c r="V11" i="117"/>
  <c r="EI14" i="55"/>
  <c r="EJ13" i="55"/>
  <c r="EK12" i="55"/>
  <c r="EC12" i="55"/>
  <c r="ED11" i="55"/>
  <c r="EE10" i="55"/>
  <c r="EF9" i="55"/>
  <c r="EG8" i="55"/>
  <c r="EH7" i="55"/>
  <c r="EI6" i="55"/>
  <c r="EH14" i="55"/>
  <c r="EI13" i="55"/>
  <c r="EJ12" i="55"/>
  <c r="EK11" i="55"/>
  <c r="EC11" i="55"/>
  <c r="ED10" i="55"/>
  <c r="EE9" i="55"/>
  <c r="EF8" i="55"/>
  <c r="EG7" i="55"/>
  <c r="EH6" i="55"/>
  <c r="EG14" i="55"/>
  <c r="EH13" i="55"/>
  <c r="EI12" i="55"/>
  <c r="EJ11" i="55"/>
  <c r="EK10" i="55"/>
  <c r="EC10" i="55"/>
  <c r="ED9" i="55"/>
  <c r="EE8" i="55"/>
  <c r="EF7" i="55"/>
  <c r="EG6" i="55"/>
  <c r="EF14" i="55"/>
  <c r="EG13" i="55"/>
  <c r="EH12" i="55"/>
  <c r="EI11" i="55"/>
  <c r="EJ10" i="55"/>
  <c r="EK9" i="55"/>
  <c r="EC9" i="55"/>
  <c r="ED8" i="55"/>
  <c r="EE7" i="55"/>
  <c r="EF6" i="55"/>
  <c r="EE14" i="55"/>
  <c r="EF13" i="55"/>
  <c r="EG12" i="55"/>
  <c r="EH11" i="55"/>
  <c r="EI10" i="55"/>
  <c r="EJ9" i="55"/>
  <c r="EK8" i="55"/>
  <c r="EC8" i="55"/>
  <c r="ED7" i="55"/>
  <c r="EE6" i="55"/>
  <c r="ED14" i="55"/>
  <c r="EE13" i="55"/>
  <c r="EF12" i="55"/>
  <c r="EG11" i="55"/>
  <c r="EH10" i="55"/>
  <c r="EI9" i="55"/>
  <c r="EJ8" i="55"/>
  <c r="EK7" i="55"/>
  <c r="EC7" i="55"/>
  <c r="ED6" i="55"/>
  <c r="ED12" i="55"/>
  <c r="EH8" i="55"/>
  <c r="EC14" i="55"/>
  <c r="EG10" i="55"/>
  <c r="EK6" i="55"/>
  <c r="EK13" i="55"/>
  <c r="EF10" i="55"/>
  <c r="EJ6" i="55"/>
  <c r="ED13" i="55"/>
  <c r="EH9" i="55"/>
  <c r="EC6" i="55"/>
  <c r="EC13" i="55"/>
  <c r="EG9" i="55"/>
  <c r="EF11" i="55"/>
  <c r="EE11" i="55"/>
  <c r="EI8" i="55"/>
  <c r="EJ7" i="55"/>
  <c r="EI7" i="55"/>
  <c r="EK14" i="55"/>
  <c r="EJ14" i="55"/>
  <c r="EE12" i="55"/>
  <c r="LF14" i="55"/>
  <c r="LG13" i="55"/>
  <c r="LH12" i="55"/>
  <c r="LI11" i="55"/>
  <c r="LA11" i="55"/>
  <c r="LB10" i="55"/>
  <c r="LC9" i="55"/>
  <c r="LD8" i="55"/>
  <c r="LE7" i="55"/>
  <c r="LF6" i="55"/>
  <c r="LD14" i="55"/>
  <c r="LE13" i="55"/>
  <c r="LF12" i="55"/>
  <c r="LG11" i="55"/>
  <c r="LH10" i="55"/>
  <c r="LI9" i="55"/>
  <c r="LA9" i="55"/>
  <c r="LB8" i="55"/>
  <c r="LC7" i="55"/>
  <c r="LD6" i="55"/>
  <c r="LC14" i="55"/>
  <c r="LD13" i="55"/>
  <c r="LE12" i="55"/>
  <c r="LF11" i="55"/>
  <c r="LG10" i="55"/>
  <c r="LH9" i="55"/>
  <c r="LI8" i="55"/>
  <c r="LA8" i="55"/>
  <c r="LB7" i="55"/>
  <c r="LC6" i="55"/>
  <c r="LA14" i="55"/>
  <c r="LG12" i="55"/>
  <c r="LC11" i="55"/>
  <c r="LG9" i="55"/>
  <c r="LE8" i="55"/>
  <c r="LI6" i="55"/>
  <c r="LH13" i="55"/>
  <c r="LC12" i="55"/>
  <c r="LI10" i="55"/>
  <c r="LE9" i="55"/>
  <c r="LI7" i="55"/>
  <c r="LG6" i="55"/>
  <c r="LH14" i="55"/>
  <c r="LC13" i="55"/>
  <c r="LA12" i="55"/>
  <c r="LE10" i="55"/>
  <c r="LB9" i="55"/>
  <c r="LG7" i="55"/>
  <c r="LB6" i="55"/>
  <c r="LG14" i="55"/>
  <c r="LD12" i="55"/>
  <c r="LC10" i="55"/>
  <c r="LH7" i="55"/>
  <c r="LE14" i="55"/>
  <c r="LB12" i="55"/>
  <c r="LA10" i="55"/>
  <c r="LF7" i="55"/>
  <c r="LB14" i="55"/>
  <c r="LH11" i="55"/>
  <c r="LF9" i="55"/>
  <c r="LD7" i="55"/>
  <c r="LI13" i="55"/>
  <c r="LE11" i="55"/>
  <c r="LD9" i="55"/>
  <c r="LA7" i="55"/>
  <c r="LF13" i="55"/>
  <c r="LD11" i="55"/>
  <c r="LH8" i="55"/>
  <c r="LH6" i="55"/>
  <c r="LB13" i="55"/>
  <c r="LB11" i="55"/>
  <c r="LG8" i="55"/>
  <c r="LE6" i="55"/>
  <c r="LA13" i="55"/>
  <c r="LF10" i="55"/>
  <c r="LF8" i="55"/>
  <c r="LA6" i="55"/>
  <c r="LI12" i="55"/>
  <c r="LD10" i="55"/>
  <c r="LC8" i="55"/>
  <c r="LI14" i="55"/>
  <c r="JJ14" i="55"/>
  <c r="JK13" i="55"/>
  <c r="JL12" i="55"/>
  <c r="JM11" i="55"/>
  <c r="JE11" i="55"/>
  <c r="JF10" i="55"/>
  <c r="JG9" i="55"/>
  <c r="JH8" i="55"/>
  <c r="JI7" i="55"/>
  <c r="JJ6" i="55"/>
  <c r="JH14" i="55"/>
  <c r="JI13" i="55"/>
  <c r="JJ12" i="55"/>
  <c r="JK11" i="55"/>
  <c r="JL10" i="55"/>
  <c r="JM9" i="55"/>
  <c r="JE9" i="55"/>
  <c r="JF8" i="55"/>
  <c r="JG7" i="55"/>
  <c r="JH6" i="55"/>
  <c r="JG14" i="55"/>
  <c r="JH13" i="55"/>
  <c r="JI12" i="55"/>
  <c r="JJ11" i="55"/>
  <c r="JK10" i="55"/>
  <c r="JL9" i="55"/>
  <c r="JM8" i="55"/>
  <c r="JE8" i="55"/>
  <c r="JF7" i="55"/>
  <c r="JG6" i="55"/>
  <c r="JM14" i="55"/>
  <c r="JJ13" i="55"/>
  <c r="JF12" i="55"/>
  <c r="JJ10" i="55"/>
  <c r="JH9" i="55"/>
  <c r="JL7" i="55"/>
  <c r="JI6" i="55"/>
  <c r="JF14" i="55"/>
  <c r="JK12" i="55"/>
  <c r="JF11" i="55"/>
  <c r="JI9" i="55"/>
  <c r="JK7" i="55"/>
  <c r="JE6" i="55"/>
  <c r="JE14" i="55"/>
  <c r="JH12" i="55"/>
  <c r="JM10" i="55"/>
  <c r="JF9" i="55"/>
  <c r="JJ7" i="55"/>
  <c r="JM13" i="55"/>
  <c r="JG12" i="55"/>
  <c r="JI10" i="55"/>
  <c r="JL8" i="55"/>
  <c r="JH7" i="55"/>
  <c r="JL13" i="55"/>
  <c r="JE12" i="55"/>
  <c r="JH10" i="55"/>
  <c r="JK8" i="55"/>
  <c r="JE7" i="55"/>
  <c r="JG13" i="55"/>
  <c r="JL11" i="55"/>
  <c r="JG10" i="55"/>
  <c r="JJ8" i="55"/>
  <c r="JL14" i="55"/>
  <c r="JF13" i="55"/>
  <c r="JI11" i="55"/>
  <c r="JE10" i="55"/>
  <c r="JI8" i="55"/>
  <c r="JL6" i="55"/>
  <c r="JK14" i="55"/>
  <c r="JE13" i="55"/>
  <c r="JH11" i="55"/>
  <c r="JK9" i="55"/>
  <c r="JG8" i="55"/>
  <c r="JK6" i="55"/>
  <c r="JF6" i="55"/>
  <c r="JI14" i="55"/>
  <c r="JM12" i="55"/>
  <c r="JG11" i="55"/>
  <c r="JJ9" i="55"/>
  <c r="JM7" i="55"/>
  <c r="JM6" i="55"/>
  <c r="P230" i="54"/>
  <c r="P228" i="54"/>
  <c r="N230" i="54"/>
  <c r="N228" i="54"/>
  <c r="M230" i="54"/>
  <c r="M228" i="54"/>
  <c r="P231" i="54"/>
  <c r="P229" i="54"/>
  <c r="O231" i="54"/>
  <c r="O229" i="54"/>
  <c r="O228" i="54"/>
  <c r="N231" i="54"/>
  <c r="N229" i="54"/>
  <c r="M229" i="54"/>
  <c r="M231" i="54"/>
  <c r="O230" i="54"/>
  <c r="V9" i="117"/>
  <c r="U9" i="117"/>
  <c r="V4" i="117"/>
  <c r="U4" i="117"/>
  <c r="V17" i="117"/>
  <c r="U17" i="117"/>
  <c r="U15" i="117"/>
  <c r="V15" i="117"/>
  <c r="BK14" i="55"/>
  <c r="BL13" i="55"/>
  <c r="BM12" i="55"/>
  <c r="BN11" i="55"/>
  <c r="BO10" i="55"/>
  <c r="BP9" i="55"/>
  <c r="BQ8" i="55"/>
  <c r="BI8" i="55"/>
  <c r="BJ7" i="55"/>
  <c r="BK6" i="55"/>
  <c r="BJ14" i="55"/>
  <c r="BK13" i="55"/>
  <c r="BL12" i="55"/>
  <c r="BM11" i="55"/>
  <c r="BN10" i="55"/>
  <c r="BO9" i="55"/>
  <c r="BP8" i="55"/>
  <c r="BQ7" i="55"/>
  <c r="BI7" i="55"/>
  <c r="BJ6" i="55"/>
  <c r="BQ14" i="55"/>
  <c r="BI14" i="55"/>
  <c r="BJ13" i="55"/>
  <c r="BK12" i="55"/>
  <c r="BL11" i="55"/>
  <c r="BM10" i="55"/>
  <c r="BN9" i="55"/>
  <c r="BO8" i="55"/>
  <c r="BP7" i="55"/>
  <c r="BQ6" i="55"/>
  <c r="BI6" i="55"/>
  <c r="BO14" i="55"/>
  <c r="BP13" i="55"/>
  <c r="BQ12" i="55"/>
  <c r="BI12" i="55"/>
  <c r="BJ11" i="55"/>
  <c r="BK10" i="55"/>
  <c r="BL9" i="55"/>
  <c r="BM8" i="55"/>
  <c r="BN7" i="55"/>
  <c r="BO6" i="55"/>
  <c r="BL14" i="55"/>
  <c r="BN12" i="55"/>
  <c r="BP10" i="55"/>
  <c r="BI9" i="55"/>
  <c r="BK7" i="55"/>
  <c r="BN13" i="55"/>
  <c r="BP11" i="55"/>
  <c r="BI10" i="55"/>
  <c r="BK8" i="55"/>
  <c r="BM6" i="55"/>
  <c r="BM13" i="55"/>
  <c r="BO11" i="55"/>
  <c r="BQ9" i="55"/>
  <c r="BJ8" i="55"/>
  <c r="BL6" i="55"/>
  <c r="BP14" i="55"/>
  <c r="BI13" i="55"/>
  <c r="BK11" i="55"/>
  <c r="BM9" i="55"/>
  <c r="BO7" i="55"/>
  <c r="BN14" i="55"/>
  <c r="BP12" i="55"/>
  <c r="BI11" i="55"/>
  <c r="BK9" i="55"/>
  <c r="BM7" i="55"/>
  <c r="BQ11" i="55"/>
  <c r="BP6" i="55"/>
  <c r="BQ10" i="55"/>
  <c r="BN6" i="55"/>
  <c r="BL10" i="55"/>
  <c r="BM14" i="55"/>
  <c r="BJ10" i="55"/>
  <c r="BQ13" i="55"/>
  <c r="BJ9" i="55"/>
  <c r="BO13" i="55"/>
  <c r="BN8" i="55"/>
  <c r="BO12" i="55"/>
  <c r="BL8" i="55"/>
  <c r="BJ12" i="55"/>
  <c r="BL7" i="55"/>
  <c r="CC14" i="55"/>
  <c r="BU14" i="55"/>
  <c r="BV13" i="55"/>
  <c r="BW12" i="55"/>
  <c r="BX11" i="55"/>
  <c r="BY10" i="55"/>
  <c r="BZ9" i="55"/>
  <c r="CA8" i="55"/>
  <c r="CB7" i="55"/>
  <c r="CC6" i="55"/>
  <c r="BU6" i="55"/>
  <c r="CB14" i="55"/>
  <c r="CC13" i="55"/>
  <c r="BU13" i="55"/>
  <c r="BV12" i="55"/>
  <c r="BW11" i="55"/>
  <c r="BX10" i="55"/>
  <c r="BY9" i="55"/>
  <c r="BZ8" i="55"/>
  <c r="CA7" i="55"/>
  <c r="CB6" i="55"/>
  <c r="CA14" i="55"/>
  <c r="CB13" i="55"/>
  <c r="CC12" i="55"/>
  <c r="BU12" i="55"/>
  <c r="BV11" i="55"/>
  <c r="BW10" i="55"/>
  <c r="BX9" i="55"/>
  <c r="BY8" i="55"/>
  <c r="BZ7" i="55"/>
  <c r="CA6" i="55"/>
  <c r="BY14" i="55"/>
  <c r="BZ13" i="55"/>
  <c r="CA12" i="55"/>
  <c r="CB11" i="55"/>
  <c r="CC10" i="55"/>
  <c r="BU10" i="55"/>
  <c r="BV9" i="55"/>
  <c r="BW8" i="55"/>
  <c r="BX7" i="55"/>
  <c r="BY6" i="55"/>
  <c r="BV14" i="55"/>
  <c r="BX12" i="55"/>
  <c r="BZ10" i="55"/>
  <c r="CB8" i="55"/>
  <c r="BU7" i="55"/>
  <c r="BX13" i="55"/>
  <c r="BZ11" i="55"/>
  <c r="CB9" i="55"/>
  <c r="BU8" i="55"/>
  <c r="BW6" i="55"/>
  <c r="BW13" i="55"/>
  <c r="BY11" i="55"/>
  <c r="CA9" i="55"/>
  <c r="CC7" i="55"/>
  <c r="BV6" i="55"/>
  <c r="BZ14" i="55"/>
  <c r="CB12" i="55"/>
  <c r="BU11" i="55"/>
  <c r="BW9" i="55"/>
  <c r="BY7" i="55"/>
  <c r="BX14" i="55"/>
  <c r="BZ12" i="55"/>
  <c r="CB10" i="55"/>
  <c r="BU9" i="55"/>
  <c r="BW7" i="55"/>
  <c r="CC11" i="55"/>
  <c r="BV7" i="55"/>
  <c r="CA11" i="55"/>
  <c r="BZ6" i="55"/>
  <c r="CA10" i="55"/>
  <c r="BX6" i="55"/>
  <c r="BV10" i="55"/>
  <c r="BW14" i="55"/>
  <c r="CC9" i="55"/>
  <c r="CA13" i="55"/>
  <c r="CC8" i="55"/>
  <c r="BY13" i="55"/>
  <c r="BX8" i="55"/>
  <c r="BY12" i="55"/>
  <c r="BV8" i="55"/>
  <c r="HX14" i="55"/>
  <c r="HY13" i="55"/>
  <c r="HZ12" i="55"/>
  <c r="IA11" i="55"/>
  <c r="IB10" i="55"/>
  <c r="IC9" i="55"/>
  <c r="HU9" i="55"/>
  <c r="HV8" i="55"/>
  <c r="HW7" i="55"/>
  <c r="HX6" i="55"/>
  <c r="IC14" i="55"/>
  <c r="HU14" i="55"/>
  <c r="HV13" i="55"/>
  <c r="HW12" i="55"/>
  <c r="HX11" i="55"/>
  <c r="HY10" i="55"/>
  <c r="HZ9" i="55"/>
  <c r="IA8" i="55"/>
  <c r="IB7" i="55"/>
  <c r="IC6" i="55"/>
  <c r="HU6" i="55"/>
  <c r="HW14" i="55"/>
  <c r="HU13" i="55"/>
  <c r="IC11" i="55"/>
  <c r="IA10" i="55"/>
  <c r="HY9" i="55"/>
  <c r="HX8" i="55"/>
  <c r="HV7" i="55"/>
  <c r="IC13" i="55"/>
  <c r="IA12" i="55"/>
  <c r="HW11" i="55"/>
  <c r="HU10" i="55"/>
  <c r="HZ8" i="55"/>
  <c r="HX7" i="55"/>
  <c r="IB13" i="55"/>
  <c r="HY12" i="55"/>
  <c r="HV11" i="55"/>
  <c r="IB9" i="55"/>
  <c r="HY8" i="55"/>
  <c r="HU7" i="55"/>
  <c r="IA13" i="55"/>
  <c r="HX12" i="55"/>
  <c r="HU11" i="55"/>
  <c r="IA9" i="55"/>
  <c r="HW8" i="55"/>
  <c r="IB6" i="55"/>
  <c r="IB14" i="55"/>
  <c r="HZ13" i="55"/>
  <c r="HV12" i="55"/>
  <c r="IC10" i="55"/>
  <c r="HX9" i="55"/>
  <c r="HU8" i="55"/>
  <c r="IA6" i="55"/>
  <c r="HZ14" i="55"/>
  <c r="HW13" i="55"/>
  <c r="IB11" i="55"/>
  <c r="HX10" i="55"/>
  <c r="HV9" i="55"/>
  <c r="IA7" i="55"/>
  <c r="HY6" i="55"/>
  <c r="HY14" i="55"/>
  <c r="IC12" i="55"/>
  <c r="HZ11" i="55"/>
  <c r="HW10" i="55"/>
  <c r="IC8" i="55"/>
  <c r="HZ7" i="55"/>
  <c r="HW6" i="55"/>
  <c r="HY11" i="55"/>
  <c r="HV6" i="55"/>
  <c r="HZ10" i="55"/>
  <c r="HV10" i="55"/>
  <c r="IA14" i="55"/>
  <c r="HW9" i="55"/>
  <c r="HV14" i="55"/>
  <c r="IB8" i="55"/>
  <c r="HX13" i="55"/>
  <c r="IC7" i="55"/>
  <c r="HZ6" i="55"/>
  <c r="IB12" i="55"/>
  <c r="HU12" i="55"/>
  <c r="HY7" i="55"/>
  <c r="O242" i="54"/>
  <c r="O240" i="54"/>
  <c r="O238" i="54"/>
  <c r="O236" i="54"/>
  <c r="O234" i="54"/>
  <c r="M242" i="54"/>
  <c r="M240" i="54"/>
  <c r="M238" i="54"/>
  <c r="M236" i="54"/>
  <c r="M234" i="54"/>
  <c r="P241" i="54"/>
  <c r="P239" i="54"/>
  <c r="P237" i="54"/>
  <c r="P235" i="54"/>
  <c r="O241" i="54"/>
  <c r="O239" i="54"/>
  <c r="O237" i="54"/>
  <c r="O235" i="54"/>
  <c r="N241" i="54"/>
  <c r="N239" i="54"/>
  <c r="N237" i="54"/>
  <c r="N235" i="54"/>
  <c r="P240" i="54"/>
  <c r="M235" i="54"/>
  <c r="M239" i="54"/>
  <c r="N234" i="54"/>
  <c r="P238" i="54"/>
  <c r="N240" i="54"/>
  <c r="M237" i="54"/>
  <c r="P236" i="54"/>
  <c r="P242" i="54"/>
  <c r="N238" i="54"/>
  <c r="N236" i="54"/>
  <c r="P234" i="54"/>
  <c r="N242" i="54"/>
  <c r="M241" i="54"/>
  <c r="V8" i="117"/>
  <c r="U8" i="117"/>
  <c r="KD14" i="55"/>
  <c r="KE13" i="55"/>
  <c r="KF12" i="55"/>
  <c r="KG11" i="55"/>
  <c r="KH10" i="55"/>
  <c r="KI9" i="55"/>
  <c r="KJ8" i="55"/>
  <c r="KK7" i="55"/>
  <c r="KC7" i="55"/>
  <c r="KD6" i="55"/>
  <c r="KJ14" i="55"/>
  <c r="KK13" i="55"/>
  <c r="KC13" i="55"/>
  <c r="KD12" i="55"/>
  <c r="KE11" i="55"/>
  <c r="KF10" i="55"/>
  <c r="KG9" i="55"/>
  <c r="KH8" i="55"/>
  <c r="KI7" i="55"/>
  <c r="KJ6" i="55"/>
  <c r="KI14" i="55"/>
  <c r="KJ13" i="55"/>
  <c r="KK12" i="55"/>
  <c r="KC12" i="55"/>
  <c r="KD11" i="55"/>
  <c r="KE10" i="55"/>
  <c r="KF9" i="55"/>
  <c r="KG8" i="55"/>
  <c r="KH7" i="55"/>
  <c r="KI6" i="55"/>
  <c r="KI13" i="55"/>
  <c r="KG12" i="55"/>
  <c r="KK10" i="55"/>
  <c r="KH9" i="55"/>
  <c r="KD8" i="55"/>
  <c r="KH6" i="55"/>
  <c r="KK14" i="55"/>
  <c r="KG13" i="55"/>
  <c r="KK11" i="55"/>
  <c r="KI10" i="55"/>
  <c r="KD9" i="55"/>
  <c r="KJ7" i="55"/>
  <c r="KF6" i="55"/>
  <c r="KE14" i="55"/>
  <c r="KE12" i="55"/>
  <c r="KD10" i="55"/>
  <c r="KF8" i="55"/>
  <c r="KG6" i="55"/>
  <c r="KC14" i="55"/>
  <c r="KJ11" i="55"/>
  <c r="KC10" i="55"/>
  <c r="KE8" i="55"/>
  <c r="KE6" i="55"/>
  <c r="KH13" i="55"/>
  <c r="KI11" i="55"/>
  <c r="KK9" i="55"/>
  <c r="KC8" i="55"/>
  <c r="KC6" i="55"/>
  <c r="KF13" i="55"/>
  <c r="KH11" i="55"/>
  <c r="KJ9" i="55"/>
  <c r="KG7" i="55"/>
  <c r="KD13" i="55"/>
  <c r="KF11" i="55"/>
  <c r="KE9" i="55"/>
  <c r="KF7" i="55"/>
  <c r="KH14" i="55"/>
  <c r="KJ12" i="55"/>
  <c r="KC11" i="55"/>
  <c r="KC9" i="55"/>
  <c r="KE7" i="55"/>
  <c r="KG14" i="55"/>
  <c r="KI12" i="55"/>
  <c r="KJ10" i="55"/>
  <c r="KK8" i="55"/>
  <c r="KD7" i="55"/>
  <c r="KF14" i="55"/>
  <c r="KH12" i="55"/>
  <c r="KG10" i="55"/>
  <c r="KI8" i="55"/>
  <c r="KK6" i="55"/>
  <c r="H13" i="116"/>
  <c r="H9" i="116"/>
  <c r="H5" i="116"/>
  <c r="H6" i="116"/>
  <c r="H3" i="116"/>
  <c r="H12" i="116"/>
  <c r="H8" i="116"/>
  <c r="H4" i="116"/>
  <c r="H10" i="116"/>
  <c r="H11" i="116"/>
  <c r="H7" i="116"/>
  <c r="LM6" i="55" l="1" a="1"/>
  <c r="H14" i="116"/>
  <c r="J5" i="115"/>
  <c r="J6" i="115" s="1"/>
  <c r="J7" i="115" s="1"/>
  <c r="J8" i="115" s="1"/>
  <c r="J9" i="115" s="1"/>
  <c r="J10" i="115" s="1"/>
  <c r="J11" i="115" s="1"/>
  <c r="J12" i="115" s="1"/>
  <c r="J13" i="115" s="1"/>
  <c r="J14" i="115" s="1"/>
  <c r="J15" i="115" s="1"/>
  <c r="J16" i="115" s="1"/>
  <c r="J17" i="115" s="1"/>
  <c r="J18" i="115" s="1"/>
  <c r="H7" i="115"/>
  <c r="H4" i="115"/>
  <c r="H4" i="115" a="1"/>
  <c r="H6" i="115" s="1"/>
  <c r="G4" i="115" a="1"/>
  <c r="G7" i="115" s="1"/>
  <c r="S3" i="115"/>
  <c r="T3" i="115" s="1"/>
  <c r="P3" i="115"/>
  <c r="O3" i="115"/>
  <c r="I10" i="114"/>
  <c r="I11" i="114" s="1"/>
  <c r="I12" i="114" s="1"/>
  <c r="I13" i="114" s="1"/>
  <c r="I14" i="114" s="1"/>
  <c r="I15" i="114" s="1"/>
  <c r="I16" i="114" s="1"/>
  <c r="I17" i="114" s="1"/>
  <c r="I18" i="114" s="1"/>
  <c r="I5" i="114"/>
  <c r="I6" i="114" s="1"/>
  <c r="I7" i="114" s="1"/>
  <c r="I8" i="114" s="1"/>
  <c r="I9" i="114" s="1"/>
  <c r="S3" i="114"/>
  <c r="R3" i="114"/>
  <c r="N3" i="114"/>
  <c r="O3" i="114" s="1"/>
  <c r="I14" i="113"/>
  <c r="I15" i="113" s="1"/>
  <c r="I16" i="113" s="1"/>
  <c r="I17" i="113" s="1"/>
  <c r="I18" i="113" s="1"/>
  <c r="I5" i="113"/>
  <c r="I6" i="113" s="1"/>
  <c r="I7" i="113" s="1"/>
  <c r="I8" i="113" s="1"/>
  <c r="I9" i="113" s="1"/>
  <c r="I10" i="113" s="1"/>
  <c r="I11" i="113" s="1"/>
  <c r="I12" i="113" s="1"/>
  <c r="I13" i="113" s="1"/>
  <c r="R3" i="113"/>
  <c r="S3" i="113" s="1"/>
  <c r="N3" i="113"/>
  <c r="K6" i="112"/>
  <c r="K7" i="112" s="1"/>
  <c r="K8" i="112" s="1"/>
  <c r="K9" i="112" s="1"/>
  <c r="K10" i="112" s="1"/>
  <c r="K11" i="112" s="1"/>
  <c r="K12" i="112" s="1"/>
  <c r="K13" i="112" s="1"/>
  <c r="K14" i="112" s="1"/>
  <c r="K15" i="112" s="1"/>
  <c r="K16" i="112" s="1"/>
  <c r="K17" i="112" s="1"/>
  <c r="K18" i="112" s="1"/>
  <c r="K5" i="112"/>
  <c r="T3" i="112"/>
  <c r="U3" i="112" s="1"/>
  <c r="P3" i="112"/>
  <c r="J8" i="111"/>
  <c r="J9" i="111" s="1"/>
  <c r="J10" i="111" s="1"/>
  <c r="J11" i="111" s="1"/>
  <c r="J12" i="111" s="1"/>
  <c r="J13" i="111" s="1"/>
  <c r="J14" i="111" s="1"/>
  <c r="J15" i="111" s="1"/>
  <c r="J16" i="111" s="1"/>
  <c r="J17" i="111" s="1"/>
  <c r="J18" i="111" s="1"/>
  <c r="J5" i="111"/>
  <c r="J6" i="111" s="1"/>
  <c r="J7" i="111" s="1"/>
  <c r="H7" i="111"/>
  <c r="H4" i="111" a="1"/>
  <c r="G4" i="111" a="1"/>
  <c r="G6" i="111" s="1"/>
  <c r="S3" i="111"/>
  <c r="T3" i="111" s="1"/>
  <c r="P3" i="111"/>
  <c r="O3" i="111"/>
  <c r="F5" i="110"/>
  <c r="F6" i="110" s="1"/>
  <c r="F7" i="110" s="1"/>
  <c r="F8" i="110" s="1"/>
  <c r="F9" i="110" s="1"/>
  <c r="F10" i="110" s="1"/>
  <c r="F11" i="110" s="1"/>
  <c r="F12" i="110" s="1"/>
  <c r="F13" i="110" s="1"/>
  <c r="F14" i="110" s="1"/>
  <c r="F15" i="110" s="1"/>
  <c r="F16" i="110" s="1"/>
  <c r="F17" i="110" s="1"/>
  <c r="F18" i="110" s="1"/>
  <c r="O3" i="110"/>
  <c r="P3" i="110" s="1"/>
  <c r="L3" i="110"/>
  <c r="K3" i="110"/>
  <c r="H8" i="109"/>
  <c r="H9" i="109" s="1"/>
  <c r="H10" i="109" s="1"/>
  <c r="H11" i="109" s="1"/>
  <c r="H12" i="109" s="1"/>
  <c r="H13" i="109" s="1"/>
  <c r="H14" i="109" s="1"/>
  <c r="H15" i="109" s="1"/>
  <c r="H16" i="109" s="1"/>
  <c r="H17" i="109" s="1"/>
  <c r="H18" i="109" s="1"/>
  <c r="H5" i="109"/>
  <c r="H6" i="109" s="1"/>
  <c r="H7" i="109" s="1"/>
  <c r="Q3" i="109"/>
  <c r="R3" i="109" s="1"/>
  <c r="M3" i="109"/>
  <c r="LS14" i="55" l="1"/>
  <c r="LT13" i="55"/>
  <c r="LP14" i="55"/>
  <c r="LQ13" i="55"/>
  <c r="LR12" i="55"/>
  <c r="LS11" i="55"/>
  <c r="LT10" i="55"/>
  <c r="LU9" i="55"/>
  <c r="LM9" i="55"/>
  <c r="LN8" i="55"/>
  <c r="LO7" i="55"/>
  <c r="LP6" i="55"/>
  <c r="LN14" i="55"/>
  <c r="LO13" i="55"/>
  <c r="LP12" i="55"/>
  <c r="LQ11" i="55"/>
  <c r="LR10" i="55"/>
  <c r="LS9" i="55"/>
  <c r="LT8" i="55"/>
  <c r="LU7" i="55"/>
  <c r="LM7" i="55"/>
  <c r="LN6" i="55"/>
  <c r="LU14" i="55"/>
  <c r="LM14" i="55"/>
  <c r="LN13" i="55"/>
  <c r="LO12" i="55"/>
  <c r="LP11" i="55"/>
  <c r="LQ10" i="55"/>
  <c r="LR9" i="55"/>
  <c r="LS8" i="55"/>
  <c r="LT7" i="55"/>
  <c r="LU6" i="55"/>
  <c r="LM6" i="55"/>
  <c r="LR13" i="55"/>
  <c r="LM12" i="55"/>
  <c r="LS10" i="55"/>
  <c r="LO9" i="55"/>
  <c r="LS7" i="55"/>
  <c r="LQ6" i="55"/>
  <c r="LT14" i="55"/>
  <c r="LM13" i="55"/>
  <c r="LT11" i="55"/>
  <c r="LO10" i="55"/>
  <c r="LU8" i="55"/>
  <c r="LQ7" i="55"/>
  <c r="LQ14" i="55"/>
  <c r="LT12" i="55"/>
  <c r="LO11" i="55"/>
  <c r="LM10" i="55"/>
  <c r="LQ8" i="55"/>
  <c r="LN7" i="55"/>
  <c r="LQ12" i="55"/>
  <c r="LN10" i="55"/>
  <c r="LM8" i="55"/>
  <c r="LR14" i="55"/>
  <c r="LN12" i="55"/>
  <c r="LT9" i="55"/>
  <c r="LR7" i="55"/>
  <c r="LO14" i="55"/>
  <c r="LU11" i="55"/>
  <c r="LQ9" i="55"/>
  <c r="LP7" i="55"/>
  <c r="LU13" i="55"/>
  <c r="LR11" i="55"/>
  <c r="LP9" i="55"/>
  <c r="LT6" i="55"/>
  <c r="LS13" i="55"/>
  <c r="LN11" i="55"/>
  <c r="LN9" i="55"/>
  <c r="LS6" i="55"/>
  <c r="LP13" i="55"/>
  <c r="LM11" i="55"/>
  <c r="LR8" i="55"/>
  <c r="LR6" i="55"/>
  <c r="LU12" i="55"/>
  <c r="LU10" i="55"/>
  <c r="LP8" i="55"/>
  <c r="LO6" i="55"/>
  <c r="LS12" i="55"/>
  <c r="LP10" i="55"/>
  <c r="LO8" i="55"/>
  <c r="G4" i="115"/>
  <c r="G4" i="111"/>
  <c r="G5" i="115"/>
  <c r="G7" i="111"/>
  <c r="H6" i="111"/>
  <c r="H5" i="111"/>
  <c r="H4" i="111"/>
  <c r="G5" i="111"/>
  <c r="N3" i="109"/>
  <c r="Q3" i="112"/>
  <c r="O3" i="113"/>
  <c r="H5" i="115"/>
  <c r="G6" i="115"/>
  <c r="U9" i="105"/>
  <c r="T9" i="105"/>
  <c r="S9" i="105"/>
  <c r="V8" i="105"/>
  <c r="U8" i="105"/>
  <c r="T8" i="105"/>
  <c r="S8" i="105"/>
  <c r="V7" i="105"/>
  <c r="U7" i="105"/>
  <c r="T7" i="105"/>
  <c r="S7" i="105"/>
  <c r="V6" i="105"/>
  <c r="U6" i="105"/>
  <c r="T6" i="105"/>
  <c r="S6" i="105"/>
  <c r="V5" i="105"/>
  <c r="U5" i="105"/>
  <c r="T5" i="105"/>
  <c r="S5" i="105"/>
  <c r="A5" i="105"/>
  <c r="A6" i="105" s="1"/>
  <c r="A7" i="105" s="1"/>
  <c r="A8" i="105" s="1"/>
  <c r="A9" i="105" s="1"/>
  <c r="A10" i="105" s="1"/>
  <c r="A11" i="105" s="1"/>
  <c r="A12" i="105" s="1"/>
  <c r="A13" i="105" s="1"/>
  <c r="A14" i="105" s="1"/>
  <c r="A15" i="105" s="1"/>
  <c r="A16" i="105" s="1"/>
  <c r="A17" i="105" s="1"/>
  <c r="A18" i="105" s="1"/>
  <c r="A19" i="105" s="1"/>
  <c r="U4" i="105"/>
  <c r="S4" i="105" a="1"/>
  <c r="T4" i="105" s="1"/>
  <c r="A5" i="104"/>
  <c r="A6" i="104" s="1"/>
  <c r="A7" i="104" s="1"/>
  <c r="A8" i="104" s="1"/>
  <c r="A9" i="104" s="1"/>
  <c r="A10" i="104" s="1"/>
  <c r="A11" i="104" s="1"/>
  <c r="A12" i="104" s="1"/>
  <c r="A13" i="104" s="1"/>
  <c r="A14" i="104" s="1"/>
  <c r="A15" i="104" s="1"/>
  <c r="A16" i="104" s="1"/>
  <c r="A17" i="104" s="1"/>
  <c r="A18" i="104" s="1"/>
  <c r="A19" i="104" s="1"/>
  <c r="I24" i="103"/>
  <c r="N22" i="103" s="1"/>
  <c r="G5" i="103"/>
  <c r="H5" i="103" s="1"/>
  <c r="A5" i="103"/>
  <c r="A6" i="103" s="1"/>
  <c r="A7" i="103" s="1"/>
  <c r="A8" i="103" s="1"/>
  <c r="A9" i="103" s="1"/>
  <c r="A10" i="103" s="1"/>
  <c r="A11" i="103" s="1"/>
  <c r="A12" i="103" s="1"/>
  <c r="A13" i="103" s="1"/>
  <c r="A14" i="103" s="1"/>
  <c r="A15" i="103" s="1"/>
  <c r="A16" i="103" s="1"/>
  <c r="A17" i="103" s="1"/>
  <c r="A18" i="103" s="1"/>
  <c r="A19" i="103" s="1"/>
  <c r="H4" i="103"/>
  <c r="I3" i="103"/>
  <c r="LY6" i="55" l="1" a="1"/>
  <c r="P6" i="112"/>
  <c r="N7" i="113"/>
  <c r="P7" i="112"/>
  <c r="N4" i="114"/>
  <c r="L6" i="110"/>
  <c r="M5" i="109"/>
  <c r="N4" i="113"/>
  <c r="N5" i="114"/>
  <c r="O5" i="113"/>
  <c r="O4" i="113"/>
  <c r="O7" i="113"/>
  <c r="O6" i="113"/>
  <c r="O6" i="114"/>
  <c r="L5" i="110"/>
  <c r="O7" i="114"/>
  <c r="K6" i="110"/>
  <c r="N6" i="113"/>
  <c r="O5" i="114"/>
  <c r="M7" i="109"/>
  <c r="L4" i="110"/>
  <c r="J7" i="110"/>
  <c r="K4" i="110"/>
  <c r="J4" i="110"/>
  <c r="J5" i="110"/>
  <c r="K7" i="110"/>
  <c r="J6" i="110"/>
  <c r="Q7" i="112"/>
  <c r="Q4" i="112"/>
  <c r="Q6" i="112"/>
  <c r="Q5" i="112"/>
  <c r="P5" i="112"/>
  <c r="L7" i="110"/>
  <c r="M6" i="114"/>
  <c r="M7" i="114"/>
  <c r="M4" i="114"/>
  <c r="N6" i="114"/>
  <c r="N7" i="114"/>
  <c r="M5" i="114"/>
  <c r="M4" i="109"/>
  <c r="K5" i="110"/>
  <c r="O4" i="114"/>
  <c r="N4" i="109"/>
  <c r="N6" i="109"/>
  <c r="N5" i="109"/>
  <c r="N7" i="109"/>
  <c r="N5" i="113"/>
  <c r="O5" i="112"/>
  <c r="O4" i="112"/>
  <c r="O6" i="112"/>
  <c r="O7" i="112"/>
  <c r="P4" i="112"/>
  <c r="L7" i="109"/>
  <c r="L4" i="109"/>
  <c r="L5" i="109"/>
  <c r="L6" i="109"/>
  <c r="M6" i="109"/>
  <c r="M6" i="113"/>
  <c r="M7" i="113"/>
  <c r="M4" i="113"/>
  <c r="M5" i="113"/>
  <c r="E12" i="85"/>
  <c r="G6" i="103"/>
  <c r="I5" i="103"/>
  <c r="N24" i="103"/>
  <c r="N23" i="103"/>
  <c r="I22" i="103"/>
  <c r="M5" i="105"/>
  <c r="M6" i="105"/>
  <c r="M7" i="105"/>
  <c r="V9" i="105"/>
  <c r="I4" i="103"/>
  <c r="I6" i="103"/>
  <c r="J3" i="103"/>
  <c r="S4" i="105"/>
  <c r="MC14" i="55" l="1"/>
  <c r="MD13" i="55"/>
  <c r="ME12" i="55"/>
  <c r="MF11" i="55"/>
  <c r="MG10" i="55"/>
  <c r="LY10" i="55"/>
  <c r="LZ9" i="55"/>
  <c r="MA8" i="55"/>
  <c r="MB7" i="55"/>
  <c r="MC6" i="55"/>
  <c r="LZ14" i="55"/>
  <c r="MA13" i="55"/>
  <c r="MB12" i="55"/>
  <c r="MC11" i="55"/>
  <c r="MD10" i="55"/>
  <c r="ME9" i="55"/>
  <c r="MF8" i="55"/>
  <c r="MG7" i="55"/>
  <c r="LY7" i="55"/>
  <c r="LZ6" i="55"/>
  <c r="MF14" i="55"/>
  <c r="MG13" i="55"/>
  <c r="LY13" i="55"/>
  <c r="LZ12" i="55"/>
  <c r="MA11" i="55"/>
  <c r="MB10" i="55"/>
  <c r="MC9" i="55"/>
  <c r="MD8" i="55"/>
  <c r="ME7" i="55"/>
  <c r="MF6" i="55"/>
  <c r="ME14" i="55"/>
  <c r="MF13" i="55"/>
  <c r="MG12" i="55"/>
  <c r="LY12" i="55"/>
  <c r="LZ11" i="55"/>
  <c r="MA10" i="55"/>
  <c r="MB9" i="55"/>
  <c r="MC8" i="55"/>
  <c r="MD7" i="55"/>
  <c r="ME6" i="55"/>
  <c r="MB13" i="55"/>
  <c r="MD11" i="55"/>
  <c r="MF9" i="55"/>
  <c r="LY8" i="55"/>
  <c r="MA6" i="55"/>
  <c r="MD14" i="55"/>
  <c r="MF12" i="55"/>
  <c r="LY11" i="55"/>
  <c r="MA9" i="55"/>
  <c r="MC7" i="55"/>
  <c r="MA14" i="55"/>
  <c r="MC12" i="55"/>
  <c r="ME10" i="55"/>
  <c r="MG8" i="55"/>
  <c r="LZ7" i="55"/>
  <c r="MB14" i="55"/>
  <c r="ME11" i="55"/>
  <c r="ME8" i="55"/>
  <c r="LY6" i="55"/>
  <c r="LY14" i="55"/>
  <c r="MB11" i="55"/>
  <c r="MB8" i="55"/>
  <c r="ME13" i="55"/>
  <c r="MF10" i="55"/>
  <c r="LZ8" i="55"/>
  <c r="MC13" i="55"/>
  <c r="MC10" i="55"/>
  <c r="MF7" i="55"/>
  <c r="LZ13" i="55"/>
  <c r="LZ10" i="55"/>
  <c r="MA7" i="55"/>
  <c r="MD12" i="55"/>
  <c r="MG9" i="55"/>
  <c r="MG6" i="55"/>
  <c r="MA12" i="55"/>
  <c r="MD9" i="55"/>
  <c r="MD6" i="55"/>
  <c r="MG14" i="55"/>
  <c r="MG11" i="55"/>
  <c r="LY9" i="55"/>
  <c r="MB6" i="55"/>
  <c r="R17" i="113" a="1"/>
  <c r="R17" i="113" s="1"/>
  <c r="R15" i="114" a="1"/>
  <c r="R15" i="114" s="1"/>
  <c r="R18" i="113" a="1"/>
  <c r="R18" i="113" s="1"/>
  <c r="R4" i="113" a="1"/>
  <c r="R4" i="113" s="1"/>
  <c r="R14" i="114" a="1"/>
  <c r="R14" i="114" s="1"/>
  <c r="R6" i="114" a="1"/>
  <c r="R6" i="114" s="1"/>
  <c r="R11" i="114" a="1"/>
  <c r="R11" i="114" s="1"/>
  <c r="R10" i="113" a="1"/>
  <c r="R10" i="113" s="1"/>
  <c r="R14" i="113" a="1"/>
  <c r="R14" i="113" s="1"/>
  <c r="T18" i="112" a="1"/>
  <c r="T18" i="112" s="1"/>
  <c r="T17" i="112" a="1"/>
  <c r="T17" i="112" s="1"/>
  <c r="T16" i="112" a="1"/>
  <c r="T16" i="112" s="1"/>
  <c r="T15" i="112" a="1"/>
  <c r="T15" i="112" s="1"/>
  <c r="T14" i="112" a="1"/>
  <c r="T14" i="112" s="1"/>
  <c r="T13" i="112" a="1"/>
  <c r="T13" i="112" s="1"/>
  <c r="T12" i="112" a="1"/>
  <c r="T12" i="112" s="1"/>
  <c r="T11" i="112" a="1"/>
  <c r="T11" i="112" s="1"/>
  <c r="T10" i="112" a="1"/>
  <c r="T10" i="112" s="1"/>
  <c r="T9" i="112" a="1"/>
  <c r="T9" i="112" s="1"/>
  <c r="T8" i="112" a="1"/>
  <c r="T8" i="112" s="1"/>
  <c r="T6" i="112" a="1"/>
  <c r="T6" i="112" s="1"/>
  <c r="T5" i="112" a="1"/>
  <c r="T5" i="112" s="1"/>
  <c r="T4" i="112" a="1"/>
  <c r="T4" i="112" s="1"/>
  <c r="T7" i="112" a="1"/>
  <c r="T7" i="112" s="1"/>
  <c r="Q5" i="114" a="1"/>
  <c r="Q5" i="114" s="1"/>
  <c r="Q18" i="114" a="1"/>
  <c r="Q18" i="114" s="1"/>
  <c r="Q17" i="114" a="1"/>
  <c r="Q17" i="114" s="1"/>
  <c r="Q16" i="114" a="1"/>
  <c r="Q16" i="114" s="1"/>
  <c r="Q15" i="114" a="1"/>
  <c r="Q15" i="114" s="1"/>
  <c r="Q14" i="114" a="1"/>
  <c r="Q14" i="114" s="1"/>
  <c r="Q13" i="114" a="1"/>
  <c r="Q13" i="114" s="1"/>
  <c r="Q12" i="114" a="1"/>
  <c r="Q12" i="114" s="1"/>
  <c r="Q11" i="114" a="1"/>
  <c r="Q11" i="114" s="1"/>
  <c r="Q10" i="114" a="1"/>
  <c r="Q10" i="114" s="1"/>
  <c r="Q9" i="114" a="1"/>
  <c r="Q9" i="114" s="1"/>
  <c r="Q8" i="114" a="1"/>
  <c r="Q8" i="114" s="1"/>
  <c r="Q7" i="114" a="1"/>
  <c r="Q7" i="114" s="1"/>
  <c r="Q6" i="114" a="1"/>
  <c r="Q6" i="114" s="1"/>
  <c r="Q4" i="114" a="1"/>
  <c r="Q4" i="114" s="1"/>
  <c r="R11" i="113" a="1"/>
  <c r="R11" i="113" s="1"/>
  <c r="S4" i="113" a="1"/>
  <c r="S4" i="113" s="1"/>
  <c r="S6" i="113" a="1"/>
  <c r="S6" i="113" s="1"/>
  <c r="S5" i="113" a="1"/>
  <c r="S5" i="113" s="1"/>
  <c r="S18" i="113" a="1"/>
  <c r="S18" i="113" s="1"/>
  <c r="S17" i="113" a="1"/>
  <c r="S17" i="113" s="1"/>
  <c r="S15" i="113" a="1"/>
  <c r="S15" i="113" s="1"/>
  <c r="S7" i="113" a="1"/>
  <c r="S7" i="113" s="1"/>
  <c r="S12" i="113" a="1"/>
  <c r="S12" i="113" s="1"/>
  <c r="S9" i="113" a="1"/>
  <c r="S9" i="113" s="1"/>
  <c r="S14" i="113" a="1"/>
  <c r="S14" i="113" s="1"/>
  <c r="S11" i="113" a="1"/>
  <c r="S11" i="113" s="1"/>
  <c r="S13" i="113" a="1"/>
  <c r="S13" i="113" s="1"/>
  <c r="S10" i="113" a="1"/>
  <c r="S10" i="113" s="1"/>
  <c r="S8" i="113" a="1"/>
  <c r="S8" i="113" s="1"/>
  <c r="S16" i="113" a="1"/>
  <c r="S16" i="113" s="1"/>
  <c r="R8" i="114" a="1"/>
  <c r="R8" i="114" s="1"/>
  <c r="R16" i="114" a="1"/>
  <c r="R16" i="114" s="1"/>
  <c r="O5" i="115"/>
  <c r="N5" i="115"/>
  <c r="N7" i="115"/>
  <c r="O4" i="115"/>
  <c r="P6" i="115"/>
  <c r="N4" i="115"/>
  <c r="N6" i="115"/>
  <c r="O6" i="115"/>
  <c r="P7" i="115"/>
  <c r="O7" i="115"/>
  <c r="P5" i="115"/>
  <c r="P4" i="115"/>
  <c r="R5" i="109" a="1"/>
  <c r="R5" i="109" s="1"/>
  <c r="R18" i="109" a="1"/>
  <c r="R18" i="109" s="1"/>
  <c r="R17" i="109" a="1"/>
  <c r="R17" i="109" s="1"/>
  <c r="R16" i="109" a="1"/>
  <c r="R16" i="109" s="1"/>
  <c r="R15" i="109" a="1"/>
  <c r="R15" i="109" s="1"/>
  <c r="R14" i="109" a="1"/>
  <c r="R14" i="109" s="1"/>
  <c r="R13" i="109" a="1"/>
  <c r="R13" i="109" s="1"/>
  <c r="R12" i="109" a="1"/>
  <c r="R12" i="109" s="1"/>
  <c r="R11" i="109" a="1"/>
  <c r="R11" i="109" s="1"/>
  <c r="R10" i="109" a="1"/>
  <c r="R10" i="109" s="1"/>
  <c r="R9" i="109" a="1"/>
  <c r="R9" i="109" s="1"/>
  <c r="R8" i="109" a="1"/>
  <c r="R8" i="109" s="1"/>
  <c r="R7" i="109" a="1"/>
  <c r="R7" i="109" s="1"/>
  <c r="R6" i="109" a="1"/>
  <c r="R6" i="109" s="1"/>
  <c r="R4" i="109" a="1"/>
  <c r="R4" i="109" s="1"/>
  <c r="R6" i="113" a="1"/>
  <c r="R6" i="113" s="1"/>
  <c r="R12" i="113" a="1"/>
  <c r="R12" i="113" s="1"/>
  <c r="R9" i="114" a="1"/>
  <c r="R9" i="114" s="1"/>
  <c r="R18" i="114" a="1"/>
  <c r="R18" i="114" s="1"/>
  <c r="N6" i="111"/>
  <c r="N7" i="111"/>
  <c r="N4" i="111"/>
  <c r="O7" i="111"/>
  <c r="N5" i="111"/>
  <c r="O6" i="111"/>
  <c r="P4" i="111"/>
  <c r="O5" i="111"/>
  <c r="P7" i="111"/>
  <c r="O4" i="111"/>
  <c r="P5" i="111"/>
  <c r="P6" i="111"/>
  <c r="S6" i="114" a="1"/>
  <c r="S6" i="114" s="1"/>
  <c r="S18" i="114" a="1"/>
  <c r="S18" i="114" s="1"/>
  <c r="S17" i="114" a="1"/>
  <c r="S17" i="114" s="1"/>
  <c r="S16" i="114" a="1"/>
  <c r="S16" i="114" s="1"/>
  <c r="S15" i="114" a="1"/>
  <c r="S15" i="114" s="1"/>
  <c r="S14" i="114" a="1"/>
  <c r="S14" i="114" s="1"/>
  <c r="S13" i="114" a="1"/>
  <c r="S13" i="114" s="1"/>
  <c r="S12" i="114" a="1"/>
  <c r="S12" i="114" s="1"/>
  <c r="S11" i="114" a="1"/>
  <c r="S11" i="114" s="1"/>
  <c r="S10" i="114" a="1"/>
  <c r="S10" i="114" s="1"/>
  <c r="S9" i="114" a="1"/>
  <c r="S9" i="114" s="1"/>
  <c r="S8" i="114" a="1"/>
  <c r="S8" i="114" s="1"/>
  <c r="S7" i="114" a="1"/>
  <c r="S7" i="114" s="1"/>
  <c r="S4" i="114" a="1"/>
  <c r="S4" i="114" s="1"/>
  <c r="S5" i="114" a="1"/>
  <c r="S5" i="114" s="1"/>
  <c r="R5" i="113" a="1"/>
  <c r="R5" i="113" s="1"/>
  <c r="R13" i="113" a="1"/>
  <c r="R13" i="113" s="1"/>
  <c r="R10" i="114" a="1"/>
  <c r="R10" i="114" s="1"/>
  <c r="S4" i="112" a="1"/>
  <c r="S4" i="112" s="1"/>
  <c r="S14" i="112" a="1"/>
  <c r="S14" i="112" s="1"/>
  <c r="S11" i="112" a="1"/>
  <c r="S11" i="112" s="1"/>
  <c r="S16" i="112" a="1"/>
  <c r="S16" i="112" s="1"/>
  <c r="S8" i="112" a="1"/>
  <c r="S8" i="112" s="1"/>
  <c r="S18" i="112" a="1"/>
  <c r="S18" i="112" s="1"/>
  <c r="S13" i="112" a="1"/>
  <c r="S13" i="112" s="1"/>
  <c r="S17" i="112" a="1"/>
  <c r="S17" i="112" s="1"/>
  <c r="S12" i="112" a="1"/>
  <c r="S12" i="112" s="1"/>
  <c r="S9" i="112" a="1"/>
  <c r="S9" i="112" s="1"/>
  <c r="S7" i="112" a="1"/>
  <c r="S7" i="112" s="1"/>
  <c r="S15" i="112" a="1"/>
  <c r="S15" i="112" s="1"/>
  <c r="S5" i="112" a="1"/>
  <c r="S5" i="112" s="1"/>
  <c r="S10" i="112" a="1"/>
  <c r="S10" i="112" s="1"/>
  <c r="S6" i="112" a="1"/>
  <c r="S6" i="112" s="1"/>
  <c r="N6" i="110" a="1"/>
  <c r="N6" i="110" s="1"/>
  <c r="N16" i="110" a="1"/>
  <c r="N16" i="110" s="1"/>
  <c r="N15" i="110" a="1"/>
  <c r="N15" i="110" s="1"/>
  <c r="N14" i="110" a="1"/>
  <c r="N14" i="110" s="1"/>
  <c r="N13" i="110" a="1"/>
  <c r="N13" i="110" s="1"/>
  <c r="N12" i="110" a="1"/>
  <c r="N12" i="110" s="1"/>
  <c r="N11" i="110" a="1"/>
  <c r="N11" i="110" s="1"/>
  <c r="N10" i="110" a="1"/>
  <c r="N10" i="110" s="1"/>
  <c r="N9" i="110" a="1"/>
  <c r="N9" i="110" s="1"/>
  <c r="N8" i="110" a="1"/>
  <c r="N8" i="110" s="1"/>
  <c r="N7" i="110" a="1"/>
  <c r="N7" i="110" s="1"/>
  <c r="N4" i="110" a="1"/>
  <c r="N4" i="110" s="1"/>
  <c r="N17" i="110" a="1"/>
  <c r="N17" i="110" s="1"/>
  <c r="N18" i="110" a="1"/>
  <c r="N18" i="110" s="1"/>
  <c r="N5" i="110" a="1"/>
  <c r="N5" i="110" s="1"/>
  <c r="Q5" i="109" a="1"/>
  <c r="Q5" i="109" s="1"/>
  <c r="Q4" i="109" a="1"/>
  <c r="Q4" i="109" s="1"/>
  <c r="Q10" i="109" a="1"/>
  <c r="Q10" i="109" s="1"/>
  <c r="Q15" i="109" a="1"/>
  <c r="Q15" i="109" s="1"/>
  <c r="Q7" i="109" a="1"/>
  <c r="Q7" i="109" s="1"/>
  <c r="Q17" i="109" a="1"/>
  <c r="Q17" i="109" s="1"/>
  <c r="Q12" i="109" a="1"/>
  <c r="Q12" i="109" s="1"/>
  <c r="Q9" i="109" a="1"/>
  <c r="Q9" i="109" s="1"/>
  <c r="Q16" i="109" a="1"/>
  <c r="Q16" i="109" s="1"/>
  <c r="Q18" i="109" a="1"/>
  <c r="Q18" i="109" s="1"/>
  <c r="Q14" i="109" a="1"/>
  <c r="Q14" i="109" s="1"/>
  <c r="Q13" i="109" a="1"/>
  <c r="Q13" i="109" s="1"/>
  <c r="Q11" i="109" a="1"/>
  <c r="Q11" i="109" s="1"/>
  <c r="Q6" i="109" a="1"/>
  <c r="Q6" i="109" s="1"/>
  <c r="Q8" i="109" a="1"/>
  <c r="Q8" i="109" s="1"/>
  <c r="R7" i="113" a="1"/>
  <c r="R7" i="113" s="1"/>
  <c r="R15" i="113" a="1"/>
  <c r="R15" i="113" s="1"/>
  <c r="O5" i="110" a="1"/>
  <c r="O5" i="110" s="1"/>
  <c r="O18" i="110" a="1"/>
  <c r="O18" i="110" s="1"/>
  <c r="O17" i="110" a="1"/>
  <c r="O17" i="110" s="1"/>
  <c r="O6" i="110" a="1"/>
  <c r="O6" i="110" s="1"/>
  <c r="O9" i="110" a="1"/>
  <c r="O9" i="110" s="1"/>
  <c r="O14" i="110" a="1"/>
  <c r="O14" i="110" s="1"/>
  <c r="O11" i="110" a="1"/>
  <c r="O11" i="110" s="1"/>
  <c r="O16" i="110" a="1"/>
  <c r="O16" i="110" s="1"/>
  <c r="O8" i="110" a="1"/>
  <c r="O8" i="110" s="1"/>
  <c r="O4" i="110" a="1"/>
  <c r="O4" i="110" s="1"/>
  <c r="O13" i="110" a="1"/>
  <c r="O13" i="110" s="1"/>
  <c r="O7" i="110" a="1"/>
  <c r="O7" i="110" s="1"/>
  <c r="O12" i="110" a="1"/>
  <c r="O12" i="110" s="1"/>
  <c r="O10" i="110" a="1"/>
  <c r="O10" i="110" s="1"/>
  <c r="O15" i="110" a="1"/>
  <c r="O15" i="110" s="1"/>
  <c r="R17" i="114" a="1"/>
  <c r="R17" i="114" s="1"/>
  <c r="R12" i="114" a="1"/>
  <c r="R12" i="114" s="1"/>
  <c r="P6" i="109" a="1"/>
  <c r="P6" i="109" s="1"/>
  <c r="S6" i="109" s="1"/>
  <c r="P18" i="109" a="1"/>
  <c r="P18" i="109" s="1"/>
  <c r="P17" i="109" a="1"/>
  <c r="P17" i="109" s="1"/>
  <c r="P16" i="109" a="1"/>
  <c r="P16" i="109" s="1"/>
  <c r="P15" i="109" a="1"/>
  <c r="P15" i="109" s="1"/>
  <c r="P14" i="109" a="1"/>
  <c r="P14" i="109" s="1"/>
  <c r="P13" i="109" a="1"/>
  <c r="P13" i="109" s="1"/>
  <c r="P12" i="109" a="1"/>
  <c r="P12" i="109" s="1"/>
  <c r="P11" i="109" a="1"/>
  <c r="P11" i="109" s="1"/>
  <c r="P10" i="109" a="1"/>
  <c r="P10" i="109" s="1"/>
  <c r="P9" i="109" a="1"/>
  <c r="P9" i="109" s="1"/>
  <c r="P8" i="109" a="1"/>
  <c r="P8" i="109" s="1"/>
  <c r="P7" i="109" a="1"/>
  <c r="P7" i="109" s="1"/>
  <c r="P5" i="109" a="1"/>
  <c r="P5" i="109" s="1"/>
  <c r="P4" i="109" a="1"/>
  <c r="P4" i="109" s="1"/>
  <c r="R8" i="113" a="1"/>
  <c r="R8" i="113" s="1"/>
  <c r="R16" i="113" a="1"/>
  <c r="R16" i="113" s="1"/>
  <c r="R5" i="114" a="1"/>
  <c r="R5" i="114" s="1"/>
  <c r="R13" i="114" a="1"/>
  <c r="R13" i="114" s="1"/>
  <c r="R9" i="113" a="1"/>
  <c r="R9" i="113" s="1"/>
  <c r="P18" i="110" a="1"/>
  <c r="P18" i="110" s="1"/>
  <c r="P17" i="110" a="1"/>
  <c r="P17" i="110" s="1"/>
  <c r="P16" i="110" a="1"/>
  <c r="P16" i="110" s="1"/>
  <c r="P15" i="110" a="1"/>
  <c r="P15" i="110" s="1"/>
  <c r="P14" i="110" a="1"/>
  <c r="P14" i="110" s="1"/>
  <c r="P13" i="110" a="1"/>
  <c r="P13" i="110" s="1"/>
  <c r="P12" i="110" a="1"/>
  <c r="P12" i="110" s="1"/>
  <c r="P11" i="110" a="1"/>
  <c r="P11" i="110" s="1"/>
  <c r="P10" i="110" a="1"/>
  <c r="P10" i="110" s="1"/>
  <c r="P9" i="110" a="1"/>
  <c r="P9" i="110" s="1"/>
  <c r="P8" i="110" a="1"/>
  <c r="P8" i="110" s="1"/>
  <c r="P7" i="110" a="1"/>
  <c r="P7" i="110" s="1"/>
  <c r="P4" i="110" a="1"/>
  <c r="P4" i="110" s="1"/>
  <c r="P6" i="110" a="1"/>
  <c r="P6" i="110" s="1"/>
  <c r="P5" i="110" a="1"/>
  <c r="P5" i="110" s="1"/>
  <c r="R4" i="114" a="1"/>
  <c r="R4" i="114" s="1"/>
  <c r="Q5" i="113" a="1"/>
  <c r="Q5" i="113" s="1"/>
  <c r="T5" i="113" s="1"/>
  <c r="Q18" i="113" a="1"/>
  <c r="Q18" i="113" s="1"/>
  <c r="T18" i="113" s="1"/>
  <c r="Q17" i="113" a="1"/>
  <c r="Q17" i="113" s="1"/>
  <c r="T17" i="113" s="1"/>
  <c r="Q6" i="113" a="1"/>
  <c r="Q6" i="113" s="1"/>
  <c r="T6" i="113" s="1"/>
  <c r="Q10" i="113" a="1"/>
  <c r="Q10" i="113" s="1"/>
  <c r="Q15" i="113" a="1"/>
  <c r="Q15" i="113" s="1"/>
  <c r="Q7" i="113" a="1"/>
  <c r="Q7" i="113" s="1"/>
  <c r="Q12" i="113" a="1"/>
  <c r="Q12" i="113" s="1"/>
  <c r="Q9" i="113" a="1"/>
  <c r="Q9" i="113" s="1"/>
  <c r="T9" i="113" s="1"/>
  <c r="Q14" i="113" a="1"/>
  <c r="Q14" i="113" s="1"/>
  <c r="Q16" i="113" a="1"/>
  <c r="Q16" i="113" s="1"/>
  <c r="Q8" i="113" a="1"/>
  <c r="Q8" i="113" s="1"/>
  <c r="T8" i="113" s="1"/>
  <c r="Q13" i="113" a="1"/>
  <c r="Q13" i="113" s="1"/>
  <c r="T13" i="113" s="1"/>
  <c r="Q4" i="113" a="1"/>
  <c r="Q4" i="113" s="1"/>
  <c r="T4" i="113" s="1"/>
  <c r="Q11" i="113" a="1"/>
  <c r="Q11" i="113" s="1"/>
  <c r="T11" i="113" s="1"/>
  <c r="U16" i="112" a="1"/>
  <c r="U16" i="112" s="1"/>
  <c r="U15" i="112" a="1"/>
  <c r="U15" i="112" s="1"/>
  <c r="U14" i="112" a="1"/>
  <c r="U14" i="112" s="1"/>
  <c r="U13" i="112" a="1"/>
  <c r="U13" i="112" s="1"/>
  <c r="U12" i="112" a="1"/>
  <c r="U12" i="112" s="1"/>
  <c r="U11" i="112" a="1"/>
  <c r="U11" i="112" s="1"/>
  <c r="U10" i="112" a="1"/>
  <c r="U10" i="112" s="1"/>
  <c r="U9" i="112" a="1"/>
  <c r="U9" i="112" s="1"/>
  <c r="U8" i="112" a="1"/>
  <c r="U8" i="112" s="1"/>
  <c r="U4" i="112" a="1"/>
  <c r="U4" i="112" s="1"/>
  <c r="U5" i="112" a="1"/>
  <c r="U5" i="112" s="1"/>
  <c r="U18" i="112" a="1"/>
  <c r="U18" i="112" s="1"/>
  <c r="U6" i="112" a="1"/>
  <c r="U6" i="112" s="1"/>
  <c r="U7" i="112" a="1"/>
  <c r="U7" i="112" s="1"/>
  <c r="U17" i="112" a="1"/>
  <c r="U17" i="112" s="1"/>
  <c r="R7" i="114" a="1"/>
  <c r="R7" i="114" s="1"/>
  <c r="G7" i="103"/>
  <c r="H6" i="103"/>
  <c r="I4" i="104" a="1"/>
  <c r="H4" i="104" a="1"/>
  <c r="G4" i="104" a="1"/>
  <c r="M4" i="104" a="1"/>
  <c r="L4" i="104" a="1"/>
  <c r="K4" i="104" a="1"/>
  <c r="J6" i="103"/>
  <c r="J4" i="103"/>
  <c r="J7" i="103"/>
  <c r="J5" i="103"/>
  <c r="K3" i="103"/>
  <c r="MK6" i="55" l="1" a="1"/>
  <c r="S15" i="109"/>
  <c r="S4" i="109"/>
  <c r="T12" i="113"/>
  <c r="T10" i="113"/>
  <c r="T14" i="113"/>
  <c r="S12" i="109"/>
  <c r="S13" i="109"/>
  <c r="S8" i="109"/>
  <c r="S11" i="109"/>
  <c r="S5" i="109"/>
  <c r="S7" i="109"/>
  <c r="S16" i="109"/>
  <c r="S9" i="109"/>
  <c r="S17" i="109"/>
  <c r="T15" i="113"/>
  <c r="V12" i="112"/>
  <c r="V4" i="112"/>
  <c r="T4" i="114"/>
  <c r="T13" i="114"/>
  <c r="Q8" i="110"/>
  <c r="Q16" i="110"/>
  <c r="Q9" i="110"/>
  <c r="Q6" i="110"/>
  <c r="V17" i="112"/>
  <c r="T6" i="114"/>
  <c r="T14" i="114"/>
  <c r="T16" i="113"/>
  <c r="Q10" i="110"/>
  <c r="V6" i="112"/>
  <c r="V13" i="112"/>
  <c r="T4" i="115" a="1"/>
  <c r="T4" i="115" s="1"/>
  <c r="T10" i="115" a="1"/>
  <c r="T10" i="115" s="1"/>
  <c r="T12" i="115" a="1"/>
  <c r="T12" i="115" s="1"/>
  <c r="T17" i="115" a="1"/>
  <c r="T17" i="115" s="1"/>
  <c r="T13" i="115" a="1"/>
  <c r="T13" i="115" s="1"/>
  <c r="T18" i="115" a="1"/>
  <c r="T18" i="115" s="1"/>
  <c r="T14" i="115" a="1"/>
  <c r="T14" i="115" s="1"/>
  <c r="T6" i="115" a="1"/>
  <c r="T6" i="115" s="1"/>
  <c r="T7" i="115" a="1"/>
  <c r="T7" i="115" s="1"/>
  <c r="T15" i="115" a="1"/>
  <c r="T15" i="115" s="1"/>
  <c r="T5" i="115" a="1"/>
  <c r="T5" i="115" s="1"/>
  <c r="T8" i="115" a="1"/>
  <c r="T8" i="115" s="1"/>
  <c r="T16" i="115" a="1"/>
  <c r="T16" i="115" s="1"/>
  <c r="T11" i="115" a="1"/>
  <c r="T11" i="115" s="1"/>
  <c r="T9" i="115" a="1"/>
  <c r="T9" i="115" s="1"/>
  <c r="S18" i="115" a="1"/>
  <c r="S18" i="115" s="1"/>
  <c r="S17" i="115" a="1"/>
  <c r="S17" i="115" s="1"/>
  <c r="S13" i="115" a="1"/>
  <c r="S13" i="115" s="1"/>
  <c r="S7" i="115" a="1"/>
  <c r="S7" i="115" s="1"/>
  <c r="S15" i="115" a="1"/>
  <c r="S15" i="115" s="1"/>
  <c r="S14" i="115" a="1"/>
  <c r="S14" i="115" s="1"/>
  <c r="S4" i="115" a="1"/>
  <c r="S4" i="115" s="1"/>
  <c r="S8" i="115" a="1"/>
  <c r="S8" i="115" s="1"/>
  <c r="S16" i="115" a="1"/>
  <c r="S16" i="115" s="1"/>
  <c r="S9" i="115" a="1"/>
  <c r="S9" i="115" s="1"/>
  <c r="S5" i="115" a="1"/>
  <c r="S5" i="115" s="1"/>
  <c r="S10" i="115" a="1"/>
  <c r="S10" i="115" s="1"/>
  <c r="S11" i="115" a="1"/>
  <c r="S11" i="115" s="1"/>
  <c r="S6" i="115" a="1"/>
  <c r="S6" i="115" s="1"/>
  <c r="S12" i="115" a="1"/>
  <c r="S12" i="115" s="1"/>
  <c r="T7" i="114"/>
  <c r="T15" i="114"/>
  <c r="S14" i="109"/>
  <c r="Q5" i="110"/>
  <c r="Q11" i="110"/>
  <c r="V10" i="112"/>
  <c r="V18" i="112"/>
  <c r="T8" i="114"/>
  <c r="T16" i="114"/>
  <c r="T5" i="111" a="1"/>
  <c r="T5" i="111" s="1"/>
  <c r="T16" i="111" a="1"/>
  <c r="T16" i="111" s="1"/>
  <c r="T7" i="111" a="1"/>
  <c r="T7" i="111" s="1"/>
  <c r="T15" i="111" a="1"/>
  <c r="T15" i="111" s="1"/>
  <c r="T14" i="111" a="1"/>
  <c r="T14" i="111" s="1"/>
  <c r="T12" i="111" a="1"/>
  <c r="T12" i="111" s="1"/>
  <c r="T13" i="111" a="1"/>
  <c r="T13" i="111" s="1"/>
  <c r="T18" i="111" a="1"/>
  <c r="T18" i="111" s="1"/>
  <c r="T17" i="111" a="1"/>
  <c r="T17" i="111" s="1"/>
  <c r="T11" i="111" a="1"/>
  <c r="T11" i="111" s="1"/>
  <c r="T10" i="111" a="1"/>
  <c r="T10" i="111" s="1"/>
  <c r="T4" i="111" a="1"/>
  <c r="T4" i="111" s="1"/>
  <c r="T6" i="111" a="1"/>
  <c r="T6" i="111" s="1"/>
  <c r="T9" i="111" a="1"/>
  <c r="T9" i="111" s="1"/>
  <c r="T8" i="111" a="1"/>
  <c r="T8" i="111" s="1"/>
  <c r="Q18" i="110"/>
  <c r="Q12" i="110"/>
  <c r="V5" i="112"/>
  <c r="V8" i="112"/>
  <c r="R12" i="111" a="1"/>
  <c r="R12" i="111" s="1"/>
  <c r="R17" i="111" a="1"/>
  <c r="R17" i="111" s="1"/>
  <c r="R13" i="111" a="1"/>
  <c r="R13" i="111" s="1"/>
  <c r="R4" i="111" a="1"/>
  <c r="R4" i="111" s="1"/>
  <c r="R16" i="111" a="1"/>
  <c r="R16" i="111" s="1"/>
  <c r="R6" i="111" a="1"/>
  <c r="R6" i="111" s="1"/>
  <c r="R5" i="111" a="1"/>
  <c r="R5" i="111" s="1"/>
  <c r="R11" i="111" a="1"/>
  <c r="R11" i="111" s="1"/>
  <c r="R14" i="111" a="1"/>
  <c r="R14" i="111" s="1"/>
  <c r="R10" i="111" a="1"/>
  <c r="R10" i="111" s="1"/>
  <c r="R15" i="111" a="1"/>
  <c r="R15" i="111" s="1"/>
  <c r="R9" i="111" a="1"/>
  <c r="R9" i="111" s="1"/>
  <c r="R8" i="111" a="1"/>
  <c r="R8" i="111" s="1"/>
  <c r="R18" i="111" a="1"/>
  <c r="R18" i="111" s="1"/>
  <c r="R7" i="111" a="1"/>
  <c r="R7" i="111" s="1"/>
  <c r="T9" i="114"/>
  <c r="T17" i="114"/>
  <c r="R7" i="115" a="1"/>
  <c r="R7" i="115" s="1"/>
  <c r="R15" i="115" a="1"/>
  <c r="R15" i="115" s="1"/>
  <c r="R8" i="115" a="1"/>
  <c r="R8" i="115" s="1"/>
  <c r="R9" i="115" a="1"/>
  <c r="R9" i="115" s="1"/>
  <c r="R10" i="115" a="1"/>
  <c r="R10" i="115" s="1"/>
  <c r="R11" i="115" a="1"/>
  <c r="R11" i="115" s="1"/>
  <c r="R12" i="115" a="1"/>
  <c r="R12" i="115" s="1"/>
  <c r="R5" i="115" a="1"/>
  <c r="R5" i="115" s="1"/>
  <c r="R16" i="115" a="1"/>
  <c r="R16" i="115" s="1"/>
  <c r="R17" i="115" a="1"/>
  <c r="R17" i="115" s="1"/>
  <c r="R4" i="115" a="1"/>
  <c r="R4" i="115" s="1"/>
  <c r="R13" i="115" a="1"/>
  <c r="R13" i="115" s="1"/>
  <c r="R18" i="115" a="1"/>
  <c r="R18" i="115" s="1"/>
  <c r="R14" i="115" a="1"/>
  <c r="R14" i="115" s="1"/>
  <c r="R6" i="115" a="1"/>
  <c r="R6" i="115" s="1"/>
  <c r="Q17" i="110"/>
  <c r="Q13" i="110"/>
  <c r="V15" i="112"/>
  <c r="V16" i="112"/>
  <c r="S9" i="111" a="1"/>
  <c r="S9" i="111" s="1"/>
  <c r="S17" i="111" a="1"/>
  <c r="S17" i="111" s="1"/>
  <c r="S18" i="111" a="1"/>
  <c r="S18" i="111" s="1"/>
  <c r="S8" i="111" a="1"/>
  <c r="S8" i="111" s="1"/>
  <c r="S5" i="111" a="1"/>
  <c r="S5" i="111" s="1"/>
  <c r="S7" i="111" a="1"/>
  <c r="S7" i="111" s="1"/>
  <c r="S13" i="111" a="1"/>
  <c r="S13" i="111" s="1"/>
  <c r="S15" i="111" a="1"/>
  <c r="S15" i="111" s="1"/>
  <c r="S16" i="111" a="1"/>
  <c r="S16" i="111" s="1"/>
  <c r="S6" i="111" a="1"/>
  <c r="S6" i="111" s="1"/>
  <c r="S12" i="111" a="1"/>
  <c r="S12" i="111" s="1"/>
  <c r="S11" i="111" a="1"/>
  <c r="S11" i="111" s="1"/>
  <c r="S10" i="111" a="1"/>
  <c r="S10" i="111" s="1"/>
  <c r="S4" i="111" a="1"/>
  <c r="S4" i="111" s="1"/>
  <c r="S14" i="111" a="1"/>
  <c r="S14" i="111" s="1"/>
  <c r="T10" i="114"/>
  <c r="T18" i="114"/>
  <c r="T7" i="113"/>
  <c r="Q4" i="110"/>
  <c r="Q14" i="110"/>
  <c r="V7" i="112"/>
  <c r="V11" i="112"/>
  <c r="T11" i="114"/>
  <c r="T5" i="114"/>
  <c r="S10" i="109"/>
  <c r="S18" i="109"/>
  <c r="Q7" i="110"/>
  <c r="Q15" i="110"/>
  <c r="V9" i="112"/>
  <c r="V14" i="112"/>
  <c r="T12" i="114"/>
  <c r="H7" i="103"/>
  <c r="G8" i="103"/>
  <c r="I7" i="103"/>
  <c r="L16" i="104"/>
  <c r="L12" i="104"/>
  <c r="L8" i="104"/>
  <c r="L4" i="104"/>
  <c r="L19" i="104"/>
  <c r="L15" i="104"/>
  <c r="L11" i="104"/>
  <c r="L7" i="104"/>
  <c r="L18" i="104"/>
  <c r="L14" i="104"/>
  <c r="L10" i="104"/>
  <c r="L6" i="104"/>
  <c r="L13" i="104"/>
  <c r="L9" i="104"/>
  <c r="L5" i="104"/>
  <c r="L17" i="104"/>
  <c r="H16" i="104"/>
  <c r="H12" i="104"/>
  <c r="H8" i="104"/>
  <c r="H4" i="104"/>
  <c r="H19" i="104"/>
  <c r="H15" i="104"/>
  <c r="H11" i="104"/>
  <c r="H7" i="104"/>
  <c r="H18" i="104"/>
  <c r="H14" i="104"/>
  <c r="H10" i="104"/>
  <c r="H6" i="104"/>
  <c r="H17" i="104"/>
  <c r="H13" i="104"/>
  <c r="H9" i="104"/>
  <c r="H5" i="104"/>
  <c r="M19" i="104"/>
  <c r="M15" i="104"/>
  <c r="M11" i="104"/>
  <c r="M7" i="104"/>
  <c r="M18" i="104"/>
  <c r="M14" i="104"/>
  <c r="M10" i="104"/>
  <c r="M6" i="104"/>
  <c r="M17" i="104"/>
  <c r="M13" i="104"/>
  <c r="M9" i="104"/>
  <c r="M5" i="104"/>
  <c r="M12" i="104"/>
  <c r="M8" i="104"/>
  <c r="M4" i="104"/>
  <c r="M16" i="104"/>
  <c r="K17" i="104"/>
  <c r="K13" i="104"/>
  <c r="K9" i="104"/>
  <c r="K5" i="104"/>
  <c r="K16" i="104"/>
  <c r="K12" i="104"/>
  <c r="K8" i="104"/>
  <c r="K4" i="104"/>
  <c r="K19" i="104"/>
  <c r="K15" i="104"/>
  <c r="K11" i="104"/>
  <c r="K7" i="104"/>
  <c r="K14" i="104"/>
  <c r="K10" i="104"/>
  <c r="K6" i="104"/>
  <c r="K18" i="104"/>
  <c r="I19" i="104"/>
  <c r="I15" i="104"/>
  <c r="I11" i="104"/>
  <c r="I7" i="104"/>
  <c r="I18" i="104"/>
  <c r="I14" i="104"/>
  <c r="I10" i="104"/>
  <c r="I6" i="104"/>
  <c r="I17" i="104"/>
  <c r="I13" i="104"/>
  <c r="I9" i="104"/>
  <c r="I5" i="104"/>
  <c r="I16" i="104"/>
  <c r="I12" i="104"/>
  <c r="I8" i="104"/>
  <c r="I4" i="104"/>
  <c r="K7" i="103"/>
  <c r="K5" i="103"/>
  <c r="L3" i="103"/>
  <c r="K6" i="103"/>
  <c r="K8" i="103"/>
  <c r="K4" i="103"/>
  <c r="G17" i="104"/>
  <c r="G13" i="104"/>
  <c r="G9" i="104"/>
  <c r="G5" i="104"/>
  <c r="G16" i="104"/>
  <c r="G12" i="104"/>
  <c r="G8" i="104"/>
  <c r="G4" i="104"/>
  <c r="G19" i="104"/>
  <c r="G15" i="104"/>
  <c r="G11" i="104"/>
  <c r="G7" i="104"/>
  <c r="G18" i="104"/>
  <c r="G14" i="104"/>
  <c r="G10" i="104"/>
  <c r="G6" i="104"/>
  <c r="MM14" i="55" l="1"/>
  <c r="MN13" i="55"/>
  <c r="MO12" i="55"/>
  <c r="MP11" i="55"/>
  <c r="MQ10" i="55"/>
  <c r="MR9" i="55"/>
  <c r="MS8" i="55"/>
  <c r="MK8" i="55"/>
  <c r="ML7" i="55"/>
  <c r="MM6" i="55"/>
  <c r="MR14" i="55"/>
  <c r="MS13" i="55"/>
  <c r="MK13" i="55"/>
  <c r="ML12" i="55"/>
  <c r="MM11" i="55"/>
  <c r="MN10" i="55"/>
  <c r="MO9" i="55"/>
  <c r="MP8" i="55"/>
  <c r="MQ7" i="55"/>
  <c r="MR6" i="55"/>
  <c r="MQ14" i="55"/>
  <c r="MR13" i="55"/>
  <c r="MS12" i="55"/>
  <c r="MK12" i="55"/>
  <c r="MP14" i="55"/>
  <c r="MQ13" i="55"/>
  <c r="MR12" i="55"/>
  <c r="MS11" i="55"/>
  <c r="MK11" i="55"/>
  <c r="ML10" i="55"/>
  <c r="MM9" i="55"/>
  <c r="MN8" i="55"/>
  <c r="MO7" i="55"/>
  <c r="MP6" i="55"/>
  <c r="MO14" i="55"/>
  <c r="MP13" i="55"/>
  <c r="MQ12" i="55"/>
  <c r="MR11" i="55"/>
  <c r="MS10" i="55"/>
  <c r="MK10" i="55"/>
  <c r="ML9" i="55"/>
  <c r="MM8" i="55"/>
  <c r="MN7" i="55"/>
  <c r="MO6" i="55"/>
  <c r="MO13" i="55"/>
  <c r="MN11" i="55"/>
  <c r="MP9" i="55"/>
  <c r="MR7" i="55"/>
  <c r="MK6" i="55"/>
  <c r="ML13" i="55"/>
  <c r="MR10" i="55"/>
  <c r="MK9" i="55"/>
  <c r="MM7" i="55"/>
  <c r="MS14" i="55"/>
  <c r="MN12" i="55"/>
  <c r="MO10" i="55"/>
  <c r="MQ8" i="55"/>
  <c r="MS6" i="55"/>
  <c r="MN14" i="55"/>
  <c r="ML11" i="55"/>
  <c r="ML8" i="55"/>
  <c r="ML14" i="55"/>
  <c r="MP10" i="55"/>
  <c r="MS7" i="55"/>
  <c r="MK14" i="55"/>
  <c r="MM10" i="55"/>
  <c r="MP7" i="55"/>
  <c r="MM13" i="55"/>
  <c r="MS9" i="55"/>
  <c r="MK7" i="55"/>
  <c r="MP12" i="55"/>
  <c r="MQ9" i="55"/>
  <c r="MQ6" i="55"/>
  <c r="MM12" i="55"/>
  <c r="MN9" i="55"/>
  <c r="MN6" i="55"/>
  <c r="MQ11" i="55"/>
  <c r="MR8" i="55"/>
  <c r="ML6" i="55"/>
  <c r="MO11" i="55"/>
  <c r="MO8" i="55"/>
  <c r="M19" i="113"/>
  <c r="O19" i="112"/>
  <c r="M19" i="114"/>
  <c r="L19" i="109"/>
  <c r="U4" i="115"/>
  <c r="U16" i="115"/>
  <c r="U14" i="115"/>
  <c r="U7" i="115"/>
  <c r="U6" i="115"/>
  <c r="U8" i="115"/>
  <c r="U17" i="115"/>
  <c r="U9" i="115"/>
  <c r="U4" i="111"/>
  <c r="U15" i="115"/>
  <c r="U5" i="115"/>
  <c r="U10" i="115"/>
  <c r="U13" i="115"/>
  <c r="U8" i="111"/>
  <c r="U14" i="111"/>
  <c r="U12" i="111"/>
  <c r="U12" i="115"/>
  <c r="U11" i="111"/>
  <c r="J19" i="110"/>
  <c r="U11" i="115"/>
  <c r="U7" i="111"/>
  <c r="U5" i="111"/>
  <c r="U18" i="115"/>
  <c r="U18" i="111"/>
  <c r="U6" i="111"/>
  <c r="U16" i="111"/>
  <c r="U9" i="111"/>
  <c r="U15" i="111"/>
  <c r="U13" i="111"/>
  <c r="U10" i="111"/>
  <c r="U17" i="111"/>
  <c r="I8" i="103"/>
  <c r="H8" i="103"/>
  <c r="G9" i="103"/>
  <c r="J8" i="103"/>
  <c r="P4" i="104"/>
  <c r="L9" i="103"/>
  <c r="L7" i="103"/>
  <c r="L5" i="103"/>
  <c r="M3" i="103"/>
  <c r="L8" i="103"/>
  <c r="L6" i="103"/>
  <c r="L4" i="103"/>
  <c r="N19" i="111" l="1"/>
  <c r="N19" i="115"/>
  <c r="J9" i="103"/>
  <c r="H9" i="103"/>
  <c r="G10" i="103"/>
  <c r="I9" i="103"/>
  <c r="K9" i="103"/>
  <c r="N3" i="103"/>
  <c r="M4" i="103"/>
  <c r="M8" i="103"/>
  <c r="M6" i="103"/>
  <c r="M9" i="103"/>
  <c r="M7" i="103"/>
  <c r="M5" i="103"/>
  <c r="G11" i="103" l="1"/>
  <c r="J10" i="103"/>
  <c r="I10" i="103"/>
  <c r="H10" i="103"/>
  <c r="K10" i="103"/>
  <c r="L10" i="103"/>
  <c r="M10" i="103"/>
  <c r="N10" i="103"/>
  <c r="N8" i="103"/>
  <c r="N6" i="103"/>
  <c r="N4" i="103"/>
  <c r="N9" i="103"/>
  <c r="N7" i="103"/>
  <c r="O3" i="103"/>
  <c r="N5" i="103"/>
  <c r="I11" i="103" l="1"/>
  <c r="J11" i="103"/>
  <c r="K11" i="103"/>
  <c r="L11" i="103"/>
  <c r="H11" i="103"/>
  <c r="G12" i="103"/>
  <c r="M11" i="103"/>
  <c r="N11" i="103"/>
  <c r="O11" i="103"/>
  <c r="O9" i="103"/>
  <c r="O7" i="103"/>
  <c r="O5" i="103"/>
  <c r="O10" i="103"/>
  <c r="O4" i="103"/>
  <c r="O12" i="103"/>
  <c r="O8" i="103"/>
  <c r="O6" i="103"/>
  <c r="P3" i="103"/>
  <c r="J12" i="103" l="1"/>
  <c r="K12" i="103"/>
  <c r="L12" i="103"/>
  <c r="H12" i="103"/>
  <c r="I12" i="103"/>
  <c r="M12" i="103"/>
  <c r="G13" i="103"/>
  <c r="N12" i="103"/>
  <c r="P12" i="103"/>
  <c r="P13" i="103"/>
  <c r="P11" i="103"/>
  <c r="P9" i="103"/>
  <c r="P7" i="103"/>
  <c r="P5" i="103"/>
  <c r="Q3" i="103"/>
  <c r="P10" i="103"/>
  <c r="P8" i="103"/>
  <c r="P6" i="103"/>
  <c r="P4" i="103"/>
  <c r="M13" i="103" l="1"/>
  <c r="J13" i="103"/>
  <c r="I13" i="103"/>
  <c r="K13" i="103"/>
  <c r="L13" i="103"/>
  <c r="H13" i="103"/>
  <c r="N13" i="103"/>
  <c r="G14" i="103"/>
  <c r="O13" i="103"/>
  <c r="R3" i="103"/>
  <c r="Q4" i="103"/>
  <c r="Q10" i="103"/>
  <c r="Q8" i="103"/>
  <c r="Q6" i="103"/>
  <c r="Q12" i="103"/>
  <c r="Q13" i="103"/>
  <c r="Q9" i="103"/>
  <c r="Q7" i="103"/>
  <c r="Q5" i="103"/>
  <c r="Q11" i="103"/>
  <c r="N14" i="103" l="1"/>
  <c r="H14" i="103"/>
  <c r="O14" i="103"/>
  <c r="I14" i="103"/>
  <c r="J14" i="103"/>
  <c r="K14" i="103"/>
  <c r="M14" i="103"/>
  <c r="L14" i="103"/>
  <c r="G15" i="103"/>
  <c r="P14" i="103"/>
  <c r="Q14" i="103"/>
  <c r="R13" i="103"/>
  <c r="R10" i="103"/>
  <c r="R8" i="103"/>
  <c r="R6" i="103"/>
  <c r="R4" i="103"/>
  <c r="R7" i="103"/>
  <c r="R12" i="103"/>
  <c r="R9" i="103"/>
  <c r="R14" i="103"/>
  <c r="R11" i="103"/>
  <c r="R5" i="103"/>
  <c r="S3" i="103"/>
  <c r="O15" i="103" l="1"/>
  <c r="K15" i="103"/>
  <c r="L15" i="103"/>
  <c r="N15" i="103"/>
  <c r="M15" i="103"/>
  <c r="G16" i="103"/>
  <c r="H15" i="103"/>
  <c r="P15" i="103"/>
  <c r="J15" i="103"/>
  <c r="I15" i="103"/>
  <c r="Q15" i="103"/>
  <c r="R15" i="103"/>
  <c r="S15" i="103"/>
  <c r="S13" i="103"/>
  <c r="S12" i="103"/>
  <c r="S14" i="103"/>
  <c r="S11" i="103"/>
  <c r="S9" i="103"/>
  <c r="S7" i="103"/>
  <c r="S5" i="103"/>
  <c r="S8" i="103"/>
  <c r="S10" i="103"/>
  <c r="S16" i="103"/>
  <c r="S6" i="103"/>
  <c r="T3" i="103"/>
  <c r="S4" i="103"/>
  <c r="H16" i="103" l="1"/>
  <c r="Q16" i="103"/>
  <c r="J16" i="103"/>
  <c r="I16" i="103"/>
  <c r="K16" i="103"/>
  <c r="N16" i="103"/>
  <c r="G17" i="103"/>
  <c r="O16" i="103"/>
  <c r="P16" i="103"/>
  <c r="L16" i="103"/>
  <c r="M16" i="103"/>
  <c r="R16" i="103"/>
  <c r="T16" i="103"/>
  <c r="T14" i="103"/>
  <c r="T12" i="103"/>
  <c r="T15" i="103"/>
  <c r="T11" i="103"/>
  <c r="T9" i="103"/>
  <c r="T7" i="103"/>
  <c r="T5" i="103"/>
  <c r="U3" i="103"/>
  <c r="T8" i="103"/>
  <c r="T6" i="103"/>
  <c r="T17" i="103"/>
  <c r="T13" i="103"/>
  <c r="T10" i="103"/>
  <c r="T4" i="103"/>
  <c r="Q17" i="103" l="1"/>
  <c r="N17" i="103"/>
  <c r="R17" i="103"/>
  <c r="H17" i="103"/>
  <c r="O17" i="103"/>
  <c r="I17" i="103"/>
  <c r="P17" i="103"/>
  <c r="M17" i="103"/>
  <c r="G18" i="103"/>
  <c r="L17" i="103"/>
  <c r="J17" i="103"/>
  <c r="K17" i="103"/>
  <c r="S17" i="103"/>
  <c r="U18" i="103"/>
  <c r="U16" i="103"/>
  <c r="U14" i="103"/>
  <c r="V3" i="103"/>
  <c r="U4" i="103"/>
  <c r="U17" i="103"/>
  <c r="U13" i="103"/>
  <c r="U10" i="103"/>
  <c r="U8" i="103"/>
  <c r="U6" i="103"/>
  <c r="U7" i="103"/>
  <c r="U15" i="103"/>
  <c r="U9" i="103"/>
  <c r="U5" i="103"/>
  <c r="U12" i="103"/>
  <c r="U11" i="103"/>
  <c r="R18" i="103" l="1"/>
  <c r="M18" i="103"/>
  <c r="N18" i="103"/>
  <c r="S18" i="103"/>
  <c r="L18" i="103"/>
  <c r="G19" i="103"/>
  <c r="V19" i="103" s="1"/>
  <c r="O18" i="103"/>
  <c r="H18" i="103"/>
  <c r="P18" i="103"/>
  <c r="I18" i="103"/>
  <c r="Q18" i="103"/>
  <c r="J18" i="103"/>
  <c r="K18" i="103"/>
  <c r="T18" i="103"/>
  <c r="V17" i="103"/>
  <c r="V15" i="103"/>
  <c r="V13" i="103"/>
  <c r="V18" i="103"/>
  <c r="V14" i="103"/>
  <c r="V10" i="103"/>
  <c r="V8" i="103"/>
  <c r="V6" i="103"/>
  <c r="V4" i="103"/>
  <c r="V16" i="103"/>
  <c r="V12" i="103"/>
  <c r="V11" i="103"/>
  <c r="V9" i="103"/>
  <c r="V7" i="103"/>
  <c r="W3" i="103"/>
  <c r="V5" i="103"/>
  <c r="M19" i="103" l="1"/>
  <c r="N19" i="103"/>
  <c r="H19" i="103"/>
  <c r="P19" i="103"/>
  <c r="T19" i="103"/>
  <c r="K19" i="103"/>
  <c r="L19" i="103"/>
  <c r="O19" i="103"/>
  <c r="S19" i="103"/>
  <c r="I19" i="103"/>
  <c r="Q19" i="103"/>
  <c r="J19" i="103"/>
  <c r="R19" i="103"/>
  <c r="U19" i="103"/>
  <c r="W19" i="103"/>
  <c r="W17" i="103"/>
  <c r="L23" i="103" s="1"/>
  <c r="M23" i="103" s="1"/>
  <c r="O23" i="103" s="1"/>
  <c r="W15" i="103"/>
  <c r="W13" i="103"/>
  <c r="W16" i="103"/>
  <c r="W12" i="103"/>
  <c r="W11" i="103"/>
  <c r="W9" i="103"/>
  <c r="W7" i="103"/>
  <c r="W5" i="103"/>
  <c r="W18" i="103"/>
  <c r="W6" i="103"/>
  <c r="W4" i="103"/>
  <c r="W8" i="103"/>
  <c r="W14" i="103"/>
  <c r="W10" i="103"/>
  <c r="L22" i="103" l="1"/>
  <c r="M22" i="103" s="1"/>
  <c r="O22" i="103" l="1"/>
  <c r="M24" i="103"/>
  <c r="O24" i="103" s="1"/>
  <c r="R22" i="103" s="1"/>
  <c r="Y6" i="37" l="1"/>
  <c r="I11" i="102" l="1"/>
  <c r="I12" i="102"/>
  <c r="I10" i="102"/>
  <c r="I9" i="102"/>
  <c r="B8" i="101"/>
  <c r="B7" i="101"/>
  <c r="B6" i="100"/>
  <c r="B7" i="100"/>
  <c r="K16" i="102" l="1"/>
  <c r="M11" i="102"/>
  <c r="J11" i="102"/>
  <c r="L11" i="102"/>
  <c r="N11" i="102"/>
  <c r="K11" i="102"/>
  <c r="N10" i="102"/>
  <c r="J10" i="102"/>
  <c r="M10" i="102"/>
  <c r="L10" i="102"/>
  <c r="K10" i="102"/>
  <c r="K9" i="102"/>
  <c r="M9" i="102"/>
  <c r="K18" i="102"/>
  <c r="N9" i="102"/>
  <c r="J9" i="102"/>
  <c r="J18" i="102"/>
  <c r="L9" i="102"/>
  <c r="L12" i="102"/>
  <c r="K12" i="102"/>
  <c r="J12" i="102"/>
  <c r="N12" i="102"/>
  <c r="M12" i="102"/>
  <c r="G9" i="100"/>
  <c r="G8" i="100"/>
  <c r="G9" i="101"/>
  <c r="G11" i="101" s="1"/>
  <c r="B9" i="99"/>
  <c r="B10" i="98"/>
  <c r="B8" i="98"/>
  <c r="B7" i="99"/>
  <c r="AI23" i="97"/>
  <c r="X13" i="97"/>
  <c r="W13" i="97"/>
  <c r="AF11" i="97"/>
  <c r="AE11" i="97"/>
  <c r="AG10" i="97"/>
  <c r="AF10" i="97"/>
  <c r="AE10" i="97"/>
  <c r="AG9" i="97"/>
  <c r="AF9" i="97"/>
  <c r="AE9" i="97"/>
  <c r="AG8" i="97"/>
  <c r="AF8" i="97"/>
  <c r="AE8" i="97"/>
  <c r="AG7" i="97"/>
  <c r="AF7" i="97"/>
  <c r="AE7" i="97"/>
  <c r="AO6" i="97"/>
  <c r="AG6" i="97"/>
  <c r="AF6" i="97"/>
  <c r="AE6" i="97"/>
  <c r="AO5" i="97"/>
  <c r="AG5" i="97"/>
  <c r="AF5" i="97"/>
  <c r="AE5" i="97"/>
  <c r="AE4" i="97" a="1"/>
  <c r="AF4" i="97" s="1"/>
  <c r="L46" i="34"/>
  <c r="AV20" i="35"/>
  <c r="K17" i="102" l="1"/>
  <c r="O16" i="102" s="1"/>
  <c r="AG13" i="97"/>
  <c r="AE4" i="97"/>
  <c r="AF14" i="97"/>
  <c r="J17" i="102"/>
  <c r="L18" i="102"/>
  <c r="G10" i="101"/>
  <c r="AO7" i="97"/>
  <c r="AO9" i="97"/>
  <c r="AO8" i="97"/>
  <c r="AE14" i="97"/>
  <c r="AG11" i="97"/>
  <c r="J19" i="96"/>
  <c r="K7" i="96"/>
  <c r="J7" i="96"/>
  <c r="G28" i="96"/>
  <c r="F28" i="96"/>
  <c r="E28" i="96"/>
  <c r="C28" i="96"/>
  <c r="B28" i="96"/>
  <c r="A28" i="96"/>
  <c r="G27" i="96"/>
  <c r="F27" i="96"/>
  <c r="E27" i="96"/>
  <c r="K4" i="96" s="1" a="1"/>
  <c r="K5" i="96" s="1"/>
  <c r="C27" i="96"/>
  <c r="B27" i="96"/>
  <c r="A27" i="96"/>
  <c r="J4" i="96" l="1" a="1"/>
  <c r="J5" i="96" s="1"/>
  <c r="L5" i="96" s="1"/>
  <c r="L17" i="102"/>
  <c r="Q16" i="102" s="1"/>
  <c r="K6" i="96"/>
  <c r="J20" i="96"/>
  <c r="J21" i="96" s="1"/>
  <c r="J16" i="102"/>
  <c r="L16" i="102" s="1"/>
  <c r="AI24" i="97"/>
  <c r="AI25" i="97" s="1"/>
  <c r="AK5" i="97" a="1"/>
  <c r="N17" i="97" a="1"/>
  <c r="AI19" i="97"/>
  <c r="AI20" i="97" s="1"/>
  <c r="AK9" i="97" a="1"/>
  <c r="Q11" i="96" a="1"/>
  <c r="J4" i="96"/>
  <c r="K4" i="96"/>
  <c r="J6" i="96" l="1"/>
  <c r="L6" i="96" s="1"/>
  <c r="P16" i="102"/>
  <c r="O9" i="102"/>
  <c r="P9" i="102" s="1"/>
  <c r="O11" i="102"/>
  <c r="Q11" i="102" s="1"/>
  <c r="O10" i="102"/>
  <c r="P10" i="102" s="1"/>
  <c r="M16" i="102"/>
  <c r="N16" i="102" s="1"/>
  <c r="O12" i="102"/>
  <c r="P12" i="102" s="1"/>
  <c r="L4" i="96"/>
  <c r="B3" i="99"/>
  <c r="B12" i="98"/>
  <c r="B14" i="98" s="1"/>
  <c r="N17" i="97"/>
  <c r="B3" i="98"/>
  <c r="B6" i="99"/>
  <c r="W9" i="97" a="1"/>
  <c r="X9" i="97" s="1"/>
  <c r="AL10" i="97"/>
  <c r="AK10" i="97"/>
  <c r="AL9" i="97"/>
  <c r="AK9" i="97"/>
  <c r="AK6" i="97"/>
  <c r="AL5" i="97"/>
  <c r="AK5" i="97"/>
  <c r="AL6" i="97"/>
  <c r="O17" i="97"/>
  <c r="O18" i="97"/>
  <c r="N18" i="97"/>
  <c r="S13" i="96"/>
  <c r="R12" i="96"/>
  <c r="Q11" i="96"/>
  <c r="Q13" i="96"/>
  <c r="S11" i="96"/>
  <c r="S12" i="96"/>
  <c r="R11" i="96"/>
  <c r="R13" i="96"/>
  <c r="Q12" i="96"/>
  <c r="Q12" i="102" l="1"/>
  <c r="Q9" i="102"/>
  <c r="Q10" i="102"/>
  <c r="P11" i="102"/>
  <c r="W10" i="97"/>
  <c r="X10" i="97"/>
  <c r="W9" i="97"/>
  <c r="B11" i="99"/>
  <c r="B8" i="99"/>
  <c r="B12" i="99" s="1"/>
  <c r="B9" i="98"/>
  <c r="B13" i="98"/>
  <c r="AO4" i="97"/>
  <c r="AO10" i="97" s="1"/>
  <c r="AO11" i="97" s="1"/>
  <c r="J16" i="96" a="1"/>
  <c r="J16" i="96" s="1"/>
  <c r="D20" i="95"/>
  <c r="D21" i="95" s="1"/>
  <c r="D22" i="95" s="1"/>
  <c r="D23" i="95" s="1"/>
  <c r="D24" i="95" s="1"/>
  <c r="D25" i="95" s="1"/>
  <c r="D26" i="95" s="1"/>
  <c r="D27" i="95" s="1"/>
  <c r="D28" i="95" s="1"/>
  <c r="D29" i="95" s="1"/>
  <c r="D30" i="95" s="1"/>
  <c r="D31" i="95" s="1"/>
  <c r="D32" i="95" s="1"/>
  <c r="D33" i="95" s="1"/>
  <c r="D34" i="95" s="1"/>
  <c r="D35" i="95" s="1"/>
  <c r="D36" i="95" s="1"/>
  <c r="D37" i="95" s="1"/>
  <c r="D38" i="95" s="1"/>
  <c r="D39" i="95" s="1"/>
  <c r="E14" i="95"/>
  <c r="E13" i="95"/>
  <c r="V11" i="94"/>
  <c r="H9" i="94"/>
  <c r="V8" i="94"/>
  <c r="E8" i="94"/>
  <c r="N6" i="94" s="1"/>
  <c r="D8" i="94"/>
  <c r="M11" i="94" s="1"/>
  <c r="V7" i="94"/>
  <c r="H7" i="94"/>
  <c r="Q5" i="94"/>
  <c r="Q6" i="94" s="1"/>
  <c r="Q7" i="94" s="1"/>
  <c r="Q8" i="94" s="1"/>
  <c r="Q9" i="94" s="1"/>
  <c r="Q10" i="94" s="1"/>
  <c r="Q11" i="94" s="1"/>
  <c r="Q12" i="94" s="1"/>
  <c r="Q13" i="94" s="1"/>
  <c r="Q14" i="94" s="1"/>
  <c r="Q15" i="94" s="1"/>
  <c r="Q16" i="94" s="1"/>
  <c r="Q17" i="94" s="1"/>
  <c r="Q18" i="94" s="1"/>
  <c r="Q19" i="94" s="1"/>
  <c r="Q20" i="94" s="1"/>
  <c r="Q21" i="94" s="1"/>
  <c r="Q22" i="94" s="1"/>
  <c r="Q23" i="94" s="1"/>
  <c r="Q24" i="94" s="1"/>
  <c r="T19" i="97" l="1" a="1"/>
  <c r="T19" i="97" s="1"/>
  <c r="U19" i="97" s="1"/>
  <c r="V19" i="97" s="1"/>
  <c r="T18" i="97" a="1"/>
  <c r="T18" i="97" s="1"/>
  <c r="U18" i="97" s="1"/>
  <c r="V18" i="97" s="1"/>
  <c r="T24" i="97" a="1"/>
  <c r="T24" i="97" s="1"/>
  <c r="U24" i="97" s="1"/>
  <c r="V24" i="97" s="1"/>
  <c r="T28" i="97" a="1"/>
  <c r="T28" i="97" s="1"/>
  <c r="U28" i="97" s="1"/>
  <c r="V28" i="97" s="1"/>
  <c r="N8" i="94"/>
  <c r="N5" i="94"/>
  <c r="N9" i="94"/>
  <c r="N11" i="94"/>
  <c r="T25" i="97" a="1"/>
  <c r="T25" i="97" s="1"/>
  <c r="U25" i="97" s="1"/>
  <c r="V25" i="97" s="1"/>
  <c r="T12" i="97" a="1"/>
  <c r="T12" i="97" s="1"/>
  <c r="U12" i="97" s="1"/>
  <c r="V12" i="97" s="1"/>
  <c r="T9" i="97" a="1"/>
  <c r="T9" i="97" s="1"/>
  <c r="U9" i="97" s="1"/>
  <c r="V9" i="97" s="1"/>
  <c r="T8" i="97" a="1"/>
  <c r="T8" i="97" s="1"/>
  <c r="U8" i="97" s="1"/>
  <c r="V8" i="97" s="1"/>
  <c r="T17" i="97" a="1"/>
  <c r="T17" i="97" s="1"/>
  <c r="U17" i="97" s="1"/>
  <c r="V17" i="97" s="1"/>
  <c r="T5" i="97" a="1"/>
  <c r="T5" i="97" s="1"/>
  <c r="U5" i="97" s="1"/>
  <c r="V5" i="97" s="1"/>
  <c r="T10" i="97" a="1"/>
  <c r="T10" i="97" s="1"/>
  <c r="U10" i="97" s="1"/>
  <c r="V10" i="97" s="1"/>
  <c r="T20" i="97" a="1"/>
  <c r="T20" i="97" s="1"/>
  <c r="U20" i="97" s="1"/>
  <c r="V20" i="97" s="1"/>
  <c r="T27" i="97" a="1"/>
  <c r="T27" i="97" s="1"/>
  <c r="U27" i="97" s="1"/>
  <c r="V27" i="97" s="1"/>
  <c r="T23" i="97" a="1"/>
  <c r="T23" i="97" s="1"/>
  <c r="U23" i="97" s="1"/>
  <c r="V23" i="97" s="1"/>
  <c r="T15" i="97" a="1"/>
  <c r="T15" i="97" s="1"/>
  <c r="U15" i="97" s="1"/>
  <c r="V15" i="97" s="1"/>
  <c r="T7" i="97" a="1"/>
  <c r="T7" i="97" s="1"/>
  <c r="U7" i="97" s="1"/>
  <c r="V7" i="97" s="1"/>
  <c r="T13" i="97" a="1"/>
  <c r="T13" i="97" s="1"/>
  <c r="U13" i="97" s="1"/>
  <c r="V13" i="97" s="1"/>
  <c r="T6" i="97" a="1"/>
  <c r="T6" i="97" s="1"/>
  <c r="U6" i="97" s="1"/>
  <c r="V6" i="97" s="1"/>
  <c r="T26" i="97" a="1"/>
  <c r="T26" i="97" s="1"/>
  <c r="U26" i="97" s="1"/>
  <c r="V26" i="97" s="1"/>
  <c r="T21" i="97" a="1"/>
  <c r="T21" i="97" s="1"/>
  <c r="U21" i="97" s="1"/>
  <c r="V21" i="97" s="1"/>
  <c r="T16" i="97" a="1"/>
  <c r="T16" i="97" s="1"/>
  <c r="U16" i="97" s="1"/>
  <c r="V16" i="97" s="1"/>
  <c r="T22" i="97" a="1"/>
  <c r="T22" i="97" s="1"/>
  <c r="U22" i="97" s="1"/>
  <c r="V22" i="97" s="1"/>
  <c r="T11" i="97" a="1"/>
  <c r="T11" i="97" s="1"/>
  <c r="U11" i="97" s="1"/>
  <c r="V11" i="97" s="1"/>
  <c r="T14" i="97" a="1"/>
  <c r="T14" i="97" s="1"/>
  <c r="U14" i="97" s="1"/>
  <c r="V14" i="97" s="1"/>
  <c r="B15" i="98"/>
  <c r="B4" i="98"/>
  <c r="J17" i="96"/>
  <c r="AO12" i="97"/>
  <c r="AE24" i="97"/>
  <c r="AE19" i="97"/>
  <c r="AE20" i="97"/>
  <c r="AE25" i="97"/>
  <c r="AF24" i="97"/>
  <c r="AF20" i="97"/>
  <c r="AF19" i="97"/>
  <c r="AF25" i="97"/>
  <c r="M13" i="94"/>
  <c r="M4" i="94"/>
  <c r="M7" i="94"/>
  <c r="M6" i="94"/>
  <c r="N7" i="94"/>
  <c r="N10" i="94"/>
  <c r="N12" i="94"/>
  <c r="M10" i="94"/>
  <c r="M12" i="94"/>
  <c r="N13" i="94"/>
  <c r="N4" i="94"/>
  <c r="M5" i="94"/>
  <c r="M8" i="94"/>
  <c r="M9" i="94"/>
  <c r="B11" i="98" l="1"/>
  <c r="B5" i="98"/>
  <c r="J23" i="96"/>
  <c r="Y10" i="2" a="1"/>
  <c r="Y10" i="2" s="1"/>
  <c r="Y13" i="2" l="1"/>
  <c r="Y12" i="2"/>
  <c r="Y11" i="2"/>
  <c r="Y14" i="2"/>
  <c r="W25" i="93" l="1" a="1"/>
  <c r="W25" i="93" s="1"/>
  <c r="W15" i="93"/>
  <c r="W14" i="93"/>
  <c r="W13" i="93"/>
  <c r="W12" i="93"/>
  <c r="P12" i="93"/>
  <c r="N11" i="93" s="1"/>
  <c r="K11" i="93"/>
  <c r="W11" i="93" s="1"/>
  <c r="AI10" i="93" s="1"/>
  <c r="K10" i="93"/>
  <c r="W10" i="93" s="1"/>
  <c r="AI9" i="93" s="1"/>
  <c r="I10" i="93"/>
  <c r="E10" i="93"/>
  <c r="D10" i="93"/>
  <c r="C10" i="93"/>
  <c r="B10" i="93"/>
  <c r="O9" i="93"/>
  <c r="K9" i="93"/>
  <c r="W9" i="93" s="1"/>
  <c r="AI8" i="93" s="1"/>
  <c r="F9" i="93"/>
  <c r="O8" i="93"/>
  <c r="M8" i="93"/>
  <c r="K8" i="93"/>
  <c r="W8" i="93" s="1"/>
  <c r="AI7" i="93" s="1"/>
  <c r="F8" i="93"/>
  <c r="R7" i="93"/>
  <c r="R8" i="93" s="1"/>
  <c r="N7" i="93"/>
  <c r="L7" i="93"/>
  <c r="K7" i="93"/>
  <c r="W7" i="93" s="1"/>
  <c r="AI6" i="93" s="1"/>
  <c r="F7" i="93"/>
  <c r="L6" i="93"/>
  <c r="K6" i="93"/>
  <c r="W6" i="93" s="1"/>
  <c r="AI5" i="93" s="1"/>
  <c r="F6" i="93"/>
  <c r="O5" i="93"/>
  <c r="N5" i="93"/>
  <c r="M5" i="93"/>
  <c r="L5" i="93"/>
  <c r="F5" i="93"/>
  <c r="F4" i="93"/>
  <c r="W25" i="92" a="1"/>
  <c r="W25" i="92" s="1"/>
  <c r="W15" i="92"/>
  <c r="W14" i="92"/>
  <c r="W13" i="92"/>
  <c r="W12" i="92"/>
  <c r="P12" i="92"/>
  <c r="L11" i="92" s="1"/>
  <c r="K11" i="92"/>
  <c r="W11" i="92" s="1"/>
  <c r="L10" i="92"/>
  <c r="K10" i="92"/>
  <c r="W10" i="92" s="1"/>
  <c r="I10" i="92"/>
  <c r="E10" i="92"/>
  <c r="D10" i="92"/>
  <c r="C10" i="92"/>
  <c r="B10" i="92"/>
  <c r="N9" i="92"/>
  <c r="M9" i="92"/>
  <c r="L9" i="92"/>
  <c r="K9" i="92"/>
  <c r="W9" i="92" s="1"/>
  <c r="F9" i="92"/>
  <c r="N8" i="92"/>
  <c r="L8" i="92"/>
  <c r="K8" i="92"/>
  <c r="W8" i="92" s="1"/>
  <c r="F8" i="92"/>
  <c r="R7" i="92"/>
  <c r="R8" i="92" s="1"/>
  <c r="O7" i="92"/>
  <c r="N7" i="92"/>
  <c r="M7" i="92"/>
  <c r="L7" i="92"/>
  <c r="K7" i="92"/>
  <c r="W7" i="92" s="1"/>
  <c r="F7" i="92"/>
  <c r="O6" i="92"/>
  <c r="N6" i="92"/>
  <c r="M6" i="92"/>
  <c r="L6" i="92"/>
  <c r="K6" i="92"/>
  <c r="W6" i="92" s="1"/>
  <c r="F6" i="92"/>
  <c r="O5" i="92"/>
  <c r="N5" i="92"/>
  <c r="M5" i="92"/>
  <c r="L5" i="92"/>
  <c r="F5" i="92"/>
  <c r="F4" i="92"/>
  <c r="T15" i="91"/>
  <c r="T14" i="91"/>
  <c r="T13" i="91"/>
  <c r="T12" i="91"/>
  <c r="M12" i="91"/>
  <c r="K11" i="91" s="1"/>
  <c r="H11" i="91"/>
  <c r="T11" i="91" s="1"/>
  <c r="I10" i="91"/>
  <c r="H10" i="91"/>
  <c r="T10" i="91" s="1"/>
  <c r="E10" i="91"/>
  <c r="D10" i="91"/>
  <c r="C10" i="91"/>
  <c r="B10" i="91"/>
  <c r="J9" i="91"/>
  <c r="H9" i="91"/>
  <c r="T9" i="91" s="1"/>
  <c r="F9" i="91"/>
  <c r="H8" i="91"/>
  <c r="T8" i="91" s="1"/>
  <c r="F8" i="91"/>
  <c r="O7" i="91"/>
  <c r="O8" i="91" s="1"/>
  <c r="H7" i="91"/>
  <c r="T7" i="91" s="1"/>
  <c r="F7" i="91"/>
  <c r="H6" i="91"/>
  <c r="T6" i="91" s="1"/>
  <c r="F6" i="91"/>
  <c r="L5" i="91"/>
  <c r="K5" i="91"/>
  <c r="J5" i="91"/>
  <c r="I5" i="91"/>
  <c r="F5" i="91"/>
  <c r="F4" i="91"/>
  <c r="AK64" i="90"/>
  <c r="AL63" i="90" s="1"/>
  <c r="AZ42" i="90"/>
  <c r="AZ41" i="90"/>
  <c r="AZ40" i="90"/>
  <c r="AZ39" i="90"/>
  <c r="AZ38" i="90"/>
  <c r="AZ37" i="90"/>
  <c r="AC37" i="90"/>
  <c r="AC38" i="90" s="1"/>
  <c r="AZ36" i="90"/>
  <c r="AZ35" i="90"/>
  <c r="AZ34" i="90"/>
  <c r="AZ33" i="90"/>
  <c r="E21" i="90"/>
  <c r="D21" i="90"/>
  <c r="C21" i="90"/>
  <c r="B21" i="90"/>
  <c r="F20" i="90"/>
  <c r="A20" i="90"/>
  <c r="F19" i="90"/>
  <c r="A19" i="90"/>
  <c r="F18" i="90"/>
  <c r="A18" i="90"/>
  <c r="F17" i="90"/>
  <c r="A17" i="90"/>
  <c r="J16" i="90"/>
  <c r="I16" i="90"/>
  <c r="K16" i="90" s="1"/>
  <c r="F16" i="90"/>
  <c r="A16" i="90"/>
  <c r="F15" i="90"/>
  <c r="A15" i="90"/>
  <c r="E14" i="90"/>
  <c r="D14" i="90"/>
  <c r="C14" i="90"/>
  <c r="B14" i="90"/>
  <c r="A14" i="90"/>
  <c r="W12" i="90"/>
  <c r="E10" i="90"/>
  <c r="D10" i="90"/>
  <c r="C10" i="90"/>
  <c r="B10" i="90"/>
  <c r="O9" i="90"/>
  <c r="F9" i="90"/>
  <c r="O8" i="90"/>
  <c r="V17" i="90" s="1"/>
  <c r="F8" i="90"/>
  <c r="O7" i="90"/>
  <c r="V16" i="90" s="1"/>
  <c r="F7" i="90"/>
  <c r="O6" i="90"/>
  <c r="F6" i="90"/>
  <c r="O5" i="90"/>
  <c r="V14" i="90" s="1"/>
  <c r="F5" i="90"/>
  <c r="O4" i="90"/>
  <c r="AJ14" i="90" s="1"/>
  <c r="F4" i="90"/>
  <c r="S3" i="90"/>
  <c r="Z12" i="90" s="1"/>
  <c r="R3" i="90"/>
  <c r="Y12" i="90" s="1"/>
  <c r="Q3" i="90"/>
  <c r="X12" i="90" s="1"/>
  <c r="P3" i="90"/>
  <c r="P7" i="93" l="1"/>
  <c r="Y7" i="93" s="1"/>
  <c r="I8" i="91"/>
  <c r="K9" i="91"/>
  <c r="J10" i="91"/>
  <c r="M7" i="93"/>
  <c r="N8" i="93"/>
  <c r="O11" i="93"/>
  <c r="I7" i="91"/>
  <c r="J8" i="91"/>
  <c r="M8" i="91" s="1"/>
  <c r="V8" i="91" s="1"/>
  <c r="L9" i="91"/>
  <c r="K10" i="91"/>
  <c r="M10" i="91" s="1"/>
  <c r="V10" i="91" s="1"/>
  <c r="J7" i="91"/>
  <c r="K8" i="91"/>
  <c r="L10" i="91"/>
  <c r="M8" i="92"/>
  <c r="M12" i="92" s="1"/>
  <c r="O9" i="92"/>
  <c r="M6" i="93"/>
  <c r="P6" i="93" s="1"/>
  <c r="Y6" i="93" s="1"/>
  <c r="O7" i="93"/>
  <c r="F10" i="90"/>
  <c r="I6" i="91"/>
  <c r="K7" i="91"/>
  <c r="L8" i="91"/>
  <c r="F10" i="92"/>
  <c r="N6" i="93"/>
  <c r="N12" i="93" s="1"/>
  <c r="J6" i="91"/>
  <c r="M6" i="91" s="1"/>
  <c r="V6" i="91" s="1"/>
  <c r="L7" i="91"/>
  <c r="I11" i="91"/>
  <c r="O8" i="92"/>
  <c r="O6" i="93"/>
  <c r="O12" i="93" s="1"/>
  <c r="L9" i="93"/>
  <c r="K6" i="91"/>
  <c r="K12" i="91" s="1"/>
  <c r="J11" i="91"/>
  <c r="M11" i="91" s="1"/>
  <c r="V11" i="91" s="1"/>
  <c r="M9" i="93"/>
  <c r="P9" i="93" s="1"/>
  <c r="Y9" i="93" s="1"/>
  <c r="L6" i="91"/>
  <c r="I9" i="91"/>
  <c r="L11" i="91"/>
  <c r="L8" i="93"/>
  <c r="P8" i="93" s="1"/>
  <c r="Y8" i="93" s="1"/>
  <c r="N9" i="93"/>
  <c r="O10" i="93"/>
  <c r="P7" i="92"/>
  <c r="Y7" i="92" s="1"/>
  <c r="P8" i="92"/>
  <c r="Y8" i="92" s="1"/>
  <c r="M11" i="93"/>
  <c r="M9" i="91"/>
  <c r="V9" i="91" s="1"/>
  <c r="L12" i="92"/>
  <c r="M10" i="92"/>
  <c r="AL59" i="90"/>
  <c r="W21" i="92" a="1"/>
  <c r="W24" i="92" s="1"/>
  <c r="M11" i="92"/>
  <c r="M10" i="93"/>
  <c r="N11" i="92"/>
  <c r="F10" i="91"/>
  <c r="W21" i="93" a="1"/>
  <c r="W24" i="93" s="1"/>
  <c r="AI14" i="93" s="1"/>
  <c r="F10" i="93"/>
  <c r="P9" i="92"/>
  <c r="Y9" i="92" s="1"/>
  <c r="V15" i="90"/>
  <c r="AJ16" i="90"/>
  <c r="AL62" i="90"/>
  <c r="AL58" i="90"/>
  <c r="AL60" i="90"/>
  <c r="AJ17" i="90"/>
  <c r="AL61" i="90"/>
  <c r="N10" i="93"/>
  <c r="L11" i="93"/>
  <c r="L10" i="93"/>
  <c r="I12" i="91"/>
  <c r="T21" i="91" a="1"/>
  <c r="L12" i="91"/>
  <c r="M7" i="91"/>
  <c r="V7" i="91" s="1"/>
  <c r="N10" i="92"/>
  <c r="N12" i="92" s="1"/>
  <c r="O11" i="92"/>
  <c r="O10" i="92"/>
  <c r="P6" i="92"/>
  <c r="R9" i="90"/>
  <c r="Q8" i="90"/>
  <c r="P7" i="90"/>
  <c r="S6" i="90"/>
  <c r="R5" i="90"/>
  <c r="R4" i="90"/>
  <c r="R8" i="90"/>
  <c r="Q7" i="90"/>
  <c r="Q9" i="90"/>
  <c r="P8" i="90"/>
  <c r="S7" i="90"/>
  <c r="R6" i="90"/>
  <c r="Q5" i="90"/>
  <c r="Q4" i="90"/>
  <c r="S8" i="90"/>
  <c r="R7" i="90"/>
  <c r="Q6" i="90"/>
  <c r="P5" i="90"/>
  <c r="P4" i="90"/>
  <c r="P9" i="90"/>
  <c r="S9" i="90"/>
  <c r="P6" i="90"/>
  <c r="S5" i="90"/>
  <c r="S4" i="90"/>
  <c r="AJ19" i="90"/>
  <c r="V18" i="90"/>
  <c r="K21" i="90"/>
  <c r="K20" i="90"/>
  <c r="AJ15" i="90"/>
  <c r="V13" i="90"/>
  <c r="AJ18" i="90"/>
  <c r="F21" i="90"/>
  <c r="H16" i="90" s="1"/>
  <c r="AJ25" i="90" a="1"/>
  <c r="W23" i="91" l="1"/>
  <c r="AA23" i="91" s="1"/>
  <c r="W24" i="91"/>
  <c r="O12" i="92"/>
  <c r="M12" i="93"/>
  <c r="B15" i="90" a="1"/>
  <c r="J12" i="91"/>
  <c r="W10" i="91" s="1"/>
  <c r="P11" i="92"/>
  <c r="Y11" i="92" s="1"/>
  <c r="AG11" i="92" s="1"/>
  <c r="W21" i="93"/>
  <c r="AI11" i="93" s="1"/>
  <c r="W21" i="91"/>
  <c r="W22" i="93"/>
  <c r="AI12" i="93" s="1"/>
  <c r="AL64" i="90"/>
  <c r="Z8" i="92"/>
  <c r="W21" i="92"/>
  <c r="W23" i="93"/>
  <c r="AI13" i="93" s="1"/>
  <c r="W22" i="92"/>
  <c r="P10" i="92"/>
  <c r="Y10" i="92" s="1"/>
  <c r="Z10" i="92" s="1"/>
  <c r="AE10" i="92" s="1"/>
  <c r="W23" i="92"/>
  <c r="AD9" i="91"/>
  <c r="AC10" i="91"/>
  <c r="AJ12" i="93"/>
  <c r="AG7" i="92"/>
  <c r="AF9" i="93"/>
  <c r="F35" i="95"/>
  <c r="D11" i="94" a="1"/>
  <c r="AK10" i="93"/>
  <c r="AK9" i="93"/>
  <c r="Z14" i="92"/>
  <c r="Z12" i="92"/>
  <c r="AO42" i="90"/>
  <c r="AO43" i="90"/>
  <c r="AO44" i="90"/>
  <c r="AO45" i="90"/>
  <c r="AG9" i="92"/>
  <c r="H11" i="94"/>
  <c r="F23" i="95"/>
  <c r="E32" i="95"/>
  <c r="E26" i="95"/>
  <c r="F20" i="95"/>
  <c r="F27" i="95"/>
  <c r="F39" i="95"/>
  <c r="E21" i="95"/>
  <c r="E31" i="95"/>
  <c r="F31" i="95"/>
  <c r="E30" i="95"/>
  <c r="E35" i="95"/>
  <c r="AF7" i="92"/>
  <c r="AF9" i="92"/>
  <c r="W11" i="91"/>
  <c r="AB11" i="91" s="1"/>
  <c r="AF8" i="92"/>
  <c r="P10" i="93"/>
  <c r="Y10" i="93" s="1"/>
  <c r="AJ13" i="93"/>
  <c r="AK6" i="93"/>
  <c r="AK7" i="93"/>
  <c r="AJ10" i="93"/>
  <c r="AG9" i="93"/>
  <c r="P11" i="93"/>
  <c r="Y11" i="93" s="1"/>
  <c r="AG6" i="93"/>
  <c r="AK12" i="93"/>
  <c r="AJ5" i="93"/>
  <c r="AK8" i="93"/>
  <c r="AG8" i="93"/>
  <c r="AK13" i="93"/>
  <c r="AG7" i="93"/>
  <c r="AJ14" i="93"/>
  <c r="AJ7" i="93"/>
  <c r="AJ6" i="93"/>
  <c r="L12" i="93"/>
  <c r="Z12" i="93" s="1"/>
  <c r="AJ11" i="93"/>
  <c r="AK11" i="93"/>
  <c r="AJ9" i="93"/>
  <c r="AK5" i="93"/>
  <c r="AJ8" i="93"/>
  <c r="Z7" i="92"/>
  <c r="W14" i="91"/>
  <c r="AB10" i="91"/>
  <c r="W22" i="91"/>
  <c r="AB22" i="91" s="1"/>
  <c r="V21" i="91" a="1"/>
  <c r="AD8" i="92"/>
  <c r="Z15" i="92"/>
  <c r="W15" i="91"/>
  <c r="AB21" i="91"/>
  <c r="AA24" i="91"/>
  <c r="Y6" i="92"/>
  <c r="AC11" i="91"/>
  <c r="T24" i="91"/>
  <c r="T23" i="91"/>
  <c r="T22" i="91"/>
  <c r="T21" i="91"/>
  <c r="AC8" i="91"/>
  <c r="AD8" i="91"/>
  <c r="Z9" i="92"/>
  <c r="W9" i="91"/>
  <c r="W12" i="91"/>
  <c r="AB24" i="91"/>
  <c r="AB23" i="91"/>
  <c r="P9" i="91"/>
  <c r="Q8" i="91" s="1"/>
  <c r="AA9" i="91"/>
  <c r="AC9" i="91"/>
  <c r="Y21" i="92" a="1"/>
  <c r="AE8" i="92"/>
  <c r="AD7" i="91"/>
  <c r="AC7" i="91"/>
  <c r="W8" i="91"/>
  <c r="AB8" i="91" s="1"/>
  <c r="AC6" i="91"/>
  <c r="W6" i="91"/>
  <c r="AB6" i="91" s="1"/>
  <c r="AD6" i="91"/>
  <c r="W7" i="91"/>
  <c r="AA7" i="91" s="1"/>
  <c r="AD10" i="91"/>
  <c r="Z13" i="92"/>
  <c r="W13" i="91"/>
  <c r="AA21" i="91"/>
  <c r="AA22" i="91"/>
  <c r="AA6" i="91"/>
  <c r="AA11" i="91"/>
  <c r="S10" i="90"/>
  <c r="AN53" i="90" s="1"/>
  <c r="AN51" i="90" s="1"/>
  <c r="P10" i="90"/>
  <c r="T4" i="90"/>
  <c r="T7" i="90"/>
  <c r="T9" i="90"/>
  <c r="T6" i="90"/>
  <c r="T5" i="90"/>
  <c r="S31" i="90" s="1"/>
  <c r="Q10" i="90"/>
  <c r="AL53" i="90" s="1"/>
  <c r="AL50" i="90" s="1"/>
  <c r="T8" i="90"/>
  <c r="S34" i="90" s="1"/>
  <c r="R10" i="90"/>
  <c r="AM53" i="90" s="1"/>
  <c r="AM50" i="90" s="1"/>
  <c r="AJ26" i="90"/>
  <c r="AJ35" i="90" s="1"/>
  <c r="AJ25" i="90"/>
  <c r="AJ34" i="90" s="1"/>
  <c r="AJ27" i="90"/>
  <c r="AJ36" i="90" s="1"/>
  <c r="AJ28" i="90"/>
  <c r="AJ37" i="90" s="1"/>
  <c r="B20" i="90"/>
  <c r="B19" i="90"/>
  <c r="B18" i="90"/>
  <c r="B17" i="90"/>
  <c r="B16" i="90"/>
  <c r="B15" i="90"/>
  <c r="E20" i="90"/>
  <c r="E19" i="90"/>
  <c r="E18" i="90"/>
  <c r="E17" i="90"/>
  <c r="E16" i="90"/>
  <c r="E15" i="90"/>
  <c r="C19" i="90"/>
  <c r="C17" i="90"/>
  <c r="C15" i="90"/>
  <c r="D20" i="90"/>
  <c r="D18" i="90"/>
  <c r="D16" i="90"/>
  <c r="C20" i="90"/>
  <c r="C18" i="90"/>
  <c r="C16" i="90"/>
  <c r="D19" i="90"/>
  <c r="D17" i="90"/>
  <c r="D15" i="90"/>
  <c r="R22" i="90"/>
  <c r="R26" i="90"/>
  <c r="Z21" i="92" l="1"/>
  <c r="AD21" i="92" s="1"/>
  <c r="AG10" i="92"/>
  <c r="AF10" i="92"/>
  <c r="Z22" i="92"/>
  <c r="AD22" i="92" s="1"/>
  <c r="Z24" i="92"/>
  <c r="Z11" i="93"/>
  <c r="AE11" i="93" s="1"/>
  <c r="Z11" i="92"/>
  <c r="AD11" i="92" s="1"/>
  <c r="Z22" i="93"/>
  <c r="AE22" i="93" s="1"/>
  <c r="AN52" i="90"/>
  <c r="AM49" i="90"/>
  <c r="AM52" i="90"/>
  <c r="Z25" i="92"/>
  <c r="AD25" i="92" s="1"/>
  <c r="AF11" i="92"/>
  <c r="Z9" i="93"/>
  <c r="AD9" i="93" s="1"/>
  <c r="AN50" i="90"/>
  <c r="Z23" i="92"/>
  <c r="Z24" i="93"/>
  <c r="P31" i="90"/>
  <c r="Z15" i="93"/>
  <c r="AD15" i="93" s="1"/>
  <c r="Q26" i="90"/>
  <c r="Q34" i="90"/>
  <c r="Q32" i="90"/>
  <c r="Q25" i="90"/>
  <c r="Q23" i="90"/>
  <c r="AA8" i="91"/>
  <c r="U8" i="91" s="1"/>
  <c r="AL52" i="90"/>
  <c r="Q22" i="90"/>
  <c r="AE22" i="92"/>
  <c r="X22" i="92" s="1"/>
  <c r="Z25" i="93"/>
  <c r="AD25" i="93" s="1"/>
  <c r="Q21" i="90"/>
  <c r="R30" i="90"/>
  <c r="AL49" i="90"/>
  <c r="P25" i="90"/>
  <c r="AB7" i="91"/>
  <c r="U7" i="91" s="1"/>
  <c r="AE15" i="92"/>
  <c r="AD12" i="92"/>
  <c r="AE12" i="93"/>
  <c r="K4" i="94"/>
  <c r="K5" i="94"/>
  <c r="AE9" i="92"/>
  <c r="AD11" i="91"/>
  <c r="AF7" i="93"/>
  <c r="AF8" i="93"/>
  <c r="E24" i="95"/>
  <c r="F37" i="95"/>
  <c r="E23" i="95"/>
  <c r="E20" i="95"/>
  <c r="F29" i="95"/>
  <c r="E34" i="95"/>
  <c r="F24" i="95"/>
  <c r="E38" i="95"/>
  <c r="E19" i="95"/>
  <c r="F26" i="95"/>
  <c r="H12" i="94"/>
  <c r="H13" i="94" s="1"/>
  <c r="H14" i="94" s="1"/>
  <c r="AK14" i="93"/>
  <c r="AD22" i="93"/>
  <c r="X22" i="93" s="1"/>
  <c r="S9" i="93"/>
  <c r="T6" i="93" s="1"/>
  <c r="U6" i="93" s="1"/>
  <c r="AF6" i="93"/>
  <c r="K6" i="94"/>
  <c r="J12" i="94" s="1"/>
  <c r="E37" i="95"/>
  <c r="E36" i="95"/>
  <c r="F38" i="95"/>
  <c r="E39" i="95"/>
  <c r="E25" i="95"/>
  <c r="E27" i="95"/>
  <c r="E28" i="95"/>
  <c r="F34" i="95"/>
  <c r="F22" i="95"/>
  <c r="F36" i="95"/>
  <c r="AN49" i="90"/>
  <c r="AG8" i="92"/>
  <c r="S9" i="92"/>
  <c r="T8" i="92" s="1"/>
  <c r="AA10" i="91"/>
  <c r="U10" i="91" s="1"/>
  <c r="E22" i="95"/>
  <c r="F25" i="95"/>
  <c r="F32" i="95"/>
  <c r="F19" i="95"/>
  <c r="E33" i="95"/>
  <c r="F30" i="95"/>
  <c r="F33" i="95"/>
  <c r="E29" i="95"/>
  <c r="F28" i="95"/>
  <c r="F21" i="95"/>
  <c r="Q7" i="91"/>
  <c r="D11" i="94"/>
  <c r="E11" i="94"/>
  <c r="E12" i="94"/>
  <c r="D12" i="94"/>
  <c r="Q6" i="91"/>
  <c r="R6" i="91" s="1"/>
  <c r="S32" i="90"/>
  <c r="Q31" i="90"/>
  <c r="R23" i="90"/>
  <c r="P23" i="90"/>
  <c r="AE11" i="92"/>
  <c r="R31" i="90"/>
  <c r="R32" i="90"/>
  <c r="R21" i="90"/>
  <c r="P22" i="90"/>
  <c r="P32" i="90"/>
  <c r="AM51" i="90"/>
  <c r="R34" i="90"/>
  <c r="P21" i="90"/>
  <c r="AD10" i="92"/>
  <c r="X10" i="92" s="1"/>
  <c r="R18" i="90"/>
  <c r="Q30" i="90"/>
  <c r="U21" i="91"/>
  <c r="X8" i="92"/>
  <c r="Y21" i="93" a="1"/>
  <c r="Z7" i="93"/>
  <c r="Z21" i="93"/>
  <c r="Z8" i="93"/>
  <c r="AE9" i="93"/>
  <c r="Z14" i="93"/>
  <c r="AD11" i="93"/>
  <c r="AF10" i="93"/>
  <c r="AG10" i="93"/>
  <c r="AE25" i="93"/>
  <c r="Z13" i="93"/>
  <c r="AE13" i="93" s="1"/>
  <c r="Z10" i="93"/>
  <c r="AD12" i="93"/>
  <c r="Z6" i="93"/>
  <c r="AG11" i="93"/>
  <c r="AF11" i="93"/>
  <c r="Z23" i="93"/>
  <c r="AA12" i="91"/>
  <c r="AA13" i="91"/>
  <c r="AD13" i="92"/>
  <c r="AE25" i="92"/>
  <c r="U24" i="91"/>
  <c r="AB9" i="91"/>
  <c r="U9" i="91" s="1"/>
  <c r="V22" i="91"/>
  <c r="V21" i="91"/>
  <c r="V24" i="91"/>
  <c r="V23" i="91"/>
  <c r="U23" i="91"/>
  <c r="AA14" i="91"/>
  <c r="AA15" i="91"/>
  <c r="AD14" i="92"/>
  <c r="AD15" i="92"/>
  <c r="U6" i="91"/>
  <c r="U11" i="91"/>
  <c r="U22" i="91"/>
  <c r="AD9" i="92"/>
  <c r="X16" i="91"/>
  <c r="X7" i="91" s="1"/>
  <c r="AE21" i="92"/>
  <c r="X21" i="92" s="1"/>
  <c r="AG6" i="92"/>
  <c r="AF6" i="92"/>
  <c r="Z6" i="92"/>
  <c r="AA16" i="92" s="1"/>
  <c r="AE7" i="92"/>
  <c r="AB12" i="91"/>
  <c r="AB13" i="91"/>
  <c r="AE12" i="92"/>
  <c r="AE13" i="92"/>
  <c r="Y22" i="92"/>
  <c r="Y21" i="92"/>
  <c r="Y24" i="92"/>
  <c r="Y23" i="92"/>
  <c r="AD7" i="92"/>
  <c r="AB14" i="91"/>
  <c r="AB15" i="91"/>
  <c r="AE14" i="92"/>
  <c r="J21" i="90"/>
  <c r="M21" i="90"/>
  <c r="L21" i="90"/>
  <c r="I23" i="90"/>
  <c r="J20" i="90"/>
  <c r="M20" i="90"/>
  <c r="L20" i="90"/>
  <c r="AM63" i="90"/>
  <c r="AN63" i="90" s="1"/>
  <c r="AL19" i="90"/>
  <c r="AM61" i="90"/>
  <c r="AN61" i="90" s="1"/>
  <c r="AL17" i="90"/>
  <c r="Q24" i="90"/>
  <c r="R35" i="90"/>
  <c r="P34" i="90"/>
  <c r="T34" i="90" s="1"/>
  <c r="AM18" i="90" s="1"/>
  <c r="T31" i="90"/>
  <c r="AM15" i="90" s="1"/>
  <c r="P26" i="90"/>
  <c r="S24" i="90"/>
  <c r="AL14" i="90"/>
  <c r="AM58" i="90"/>
  <c r="Q33" i="90"/>
  <c r="S30" i="90"/>
  <c r="S18" i="90"/>
  <c r="Q35" i="90"/>
  <c r="S26" i="90"/>
  <c r="AM59" i="90"/>
  <c r="AN59" i="90" s="1"/>
  <c r="AL15" i="90"/>
  <c r="AM60" i="90"/>
  <c r="AN60" i="90" s="1"/>
  <c r="AL16" i="90"/>
  <c r="S23" i="90"/>
  <c r="AL51" i="90"/>
  <c r="P33" i="90"/>
  <c r="S33" i="90"/>
  <c r="AK53" i="90"/>
  <c r="AL25" i="90" a="1"/>
  <c r="T10" i="90"/>
  <c r="P30" i="90"/>
  <c r="T30" i="90" s="1"/>
  <c r="AM14" i="90" s="1"/>
  <c r="R24" i="90"/>
  <c r="S35" i="90"/>
  <c r="AM62" i="90"/>
  <c r="AN62" i="90" s="1"/>
  <c r="AL18" i="90"/>
  <c r="Q18" i="90"/>
  <c r="P35" i="90"/>
  <c r="P24" i="90"/>
  <c r="R25" i="90"/>
  <c r="S25" i="90"/>
  <c r="P18" i="90"/>
  <c r="S22" i="90"/>
  <c r="R33" i="90"/>
  <c r="S21" i="90"/>
  <c r="X25" i="92" l="1"/>
  <c r="X11" i="93"/>
  <c r="X9" i="93"/>
  <c r="X11" i="92"/>
  <c r="AD24" i="93"/>
  <c r="AE24" i="93"/>
  <c r="Q27" i="90"/>
  <c r="AE23" i="92"/>
  <c r="AD23" i="92"/>
  <c r="AE24" i="92"/>
  <c r="AD24" i="92"/>
  <c r="K8" i="94"/>
  <c r="AE15" i="93"/>
  <c r="X15" i="93" s="1"/>
  <c r="J11" i="94"/>
  <c r="K12" i="94" s="1"/>
  <c r="S9" i="94" s="1"/>
  <c r="T6" i="92"/>
  <c r="U6" i="92" s="1"/>
  <c r="T7" i="92"/>
  <c r="X9" i="92"/>
  <c r="X25" i="93"/>
  <c r="T8" i="93"/>
  <c r="T7" i="93"/>
  <c r="U7" i="93" s="1"/>
  <c r="R7" i="91"/>
  <c r="R8" i="91" s="1"/>
  <c r="X12" i="92"/>
  <c r="X12" i="93"/>
  <c r="AE14" i="93"/>
  <c r="O10" i="94"/>
  <c r="O8" i="94"/>
  <c r="O5" i="94"/>
  <c r="O11" i="94"/>
  <c r="O4" i="94"/>
  <c r="O7" i="94"/>
  <c r="O9" i="94"/>
  <c r="O12" i="94"/>
  <c r="O13" i="94"/>
  <c r="O6" i="94"/>
  <c r="K11" i="94"/>
  <c r="X7" i="92"/>
  <c r="P27" i="90"/>
  <c r="T32" i="90"/>
  <c r="AM16" i="90" s="1"/>
  <c r="R27" i="90"/>
  <c r="AD13" i="93"/>
  <c r="X13" i="93" s="1"/>
  <c r="AD23" i="93"/>
  <c r="AE23" i="93"/>
  <c r="AD7" i="93"/>
  <c r="AE7" i="93"/>
  <c r="AE10" i="93"/>
  <c r="AD10" i="93"/>
  <c r="Y22" i="93"/>
  <c r="Y21" i="93"/>
  <c r="Y23" i="93"/>
  <c r="Y24" i="93"/>
  <c r="AD14" i="93"/>
  <c r="AE8" i="93"/>
  <c r="AD8" i="93"/>
  <c r="AD6" i="93"/>
  <c r="AA16" i="93"/>
  <c r="AA10" i="93" s="1"/>
  <c r="AE6" i="93"/>
  <c r="AD21" i="93"/>
  <c r="AE21" i="93"/>
  <c r="AA8" i="92"/>
  <c r="AA7" i="92"/>
  <c r="AA9" i="92"/>
  <c r="AA10" i="92"/>
  <c r="AA11" i="92"/>
  <c r="AG22" i="92"/>
  <c r="AF22" i="92"/>
  <c r="AA6" i="92"/>
  <c r="U14" i="91"/>
  <c r="AC21" i="91"/>
  <c r="X25" i="91"/>
  <c r="X22" i="91" s="1"/>
  <c r="AD21" i="91"/>
  <c r="U12" i="91"/>
  <c r="X8" i="91"/>
  <c r="AG23" i="92"/>
  <c r="AF23" i="92"/>
  <c r="X15" i="92"/>
  <c r="AD22" i="91"/>
  <c r="AC22" i="91"/>
  <c r="AG24" i="92"/>
  <c r="AF24" i="92"/>
  <c r="X10" i="91"/>
  <c r="X11" i="91"/>
  <c r="X6" i="91"/>
  <c r="X14" i="92"/>
  <c r="AD23" i="91"/>
  <c r="AC23" i="91"/>
  <c r="X9" i="91"/>
  <c r="X13" i="92"/>
  <c r="AA26" i="92"/>
  <c r="AA23" i="92" s="1"/>
  <c r="AF21" i="92"/>
  <c r="AG21" i="92"/>
  <c r="AE6" i="92"/>
  <c r="AD6" i="92"/>
  <c r="U15" i="91"/>
  <c r="AD24" i="91"/>
  <c r="AC24" i="91"/>
  <c r="U13" i="91"/>
  <c r="AL28" i="90"/>
  <c r="AL27" i="90"/>
  <c r="AL26" i="90"/>
  <c r="AL25" i="90"/>
  <c r="AK51" i="90"/>
  <c r="AO51" i="90" s="1"/>
  <c r="AM36" i="90" s="1"/>
  <c r="AK50" i="90"/>
  <c r="AO50" i="90" s="1"/>
  <c r="AM35" i="90" s="1"/>
  <c r="AH49" i="90" a="1"/>
  <c r="AH49" i="90" s="1"/>
  <c r="AK52" i="90"/>
  <c r="AO52" i="90" s="1"/>
  <c r="AM37" i="90" s="1"/>
  <c r="AK49" i="90"/>
  <c r="AO49" i="90" s="1"/>
  <c r="AM34" i="90" s="1"/>
  <c r="AH51" i="90" a="1"/>
  <c r="AH51" i="90" s="1"/>
  <c r="AH50" i="90" a="1"/>
  <c r="AH50" i="90" s="1"/>
  <c r="AH52" i="90" a="1"/>
  <c r="AH52" i="90" s="1"/>
  <c r="AL72" i="90"/>
  <c r="AM64" i="90"/>
  <c r="AN58" i="90"/>
  <c r="AN64" i="90" s="1"/>
  <c r="AL70" i="90" s="1"/>
  <c r="T35" i="90"/>
  <c r="AM19" i="90" s="1"/>
  <c r="S27" i="90"/>
  <c r="T33" i="90"/>
  <c r="AM17" i="90" s="1"/>
  <c r="X24" i="93" l="1"/>
  <c r="X24" i="92"/>
  <c r="X23" i="92"/>
  <c r="U8" i="93"/>
  <c r="R20" i="94"/>
  <c r="U7" i="92"/>
  <c r="U8" i="92" s="1"/>
  <c r="S7" i="94"/>
  <c r="S5" i="94"/>
  <c r="R4" i="94"/>
  <c r="X14" i="93"/>
  <c r="R16" i="94"/>
  <c r="S8" i="94"/>
  <c r="R5" i="94"/>
  <c r="R8" i="94"/>
  <c r="S10" i="94"/>
  <c r="S6" i="94"/>
  <c r="R12" i="94"/>
  <c r="R7" i="94"/>
  <c r="S23" i="94"/>
  <c r="S17" i="94"/>
  <c r="R14" i="94"/>
  <c r="R18" i="94"/>
  <c r="R19" i="94"/>
  <c r="R11" i="94"/>
  <c r="R6" i="94"/>
  <c r="R15" i="94"/>
  <c r="R10" i="94"/>
  <c r="R17" i="94"/>
  <c r="R22" i="94"/>
  <c r="R24" i="94"/>
  <c r="R13" i="94"/>
  <c r="R9" i="94"/>
  <c r="R21" i="94"/>
  <c r="R23" i="94"/>
  <c r="S16" i="94"/>
  <c r="S24" i="94"/>
  <c r="S13" i="94"/>
  <c r="S11" i="94"/>
  <c r="S15" i="94"/>
  <c r="S4" i="94"/>
  <c r="S21" i="94"/>
  <c r="S12" i="94"/>
  <c r="S19" i="94"/>
  <c r="S14" i="94"/>
  <c r="S22" i="94"/>
  <c r="S20" i="94"/>
  <c r="S18" i="94"/>
  <c r="AA22" i="92"/>
  <c r="AN20" i="90"/>
  <c r="AN16" i="90" s="1"/>
  <c r="AA24" i="92"/>
  <c r="AM25" i="90" a="1"/>
  <c r="X23" i="93"/>
  <c r="X6" i="92"/>
  <c r="X21" i="93"/>
  <c r="X7" i="93"/>
  <c r="X10" i="93"/>
  <c r="AA8" i="93"/>
  <c r="AF24" i="93"/>
  <c r="AG24" i="93"/>
  <c r="AA9" i="93"/>
  <c r="AA11" i="93"/>
  <c r="AG23" i="93"/>
  <c r="AF23" i="93"/>
  <c r="AA7" i="93"/>
  <c r="X6" i="93"/>
  <c r="AA26" i="93"/>
  <c r="AA21" i="93" s="1"/>
  <c r="AF21" i="93"/>
  <c r="AG21" i="93"/>
  <c r="AA6" i="93"/>
  <c r="X8" i="93"/>
  <c r="AG22" i="93"/>
  <c r="AA22" i="93"/>
  <c r="AF22" i="93"/>
  <c r="X24" i="91"/>
  <c r="X23" i="91"/>
  <c r="X21" i="91"/>
  <c r="AA21" i="92"/>
  <c r="AM27" i="90"/>
  <c r="AM26" i="90"/>
  <c r="AM28" i="90"/>
  <c r="AM25" i="90"/>
  <c r="W13" i="90" a="1"/>
  <c r="AN14" i="90" l="1"/>
  <c r="AN17" i="90"/>
  <c r="AN19" i="90"/>
  <c r="AN15" i="90"/>
  <c r="AN18" i="90"/>
  <c r="AN29" i="90"/>
  <c r="AN26" i="90" s="1"/>
  <c r="AA23" i="93"/>
  <c r="AA24" i="93"/>
  <c r="X18" i="90"/>
  <c r="X17" i="90"/>
  <c r="X16" i="90"/>
  <c r="X15" i="90"/>
  <c r="X14" i="90"/>
  <c r="X13" i="90"/>
  <c r="W18" i="90"/>
  <c r="Z16" i="90"/>
  <c r="Y15" i="90"/>
  <c r="W14" i="90"/>
  <c r="Y18" i="90"/>
  <c r="W17" i="90"/>
  <c r="Z15" i="90"/>
  <c r="Y14" i="90"/>
  <c r="W13" i="90"/>
  <c r="Z17" i="90"/>
  <c r="Y16" i="90"/>
  <c r="W15" i="90"/>
  <c r="Z13" i="90"/>
  <c r="Z18" i="90"/>
  <c r="Y17" i="90"/>
  <c r="W16" i="90"/>
  <c r="Z14" i="90"/>
  <c r="Y13" i="90"/>
  <c r="AN25" i="90" l="1"/>
  <c r="AN28" i="90"/>
  <c r="AN27" i="90"/>
  <c r="K20" i="89"/>
  <c r="K19" i="89"/>
  <c r="K18" i="89"/>
  <c r="K17" i="89"/>
  <c r="K16" i="89"/>
  <c r="N7" i="89"/>
  <c r="M7" i="89"/>
  <c r="L7" i="89"/>
  <c r="K7" i="89"/>
  <c r="L11" i="88"/>
  <c r="L10" i="88"/>
  <c r="L9" i="88"/>
  <c r="L8" i="88"/>
  <c r="I7" i="88"/>
  <c r="J15" i="88" s="1"/>
  <c r="H7" i="88"/>
  <c r="I15" i="88" s="1"/>
  <c r="G7" i="88"/>
  <c r="H15" i="88" s="1"/>
  <c r="AJ41" i="87"/>
  <c r="AD41" i="87"/>
  <c r="AC41" i="87"/>
  <c r="AB41" i="87"/>
  <c r="AA41" i="87"/>
  <c r="AD39" i="87"/>
  <c r="AC39" i="87"/>
  <c r="AB39" i="87"/>
  <c r="AA39" i="87"/>
  <c r="Z39" i="87"/>
  <c r="AD38" i="87"/>
  <c r="AC38" i="87"/>
  <c r="AB38" i="87"/>
  <c r="AA38" i="87"/>
  <c r="Z38" i="87"/>
  <c r="AD37" i="87"/>
  <c r="AC37" i="87"/>
  <c r="AB37" i="87"/>
  <c r="AA37" i="87"/>
  <c r="Z37" i="87"/>
  <c r="AD36" i="87"/>
  <c r="AC36" i="87"/>
  <c r="AB36" i="87"/>
  <c r="AA36" i="87"/>
  <c r="Z36" i="87"/>
  <c r="AD35" i="87"/>
  <c r="AC35" i="87"/>
  <c r="AB35" i="87"/>
  <c r="AA35" i="87"/>
  <c r="Z35" i="87"/>
  <c r="AD34" i="87"/>
  <c r="AC34" i="87"/>
  <c r="AB34" i="87"/>
  <c r="AA34" i="87"/>
  <c r="Z34" i="87"/>
  <c r="AD33" i="87"/>
  <c r="AC33" i="87"/>
  <c r="AB33" i="87"/>
  <c r="AA33" i="87"/>
  <c r="Z33" i="87"/>
  <c r="AD32" i="87"/>
  <c r="AC32" i="87"/>
  <c r="AB32" i="87"/>
  <c r="AA32" i="87"/>
  <c r="Z32" i="87"/>
  <c r="AD31" i="87"/>
  <c r="AC31" i="87"/>
  <c r="AB31" i="87"/>
  <c r="AA31" i="87"/>
  <c r="Z31" i="87"/>
  <c r="AD30" i="87"/>
  <c r="AC30" i="87"/>
  <c r="AB30" i="87"/>
  <c r="AA30" i="87"/>
  <c r="Z30" i="87"/>
  <c r="AD29" i="87"/>
  <c r="AC29" i="87"/>
  <c r="AB29" i="87"/>
  <c r="AA29" i="87"/>
  <c r="Z29" i="87"/>
  <c r="G29" i="87"/>
  <c r="AD28" i="87"/>
  <c r="AC28" i="87"/>
  <c r="AB28" i="87"/>
  <c r="AA28" i="87"/>
  <c r="Z28" i="87"/>
  <c r="AD27" i="87"/>
  <c r="AC27" i="87"/>
  <c r="AB27" i="87"/>
  <c r="AA27" i="87"/>
  <c r="Z27" i="87"/>
  <c r="AD26" i="87"/>
  <c r="AC26" i="87"/>
  <c r="AB26" i="87"/>
  <c r="AA26" i="87"/>
  <c r="Z26" i="87"/>
  <c r="AD25" i="87"/>
  <c r="AC25" i="87"/>
  <c r="AB25" i="87"/>
  <c r="AA25" i="87"/>
  <c r="Z25" i="87"/>
  <c r="AD24" i="87"/>
  <c r="AC24" i="87"/>
  <c r="AB24" i="87"/>
  <c r="AA24" i="87"/>
  <c r="Z24" i="87"/>
  <c r="AD23" i="87"/>
  <c r="AC23" i="87"/>
  <c r="AB23" i="87"/>
  <c r="AA23" i="87"/>
  <c r="Z23" i="87"/>
  <c r="G23" i="87"/>
  <c r="AD22" i="87"/>
  <c r="AC22" i="87"/>
  <c r="AB22" i="87"/>
  <c r="AA22" i="87"/>
  <c r="Z22" i="87"/>
  <c r="AD21" i="87"/>
  <c r="AC21" i="87"/>
  <c r="AB21" i="87"/>
  <c r="AA21" i="87"/>
  <c r="Z21" i="87"/>
  <c r="AD20" i="87"/>
  <c r="AC20" i="87"/>
  <c r="AB20" i="87"/>
  <c r="AA20" i="87"/>
  <c r="Z20" i="87"/>
  <c r="AD19" i="87"/>
  <c r="AC19" i="87"/>
  <c r="AB19" i="87"/>
  <c r="AA19" i="87"/>
  <c r="Z19" i="87"/>
  <c r="AD18" i="87"/>
  <c r="AC18" i="87"/>
  <c r="AB18" i="87"/>
  <c r="AA18" i="87"/>
  <c r="Z18" i="87"/>
  <c r="AD17" i="87"/>
  <c r="AC17" i="87"/>
  <c r="AB17" i="87"/>
  <c r="AA17" i="87"/>
  <c r="Z17" i="87"/>
  <c r="G17" i="87"/>
  <c r="AD16" i="87"/>
  <c r="AC16" i="87"/>
  <c r="AB16" i="87"/>
  <c r="AA16" i="87"/>
  <c r="Z16" i="87"/>
  <c r="AD15" i="87"/>
  <c r="AC15" i="87"/>
  <c r="AB15" i="87"/>
  <c r="AA15" i="87"/>
  <c r="Z15" i="87"/>
  <c r="AD14" i="87"/>
  <c r="AC14" i="87"/>
  <c r="AB14" i="87"/>
  <c r="AA14" i="87"/>
  <c r="Z14" i="87"/>
  <c r="AD13" i="87"/>
  <c r="AC13" i="87"/>
  <c r="AB13" i="87"/>
  <c r="AA13" i="87"/>
  <c r="Z13" i="87"/>
  <c r="AD12" i="87"/>
  <c r="AC12" i="87"/>
  <c r="AB12" i="87"/>
  <c r="AA12" i="87"/>
  <c r="Z12" i="87"/>
  <c r="AD11" i="87"/>
  <c r="AC11" i="87"/>
  <c r="AB11" i="87"/>
  <c r="AA11" i="87"/>
  <c r="Z11" i="87"/>
  <c r="G11" i="87"/>
  <c r="AD10" i="87"/>
  <c r="AC10" i="87"/>
  <c r="AB10" i="87"/>
  <c r="AA10" i="87"/>
  <c r="Z10" i="87"/>
  <c r="AD9" i="87"/>
  <c r="AC9" i="87"/>
  <c r="AB9" i="87"/>
  <c r="AA9" i="87"/>
  <c r="Z9" i="87"/>
  <c r="AD8" i="87"/>
  <c r="AC8" i="87"/>
  <c r="AB8" i="87"/>
  <c r="AA8" i="87"/>
  <c r="Z8" i="87"/>
  <c r="AD7" i="87"/>
  <c r="AC7" i="87"/>
  <c r="AB7" i="87"/>
  <c r="AA7" i="87"/>
  <c r="Z7" i="87"/>
  <c r="AD6" i="87"/>
  <c r="AC6" i="87"/>
  <c r="AB6" i="87"/>
  <c r="AA6" i="87"/>
  <c r="Z6" i="87"/>
  <c r="AD5" i="87"/>
  <c r="AC5" i="87"/>
  <c r="AB5" i="87"/>
  <c r="AA5" i="87"/>
  <c r="Z5" i="87"/>
  <c r="G5" i="87"/>
  <c r="AD4" i="87"/>
  <c r="AC4" i="87"/>
  <c r="AB4" i="87"/>
  <c r="AA4" i="87"/>
  <c r="Z4" i="87"/>
  <c r="O10" i="86"/>
  <c r="P9" i="86"/>
  <c r="M9" i="86"/>
  <c r="L9" i="86"/>
  <c r="K9" i="86"/>
  <c r="P8" i="86"/>
  <c r="M8" i="86"/>
  <c r="L8" i="86"/>
  <c r="K8" i="86"/>
  <c r="AB7" i="86"/>
  <c r="P7" i="86"/>
  <c r="M7" i="86"/>
  <c r="L7" i="86"/>
  <c r="K7" i="86"/>
  <c r="AB6" i="86"/>
  <c r="AB15" i="86" s="1"/>
  <c r="P6" i="86"/>
  <c r="M6" i="86"/>
  <c r="L6" i="86"/>
  <c r="K6" i="86"/>
  <c r="AB5" i="86"/>
  <c r="AB4" i="86"/>
  <c r="AE3" i="86"/>
  <c r="AD3" i="86"/>
  <c r="AC3" i="86" a="1"/>
  <c r="AC3" i="86" s="1"/>
  <c r="V3" i="86" a="1"/>
  <c r="Q8" i="87" l="1"/>
  <c r="U8" i="87" s="1"/>
  <c r="AD44" i="87" s="1"/>
  <c r="AD50" i="87" s="1"/>
  <c r="Q10" i="87"/>
  <c r="T10" i="87" s="1"/>
  <c r="AC46" i="87" s="1"/>
  <c r="AC52" i="87" s="1"/>
  <c r="Q7" i="87"/>
  <c r="U7" i="87" s="1"/>
  <c r="AD43" i="87" s="1"/>
  <c r="AD49" i="87" s="1"/>
  <c r="Q6" i="87"/>
  <c r="S10" i="87"/>
  <c r="AB46" i="87" s="1"/>
  <c r="AB52" i="87" s="1"/>
  <c r="Q9" i="87"/>
  <c r="U9" i="87" s="1"/>
  <c r="AD45" i="87" s="1"/>
  <c r="AD51" i="87" s="1"/>
  <c r="R10" i="87"/>
  <c r="AA46" i="87" s="1"/>
  <c r="AA52" i="87" s="1"/>
  <c r="Z42" i="87"/>
  <c r="Z48" i="87" s="1"/>
  <c r="Q15" i="87"/>
  <c r="U15" i="87" s="1"/>
  <c r="T6" i="87"/>
  <c r="AC42" i="87" s="1"/>
  <c r="AC48" i="87" s="1"/>
  <c r="AL4" i="87"/>
  <c r="S6" i="87"/>
  <c r="AB42" i="87" s="1"/>
  <c r="AB48" i="87" s="1"/>
  <c r="R6" i="87"/>
  <c r="AA42" i="87" s="1"/>
  <c r="AA48" i="87" s="1"/>
  <c r="U6" i="87"/>
  <c r="AD42" i="87" s="1"/>
  <c r="AD48" i="87" s="1"/>
  <c r="T7" i="87"/>
  <c r="AC43" i="87" s="1"/>
  <c r="AC49" i="87" s="1"/>
  <c r="Q16" i="87"/>
  <c r="U16" i="87" s="1"/>
  <c r="Q18" i="87"/>
  <c r="U18" i="87" s="1"/>
  <c r="R9" i="87"/>
  <c r="AA45" i="87" s="1"/>
  <c r="AA51" i="87" s="1"/>
  <c r="Z46" i="87"/>
  <c r="Z52" i="87" s="1"/>
  <c r="Q19" i="87"/>
  <c r="U19" i="87" s="1"/>
  <c r="U10" i="87"/>
  <c r="AD46" i="87" s="1"/>
  <c r="AD52" i="87" s="1"/>
  <c r="W3" i="86"/>
  <c r="W37" i="86" s="1"/>
  <c r="V3" i="86"/>
  <c r="V37" i="86" s="1"/>
  <c r="AB13" i="86"/>
  <c r="X3" i="86"/>
  <c r="X37" i="86" s="1"/>
  <c r="Y3" i="86"/>
  <c r="Y37" i="86" s="1"/>
  <c r="AB14" i="86"/>
  <c r="AF3" i="86"/>
  <c r="AB16" i="86"/>
  <c r="M11" i="85"/>
  <c r="L11" i="85"/>
  <c r="K11" i="85"/>
  <c r="J11" i="85"/>
  <c r="I11" i="85"/>
  <c r="M10" i="85"/>
  <c r="L10" i="85"/>
  <c r="K10" i="85"/>
  <c r="J10" i="85"/>
  <c r="I10" i="85"/>
  <c r="E11" i="85"/>
  <c r="E10" i="85"/>
  <c r="AL5" i="87" l="1"/>
  <c r="AE3" i="87" a="1"/>
  <c r="AF3" i="87" s="1"/>
  <c r="R8" i="87"/>
  <c r="AA44" i="87" s="1"/>
  <c r="AA50" i="87" s="1"/>
  <c r="Z43" i="87"/>
  <c r="Z49" i="87" s="1"/>
  <c r="AL8" i="87"/>
  <c r="AL18" i="87" s="1"/>
  <c r="R7" i="87"/>
  <c r="AA43" i="87" s="1"/>
  <c r="AA49" i="87" s="1"/>
  <c r="S8" i="87"/>
  <c r="AB44" i="87" s="1"/>
  <c r="AB50" i="87" s="1"/>
  <c r="AL6" i="87"/>
  <c r="T8" i="87"/>
  <c r="AC44" i="87" s="1"/>
  <c r="AC50" i="87" s="1"/>
  <c r="Q17" i="87"/>
  <c r="U17" i="87" s="1"/>
  <c r="U20" i="87" s="1"/>
  <c r="V15" i="87" s="1"/>
  <c r="W15" i="87" s="1"/>
  <c r="S7" i="87"/>
  <c r="AB43" i="87" s="1"/>
  <c r="AB49" i="87" s="1"/>
  <c r="Z44" i="87"/>
  <c r="Z50" i="87" s="1"/>
  <c r="Z45" i="87"/>
  <c r="Z51" i="87" s="1"/>
  <c r="S9" i="87"/>
  <c r="AB45" i="87" s="1"/>
  <c r="AB51" i="87" s="1"/>
  <c r="AL7" i="87"/>
  <c r="AL17" i="87" s="1"/>
  <c r="T9" i="87"/>
  <c r="AC45" i="87" s="1"/>
  <c r="AC51" i="87" s="1"/>
  <c r="M8" i="89"/>
  <c r="L8" i="89"/>
  <c r="J16" i="89"/>
  <c r="K8" i="89"/>
  <c r="N8" i="89"/>
  <c r="M12" i="89"/>
  <c r="L12" i="89"/>
  <c r="J20" i="89"/>
  <c r="K12" i="89"/>
  <c r="N12" i="89"/>
  <c r="J17" i="89"/>
  <c r="M9" i="89"/>
  <c r="N9" i="89"/>
  <c r="K9" i="89"/>
  <c r="L9" i="89"/>
  <c r="M10" i="89"/>
  <c r="J18" i="89"/>
  <c r="L10" i="89"/>
  <c r="N10" i="89"/>
  <c r="K10" i="89"/>
  <c r="J19" i="89"/>
  <c r="M11" i="89"/>
  <c r="K11" i="89"/>
  <c r="N11" i="89"/>
  <c r="L11" i="89"/>
  <c r="G9" i="88"/>
  <c r="I9" i="88"/>
  <c r="H9" i="88"/>
  <c r="I8" i="88"/>
  <c r="H8" i="88"/>
  <c r="G8" i="88"/>
  <c r="I10" i="88"/>
  <c r="H10" i="88"/>
  <c r="G10" i="88"/>
  <c r="I11" i="88"/>
  <c r="H11" i="88"/>
  <c r="G11" i="88"/>
  <c r="AL14" i="87"/>
  <c r="L24" i="87" a="1"/>
  <c r="R18" i="87"/>
  <c r="S18" i="87" s="1"/>
  <c r="L18" i="87" a="1"/>
  <c r="R17" i="87"/>
  <c r="S17" i="87" s="1"/>
  <c r="R15" i="87"/>
  <c r="S15" i="87" s="1"/>
  <c r="L6" i="87" a="1"/>
  <c r="L12" i="87" a="1"/>
  <c r="R16" i="87"/>
  <c r="S16" i="87" s="1"/>
  <c r="AI3" i="87"/>
  <c r="AE3" i="87"/>
  <c r="AH3" i="87"/>
  <c r="L30" i="87" a="1"/>
  <c r="R19" i="87"/>
  <c r="S19" i="87" s="1"/>
  <c r="AL15" i="87"/>
  <c r="AL16" i="87"/>
  <c r="F15" i="86" a="1"/>
  <c r="D6" i="83"/>
  <c r="R18" i="82"/>
  <c r="Q18" i="82"/>
  <c r="T18" i="82" s="1" a="1"/>
  <c r="T18" i="82" s="1"/>
  <c r="Q20" i="82"/>
  <c r="R19" i="82"/>
  <c r="S19" i="82" s="1"/>
  <c r="R20" i="82"/>
  <c r="R17" i="82"/>
  <c r="Q19" i="82"/>
  <c r="Q17" i="82"/>
  <c r="T17" i="82" s="1" a="1"/>
  <c r="T17" i="82" s="1"/>
  <c r="AG3" i="87" l="1"/>
  <c r="T19" i="82" a="1"/>
  <c r="T19" i="82" s="1"/>
  <c r="S20" i="82"/>
  <c r="S18" i="82"/>
  <c r="T20" i="82" a="1"/>
  <c r="T20" i="82" s="1"/>
  <c r="V18" i="87"/>
  <c r="W18" i="87" s="1"/>
  <c r="AE41" i="87"/>
  <c r="AM3" i="87"/>
  <c r="AG41" i="87"/>
  <c r="AO3" i="87"/>
  <c r="AI41" i="87"/>
  <c r="AQ3" i="87"/>
  <c r="V19" i="87"/>
  <c r="W19" i="87" s="1"/>
  <c r="L33" i="87"/>
  <c r="L32" i="87"/>
  <c r="L31" i="87"/>
  <c r="L30" i="87"/>
  <c r="O33" i="87"/>
  <c r="O32" i="87"/>
  <c r="O31" i="87"/>
  <c r="O30" i="87"/>
  <c r="N33" i="87"/>
  <c r="N32" i="87"/>
  <c r="N31" i="87"/>
  <c r="N30" i="87"/>
  <c r="M32" i="87"/>
  <c r="M31" i="87"/>
  <c r="M30" i="87"/>
  <c r="M33" i="87"/>
  <c r="AH41" i="87"/>
  <c r="AP3" i="87"/>
  <c r="O9" i="87"/>
  <c r="O8" i="87"/>
  <c r="O7" i="87"/>
  <c r="O6" i="87"/>
  <c r="N9" i="87"/>
  <c r="N8" i="87"/>
  <c r="N7" i="87"/>
  <c r="N6" i="87"/>
  <c r="M8" i="87"/>
  <c r="M6" i="87"/>
  <c r="L9" i="87"/>
  <c r="L7" i="87"/>
  <c r="L8" i="87"/>
  <c r="L6" i="87"/>
  <c r="M9" i="87"/>
  <c r="M7" i="87"/>
  <c r="O27" i="87"/>
  <c r="O26" i="87"/>
  <c r="O25" i="87"/>
  <c r="M27" i="87"/>
  <c r="L26" i="87"/>
  <c r="O24" i="87"/>
  <c r="L27" i="87"/>
  <c r="N25" i="87"/>
  <c r="N24" i="87"/>
  <c r="N26" i="87"/>
  <c r="M25" i="87"/>
  <c r="M24" i="87"/>
  <c r="L25" i="87"/>
  <c r="L24" i="87"/>
  <c r="N27" i="87"/>
  <c r="M26" i="87"/>
  <c r="V16" i="87"/>
  <c r="W16" i="87" s="1"/>
  <c r="V17" i="87"/>
  <c r="W17" i="87" s="1"/>
  <c r="AF41" i="87"/>
  <c r="AN3" i="87"/>
  <c r="O15" i="87"/>
  <c r="O14" i="87"/>
  <c r="O13" i="87"/>
  <c r="O12" i="87"/>
  <c r="M15" i="87"/>
  <c r="M14" i="87"/>
  <c r="L14" i="87"/>
  <c r="N12" i="87"/>
  <c r="N15" i="87"/>
  <c r="N13" i="87"/>
  <c r="M12" i="87"/>
  <c r="L15" i="87"/>
  <c r="M13" i="87"/>
  <c r="L12" i="87"/>
  <c r="N14" i="87"/>
  <c r="L13" i="87"/>
  <c r="L21" i="87"/>
  <c r="L20" i="87"/>
  <c r="L19" i="87"/>
  <c r="L18" i="87"/>
  <c r="O21" i="87"/>
  <c r="O20" i="87"/>
  <c r="O19" i="87"/>
  <c r="O18" i="87"/>
  <c r="N21" i="87"/>
  <c r="N20" i="87"/>
  <c r="N19" i="87"/>
  <c r="N18" i="87"/>
  <c r="M20" i="87"/>
  <c r="M19" i="87"/>
  <c r="M18" i="87"/>
  <c r="M21" i="87"/>
  <c r="H17" i="86"/>
  <c r="G16" i="86"/>
  <c r="F15" i="86"/>
  <c r="G17" i="86"/>
  <c r="F16" i="86"/>
  <c r="H15" i="86"/>
  <c r="H16" i="86"/>
  <c r="G15" i="86"/>
  <c r="F17" i="86"/>
  <c r="E13" i="85"/>
  <c r="E14" i="85" s="1"/>
  <c r="S17" i="82"/>
  <c r="X6" i="83"/>
  <c r="W6" i="83"/>
  <c r="V6" i="83"/>
  <c r="T6" i="83"/>
  <c r="S6" i="83"/>
  <c r="R6" i="83"/>
  <c r="P6" i="83"/>
  <c r="O6" i="83"/>
  <c r="N6" i="83"/>
  <c r="L6" i="83"/>
  <c r="L7" i="83" s="1"/>
  <c r="K6" i="83"/>
  <c r="J6" i="83"/>
  <c r="H6" i="83"/>
  <c r="G6" i="83"/>
  <c r="F6" i="83"/>
  <c r="H7" i="83" s="1"/>
  <c r="C6" i="83"/>
  <c r="B6" i="83"/>
  <c r="AA3" i="83"/>
  <c r="M15" i="85" l="1" a="1"/>
  <c r="T21" i="82"/>
  <c r="T7" i="83"/>
  <c r="X7" i="83"/>
  <c r="D7" i="83"/>
  <c r="P7" i="83"/>
  <c r="AH25" i="87" a="1"/>
  <c r="AH25" i="87" s="1"/>
  <c r="AE46" i="87" a="1"/>
  <c r="AE46" i="87" s="1"/>
  <c r="AH38" i="87" a="1"/>
  <c r="AH38" i="87" s="1"/>
  <c r="AE26" i="87" a="1"/>
  <c r="AE26" i="87" s="1"/>
  <c r="AH27" i="87" a="1"/>
  <c r="AH27" i="87" s="1"/>
  <c r="AE27" i="87" a="1"/>
  <c r="AE27" i="87" s="1"/>
  <c r="AF28" i="87" a="1"/>
  <c r="AF28" i="87" s="1"/>
  <c r="AF27" i="87" a="1"/>
  <c r="AF27" i="87" s="1"/>
  <c r="AF26" i="87" a="1"/>
  <c r="AF26" i="87" s="1"/>
  <c r="AF25" i="87" a="1"/>
  <c r="AF25" i="87" s="1"/>
  <c r="AF24" i="87" a="1"/>
  <c r="AF24" i="87" s="1"/>
  <c r="AF39" i="87" a="1"/>
  <c r="AF39" i="87" s="1"/>
  <c r="AF38" i="87" a="1"/>
  <c r="AF38" i="87" s="1"/>
  <c r="AF37" i="87" a="1"/>
  <c r="AF37" i="87" s="1"/>
  <c r="AF36" i="87" a="1"/>
  <c r="AF36" i="87" s="1"/>
  <c r="AF35" i="87" a="1"/>
  <c r="AF35" i="87" s="1"/>
  <c r="AF34" i="87" a="1"/>
  <c r="AF34" i="87" s="1"/>
  <c r="AF33" i="87" a="1"/>
  <c r="AF33" i="87" s="1"/>
  <c r="AF32" i="87" a="1"/>
  <c r="AF32" i="87" s="1"/>
  <c r="AF31" i="87" a="1"/>
  <c r="AF31" i="87" s="1"/>
  <c r="AF30" i="87" a="1"/>
  <c r="AF30" i="87" s="1"/>
  <c r="AF21" i="87" a="1"/>
  <c r="AF21" i="87" s="1"/>
  <c r="AF20" i="87" a="1"/>
  <c r="AF20" i="87" s="1"/>
  <c r="AF15" i="87" a="1"/>
  <c r="AF15" i="87" s="1"/>
  <c r="AF14" i="87" a="1"/>
  <c r="AF14" i="87" s="1"/>
  <c r="AF13" i="87" a="1"/>
  <c r="AF13" i="87" s="1"/>
  <c r="AF12" i="87" a="1"/>
  <c r="AF12" i="87" s="1"/>
  <c r="AF19" i="87" a="1"/>
  <c r="AF19" i="87" s="1"/>
  <c r="AF23" i="87" a="1"/>
  <c r="AF23" i="87" s="1"/>
  <c r="AF16" i="87" a="1"/>
  <c r="AF16" i="87" s="1"/>
  <c r="AF45" i="87" a="1"/>
  <c r="AF45" i="87" s="1"/>
  <c r="AF11" i="87" a="1"/>
  <c r="AF11" i="87" s="1"/>
  <c r="AF44" i="87" a="1"/>
  <c r="AF44" i="87" s="1"/>
  <c r="AF29" i="87" a="1"/>
  <c r="AF29" i="87" s="1"/>
  <c r="AF22" i="87" a="1"/>
  <c r="AF22" i="87" s="1"/>
  <c r="AF10" i="87" a="1"/>
  <c r="AF10" i="87" s="1"/>
  <c r="AF43" i="87" a="1"/>
  <c r="AF43" i="87" s="1"/>
  <c r="AF17" i="87" a="1"/>
  <c r="AF17" i="87" s="1"/>
  <c r="AF5" i="87" a="1"/>
  <c r="AF5" i="87" s="1"/>
  <c r="AF46" i="87" a="1"/>
  <c r="AF46" i="87" s="1"/>
  <c r="AF9" i="87" a="1"/>
  <c r="AF9" i="87" s="1"/>
  <c r="AF6" i="87" a="1"/>
  <c r="AF6" i="87" s="1"/>
  <c r="AF4" i="87" a="1"/>
  <c r="AF4" i="87" s="1"/>
  <c r="AF42" i="87" a="1"/>
  <c r="AF42" i="87" s="1"/>
  <c r="AF8" i="87" a="1"/>
  <c r="AF8" i="87" s="1"/>
  <c r="AF7" i="87" a="1"/>
  <c r="AF7" i="87" s="1"/>
  <c r="AF18" i="87" a="1"/>
  <c r="AF18" i="87" s="1"/>
  <c r="AH18" i="87" a="1"/>
  <c r="AH18" i="87" s="1"/>
  <c r="AH43" i="87" a="1"/>
  <c r="AH43" i="87" s="1"/>
  <c r="AH14" i="87" a="1"/>
  <c r="AH14" i="87" s="1"/>
  <c r="AH34" i="87" a="1"/>
  <c r="AH34" i="87" s="1"/>
  <c r="AH26" i="87" a="1"/>
  <c r="AH26" i="87" s="1"/>
  <c r="AE8" i="87" a="1"/>
  <c r="AE8" i="87" s="1"/>
  <c r="AE20" i="87" a="1"/>
  <c r="AE20" i="87" s="1"/>
  <c r="AE32" i="87" a="1"/>
  <c r="AE32" i="87" s="1"/>
  <c r="AE16" i="87" a="1"/>
  <c r="AE16" i="87" s="1"/>
  <c r="AE43" i="87" a="1"/>
  <c r="AE43" i="87" s="1"/>
  <c r="AH10" i="87" a="1"/>
  <c r="AH10" i="87" s="1"/>
  <c r="AH44" i="87" a="1"/>
  <c r="AH44" i="87" s="1"/>
  <c r="AH29" i="87" a="1"/>
  <c r="AH29" i="87" s="1"/>
  <c r="AH31" i="87" a="1"/>
  <c r="AH31" i="87" s="1"/>
  <c r="AH39" i="87" a="1"/>
  <c r="AH39" i="87" s="1"/>
  <c r="AE5" i="87" a="1"/>
  <c r="AE5" i="87" s="1"/>
  <c r="AE21" i="87" a="1"/>
  <c r="AE21" i="87" s="1"/>
  <c r="AE33" i="87" a="1"/>
  <c r="AE33" i="87" s="1"/>
  <c r="AE37" i="87" a="1"/>
  <c r="AE37" i="87" s="1"/>
  <c r="AE44" i="87" a="1"/>
  <c r="AE44" i="87" s="1"/>
  <c r="AH4" i="87" a="1"/>
  <c r="AH4" i="87" s="1"/>
  <c r="AH8" i="87" a="1"/>
  <c r="AH8" i="87" s="1"/>
  <c r="AH17" i="87" a="1"/>
  <c r="AH17" i="87" s="1"/>
  <c r="AH23" i="87" a="1"/>
  <c r="AH23" i="87" s="1"/>
  <c r="AH45" i="87" a="1"/>
  <c r="AH45" i="87" s="1"/>
  <c r="AH12" i="87" a="1"/>
  <c r="AH12" i="87" s="1"/>
  <c r="AH20" i="87" a="1"/>
  <c r="AH20" i="87" s="1"/>
  <c r="AH32" i="87" a="1"/>
  <c r="AH32" i="87" s="1"/>
  <c r="AH36" i="87" a="1"/>
  <c r="AH36" i="87" s="1"/>
  <c r="AH24" i="87" a="1"/>
  <c r="AH24" i="87" s="1"/>
  <c r="AH28" i="87" a="1"/>
  <c r="AH28" i="87" s="1"/>
  <c r="AE6" i="87" a="1"/>
  <c r="AE6" i="87" s="1"/>
  <c r="AE11" i="87" a="1"/>
  <c r="AE11" i="87" s="1"/>
  <c r="AE14" i="87" a="1"/>
  <c r="AE14" i="87" s="1"/>
  <c r="AE17" i="87" a="1"/>
  <c r="AE17" i="87" s="1"/>
  <c r="AE30" i="87" a="1"/>
  <c r="AE30" i="87" s="1"/>
  <c r="AE34" i="87" a="1"/>
  <c r="AE34" i="87" s="1"/>
  <c r="AE38" i="87" a="1"/>
  <c r="AE38" i="87" s="1"/>
  <c r="AE25" i="87" a="1"/>
  <c r="AE25" i="87" s="1"/>
  <c r="AE28" i="87" a="1"/>
  <c r="AE28" i="87" s="1"/>
  <c r="AE45" i="87" a="1"/>
  <c r="AE45" i="87" s="1"/>
  <c r="AH6" i="87" a="1"/>
  <c r="AH6" i="87" s="1"/>
  <c r="AH22" i="87" a="1"/>
  <c r="AH22" i="87" s="1"/>
  <c r="AH19" i="87" a="1"/>
  <c r="AH19" i="87" s="1"/>
  <c r="AH30" i="87" a="1"/>
  <c r="AH30" i="87" s="1"/>
  <c r="AE10" i="87" a="1"/>
  <c r="AE10" i="87" s="1"/>
  <c r="AE12" i="87" a="1"/>
  <c r="AE12" i="87" s="1"/>
  <c r="AE22" i="87" a="1"/>
  <c r="AE22" i="87" s="1"/>
  <c r="AE36" i="87" a="1"/>
  <c r="AE36" i="87" s="1"/>
  <c r="AH7" i="87" a="1"/>
  <c r="AH7" i="87" s="1"/>
  <c r="AH16" i="87" a="1"/>
  <c r="AH16" i="87" s="1"/>
  <c r="AH15" i="87" a="1"/>
  <c r="AH15" i="87" s="1"/>
  <c r="AH35" i="87" a="1"/>
  <c r="AH35" i="87" s="1"/>
  <c r="AE9" i="87" a="1"/>
  <c r="AE9" i="87" s="1"/>
  <c r="AE13" i="87" a="1"/>
  <c r="AE13" i="87" s="1"/>
  <c r="AE24" i="87" a="1"/>
  <c r="AE24" i="87" s="1"/>
  <c r="AE23" i="87" a="1"/>
  <c r="AE23" i="87" s="1"/>
  <c r="AG46" i="87" a="1"/>
  <c r="AG46" i="87" s="1"/>
  <c r="AG45" i="87" a="1"/>
  <c r="AG45" i="87" s="1"/>
  <c r="AG44" i="87" a="1"/>
  <c r="AG44" i="87" s="1"/>
  <c r="AG43" i="87" a="1"/>
  <c r="AG43" i="87" s="1"/>
  <c r="AG42" i="87" a="1"/>
  <c r="AG42" i="87" s="1"/>
  <c r="AG28" i="87" a="1"/>
  <c r="AG28" i="87" s="1"/>
  <c r="AG27" i="87" a="1"/>
  <c r="AG27" i="87" s="1"/>
  <c r="AG26" i="87" a="1"/>
  <c r="AG26" i="87" s="1"/>
  <c r="AG39" i="87" a="1"/>
  <c r="AG39" i="87" s="1"/>
  <c r="AG38" i="87" a="1"/>
  <c r="AG38" i="87" s="1"/>
  <c r="AG37" i="87" a="1"/>
  <c r="AG37" i="87" s="1"/>
  <c r="AG36" i="87" a="1"/>
  <c r="AG36" i="87" s="1"/>
  <c r="AG35" i="87" a="1"/>
  <c r="AG35" i="87" s="1"/>
  <c r="AG34" i="87" a="1"/>
  <c r="AG34" i="87" s="1"/>
  <c r="AG33" i="87" a="1"/>
  <c r="AG33" i="87" s="1"/>
  <c r="AG32" i="87" a="1"/>
  <c r="AG32" i="87" s="1"/>
  <c r="AG31" i="87" a="1"/>
  <c r="AG31" i="87" s="1"/>
  <c r="AG30" i="87" a="1"/>
  <c r="AG30" i="87" s="1"/>
  <c r="AG23" i="87" a="1"/>
  <c r="AG23" i="87" s="1"/>
  <c r="AG16" i="87" a="1"/>
  <c r="AG16" i="87" s="1"/>
  <c r="AG25" i="87" a="1"/>
  <c r="AG25" i="87" s="1"/>
  <c r="AG22" i="87" a="1"/>
  <c r="AG22" i="87" s="1"/>
  <c r="AG18" i="87" a="1"/>
  <c r="AG18" i="87" s="1"/>
  <c r="AG17" i="87" a="1"/>
  <c r="AG17" i="87" s="1"/>
  <c r="AG29" i="87" a="1"/>
  <c r="AG29" i="87" s="1"/>
  <c r="AG24" i="87" a="1"/>
  <c r="AG24" i="87" s="1"/>
  <c r="AG21" i="87" a="1"/>
  <c r="AG21" i="87" s="1"/>
  <c r="AG20" i="87" a="1"/>
  <c r="AG20" i="87" s="1"/>
  <c r="AG15" i="87" a="1"/>
  <c r="AG15" i="87" s="1"/>
  <c r="AG14" i="87" a="1"/>
  <c r="AG14" i="87" s="1"/>
  <c r="AG13" i="87" a="1"/>
  <c r="AG13" i="87" s="1"/>
  <c r="AG12" i="87" a="1"/>
  <c r="AG12" i="87" s="1"/>
  <c r="AG19" i="87" a="1"/>
  <c r="AG19" i="87" s="1"/>
  <c r="AG11" i="87" a="1"/>
  <c r="AG11" i="87" s="1"/>
  <c r="AG9" i="87" a="1"/>
  <c r="AG9" i="87" s="1"/>
  <c r="AG8" i="87" a="1"/>
  <c r="AG8" i="87" s="1"/>
  <c r="AG7" i="87" a="1"/>
  <c r="AG7" i="87" s="1"/>
  <c r="AG6" i="87" a="1"/>
  <c r="AG6" i="87" s="1"/>
  <c r="AG10" i="87" a="1"/>
  <c r="AG10" i="87" s="1"/>
  <c r="AG4" i="87" a="1"/>
  <c r="AG4" i="87" s="1"/>
  <c r="AG5" i="87" a="1"/>
  <c r="AG5" i="87" s="1"/>
  <c r="AI46" i="87" a="1"/>
  <c r="AI46" i="87" s="1"/>
  <c r="AI45" i="87" a="1"/>
  <c r="AI45" i="87" s="1"/>
  <c r="AI44" i="87" a="1"/>
  <c r="AI44" i="87" s="1"/>
  <c r="AI43" i="87" a="1"/>
  <c r="AI43" i="87" s="1"/>
  <c r="AI42" i="87" a="1"/>
  <c r="AI42" i="87" s="1"/>
  <c r="AI28" i="87" a="1"/>
  <c r="AI28" i="87" s="1"/>
  <c r="AI27" i="87" a="1"/>
  <c r="AI27" i="87" s="1"/>
  <c r="AI26" i="87" a="1"/>
  <c r="AI26" i="87" s="1"/>
  <c r="AI29" i="87" a="1"/>
  <c r="AI29" i="87" s="1"/>
  <c r="AI23" i="87" a="1"/>
  <c r="AI23" i="87" s="1"/>
  <c r="AI16" i="87" a="1"/>
  <c r="AI16" i="87" s="1"/>
  <c r="AI22" i="87" a="1"/>
  <c r="AI22" i="87" s="1"/>
  <c r="AI18" i="87" a="1"/>
  <c r="AI18" i="87" s="1"/>
  <c r="AI17" i="87" a="1"/>
  <c r="AI17" i="87" s="1"/>
  <c r="AI25" i="87" a="1"/>
  <c r="AI25" i="87" s="1"/>
  <c r="AI21" i="87" a="1"/>
  <c r="AI21" i="87" s="1"/>
  <c r="AI20" i="87" a="1"/>
  <c r="AI20" i="87" s="1"/>
  <c r="AI15" i="87" a="1"/>
  <c r="AI15" i="87" s="1"/>
  <c r="AI14" i="87" a="1"/>
  <c r="AI14" i="87" s="1"/>
  <c r="AI13" i="87" a="1"/>
  <c r="AI13" i="87" s="1"/>
  <c r="AI12" i="87" a="1"/>
  <c r="AI12" i="87" s="1"/>
  <c r="AI39" i="87" a="1"/>
  <c r="AI39" i="87" s="1"/>
  <c r="AI37" i="87" a="1"/>
  <c r="AI37" i="87" s="1"/>
  <c r="AI35" i="87" a="1"/>
  <c r="AI35" i="87" s="1"/>
  <c r="AI33" i="87" a="1"/>
  <c r="AI33" i="87" s="1"/>
  <c r="AI31" i="87" a="1"/>
  <c r="AI31" i="87" s="1"/>
  <c r="AI11" i="87" a="1"/>
  <c r="AI11" i="87" s="1"/>
  <c r="AI9" i="87" a="1"/>
  <c r="AI9" i="87" s="1"/>
  <c r="AI8" i="87" a="1"/>
  <c r="AI8" i="87" s="1"/>
  <c r="AI7" i="87" a="1"/>
  <c r="AI7" i="87" s="1"/>
  <c r="AI6" i="87" a="1"/>
  <c r="AI6" i="87" s="1"/>
  <c r="AI38" i="87" a="1"/>
  <c r="AI38" i="87" s="1"/>
  <c r="AI30" i="87" a="1"/>
  <c r="AI30" i="87" s="1"/>
  <c r="AI5" i="87" a="1"/>
  <c r="AI5" i="87" s="1"/>
  <c r="AI32" i="87" a="1"/>
  <c r="AI32" i="87" s="1"/>
  <c r="AI4" i="87" a="1"/>
  <c r="AI4" i="87" s="1"/>
  <c r="AI34" i="87" a="1"/>
  <c r="AI34" i="87" s="1"/>
  <c r="AI24" i="87" a="1"/>
  <c r="AI24" i="87" s="1"/>
  <c r="AI36" i="87" a="1"/>
  <c r="AI36" i="87" s="1"/>
  <c r="AI19" i="87" a="1"/>
  <c r="AI19" i="87" s="1"/>
  <c r="AI10" i="87" a="1"/>
  <c r="AI10" i="87" s="1"/>
  <c r="AH9" i="87" a="1"/>
  <c r="AH9" i="87" s="1"/>
  <c r="AH5" i="87" a="1"/>
  <c r="AH5" i="87" s="1"/>
  <c r="AH11" i="87" a="1"/>
  <c r="AH11" i="87" s="1"/>
  <c r="AH42" i="87" a="1"/>
  <c r="AH42" i="87" s="1"/>
  <c r="AH46" i="87" a="1"/>
  <c r="AH46" i="87" s="1"/>
  <c r="AH13" i="87" a="1"/>
  <c r="AH13" i="87" s="1"/>
  <c r="AH21" i="87" a="1"/>
  <c r="AH21" i="87" s="1"/>
  <c r="AH33" i="87" a="1"/>
  <c r="AH33" i="87" s="1"/>
  <c r="AH37" i="87" a="1"/>
  <c r="AH37" i="87" s="1"/>
  <c r="AE4" i="87" a="1"/>
  <c r="AE4" i="87" s="1"/>
  <c r="AE7" i="87" a="1"/>
  <c r="AE7" i="87" s="1"/>
  <c r="AE19" i="87" a="1"/>
  <c r="AE19" i="87" s="1"/>
  <c r="AE15" i="87" a="1"/>
  <c r="AE15" i="87" s="1"/>
  <c r="AE18" i="87" a="1"/>
  <c r="AE18" i="87" s="1"/>
  <c r="AE31" i="87" a="1"/>
  <c r="AE31" i="87" s="1"/>
  <c r="AE35" i="87" a="1"/>
  <c r="AE35" i="87" s="1"/>
  <c r="AE39" i="87" a="1"/>
  <c r="AE39" i="87" s="1"/>
  <c r="AE29" i="87" a="1"/>
  <c r="AE29" i="87" s="1"/>
  <c r="AE42" i="87" a="1"/>
  <c r="AE42" i="87" s="1"/>
  <c r="L16" i="86" a="1"/>
  <c r="L14" i="86" a="1"/>
  <c r="L17" i="86" a="1"/>
  <c r="K15" i="86" a="1"/>
  <c r="K15" i="86" s="1"/>
  <c r="K17" i="86" a="1"/>
  <c r="K17" i="86" s="1"/>
  <c r="L15" i="86" a="1"/>
  <c r="K14" i="86" a="1"/>
  <c r="K14" i="86" s="1"/>
  <c r="K16" i="86" a="1"/>
  <c r="K16" i="86" s="1"/>
  <c r="Q27" i="82"/>
  <c r="Q26" i="82"/>
  <c r="Q25" i="82"/>
  <c r="Q24" i="82"/>
  <c r="R27" i="82"/>
  <c r="R25" i="82"/>
  <c r="S27" i="82"/>
  <c r="S26" i="82"/>
  <c r="S25" i="82"/>
  <c r="S24" i="82"/>
  <c r="R26" i="82"/>
  <c r="R24" i="82"/>
  <c r="U12" i="82"/>
  <c r="U11" i="82"/>
  <c r="U10" i="82"/>
  <c r="G23" i="74"/>
  <c r="G24" i="74" s="1"/>
  <c r="G25" i="74" s="1"/>
  <c r="G26" i="74" s="1"/>
  <c r="G27" i="74" s="1"/>
  <c r="G28" i="74" s="1"/>
  <c r="G29" i="74" s="1"/>
  <c r="G30" i="74" s="1"/>
  <c r="G31" i="74" s="1"/>
  <c r="G32" i="74" s="1"/>
  <c r="G33" i="74" s="1"/>
  <c r="G34" i="74" s="1"/>
  <c r="G35" i="74" s="1"/>
  <c r="G36" i="74" s="1"/>
  <c r="J22" i="74" a="1"/>
  <c r="J24" i="74" s="1"/>
  <c r="P21" i="74"/>
  <c r="Q21" i="74" s="1"/>
  <c r="L21" i="74"/>
  <c r="G5" i="74"/>
  <c r="G6" i="74" s="1"/>
  <c r="G7" i="74" s="1"/>
  <c r="G8" i="74" s="1"/>
  <c r="G9" i="74" s="1"/>
  <c r="G10" i="74" s="1"/>
  <c r="G11" i="74" s="1"/>
  <c r="G12" i="74" s="1"/>
  <c r="G13" i="74" s="1"/>
  <c r="G14" i="74" s="1"/>
  <c r="G15" i="74" s="1"/>
  <c r="G16" i="74" s="1"/>
  <c r="G17" i="74" s="1"/>
  <c r="G18" i="74" s="1"/>
  <c r="A5" i="74"/>
  <c r="A6" i="74" s="1"/>
  <c r="A7" i="74" s="1"/>
  <c r="A8" i="74" s="1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J4" i="74" a="1"/>
  <c r="J4" i="74" s="1"/>
  <c r="P3" i="74"/>
  <c r="Q3" i="74" s="1"/>
  <c r="L3" i="74"/>
  <c r="L6" i="75"/>
  <c r="K6" i="75"/>
  <c r="J6" i="75"/>
  <c r="I6" i="75"/>
  <c r="Q13" i="75" s="1"/>
  <c r="V5" i="75"/>
  <c r="V6" i="75" s="1"/>
  <c r="V7" i="75" s="1"/>
  <c r="V8" i="75" s="1"/>
  <c r="V9" i="75" s="1"/>
  <c r="V10" i="75" s="1"/>
  <c r="V11" i="75" s="1"/>
  <c r="V12" i="75" s="1"/>
  <c r="V13" i="75" s="1"/>
  <c r="V14" i="75" s="1"/>
  <c r="V15" i="75" s="1"/>
  <c r="V16" i="75" s="1"/>
  <c r="V17" i="75" s="1"/>
  <c r="V18" i="75" s="1"/>
  <c r="N5" i="75"/>
  <c r="N6" i="75" s="1"/>
  <c r="N7" i="75" s="1"/>
  <c r="N8" i="75" s="1"/>
  <c r="N9" i="75" s="1"/>
  <c r="N10" i="75" s="1"/>
  <c r="N11" i="75" s="1"/>
  <c r="N12" i="75" s="1"/>
  <c r="N13" i="75" s="1"/>
  <c r="N14" i="75" s="1"/>
  <c r="N15" i="75" s="1"/>
  <c r="N16" i="75" s="1"/>
  <c r="N17" i="75" s="1"/>
  <c r="N18" i="75" s="1"/>
  <c r="L5" i="75"/>
  <c r="K5" i="75"/>
  <c r="J5" i="75"/>
  <c r="I5" i="75"/>
  <c r="A5" i="75"/>
  <c r="A6" i="75" s="1"/>
  <c r="A7" i="75" s="1"/>
  <c r="A8" i="75" s="1"/>
  <c r="A9" i="75" s="1"/>
  <c r="A10" i="75" s="1"/>
  <c r="A11" i="75" s="1"/>
  <c r="A12" i="75" s="1"/>
  <c r="A13" i="75" s="1"/>
  <c r="A14" i="75" s="1"/>
  <c r="A15" i="75" s="1"/>
  <c r="A16" i="75" s="1"/>
  <c r="A17" i="75" s="1"/>
  <c r="A18" i="75" s="1"/>
  <c r="Y4" i="75" a="1"/>
  <c r="Y4" i="75" s="1"/>
  <c r="L4" i="75"/>
  <c r="K4" i="75"/>
  <c r="J4" i="75"/>
  <c r="I4" i="75"/>
  <c r="AE3" i="75"/>
  <c r="AF3" i="75" s="1"/>
  <c r="AA3" i="75"/>
  <c r="AB3" i="75" s="1"/>
  <c r="K18" i="76"/>
  <c r="J18" i="76"/>
  <c r="G18" i="76"/>
  <c r="K17" i="76"/>
  <c r="J17" i="76"/>
  <c r="G17" i="76"/>
  <c r="K16" i="76"/>
  <c r="J16" i="76"/>
  <c r="L16" i="76" s="1"/>
  <c r="G16" i="76"/>
  <c r="K15" i="76"/>
  <c r="J15" i="76"/>
  <c r="G15" i="76"/>
  <c r="K14" i="76"/>
  <c r="J14" i="76"/>
  <c r="G14" i="76"/>
  <c r="K13" i="76"/>
  <c r="J13" i="76"/>
  <c r="G13" i="76"/>
  <c r="K12" i="76"/>
  <c r="J12" i="76"/>
  <c r="L12" i="76" s="1"/>
  <c r="G12" i="76"/>
  <c r="K11" i="76"/>
  <c r="J11" i="76"/>
  <c r="L11" i="76" s="1"/>
  <c r="G11" i="76"/>
  <c r="K10" i="76"/>
  <c r="J10" i="76"/>
  <c r="G10" i="76"/>
  <c r="L9" i="76"/>
  <c r="K9" i="76"/>
  <c r="J9" i="76"/>
  <c r="G9" i="76"/>
  <c r="K8" i="76"/>
  <c r="J8" i="76"/>
  <c r="G8" i="76"/>
  <c r="K7" i="76"/>
  <c r="J7" i="76"/>
  <c r="L7" i="76" s="1"/>
  <c r="G7" i="76"/>
  <c r="K6" i="76"/>
  <c r="J6" i="76"/>
  <c r="L6" i="76" s="1"/>
  <c r="G6" i="76"/>
  <c r="L5" i="76"/>
  <c r="K5" i="76"/>
  <c r="J5" i="76"/>
  <c r="G5" i="76"/>
  <c r="A5" i="76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18" i="76" s="1"/>
  <c r="K4" i="76"/>
  <c r="J4" i="76"/>
  <c r="L4" i="76" s="1"/>
  <c r="M4" i="76" s="1"/>
  <c r="G4" i="76"/>
  <c r="H4" i="76" s="1"/>
  <c r="G5" i="77"/>
  <c r="G6" i="77" s="1"/>
  <c r="G7" i="77" s="1"/>
  <c r="G8" i="77" s="1"/>
  <c r="G9" i="77" s="1"/>
  <c r="G10" i="77" s="1"/>
  <c r="G11" i="77" s="1"/>
  <c r="G12" i="77" s="1"/>
  <c r="G13" i="77" s="1"/>
  <c r="J4" i="77" a="1"/>
  <c r="J5" i="77" s="1"/>
  <c r="O3" i="77"/>
  <c r="L3" i="77"/>
  <c r="I5" i="79"/>
  <c r="H5" i="79"/>
  <c r="I4" i="79"/>
  <c r="H4" i="79"/>
  <c r="L8" i="76" l="1"/>
  <c r="L13" i="76"/>
  <c r="Q4" i="75"/>
  <c r="P18" i="75"/>
  <c r="L17" i="76"/>
  <c r="M13" i="79"/>
  <c r="L4" i="79"/>
  <c r="L18" i="76"/>
  <c r="J15" i="85" a="1"/>
  <c r="J15" i="85" s="1"/>
  <c r="L15" i="85" a="1"/>
  <c r="L16" i="85" s="1"/>
  <c r="K15" i="85" a="1"/>
  <c r="K15" i="85" s="1"/>
  <c r="I15" i="85" a="1"/>
  <c r="I15" i="85" s="1"/>
  <c r="H5" i="76"/>
  <c r="H6" i="76" s="1"/>
  <c r="H7" i="76" s="1"/>
  <c r="H8" i="76" s="1"/>
  <c r="H9" i="76" s="1"/>
  <c r="H10" i="76" s="1"/>
  <c r="H11" i="76" s="1"/>
  <c r="H12" i="76" s="1"/>
  <c r="H13" i="76" s="1"/>
  <c r="H14" i="76" s="1"/>
  <c r="H15" i="76" s="1"/>
  <c r="H16" i="76" s="1"/>
  <c r="H17" i="76" s="1"/>
  <c r="H18" i="76" s="1"/>
  <c r="M5" i="76"/>
  <c r="M6" i="76" s="1"/>
  <c r="M7" i="76" s="1"/>
  <c r="M8" i="76" s="1"/>
  <c r="M9" i="76" s="1"/>
  <c r="P4" i="75"/>
  <c r="L14" i="76"/>
  <c r="M6" i="79"/>
  <c r="M7" i="79"/>
  <c r="O6" i="75"/>
  <c r="Q6" i="75"/>
  <c r="AA4" i="83"/>
  <c r="AA5" i="83" s="1"/>
  <c r="M5" i="79"/>
  <c r="L10" i="76"/>
  <c r="L15" i="76"/>
  <c r="Q5" i="75"/>
  <c r="P5" i="75"/>
  <c r="AI51" i="87"/>
  <c r="AJ27" i="87"/>
  <c r="AI49" i="87"/>
  <c r="AJ28" i="87"/>
  <c r="AJ30" i="87"/>
  <c r="AJ6" i="87"/>
  <c r="AJ12" i="87"/>
  <c r="AJ31" i="87"/>
  <c r="AJ7" i="87"/>
  <c r="AG52" i="87"/>
  <c r="AJ10" i="87"/>
  <c r="AJ8" i="87"/>
  <c r="AJ26" i="87"/>
  <c r="AJ18" i="87"/>
  <c r="AI50" i="87"/>
  <c r="AE48" i="87"/>
  <c r="AJ42" i="87"/>
  <c r="AJ21" i="87"/>
  <c r="AJ4" i="87"/>
  <c r="AJ25" i="87"/>
  <c r="AJ17" i="87"/>
  <c r="AJ44" i="87"/>
  <c r="AE50" i="87"/>
  <c r="AJ5" i="87"/>
  <c r="AH50" i="87"/>
  <c r="AJ16" i="87"/>
  <c r="AF49" i="87"/>
  <c r="AF50" i="87"/>
  <c r="AJ9" i="87"/>
  <c r="AH49" i="87"/>
  <c r="AG49" i="87"/>
  <c r="AJ39" i="87"/>
  <c r="AJ15" i="87"/>
  <c r="AH52" i="87"/>
  <c r="AG50" i="87"/>
  <c r="AJ24" i="87"/>
  <c r="AJ36" i="87"/>
  <c r="AJ38" i="87"/>
  <c r="AJ14" i="87"/>
  <c r="AJ37" i="87"/>
  <c r="AJ32" i="87"/>
  <c r="AF48" i="87"/>
  <c r="AF52" i="87"/>
  <c r="AJ46" i="87"/>
  <c r="AG48" i="87"/>
  <c r="AE49" i="87"/>
  <c r="AJ43" i="87"/>
  <c r="AJ29" i="87"/>
  <c r="AJ23" i="87"/>
  <c r="AJ35" i="87"/>
  <c r="AJ19" i="87"/>
  <c r="AH48" i="87"/>
  <c r="AI48" i="87"/>
  <c r="AI52" i="87"/>
  <c r="AG51" i="87"/>
  <c r="AJ13" i="87"/>
  <c r="AJ22" i="87"/>
  <c r="AE51" i="87"/>
  <c r="AJ45" i="87"/>
  <c r="AJ34" i="87"/>
  <c r="AJ11" i="87"/>
  <c r="AH51" i="87"/>
  <c r="AJ33" i="87"/>
  <c r="AJ20" i="87"/>
  <c r="AF51" i="87"/>
  <c r="AE52" i="87"/>
  <c r="N17" i="86"/>
  <c r="M17" i="86"/>
  <c r="L17" i="86"/>
  <c r="L15" i="86"/>
  <c r="M15" i="86"/>
  <c r="N15" i="86"/>
  <c r="M14" i="86"/>
  <c r="L14" i="86"/>
  <c r="N14" i="86"/>
  <c r="M16" i="86"/>
  <c r="L16" i="86"/>
  <c r="N16" i="86"/>
  <c r="M15" i="85"/>
  <c r="M16" i="85"/>
  <c r="J5" i="74"/>
  <c r="T25" i="82" a="1"/>
  <c r="T25" i="82" s="1"/>
  <c r="T26" i="82" a="1"/>
  <c r="T26" i="82" s="1"/>
  <c r="T27" i="82" a="1"/>
  <c r="T27" i="82" s="1"/>
  <c r="T24" i="82" a="1"/>
  <c r="T24" i="82" s="1"/>
  <c r="J6" i="74"/>
  <c r="M21" i="74"/>
  <c r="J22" i="74"/>
  <c r="J25" i="74"/>
  <c r="J7" i="74"/>
  <c r="J23" i="74"/>
  <c r="M3" i="74"/>
  <c r="Y5" i="75"/>
  <c r="O5" i="75"/>
  <c r="R5" i="75" s="1"/>
  <c r="T5" i="75" s="1"/>
  <c r="P6" i="75"/>
  <c r="Q7" i="75"/>
  <c r="Q14" i="75"/>
  <c r="Q15" i="75"/>
  <c r="Q16" i="75"/>
  <c r="Q17" i="75"/>
  <c r="Q18" i="75"/>
  <c r="O4" i="75"/>
  <c r="R4" i="75" s="1"/>
  <c r="T4" i="75" s="1"/>
  <c r="Y6" i="75"/>
  <c r="O8" i="75"/>
  <c r="O9" i="75"/>
  <c r="O10" i="75"/>
  <c r="O11" i="75"/>
  <c r="O12" i="75"/>
  <c r="O13" i="75"/>
  <c r="Y7" i="75"/>
  <c r="O7" i="75"/>
  <c r="P8" i="75"/>
  <c r="P9" i="75"/>
  <c r="P10" i="75"/>
  <c r="P11" i="75"/>
  <c r="P12" i="75"/>
  <c r="P13" i="75"/>
  <c r="O14" i="75"/>
  <c r="O15" i="75"/>
  <c r="O16" i="75"/>
  <c r="O17" i="75"/>
  <c r="O18" i="75"/>
  <c r="P7" i="75"/>
  <c r="Q8" i="75"/>
  <c r="Q9" i="75"/>
  <c r="Q10" i="75"/>
  <c r="Q11" i="75"/>
  <c r="Q12" i="75"/>
  <c r="P14" i="75"/>
  <c r="P15" i="75"/>
  <c r="P16" i="75"/>
  <c r="P17" i="75"/>
  <c r="M10" i="76"/>
  <c r="M11" i="76" s="1"/>
  <c r="M12" i="76" s="1"/>
  <c r="M13" i="76" s="1"/>
  <c r="M14" i="76" s="1"/>
  <c r="M15" i="76" s="1"/>
  <c r="M16" i="76" s="1"/>
  <c r="M17" i="76" s="1"/>
  <c r="M18" i="76" s="1"/>
  <c r="J4" i="77"/>
  <c r="L7" i="79"/>
  <c r="L6" i="79"/>
  <c r="L8" i="79"/>
  <c r="M8" i="79"/>
  <c r="M4" i="79"/>
  <c r="K4" i="79" s="1"/>
  <c r="L9" i="79"/>
  <c r="L10" i="79"/>
  <c r="L11" i="79"/>
  <c r="L12" i="79"/>
  <c r="L13" i="79"/>
  <c r="L5" i="79"/>
  <c r="M9" i="79"/>
  <c r="M10" i="79"/>
  <c r="M11" i="79"/>
  <c r="M12" i="79"/>
  <c r="J16" i="85" l="1"/>
  <c r="K16" i="85"/>
  <c r="I16" i="85"/>
  <c r="L15" i="85"/>
  <c r="H21" i="76"/>
  <c r="R13" i="75"/>
  <c r="T13" i="75" s="1"/>
  <c r="R18" i="75"/>
  <c r="T18" i="75" s="1"/>
  <c r="R9" i="75"/>
  <c r="T9" i="75" s="1"/>
  <c r="R15" i="75"/>
  <c r="T15" i="75" s="1"/>
  <c r="R6" i="75"/>
  <c r="T6" i="75" s="1"/>
  <c r="V9" i="86"/>
  <c r="W15" i="86"/>
  <c r="X34" i="86"/>
  <c r="Y8" i="86"/>
  <c r="W18" i="86"/>
  <c r="W21" i="86"/>
  <c r="V34" i="86"/>
  <c r="Y19" i="86"/>
  <c r="W11" i="86"/>
  <c r="V20" i="86"/>
  <c r="W19" i="86"/>
  <c r="Y11" i="86"/>
  <c r="V27" i="86"/>
  <c r="W35" i="86"/>
  <c r="Y23" i="86"/>
  <c r="Y21" i="86"/>
  <c r="V13" i="86"/>
  <c r="W20" i="86"/>
  <c r="W4" i="86"/>
  <c r="W22" i="86"/>
  <c r="AJ52" i="87"/>
  <c r="AJ51" i="87"/>
  <c r="AQ8" i="87"/>
  <c r="Y7" i="86"/>
  <c r="V12" i="86"/>
  <c r="V10" i="86"/>
  <c r="V38" i="86"/>
  <c r="W32" i="86"/>
  <c r="W7" i="86"/>
  <c r="W34" i="86"/>
  <c r="W31" i="86"/>
  <c r="V32" i="86"/>
  <c r="Y33" i="86"/>
  <c r="AN8" i="87"/>
  <c r="X13" i="86"/>
  <c r="Y26" i="86"/>
  <c r="Y32" i="86"/>
  <c r="V33" i="86"/>
  <c r="W5" i="86"/>
  <c r="W9" i="86"/>
  <c r="W13" i="86"/>
  <c r="W33" i="86"/>
  <c r="W27" i="86"/>
  <c r="AO5" i="87"/>
  <c r="AP5" i="87"/>
  <c r="AN5" i="87"/>
  <c r="AQ5" i="87"/>
  <c r="AM5" i="87"/>
  <c r="AJ49" i="87"/>
  <c r="AM7" i="87"/>
  <c r="AP7" i="87"/>
  <c r="AO7" i="87"/>
  <c r="AN7" i="87"/>
  <c r="AQ7" i="87"/>
  <c r="AO8" i="87"/>
  <c r="AJ48" i="87"/>
  <c r="AP8" i="87"/>
  <c r="AM6" i="87"/>
  <c r="AN6" i="87"/>
  <c r="AO6" i="87"/>
  <c r="AP6" i="87"/>
  <c r="AQ6" i="87"/>
  <c r="AM8" i="87"/>
  <c r="AJ50" i="87"/>
  <c r="AQ4" i="87"/>
  <c r="AN4" i="87"/>
  <c r="AP4" i="87"/>
  <c r="AO4" i="87"/>
  <c r="AM4" i="87"/>
  <c r="X35" i="86"/>
  <c r="X4" i="86"/>
  <c r="X21" i="86"/>
  <c r="X22" i="86"/>
  <c r="Y30" i="86"/>
  <c r="Y34" i="86"/>
  <c r="Y38" i="86"/>
  <c r="Y25" i="86"/>
  <c r="V8" i="86"/>
  <c r="V22" i="86"/>
  <c r="V31" i="86"/>
  <c r="V24" i="86"/>
  <c r="X15" i="86"/>
  <c r="X11" i="86"/>
  <c r="X25" i="86"/>
  <c r="X26" i="86"/>
  <c r="Y16" i="86"/>
  <c r="Y13" i="86"/>
  <c r="Y6" i="86"/>
  <c r="Y4" i="86"/>
  <c r="Y24" i="86"/>
  <c r="Y31" i="86"/>
  <c r="Y12" i="86"/>
  <c r="Y29" i="86"/>
  <c r="V14" i="86"/>
  <c r="V25" i="86"/>
  <c r="V18" i="86"/>
  <c r="V29" i="86"/>
  <c r="V19" i="86"/>
  <c r="V35" i="86"/>
  <c r="V5" i="86"/>
  <c r="V28" i="86"/>
  <c r="W24" i="86"/>
  <c r="W28" i="86"/>
  <c r="W12" i="86"/>
  <c r="W8" i="86"/>
  <c r="W14" i="86"/>
  <c r="W26" i="86"/>
  <c r="W6" i="86"/>
  <c r="W23" i="86"/>
  <c r="X23" i="86"/>
  <c r="X24" i="86"/>
  <c r="X20" i="86"/>
  <c r="X12" i="86"/>
  <c r="X29" i="86"/>
  <c r="X38" i="86"/>
  <c r="X16" i="86"/>
  <c r="X30" i="86"/>
  <c r="X19" i="86"/>
  <c r="X8" i="86"/>
  <c r="X28" i="86"/>
  <c r="Y14" i="86"/>
  <c r="Y27" i="86"/>
  <c r="Y20" i="86"/>
  <c r="Y9" i="86"/>
  <c r="V21" i="86"/>
  <c r="V17" i="86"/>
  <c r="V15" i="86"/>
  <c r="V4" i="86"/>
  <c r="X5" i="86"/>
  <c r="X9" i="86"/>
  <c r="X32" i="86"/>
  <c r="X14" i="86"/>
  <c r="Y22" i="86"/>
  <c r="Y18" i="86"/>
  <c r="Y10" i="86"/>
  <c r="Y15" i="86"/>
  <c r="Y5" i="86"/>
  <c r="Y28" i="86"/>
  <c r="Y35" i="86"/>
  <c r="Y17" i="86"/>
  <c r="V16" i="86"/>
  <c r="V7" i="86"/>
  <c r="V26" i="86"/>
  <c r="V6" i="86"/>
  <c r="V23" i="86"/>
  <c r="V30" i="86"/>
  <c r="V11" i="86"/>
  <c r="W29" i="86"/>
  <c r="W38" i="86"/>
  <c r="W17" i="86"/>
  <c r="W25" i="86"/>
  <c r="W16" i="86"/>
  <c r="W30" i="86"/>
  <c r="W10" i="86"/>
  <c r="X27" i="86"/>
  <c r="X10" i="86"/>
  <c r="X6" i="86"/>
  <c r="X31" i="86"/>
  <c r="X17" i="86"/>
  <c r="X33" i="86"/>
  <c r="X7" i="86"/>
  <c r="X18" i="86"/>
  <c r="M21" i="76"/>
  <c r="T28" i="82"/>
  <c r="L5" i="77"/>
  <c r="L4" i="77"/>
  <c r="L24" i="74"/>
  <c r="L5" i="74"/>
  <c r="L7" i="74"/>
  <c r="L25" i="74"/>
  <c r="L6" i="74"/>
  <c r="M25" i="74"/>
  <c r="M24" i="74"/>
  <c r="M23" i="74"/>
  <c r="M22" i="74"/>
  <c r="K25" i="74"/>
  <c r="K24" i="74"/>
  <c r="K23" i="74"/>
  <c r="K22" i="74"/>
  <c r="L23" i="74"/>
  <c r="M6" i="74"/>
  <c r="M5" i="74"/>
  <c r="M7" i="74"/>
  <c r="M4" i="74"/>
  <c r="K4" i="74"/>
  <c r="L4" i="74"/>
  <c r="K7" i="74"/>
  <c r="K5" i="74"/>
  <c r="K6" i="74"/>
  <c r="L22" i="74"/>
  <c r="R14" i="75"/>
  <c r="T14" i="75" s="1"/>
  <c r="R7" i="75"/>
  <c r="T7" i="75" s="1"/>
  <c r="R12" i="75"/>
  <c r="T12" i="75" s="1"/>
  <c r="R8" i="75"/>
  <c r="T8" i="75" s="1"/>
  <c r="R17" i="75"/>
  <c r="T17" i="75" s="1"/>
  <c r="R11" i="75"/>
  <c r="T11" i="75" s="1"/>
  <c r="R16" i="75"/>
  <c r="T16" i="75" s="1"/>
  <c r="R10" i="75"/>
  <c r="T10" i="75" s="1"/>
  <c r="K5" i="77"/>
  <c r="K4" i="77"/>
  <c r="K10" i="79"/>
  <c r="O10" i="79"/>
  <c r="E22" i="79" s="1"/>
  <c r="K8" i="79"/>
  <c r="O8" i="79"/>
  <c r="E20" i="79" s="1"/>
  <c r="K13" i="79"/>
  <c r="O13" i="79"/>
  <c r="E25" i="79" s="1"/>
  <c r="K9" i="79"/>
  <c r="O9" i="79"/>
  <c r="E21" i="79" s="1"/>
  <c r="O6" i="79"/>
  <c r="E18" i="79" s="1"/>
  <c r="K6" i="79"/>
  <c r="O5" i="79"/>
  <c r="E17" i="79" s="1"/>
  <c r="K5" i="79"/>
  <c r="K12" i="79"/>
  <c r="O12" i="79"/>
  <c r="E24" i="79" s="1"/>
  <c r="K7" i="79"/>
  <c r="O7" i="79"/>
  <c r="E19" i="79" s="1"/>
  <c r="K11" i="79"/>
  <c r="O11" i="79"/>
  <c r="E23" i="79" s="1"/>
  <c r="O4" i="79"/>
  <c r="Z34" i="86" l="1"/>
  <c r="Z13" i="86"/>
  <c r="H7" i="79"/>
  <c r="AP9" i="87"/>
  <c r="Z9" i="86"/>
  <c r="Z32" i="86"/>
  <c r="Z27" i="86"/>
  <c r="Z11" i="86"/>
  <c r="Z33" i="86"/>
  <c r="Z28" i="86"/>
  <c r="Z29" i="86"/>
  <c r="Z15" i="86"/>
  <c r="Z20" i="86"/>
  <c r="Z12" i="86"/>
  <c r="Z5" i="86"/>
  <c r="Y39" i="86"/>
  <c r="Z10" i="86"/>
  <c r="Z7" i="86"/>
  <c r="AR8" i="87"/>
  <c r="AN18" i="87" s="1"/>
  <c r="AR7" i="87"/>
  <c r="AN17" i="87" s="1"/>
  <c r="AN9" i="87"/>
  <c r="AR6" i="87"/>
  <c r="AN16" i="87" s="1"/>
  <c r="AM9" i="87"/>
  <c r="AR4" i="87"/>
  <c r="AQ9" i="87"/>
  <c r="AO9" i="87"/>
  <c r="AR5" i="87"/>
  <c r="AN15" i="87" s="1"/>
  <c r="Z17" i="86"/>
  <c r="Z18" i="86"/>
  <c r="Z23" i="86"/>
  <c r="Z21" i="86"/>
  <c r="X39" i="86"/>
  <c r="Z25" i="86"/>
  <c r="Z22" i="86"/>
  <c r="Z26" i="86"/>
  <c r="Z30" i="86"/>
  <c r="Z31" i="86"/>
  <c r="W39" i="86"/>
  <c r="Z16" i="86"/>
  <c r="V39" i="86"/>
  <c r="Z35" i="86"/>
  <c r="Z6" i="86"/>
  <c r="Z4" i="86"/>
  <c r="Z38" i="86"/>
  <c r="Z19" i="86"/>
  <c r="Z14" i="86"/>
  <c r="Z8" i="86"/>
  <c r="Z24" i="86"/>
  <c r="O4" i="77"/>
  <c r="O12" i="77"/>
  <c r="O6" i="77"/>
  <c r="O10" i="77"/>
  <c r="O9" i="77"/>
  <c r="O5" i="77"/>
  <c r="O13" i="77"/>
  <c r="O7" i="77"/>
  <c r="O11" i="77"/>
  <c r="O8" i="77"/>
  <c r="P34" i="74"/>
  <c r="P27" i="74"/>
  <c r="P33" i="74"/>
  <c r="P30" i="74"/>
  <c r="P26" i="74"/>
  <c r="P36" i="74"/>
  <c r="P32" i="74"/>
  <c r="P29" i="74"/>
  <c r="P25" i="74"/>
  <c r="P24" i="74"/>
  <c r="P23" i="74"/>
  <c r="P22" i="74"/>
  <c r="P35" i="74"/>
  <c r="P31" i="74"/>
  <c r="P28" i="74"/>
  <c r="O12" i="74"/>
  <c r="O10" i="74"/>
  <c r="O8" i="74"/>
  <c r="O5" i="74"/>
  <c r="O17" i="74"/>
  <c r="O15" i="74"/>
  <c r="O13" i="74"/>
  <c r="O4" i="74"/>
  <c r="O18" i="74"/>
  <c r="O16" i="74"/>
  <c r="O14" i="74"/>
  <c r="O11" i="74"/>
  <c r="O9" i="74"/>
  <c r="O7" i="74"/>
  <c r="O6" i="74"/>
  <c r="Q11" i="74"/>
  <c r="Q9" i="74"/>
  <c r="Q7" i="74"/>
  <c r="Q17" i="74"/>
  <c r="Q15" i="74"/>
  <c r="Q13" i="74"/>
  <c r="Q18" i="74"/>
  <c r="Q16" i="74"/>
  <c r="Q14" i="74"/>
  <c r="Q6" i="74"/>
  <c r="Q12" i="74"/>
  <c r="Q10" i="74"/>
  <c r="Q8" i="74"/>
  <c r="Q5" i="74"/>
  <c r="Q4" i="74"/>
  <c r="P17" i="74"/>
  <c r="P15" i="74"/>
  <c r="P13" i="74"/>
  <c r="P4" i="74"/>
  <c r="P12" i="74"/>
  <c r="P8" i="74"/>
  <c r="P5" i="74"/>
  <c r="P11" i="74"/>
  <c r="P9" i="74"/>
  <c r="P7" i="74"/>
  <c r="P10" i="74"/>
  <c r="P18" i="74"/>
  <c r="P16" i="74"/>
  <c r="P14" i="74"/>
  <c r="P6" i="74"/>
  <c r="O35" i="74"/>
  <c r="O31" i="74"/>
  <c r="O28" i="74"/>
  <c r="O22" i="74"/>
  <c r="O34" i="74"/>
  <c r="O27" i="74"/>
  <c r="O25" i="74"/>
  <c r="O33" i="74"/>
  <c r="O30" i="74"/>
  <c r="O26" i="74"/>
  <c r="O36" i="74"/>
  <c r="O32" i="74"/>
  <c r="O29" i="74"/>
  <c r="O24" i="74"/>
  <c r="O23" i="74"/>
  <c r="Q33" i="74"/>
  <c r="Q30" i="74"/>
  <c r="Q26" i="74"/>
  <c r="Q27" i="74"/>
  <c r="Q36" i="74"/>
  <c r="Q32" i="74"/>
  <c r="Q29" i="74"/>
  <c r="Q25" i="74"/>
  <c r="Q24" i="74"/>
  <c r="Q23" i="74"/>
  <c r="Q22" i="74"/>
  <c r="Q35" i="74"/>
  <c r="Q31" i="74"/>
  <c r="Q28" i="74"/>
  <c r="Q34" i="74"/>
  <c r="N4" i="77"/>
  <c r="N13" i="77"/>
  <c r="N12" i="77"/>
  <c r="N11" i="77"/>
  <c r="N10" i="77"/>
  <c r="N9" i="77"/>
  <c r="N8" i="77"/>
  <c r="N7" i="77"/>
  <c r="N6" i="77"/>
  <c r="N5" i="77"/>
  <c r="H9" i="79" a="1"/>
  <c r="H9" i="79" s="1"/>
  <c r="E16" i="79"/>
  <c r="F7" i="69"/>
  <c r="F8" i="69"/>
  <c r="F9" i="69"/>
  <c r="F10" i="69"/>
  <c r="F11" i="69"/>
  <c r="F12" i="69"/>
  <c r="F13" i="69"/>
  <c r="F14" i="69"/>
  <c r="F15" i="69"/>
  <c r="F16" i="69"/>
  <c r="F17" i="69"/>
  <c r="F18" i="69"/>
  <c r="F19" i="69"/>
  <c r="F20" i="69"/>
  <c r="F21" i="69"/>
  <c r="F22" i="69"/>
  <c r="F23" i="69"/>
  <c r="F24" i="69"/>
  <c r="F25" i="69"/>
  <c r="F26" i="69"/>
  <c r="F6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5" i="69"/>
  <c r="BB5" i="68" a="1"/>
  <c r="BB5" i="68" s="1"/>
  <c r="AI47" i="68"/>
  <c r="AI33" i="68"/>
  <c r="AI19" i="68"/>
  <c r="AI5" i="68"/>
  <c r="I7" i="68"/>
  <c r="J7" i="68"/>
  <c r="K7" i="68"/>
  <c r="L7" i="68"/>
  <c r="I8" i="68"/>
  <c r="AG17" i="68" s="1"/>
  <c r="J8" i="68"/>
  <c r="K8" i="68"/>
  <c r="L8" i="68"/>
  <c r="I9" i="68"/>
  <c r="J9" i="68"/>
  <c r="K9" i="68"/>
  <c r="L9" i="68"/>
  <c r="I10" i="68"/>
  <c r="J10" i="68"/>
  <c r="K10" i="68"/>
  <c r="L10" i="68"/>
  <c r="I11" i="68"/>
  <c r="J11" i="68"/>
  <c r="K11" i="68"/>
  <c r="L11" i="68"/>
  <c r="I12" i="68"/>
  <c r="J12" i="68"/>
  <c r="K12" i="68"/>
  <c r="L12" i="68"/>
  <c r="I13" i="68"/>
  <c r="J13" i="68"/>
  <c r="K13" i="68"/>
  <c r="L13" i="68"/>
  <c r="I14" i="68"/>
  <c r="J14" i="68"/>
  <c r="K14" i="68"/>
  <c r="L14" i="68"/>
  <c r="I15" i="68"/>
  <c r="J15" i="68"/>
  <c r="K15" i="68"/>
  <c r="L15" i="68"/>
  <c r="I16" i="68"/>
  <c r="J16" i="68"/>
  <c r="K16" i="68"/>
  <c r="L16" i="68"/>
  <c r="I17" i="68"/>
  <c r="J17" i="68"/>
  <c r="K17" i="68"/>
  <c r="L17" i="68"/>
  <c r="I18" i="68"/>
  <c r="J18" i="68"/>
  <c r="K18" i="68"/>
  <c r="L18" i="68"/>
  <c r="I19" i="68"/>
  <c r="J19" i="68"/>
  <c r="K19" i="68"/>
  <c r="L19" i="68"/>
  <c r="I20" i="68"/>
  <c r="J20" i="68"/>
  <c r="K20" i="68"/>
  <c r="L20" i="68"/>
  <c r="I21" i="68"/>
  <c r="J21" i="68"/>
  <c r="K21" i="68"/>
  <c r="L21" i="68"/>
  <c r="I22" i="68"/>
  <c r="J22" i="68"/>
  <c r="K22" i="68"/>
  <c r="L22" i="68"/>
  <c r="I23" i="68"/>
  <c r="J23" i="68"/>
  <c r="K23" i="68"/>
  <c r="L23" i="68"/>
  <c r="I24" i="68"/>
  <c r="J24" i="68"/>
  <c r="K24" i="68"/>
  <c r="L24" i="68"/>
  <c r="I25" i="68"/>
  <c r="J25" i="68"/>
  <c r="K25" i="68"/>
  <c r="L25" i="68"/>
  <c r="I26" i="68"/>
  <c r="J26" i="68"/>
  <c r="K26" i="68"/>
  <c r="L26" i="68"/>
  <c r="J6" i="68"/>
  <c r="K6" i="68"/>
  <c r="L6" i="68"/>
  <c r="I6" i="68"/>
  <c r="H6" i="68"/>
  <c r="H7" i="68"/>
  <c r="H8" i="68"/>
  <c r="H9" i="68"/>
  <c r="H10" i="68"/>
  <c r="H11" i="68"/>
  <c r="H12" i="68"/>
  <c r="H13" i="68"/>
  <c r="H14" i="68"/>
  <c r="H15" i="68"/>
  <c r="H16" i="68"/>
  <c r="H17" i="68"/>
  <c r="H18" i="68"/>
  <c r="H19" i="68"/>
  <c r="H20" i="68"/>
  <c r="H21" i="68"/>
  <c r="H22" i="68"/>
  <c r="H23" i="68"/>
  <c r="H24" i="68"/>
  <c r="H25" i="68"/>
  <c r="H26" i="68"/>
  <c r="H5" i="68"/>
  <c r="P7" i="77" l="1"/>
  <c r="BP6" i="68"/>
  <c r="AS18" i="68"/>
  <c r="BE9" i="68"/>
  <c r="AG59" i="68"/>
  <c r="AI59" i="68" s="1"/>
  <c r="BF7" i="68"/>
  <c r="BD9" i="68"/>
  <c r="BC9" i="68"/>
  <c r="AH59" i="68"/>
  <c r="AT18" i="68"/>
  <c r="BB9" i="68"/>
  <c r="AV18" i="68"/>
  <c r="BB8" i="68"/>
  <c r="P5" i="77"/>
  <c r="P4" i="77"/>
  <c r="P12" i="77"/>
  <c r="AC7" i="86"/>
  <c r="AD7" i="86"/>
  <c r="AF5" i="86"/>
  <c r="AC6" i="86"/>
  <c r="AF7" i="86"/>
  <c r="AD5" i="86"/>
  <c r="AO16" i="87"/>
  <c r="AP16" i="87" s="1"/>
  <c r="AM19" i="87"/>
  <c r="AN14" i="87"/>
  <c r="AN19" i="87" s="1"/>
  <c r="AR9" i="87"/>
  <c r="AO17" i="87"/>
  <c r="AP17" i="87" s="1"/>
  <c r="AO18" i="87"/>
  <c r="AP18" i="87" s="1"/>
  <c r="AO15" i="87"/>
  <c r="AP15" i="87" s="1"/>
  <c r="AE4" i="86"/>
  <c r="AC4" i="86"/>
  <c r="AD4" i="86"/>
  <c r="AF4" i="86"/>
  <c r="AD6" i="86"/>
  <c r="AE7" i="86"/>
  <c r="AC5" i="86"/>
  <c r="AE6" i="86"/>
  <c r="AF6" i="86"/>
  <c r="AE5" i="86"/>
  <c r="P6" i="77"/>
  <c r="P10" i="77"/>
  <c r="P9" i="77"/>
  <c r="P11" i="77"/>
  <c r="P8" i="77"/>
  <c r="P13" i="77"/>
  <c r="R32" i="74"/>
  <c r="R22" i="74"/>
  <c r="R18" i="74"/>
  <c r="R17" i="74"/>
  <c r="R12" i="74"/>
  <c r="R23" i="74"/>
  <c r="R28" i="74"/>
  <c r="R4" i="74"/>
  <c r="R9" i="74"/>
  <c r="R36" i="74"/>
  <c r="R11" i="74"/>
  <c r="R5" i="74"/>
  <c r="R24" i="74"/>
  <c r="R26" i="74"/>
  <c r="R27" i="74"/>
  <c r="R31" i="74"/>
  <c r="R6" i="74"/>
  <c r="R14" i="74"/>
  <c r="R13" i="74"/>
  <c r="R8" i="74"/>
  <c r="R33" i="74"/>
  <c r="R25" i="74"/>
  <c r="R29" i="74"/>
  <c r="R30" i="74"/>
  <c r="R34" i="74"/>
  <c r="R35" i="74"/>
  <c r="R7" i="74"/>
  <c r="R16" i="74"/>
  <c r="R15" i="74"/>
  <c r="R10" i="74"/>
  <c r="Z4" i="75"/>
  <c r="Z5" i="75"/>
  <c r="Z6" i="75"/>
  <c r="Z7" i="75"/>
  <c r="AB6" i="75"/>
  <c r="AA4" i="75"/>
  <c r="AB4" i="75"/>
  <c r="AB7" i="75"/>
  <c r="AA7" i="75"/>
  <c r="AA6" i="75"/>
  <c r="AA5" i="75"/>
  <c r="AB5" i="75"/>
  <c r="I16" i="79"/>
  <c r="I17" i="79"/>
  <c r="H16" i="79"/>
  <c r="H17" i="79"/>
  <c r="BC6" i="68"/>
  <c r="BB7" i="68"/>
  <c r="AH17" i="68"/>
  <c r="AI17" i="68" s="1"/>
  <c r="AH31" i="68"/>
  <c r="AH45" i="68"/>
  <c r="BE8" i="68"/>
  <c r="BP7" i="68"/>
  <c r="BE6" i="68"/>
  <c r="BD8" i="68"/>
  <c r="BD7" i="68"/>
  <c r="BF8" i="68"/>
  <c r="AG31" i="68"/>
  <c r="AI31" i="68" s="1"/>
  <c r="AG45" i="68"/>
  <c r="AI45" i="68" s="1"/>
  <c r="AU18" i="68"/>
  <c r="BB6" i="68"/>
  <c r="BE7" i="68"/>
  <c r="BF6" i="68"/>
  <c r="BE5" i="68"/>
  <c r="BD6" i="68"/>
  <c r="BC8" i="68"/>
  <c r="BC7" i="68"/>
  <c r="BD5" i="68"/>
  <c r="BC5" i="68"/>
  <c r="X6" i="64"/>
  <c r="Y6" i="64"/>
  <c r="Z6" i="64"/>
  <c r="AA6" i="64"/>
  <c r="AB6" i="64"/>
  <c r="Y7" i="64"/>
  <c r="Z7" i="64"/>
  <c r="AA7" i="64"/>
  <c r="AB7" i="64"/>
  <c r="Y8" i="64"/>
  <c r="Z8" i="64"/>
  <c r="AA8" i="64"/>
  <c r="AB8" i="64"/>
  <c r="Y9" i="64"/>
  <c r="Z9" i="64"/>
  <c r="AA9" i="64"/>
  <c r="AB9" i="64"/>
  <c r="Y10" i="64"/>
  <c r="Z10" i="64"/>
  <c r="AA10" i="64"/>
  <c r="AB10" i="64"/>
  <c r="Y11" i="64"/>
  <c r="Z11" i="64"/>
  <c r="AA11" i="64"/>
  <c r="AB11" i="64"/>
  <c r="Y12" i="64"/>
  <c r="Z12" i="64"/>
  <c r="AA12" i="64"/>
  <c r="AC12" i="64" s="1"/>
  <c r="AB12" i="64"/>
  <c r="Y13" i="64"/>
  <c r="Z13" i="64"/>
  <c r="AA13" i="64"/>
  <c r="AB13" i="64"/>
  <c r="Y14" i="64"/>
  <c r="Z14" i="64"/>
  <c r="AA14" i="64"/>
  <c r="AB14" i="64"/>
  <c r="Y15" i="64"/>
  <c r="Z15" i="64"/>
  <c r="AA15" i="64"/>
  <c r="AB15" i="64"/>
  <c r="Y16" i="64"/>
  <c r="Z16" i="64"/>
  <c r="AA16" i="64"/>
  <c r="AB16" i="64"/>
  <c r="Y17" i="64"/>
  <c r="Z17" i="64"/>
  <c r="AA17" i="64"/>
  <c r="AB17" i="64"/>
  <c r="Y18" i="64"/>
  <c r="Z18" i="64"/>
  <c r="AA18" i="64"/>
  <c r="AB18" i="64"/>
  <c r="Y19" i="64"/>
  <c r="Z19" i="64"/>
  <c r="AA19" i="64"/>
  <c r="AB19" i="64"/>
  <c r="Y20" i="64"/>
  <c r="Z20" i="64"/>
  <c r="AA20" i="64"/>
  <c r="AB20" i="64"/>
  <c r="Y5" i="64"/>
  <c r="Z5" i="64"/>
  <c r="AA5" i="64"/>
  <c r="AB5" i="64"/>
  <c r="X5" i="64"/>
  <c r="G3" i="64"/>
  <c r="G4" i="64"/>
  <c r="AC18" i="64" l="1"/>
  <c r="AC8" i="64"/>
  <c r="AG6" i="64"/>
  <c r="AC19" i="64"/>
  <c r="AC17" i="64"/>
  <c r="AC13" i="64"/>
  <c r="AC11" i="64"/>
  <c r="AC7" i="64"/>
  <c r="AC15" i="64"/>
  <c r="AC20" i="64"/>
  <c r="AC16" i="64"/>
  <c r="AD8" i="86"/>
  <c r="AG7" i="86"/>
  <c r="AD16" i="86" s="1"/>
  <c r="AG6" i="86"/>
  <c r="AD15" i="86" s="1"/>
  <c r="AO14" i="87"/>
  <c r="AP14" i="87" s="1"/>
  <c r="AO19" i="87"/>
  <c r="AP19" i="87" s="1"/>
  <c r="AE8" i="86"/>
  <c r="AG5" i="86"/>
  <c r="AD14" i="86" s="1"/>
  <c r="AG4" i="86"/>
  <c r="AC8" i="86"/>
  <c r="AF8" i="86"/>
  <c r="K11" i="77"/>
  <c r="K13" i="74"/>
  <c r="K31" i="74"/>
  <c r="AF5" i="75"/>
  <c r="AF18" i="75"/>
  <c r="AF17" i="75"/>
  <c r="AF16" i="75"/>
  <c r="AF15" i="75"/>
  <c r="AF14" i="75"/>
  <c r="AF13" i="75"/>
  <c r="AF6" i="75"/>
  <c r="AF12" i="75"/>
  <c r="AF11" i="75"/>
  <c r="AF10" i="75"/>
  <c r="AF9" i="75"/>
  <c r="AF8" i="75"/>
  <c r="AF7" i="75"/>
  <c r="AF4" i="75"/>
  <c r="AE4" i="75"/>
  <c r="AE5" i="75"/>
  <c r="AE18" i="75"/>
  <c r="AE17" i="75"/>
  <c r="AE16" i="75"/>
  <c r="AE15" i="75"/>
  <c r="AE14" i="75"/>
  <c r="AE13" i="75"/>
  <c r="AE6" i="75"/>
  <c r="AE12" i="75"/>
  <c r="AE11" i="75"/>
  <c r="AE10" i="75"/>
  <c r="AE9" i="75"/>
  <c r="AE8" i="75"/>
  <c r="AE7" i="75"/>
  <c r="AD12" i="75"/>
  <c r="AD11" i="75"/>
  <c r="AD10" i="75"/>
  <c r="AD9" i="75"/>
  <c r="AD8" i="75"/>
  <c r="AD7" i="75"/>
  <c r="AD4" i="75"/>
  <c r="AD5" i="75"/>
  <c r="AD18" i="75"/>
  <c r="AD17" i="75"/>
  <c r="AD16" i="75"/>
  <c r="AD15" i="75"/>
  <c r="AD14" i="75"/>
  <c r="AD13" i="75"/>
  <c r="AD6" i="75"/>
  <c r="L25" i="79"/>
  <c r="L21" i="79"/>
  <c r="L19" i="79"/>
  <c r="L18" i="79"/>
  <c r="L16" i="79"/>
  <c r="L24" i="79"/>
  <c r="L23" i="79"/>
  <c r="L20" i="79"/>
  <c r="L17" i="79"/>
  <c r="L22" i="79"/>
  <c r="M24" i="79"/>
  <c r="M17" i="79"/>
  <c r="M25" i="79"/>
  <c r="M23" i="79"/>
  <c r="M18" i="79"/>
  <c r="M16" i="79"/>
  <c r="M22" i="79"/>
  <c r="M20" i="79"/>
  <c r="M19" i="79"/>
  <c r="M21" i="79"/>
  <c r="AA21" i="64"/>
  <c r="AC14" i="64"/>
  <c r="AA22" i="64"/>
  <c r="AB21" i="64"/>
  <c r="AC10" i="64"/>
  <c r="AC9" i="64"/>
  <c r="Z22" i="64"/>
  <c r="Z21" i="64"/>
  <c r="AB22" i="64"/>
  <c r="AG5" i="64"/>
  <c r="BF11" i="68"/>
  <c r="BF9" i="68"/>
  <c r="BC12" i="68"/>
  <c r="Y21" i="64"/>
  <c r="AF8" i="64"/>
  <c r="BD12" i="68"/>
  <c r="BP8" i="68"/>
  <c r="BH22" i="68" s="1"/>
  <c r="BB12" i="68"/>
  <c r="BH21" i="68"/>
  <c r="BP9" i="68"/>
  <c r="BE12" i="68"/>
  <c r="AC6" i="64"/>
  <c r="Y22" i="64"/>
  <c r="C25" i="66"/>
  <c r="B25" i="66"/>
  <c r="A25" i="66"/>
  <c r="A24" i="66"/>
  <c r="G23" i="66"/>
  <c r="F23" i="66"/>
  <c r="E23" i="66"/>
  <c r="C23" i="66"/>
  <c r="A23" i="66"/>
  <c r="G22" i="66"/>
  <c r="F22" i="66"/>
  <c r="E22" i="66"/>
  <c r="C22" i="66"/>
  <c r="B22" i="66"/>
  <c r="A22" i="66"/>
  <c r="G21" i="66"/>
  <c r="F21" i="66"/>
  <c r="E21" i="66"/>
  <c r="B21" i="66"/>
  <c r="A21" i="66"/>
  <c r="G20" i="66"/>
  <c r="F20" i="66"/>
  <c r="E20" i="66"/>
  <c r="C20" i="66"/>
  <c r="B20" i="66"/>
  <c r="A20" i="66"/>
  <c r="G19" i="66"/>
  <c r="F19" i="66"/>
  <c r="E19" i="66"/>
  <c r="C19" i="66"/>
  <c r="A19" i="66"/>
  <c r="G18" i="66"/>
  <c r="F18" i="66"/>
  <c r="E18" i="66"/>
  <c r="C18" i="66"/>
  <c r="A18" i="66"/>
  <c r="G17" i="66"/>
  <c r="F17" i="66"/>
  <c r="E17" i="66"/>
  <c r="C17" i="66"/>
  <c r="B17" i="66"/>
  <c r="A17" i="66"/>
  <c r="G16" i="66"/>
  <c r="F16" i="66"/>
  <c r="E16" i="66"/>
  <c r="B16" i="66"/>
  <c r="A16" i="66"/>
  <c r="G15" i="66"/>
  <c r="F15" i="66"/>
  <c r="E15" i="66"/>
  <c r="C15" i="66"/>
  <c r="A15" i="66"/>
  <c r="G14" i="66"/>
  <c r="F14" i="66"/>
  <c r="E14" i="66"/>
  <c r="B14" i="66"/>
  <c r="A14" i="66"/>
  <c r="G13" i="66"/>
  <c r="F13" i="66"/>
  <c r="E13" i="66"/>
  <c r="C13" i="66"/>
  <c r="A13" i="66"/>
  <c r="G12" i="66"/>
  <c r="F12" i="66"/>
  <c r="E12" i="66"/>
  <c r="C12" i="66"/>
  <c r="B12" i="66"/>
  <c r="A12" i="66"/>
  <c r="G11" i="66"/>
  <c r="F11" i="66"/>
  <c r="E11" i="66"/>
  <c r="C11" i="66"/>
  <c r="A11" i="66"/>
  <c r="G10" i="66"/>
  <c r="F10" i="66"/>
  <c r="E10" i="66"/>
  <c r="C10" i="66"/>
  <c r="B10" i="66"/>
  <c r="A10" i="66"/>
  <c r="G9" i="66"/>
  <c r="F9" i="66"/>
  <c r="E9" i="66"/>
  <c r="B9" i="66"/>
  <c r="A9" i="66"/>
  <c r="G8" i="66"/>
  <c r="F8" i="66"/>
  <c r="E8" i="66"/>
  <c r="C8" i="66"/>
  <c r="A8" i="66"/>
  <c r="G7" i="66"/>
  <c r="F7" i="66"/>
  <c r="E7" i="66"/>
  <c r="A7" i="66"/>
  <c r="G6" i="66"/>
  <c r="F6" i="66"/>
  <c r="E6" i="66"/>
  <c r="C6" i="66"/>
  <c r="B6" i="66"/>
  <c r="A6" i="66"/>
  <c r="BJ12" i="68" l="1" a="1"/>
  <c r="V12" i="68" a="1"/>
  <c r="AE14" i="86"/>
  <c r="AF14" i="86" s="1"/>
  <c r="AE16" i="86"/>
  <c r="AF16" i="86" s="1"/>
  <c r="AE15" i="86"/>
  <c r="AF15" i="86" s="1"/>
  <c r="BJ6" i="68" a="1"/>
  <c r="BK6" i="68" s="1"/>
  <c r="BM9" i="68"/>
  <c r="BL7" i="68"/>
  <c r="AC17" i="86"/>
  <c r="AG8" i="86"/>
  <c r="AD13" i="86"/>
  <c r="AD17" i="86" s="1"/>
  <c r="AG15" i="75"/>
  <c r="AG5" i="75"/>
  <c r="AG10" i="75"/>
  <c r="AG13" i="75"/>
  <c r="AG17" i="75"/>
  <c r="AG7" i="75"/>
  <c r="AG11" i="75"/>
  <c r="AG14" i="75"/>
  <c r="AG18" i="75"/>
  <c r="AG8" i="75"/>
  <c r="AG12" i="75"/>
  <c r="AG9" i="75"/>
  <c r="AG6" i="75"/>
  <c r="AG16" i="75"/>
  <c r="AG4" i="75"/>
  <c r="O18" i="79"/>
  <c r="E30" i="79" s="1"/>
  <c r="K18" i="79"/>
  <c r="O23" i="79"/>
  <c r="E35" i="79" s="1"/>
  <c r="K23" i="79"/>
  <c r="O19" i="79"/>
  <c r="E31" i="79" s="1"/>
  <c r="K19" i="79"/>
  <c r="K22" i="79"/>
  <c r="O22" i="79"/>
  <c r="E34" i="79" s="1"/>
  <c r="K24" i="79"/>
  <c r="O24" i="79"/>
  <c r="E36" i="79" s="1"/>
  <c r="O21" i="79"/>
  <c r="E33" i="79" s="1"/>
  <c r="K21" i="79"/>
  <c r="K20" i="79"/>
  <c r="O20" i="79"/>
  <c r="E32" i="79" s="1"/>
  <c r="K17" i="79"/>
  <c r="O17" i="79"/>
  <c r="E29" i="79" s="1"/>
  <c r="O16" i="79"/>
  <c r="K16" i="79"/>
  <c r="O25" i="79"/>
  <c r="E37" i="79" s="1"/>
  <c r="K25" i="79"/>
  <c r="C28" i="66"/>
  <c r="AC21" i="64"/>
  <c r="AC22" i="64"/>
  <c r="BH23" i="68"/>
  <c r="AG8" i="64"/>
  <c r="AG7" i="64" s="1"/>
  <c r="AK5" i="64"/>
  <c r="AF6" i="64"/>
  <c r="BP10" i="68"/>
  <c r="BH17" i="68" s="1"/>
  <c r="BH18" i="68" s="1"/>
  <c r="AF5" i="64"/>
  <c r="AH5" i="64" s="1"/>
  <c r="A28" i="66"/>
  <c r="F27" i="66"/>
  <c r="E27" i="66"/>
  <c r="B27" i="66"/>
  <c r="G27" i="66"/>
  <c r="B28" i="66"/>
  <c r="G28" i="66"/>
  <c r="C27" i="66"/>
  <c r="F28" i="66"/>
  <c r="A27" i="66"/>
  <c r="E28" i="66"/>
  <c r="I4" i="64"/>
  <c r="J4" i="64"/>
  <c r="I5" i="64"/>
  <c r="J5" i="64"/>
  <c r="I6" i="64"/>
  <c r="J6" i="64"/>
  <c r="I7" i="64"/>
  <c r="J7" i="64"/>
  <c r="I8" i="64"/>
  <c r="J8" i="64"/>
  <c r="I9" i="64"/>
  <c r="J9" i="64"/>
  <c r="I10" i="64"/>
  <c r="J10" i="64"/>
  <c r="I11" i="64"/>
  <c r="J11" i="64"/>
  <c r="I12" i="64"/>
  <c r="J12" i="64"/>
  <c r="I13" i="64"/>
  <c r="J13" i="64"/>
  <c r="I14" i="64"/>
  <c r="J14" i="64"/>
  <c r="I15" i="64"/>
  <c r="J15" i="64"/>
  <c r="I16" i="64"/>
  <c r="J16" i="64"/>
  <c r="I17" i="64"/>
  <c r="J17" i="64"/>
  <c r="I18" i="64"/>
  <c r="J18" i="64"/>
  <c r="H5" i="64"/>
  <c r="H6" i="64"/>
  <c r="H7" i="64"/>
  <c r="H8" i="64"/>
  <c r="H9" i="64"/>
  <c r="H10" i="64"/>
  <c r="H11" i="64"/>
  <c r="H12" i="64"/>
  <c r="H13" i="64"/>
  <c r="H14" i="64"/>
  <c r="H15" i="64"/>
  <c r="H16" i="64"/>
  <c r="H17" i="64"/>
  <c r="H18" i="64"/>
  <c r="H4" i="64"/>
  <c r="A5" i="64"/>
  <c r="X7" i="64" s="1"/>
  <c r="BL6" i="68" l="1"/>
  <c r="BJ8" i="68"/>
  <c r="BK7" i="68"/>
  <c r="BJ6" i="68"/>
  <c r="BL8" i="68"/>
  <c r="BJ9" i="68"/>
  <c r="BM7" i="68"/>
  <c r="BK8" i="68"/>
  <c r="BM6" i="68"/>
  <c r="BL9" i="68"/>
  <c r="BJ7" i="68"/>
  <c r="BM8" i="68"/>
  <c r="BK9" i="68"/>
  <c r="AE13" i="86"/>
  <c r="AF13" i="86" s="1"/>
  <c r="AE17" i="86"/>
  <c r="AF17" i="86" s="1"/>
  <c r="Z13" i="75"/>
  <c r="H19" i="79"/>
  <c r="E28" i="79"/>
  <c r="H21" i="79" a="1"/>
  <c r="H21" i="79" s="1"/>
  <c r="N6" i="69"/>
  <c r="BL12" i="68"/>
  <c r="BM12" i="68"/>
  <c r="BM13" i="68"/>
  <c r="BL14" i="68"/>
  <c r="BK13" i="68"/>
  <c r="BL15" i="68"/>
  <c r="BL13" i="68"/>
  <c r="BK12" i="68"/>
  <c r="BJ15" i="68"/>
  <c r="BK15" i="68"/>
  <c r="BJ14" i="68"/>
  <c r="BM15" i="68"/>
  <c r="BJ13" i="68"/>
  <c r="BM14" i="68"/>
  <c r="BJ12" i="68"/>
  <c r="BK14" i="68"/>
  <c r="AH39" i="68"/>
  <c r="AI37" i="68"/>
  <c r="AH38" i="68"/>
  <c r="AI52" i="68"/>
  <c r="AG53" i="68"/>
  <c r="AJ51" i="68" a="1"/>
  <c r="AJ51" i="68" s="1"/>
  <c r="AH25" i="68"/>
  <c r="AH24" i="68"/>
  <c r="AG17" i="64"/>
  <c r="AH16" i="68"/>
  <c r="AL15" i="68" s="1"/>
  <c r="AG10" i="68"/>
  <c r="AI11" i="68"/>
  <c r="T7" i="68"/>
  <c r="S7" i="68"/>
  <c r="T9" i="69"/>
  <c r="T11" i="69"/>
  <c r="T10" i="69"/>
  <c r="AH30" i="68"/>
  <c r="AL29" i="68" s="1"/>
  <c r="T6" i="68"/>
  <c r="S6" i="68"/>
  <c r="AH44" i="68"/>
  <c r="AL43" i="68" s="1"/>
  <c r="N8" i="69"/>
  <c r="W14" i="68"/>
  <c r="V15" i="68"/>
  <c r="V14" i="68"/>
  <c r="Y13" i="68"/>
  <c r="V12" i="68"/>
  <c r="V13" i="68"/>
  <c r="W12" i="68"/>
  <c r="AG12" i="64"/>
  <c r="N7" i="69"/>
  <c r="AH58" i="68"/>
  <c r="AL57" i="68" s="1"/>
  <c r="S8" i="68"/>
  <c r="T8" i="68"/>
  <c r="AH53" i="68"/>
  <c r="AI53" i="68"/>
  <c r="AJ25" i="68" a="1"/>
  <c r="AJ25" i="68" s="1"/>
  <c r="AJ9" i="68" a="1"/>
  <c r="AJ9" i="68" s="1"/>
  <c r="AH9" i="68"/>
  <c r="AG9" i="68"/>
  <c r="AI9" i="68"/>
  <c r="AG37" i="68"/>
  <c r="AG24" i="68"/>
  <c r="AK6" i="64"/>
  <c r="AG13" i="64"/>
  <c r="AG18" i="64"/>
  <c r="AF17" i="64"/>
  <c r="AH6" i="64"/>
  <c r="AF12" i="64"/>
  <c r="AF7" i="64"/>
  <c r="A6" i="64"/>
  <c r="X8" i="64" s="1"/>
  <c r="G5" i="64"/>
  <c r="BB17" i="68" l="1"/>
  <c r="BC23" i="68"/>
  <c r="BE22" i="68"/>
  <c r="AK17" i="64"/>
  <c r="BD18" i="68"/>
  <c r="AH17" i="64"/>
  <c r="AH51" i="68"/>
  <c r="AG51" i="68"/>
  <c r="AK51" i="68" s="1"/>
  <c r="AI38" i="68"/>
  <c r="AJ24" i="68" a="1"/>
  <c r="AJ24" i="68" s="1"/>
  <c r="AK24" i="68" s="1"/>
  <c r="AJ38" i="68" a="1"/>
  <c r="AJ38" i="68" s="1"/>
  <c r="AI24" i="68"/>
  <c r="AI51" i="68"/>
  <c r="AG38" i="68"/>
  <c r="X14" i="68"/>
  <c r="Y15" i="68"/>
  <c r="Y12" i="68"/>
  <c r="AI10" i="68"/>
  <c r="AJ10" i="68" a="1"/>
  <c r="AJ10" i="68" s="1"/>
  <c r="AK10" i="68" s="1"/>
  <c r="AH11" i="68"/>
  <c r="Y14" i="68"/>
  <c r="AH12" i="64"/>
  <c r="X15" i="68"/>
  <c r="AH10" i="68"/>
  <c r="AG39" i="68"/>
  <c r="AH52" i="68"/>
  <c r="W13" i="68"/>
  <c r="V15" i="69"/>
  <c r="V11" i="69"/>
  <c r="AH37" i="68"/>
  <c r="X11" i="69"/>
  <c r="AG25" i="68"/>
  <c r="AK25" i="68" s="1"/>
  <c r="U17" i="69"/>
  <c r="Y11" i="69"/>
  <c r="X10" i="69"/>
  <c r="AJ37" i="68" a="1"/>
  <c r="AJ37" i="68" s="1"/>
  <c r="AK37" i="68" s="1"/>
  <c r="AI25" i="68"/>
  <c r="AJ53" i="68" a="1"/>
  <c r="AJ53" i="68" s="1"/>
  <c r="AK53" i="68" s="1"/>
  <c r="AS12" i="68" a="1"/>
  <c r="AU13" i="68" s="1"/>
  <c r="X13" i="68"/>
  <c r="I29" i="79"/>
  <c r="H28" i="79"/>
  <c r="H29" i="79"/>
  <c r="I28" i="79"/>
  <c r="AH23" i="68"/>
  <c r="AG23" i="68"/>
  <c r="AG52" i="68"/>
  <c r="Y9" i="69"/>
  <c r="W9" i="69"/>
  <c r="U11" i="69"/>
  <c r="AI23" i="68"/>
  <c r="BP5" i="68"/>
  <c r="BP11" i="68" s="1"/>
  <c r="BP12" i="68" s="1"/>
  <c r="AG11" i="68"/>
  <c r="AJ39" i="68" a="1"/>
  <c r="AJ39" i="68" s="1"/>
  <c r="Y10" i="69"/>
  <c r="W11" i="69"/>
  <c r="AJ11" i="68" a="1"/>
  <c r="AJ11" i="68" s="1"/>
  <c r="AI39" i="68"/>
  <c r="V10" i="69"/>
  <c r="AJ52" i="68" a="1"/>
  <c r="AJ52" i="68" s="1"/>
  <c r="U10" i="69"/>
  <c r="V17" i="69"/>
  <c r="W15" i="68"/>
  <c r="AJ23" i="68" a="1"/>
  <c r="AJ23" i="68" s="1"/>
  <c r="U9" i="69"/>
  <c r="X9" i="69"/>
  <c r="V9" i="69"/>
  <c r="W10" i="69"/>
  <c r="X12" i="68"/>
  <c r="AK9" i="68"/>
  <c r="AK12" i="64"/>
  <c r="AF18" i="64"/>
  <c r="AH18" i="64" s="1"/>
  <c r="AF13" i="64"/>
  <c r="AH13" i="64" s="1"/>
  <c r="AH7" i="64"/>
  <c r="A7" i="64"/>
  <c r="X9" i="64" s="1"/>
  <c r="G6" i="64"/>
  <c r="AI17" i="64" l="1"/>
  <c r="AJ17" i="64" s="1"/>
  <c r="AK38" i="68"/>
  <c r="AI12" i="64"/>
  <c r="AJ12" i="64" s="1"/>
  <c r="AV14" i="68"/>
  <c r="AT14" i="68"/>
  <c r="AU15" i="68"/>
  <c r="AK11" i="68"/>
  <c r="AG16" i="68" s="1"/>
  <c r="BD22" i="68"/>
  <c r="BD23" i="68"/>
  <c r="AK39" i="68"/>
  <c r="BD17" i="68"/>
  <c r="BE18" i="68"/>
  <c r="AK23" i="68"/>
  <c r="AG30" i="68" s="1"/>
  <c r="AG29" i="68" s="1"/>
  <c r="AI29" i="68" s="1"/>
  <c r="U16" i="69"/>
  <c r="U15" i="69" s="1"/>
  <c r="W15" i="69" s="1"/>
  <c r="BE23" i="68"/>
  <c r="BE17" i="68"/>
  <c r="BP13" i="68"/>
  <c r="AU14" i="68"/>
  <c r="V16" i="69"/>
  <c r="Z15" i="69" s="1"/>
  <c r="AT13" i="68"/>
  <c r="AV15" i="68"/>
  <c r="AK52" i="68"/>
  <c r="AG58" i="68" s="1"/>
  <c r="BB23" i="68"/>
  <c r="AV12" i="68"/>
  <c r="AS13" i="68"/>
  <c r="AS15" i="68"/>
  <c r="AT12" i="68"/>
  <c r="AT15" i="68"/>
  <c r="W17" i="69"/>
  <c r="BB22" i="68"/>
  <c r="AS14" i="68"/>
  <c r="AV13" i="68"/>
  <c r="AU12" i="68"/>
  <c r="AS12" i="68"/>
  <c r="L36" i="79"/>
  <c r="L34" i="79"/>
  <c r="L32" i="79"/>
  <c r="L29" i="79"/>
  <c r="L31" i="79"/>
  <c r="L35" i="79"/>
  <c r="L30" i="79"/>
  <c r="L28" i="79"/>
  <c r="L33" i="79"/>
  <c r="L37" i="79"/>
  <c r="M35" i="79"/>
  <c r="M30" i="79"/>
  <c r="M28" i="79"/>
  <c r="M34" i="79"/>
  <c r="M32" i="79"/>
  <c r="M29" i="79"/>
  <c r="M31" i="79"/>
  <c r="M37" i="79"/>
  <c r="M33" i="79"/>
  <c r="M36" i="79"/>
  <c r="BC18" i="68"/>
  <c r="BC22" i="68"/>
  <c r="BC17" i="68"/>
  <c r="BB18" i="68"/>
  <c r="AI6" i="64"/>
  <c r="AJ6" i="64" s="1"/>
  <c r="AI5" i="64"/>
  <c r="AJ5" i="64" s="1"/>
  <c r="A8" i="64"/>
  <c r="X10" i="64" s="1"/>
  <c r="G7" i="64"/>
  <c r="AG44" i="68" l="1"/>
  <c r="AI44" i="68" s="1"/>
  <c r="W16" i="69"/>
  <c r="Z11" i="69" s="1"/>
  <c r="AP8" i="68" a="1"/>
  <c r="AP8" i="68" s="1"/>
  <c r="AQ8" i="68" s="1"/>
  <c r="AR8" i="68" s="1"/>
  <c r="AP12" i="68" a="1"/>
  <c r="AP12" i="68" s="1"/>
  <c r="AQ12" i="68" s="1"/>
  <c r="AR12" i="68" s="1"/>
  <c r="AP11" i="68" a="1"/>
  <c r="AP11" i="68" s="1"/>
  <c r="AQ11" i="68" s="1"/>
  <c r="AR11" i="68" s="1"/>
  <c r="AP25" i="68" a="1"/>
  <c r="AP25" i="68" s="1"/>
  <c r="AQ25" i="68" s="1"/>
  <c r="AR25" i="68" s="1"/>
  <c r="AP13" i="68" a="1"/>
  <c r="AP13" i="68" s="1"/>
  <c r="AQ13" i="68" s="1"/>
  <c r="AR13" i="68" s="1"/>
  <c r="AP18" i="68" a="1"/>
  <c r="AP18" i="68" s="1"/>
  <c r="AQ18" i="68" s="1"/>
  <c r="AR18" i="68" s="1"/>
  <c r="AP16" i="68" a="1"/>
  <c r="AP16" i="68" s="1"/>
  <c r="AQ16" i="68" s="1"/>
  <c r="AR16" i="68" s="1"/>
  <c r="AP9" i="68" a="1"/>
  <c r="AP9" i="68" s="1"/>
  <c r="AQ9" i="68" s="1"/>
  <c r="AR9" i="68" s="1"/>
  <c r="AP24" i="68" a="1"/>
  <c r="AP24" i="68" s="1"/>
  <c r="AQ24" i="68" s="1"/>
  <c r="AR24" i="68" s="1"/>
  <c r="AP26" i="68" a="1"/>
  <c r="AP26" i="68" s="1"/>
  <c r="AQ26" i="68" s="1"/>
  <c r="AR26" i="68" s="1"/>
  <c r="AP10" i="68" a="1"/>
  <c r="AP10" i="68" s="1"/>
  <c r="AQ10" i="68" s="1"/>
  <c r="AR10" i="68" s="1"/>
  <c r="AP6" i="68" a="1"/>
  <c r="AP6" i="68" s="1"/>
  <c r="AQ6" i="68" s="1"/>
  <c r="AR6" i="68" s="1"/>
  <c r="AP7" i="68" a="1"/>
  <c r="AP7" i="68" s="1"/>
  <c r="AQ7" i="68" s="1"/>
  <c r="AR7" i="68" s="1"/>
  <c r="AP23" i="68" a="1"/>
  <c r="AP23" i="68" s="1"/>
  <c r="AQ23" i="68" s="1"/>
  <c r="AR23" i="68" s="1"/>
  <c r="AP22" i="68" a="1"/>
  <c r="AP22" i="68" s="1"/>
  <c r="AQ22" i="68" s="1"/>
  <c r="AR22" i="68" s="1"/>
  <c r="AP14" i="68" a="1"/>
  <c r="AP14" i="68" s="1"/>
  <c r="AQ14" i="68" s="1"/>
  <c r="AR14" i="68" s="1"/>
  <c r="AP20" i="68" a="1"/>
  <c r="AP20" i="68" s="1"/>
  <c r="AQ20" i="68" s="1"/>
  <c r="AR20" i="68" s="1"/>
  <c r="AP19" i="68" a="1"/>
  <c r="AP19" i="68" s="1"/>
  <c r="AQ19" i="68" s="1"/>
  <c r="AR19" i="68" s="1"/>
  <c r="AP21" i="68" a="1"/>
  <c r="AP21" i="68" s="1"/>
  <c r="AQ21" i="68" s="1"/>
  <c r="AR21" i="68" s="1"/>
  <c r="AP17" i="68" a="1"/>
  <c r="AP17" i="68" s="1"/>
  <c r="AQ17" i="68" s="1"/>
  <c r="AR17" i="68" s="1"/>
  <c r="AP15" i="68" a="1"/>
  <c r="AP15" i="68" s="1"/>
  <c r="AQ15" i="68" s="1"/>
  <c r="AR15" i="68" s="1"/>
  <c r="O29" i="79"/>
  <c r="E41" i="79" s="1"/>
  <c r="K29" i="79"/>
  <c r="K30" i="79"/>
  <c r="O30" i="79"/>
  <c r="E42" i="79" s="1"/>
  <c r="O32" i="79"/>
  <c r="E44" i="79" s="1"/>
  <c r="K32" i="79"/>
  <c r="K37" i="79"/>
  <c r="O37" i="79"/>
  <c r="E49" i="79" s="1"/>
  <c r="O35" i="79"/>
  <c r="E47" i="79" s="1"/>
  <c r="K35" i="79"/>
  <c r="O34" i="79"/>
  <c r="E46" i="79" s="1"/>
  <c r="K34" i="79"/>
  <c r="K28" i="79"/>
  <c r="O28" i="79"/>
  <c r="K33" i="79"/>
  <c r="O33" i="79"/>
  <c r="E45" i="79" s="1"/>
  <c r="K31" i="79"/>
  <c r="O31" i="79"/>
  <c r="E43" i="79" s="1"/>
  <c r="K36" i="79"/>
  <c r="O36" i="79"/>
  <c r="E48" i="79" s="1"/>
  <c r="AI30" i="68"/>
  <c r="AL23" i="68" s="1"/>
  <c r="AN23" i="68" s="1"/>
  <c r="AG15" i="68"/>
  <c r="AI15" i="68" s="1"/>
  <c r="AI16" i="68"/>
  <c r="AG57" i="68"/>
  <c r="AI57" i="68" s="1"/>
  <c r="AI58" i="68"/>
  <c r="A9" i="64"/>
  <c r="X11" i="64" s="1"/>
  <c r="G8" i="64"/>
  <c r="AG43" i="68" l="1"/>
  <c r="AI43" i="68" s="1"/>
  <c r="AJ43" i="68" s="1"/>
  <c r="AK43" i="68" s="1"/>
  <c r="Z9" i="69"/>
  <c r="AA9" i="69" s="1"/>
  <c r="Z10" i="69"/>
  <c r="AA10" i="69" s="1"/>
  <c r="X15" i="69"/>
  <c r="Y15" i="69" s="1"/>
  <c r="AB15" i="69"/>
  <c r="AA15" i="69"/>
  <c r="AL24" i="68"/>
  <c r="AM24" i="68" s="1"/>
  <c r="AN29" i="68"/>
  <c r="AM23" i="68"/>
  <c r="AJ29" i="68"/>
  <c r="AK29" i="68" s="1"/>
  <c r="AM29" i="68"/>
  <c r="AL25" i="68"/>
  <c r="AM25" i="68" s="1"/>
  <c r="E40" i="79"/>
  <c r="H33" i="79" a="1"/>
  <c r="H33" i="79" s="1"/>
  <c r="H31" i="79"/>
  <c r="AJ15" i="68"/>
  <c r="AK15" i="68" s="1"/>
  <c r="AL11" i="68"/>
  <c r="AL10" i="68"/>
  <c r="AM15" i="68"/>
  <c r="AL9" i="68"/>
  <c r="AN15" i="68"/>
  <c r="AJ57" i="68"/>
  <c r="AK57" i="68" s="1"/>
  <c r="AB11" i="69"/>
  <c r="AA11" i="69"/>
  <c r="AL38" i="68"/>
  <c r="AL39" i="68"/>
  <c r="AN43" i="68"/>
  <c r="AM43" i="68"/>
  <c r="AL37" i="68"/>
  <c r="AL52" i="68"/>
  <c r="AN57" i="68"/>
  <c r="AL53" i="68"/>
  <c r="AM57" i="68"/>
  <c r="AL51" i="68"/>
  <c r="A10" i="64"/>
  <c r="X12" i="64" s="1"/>
  <c r="G9" i="64"/>
  <c r="AB9" i="69" l="1"/>
  <c r="AB10" i="69"/>
  <c r="AN24" i="68"/>
  <c r="AN25" i="68"/>
  <c r="H41" i="79"/>
  <c r="I41" i="79"/>
  <c r="H40" i="79"/>
  <c r="I40" i="79"/>
  <c r="AM10" i="68"/>
  <c r="AN10" i="68"/>
  <c r="AN11" i="68"/>
  <c r="AM11" i="68"/>
  <c r="AM9" i="68"/>
  <c r="AN9" i="68"/>
  <c r="AM51" i="68"/>
  <c r="AN51" i="68"/>
  <c r="AM52" i="68"/>
  <c r="AN52" i="68"/>
  <c r="AN39" i="68"/>
  <c r="AM39" i="68"/>
  <c r="AM53" i="68"/>
  <c r="AN53" i="68"/>
  <c r="AN37" i="68"/>
  <c r="AM37" i="68"/>
  <c r="AN38" i="68"/>
  <c r="AM38" i="68"/>
  <c r="A11" i="64"/>
  <c r="X13" i="64" s="1"/>
  <c r="G10" i="64"/>
  <c r="L47" i="79" l="1"/>
  <c r="L42" i="79"/>
  <c r="L40" i="79"/>
  <c r="L48" i="79"/>
  <c r="L46" i="79"/>
  <c r="L44" i="79"/>
  <c r="L41" i="79"/>
  <c r="L49" i="79"/>
  <c r="L45" i="79"/>
  <c r="L43" i="79"/>
  <c r="M46" i="79"/>
  <c r="M44" i="79"/>
  <c r="M41" i="79"/>
  <c r="M47" i="79"/>
  <c r="M49" i="79"/>
  <c r="M45" i="79"/>
  <c r="M43" i="79"/>
  <c r="M48" i="79"/>
  <c r="M42" i="79"/>
  <c r="M40" i="79"/>
  <c r="A12" i="64"/>
  <c r="X14" i="64" s="1"/>
  <c r="G11" i="64"/>
  <c r="K48" i="79" l="1"/>
  <c r="O48" i="79"/>
  <c r="O41" i="79"/>
  <c r="K41" i="79"/>
  <c r="K40" i="79"/>
  <c r="O40" i="79"/>
  <c r="O43" i="79"/>
  <c r="K43" i="79"/>
  <c r="K44" i="79"/>
  <c r="O44" i="79"/>
  <c r="K42" i="79"/>
  <c r="O42" i="79"/>
  <c r="O49" i="79"/>
  <c r="K49" i="79"/>
  <c r="O45" i="79"/>
  <c r="K45" i="79"/>
  <c r="O46" i="79"/>
  <c r="K46" i="79"/>
  <c r="K47" i="79"/>
  <c r="O47" i="79"/>
  <c r="A13" i="64"/>
  <c r="X15" i="64" s="1"/>
  <c r="G12" i="64"/>
  <c r="H45" i="79" l="1" a="1"/>
  <c r="H45" i="79" s="1"/>
  <c r="H43" i="79"/>
  <c r="A14" i="64"/>
  <c r="X16" i="64" s="1"/>
  <c r="G13" i="64"/>
  <c r="A15" i="64" l="1"/>
  <c r="X17" i="64" s="1"/>
  <c r="G14" i="64"/>
  <c r="A16" i="64" l="1"/>
  <c r="X18" i="64" s="1"/>
  <c r="G15" i="64"/>
  <c r="A17" i="64" l="1"/>
  <c r="X19" i="64" s="1"/>
  <c r="G16" i="64"/>
  <c r="A18" i="64" l="1"/>
  <c r="G17" i="64"/>
  <c r="G18" i="64" l="1"/>
  <c r="X20" i="64"/>
  <c r="S34" i="55" l="1"/>
  <c r="AX32" i="55"/>
  <c r="AY32" i="55" s="1"/>
  <c r="AZ32" i="55" s="1"/>
  <c r="BA32" i="55" s="1"/>
  <c r="BB32" i="55" s="1"/>
  <c r="BC32" i="55" s="1"/>
  <c r="BD32" i="55" s="1"/>
  <c r="BE32" i="55" s="1"/>
  <c r="AL32" i="55"/>
  <c r="AM32" i="55" s="1"/>
  <c r="AN32" i="55" s="1"/>
  <c r="AO32" i="55" s="1"/>
  <c r="AP32" i="55" s="1"/>
  <c r="AQ32" i="55" s="1"/>
  <c r="AR32" i="55" s="1"/>
  <c r="AS32" i="55" s="1"/>
  <c r="DF32" i="55"/>
  <c r="DG32" i="55" s="1"/>
  <c r="DH32" i="55" s="1"/>
  <c r="DI32" i="55" s="1"/>
  <c r="DJ32" i="55" s="1"/>
  <c r="DK32" i="55" s="1"/>
  <c r="DL32" i="55" s="1"/>
  <c r="DM32" i="55" s="1"/>
  <c r="CT32" i="55"/>
  <c r="CU32" i="55" s="1"/>
  <c r="CV32" i="55" s="1"/>
  <c r="CW32" i="55" s="1"/>
  <c r="CX32" i="55" s="1"/>
  <c r="CY32" i="55" s="1"/>
  <c r="CZ32" i="55" s="1"/>
  <c r="DA32" i="55" s="1"/>
  <c r="CH32" i="55"/>
  <c r="CI32" i="55" s="1"/>
  <c r="CJ32" i="55" s="1"/>
  <c r="CK32" i="55" s="1"/>
  <c r="CL32" i="55" s="1"/>
  <c r="CM32" i="55" s="1"/>
  <c r="CN32" i="55" s="1"/>
  <c r="CO32" i="55" s="1"/>
  <c r="BV32" i="55"/>
  <c r="BW32" i="55" s="1"/>
  <c r="BX32" i="55" s="1"/>
  <c r="BY32" i="55" s="1"/>
  <c r="BZ32" i="55" s="1"/>
  <c r="CA32" i="55" s="1"/>
  <c r="CB32" i="55" s="1"/>
  <c r="CC32" i="55" s="1"/>
  <c r="BJ32" i="55"/>
  <c r="BK32" i="55" s="1"/>
  <c r="BL32" i="55" s="1"/>
  <c r="BM32" i="55" s="1"/>
  <c r="BN32" i="55" s="1"/>
  <c r="BO32" i="55" s="1"/>
  <c r="BP32" i="55" s="1"/>
  <c r="BQ32" i="55" s="1"/>
  <c r="LB32" i="55"/>
  <c r="LC32" i="55" s="1"/>
  <c r="LD32" i="55" s="1"/>
  <c r="LE32" i="55" s="1"/>
  <c r="LF32" i="55" s="1"/>
  <c r="LG32" i="55" s="1"/>
  <c r="LH32" i="55" s="1"/>
  <c r="LI32" i="55" s="1"/>
  <c r="KP32" i="55"/>
  <c r="KQ32" i="55" s="1"/>
  <c r="KR32" i="55" s="1"/>
  <c r="KS32" i="55" s="1"/>
  <c r="KT32" i="55" s="1"/>
  <c r="KU32" i="55" s="1"/>
  <c r="KV32" i="55" s="1"/>
  <c r="KW32" i="55" s="1"/>
  <c r="KD32" i="55"/>
  <c r="KE32" i="55" s="1"/>
  <c r="KF32" i="55" s="1"/>
  <c r="KG32" i="55" s="1"/>
  <c r="KH32" i="55" s="1"/>
  <c r="KI32" i="55" s="1"/>
  <c r="KJ32" i="55" s="1"/>
  <c r="KK32" i="55" s="1"/>
  <c r="JR32" i="55"/>
  <c r="JS32" i="55" s="1"/>
  <c r="JT32" i="55" s="1"/>
  <c r="JU32" i="55" s="1"/>
  <c r="JV32" i="55" s="1"/>
  <c r="JW32" i="55" s="1"/>
  <c r="JX32" i="55" s="1"/>
  <c r="JY32" i="55" s="1"/>
  <c r="JH32" i="55"/>
  <c r="JI32" i="55" s="1"/>
  <c r="JJ32" i="55" s="1"/>
  <c r="JK32" i="55" s="1"/>
  <c r="JL32" i="55" s="1"/>
  <c r="JM32" i="55" s="1"/>
  <c r="JF32" i="55"/>
  <c r="JG32" i="55" s="1"/>
  <c r="IT32" i="55"/>
  <c r="IU32" i="55" s="1"/>
  <c r="IV32" i="55" s="1"/>
  <c r="IW32" i="55" s="1"/>
  <c r="IX32" i="55" s="1"/>
  <c r="IY32" i="55" s="1"/>
  <c r="IZ32" i="55" s="1"/>
  <c r="JA32" i="55" s="1"/>
  <c r="IH32" i="55"/>
  <c r="II32" i="55" s="1"/>
  <c r="IJ32" i="55" s="1"/>
  <c r="IK32" i="55" s="1"/>
  <c r="IL32" i="55" s="1"/>
  <c r="IM32" i="55" s="1"/>
  <c r="IN32" i="55" s="1"/>
  <c r="IO32" i="55" s="1"/>
  <c r="HV32" i="55"/>
  <c r="HW32" i="55" s="1"/>
  <c r="HX32" i="55" s="1"/>
  <c r="HY32" i="55" s="1"/>
  <c r="HZ32" i="55" s="1"/>
  <c r="IA32" i="55" s="1"/>
  <c r="IB32" i="55" s="1"/>
  <c r="IC32" i="55" s="1"/>
  <c r="HL32" i="55"/>
  <c r="HM32" i="55" s="1"/>
  <c r="HN32" i="55" s="1"/>
  <c r="HO32" i="55" s="1"/>
  <c r="HP32" i="55" s="1"/>
  <c r="HQ32" i="55" s="1"/>
  <c r="HJ32" i="55"/>
  <c r="HK32" i="55" s="1"/>
  <c r="GZ32" i="55"/>
  <c r="HA32" i="55" s="1"/>
  <c r="HB32" i="55" s="1"/>
  <c r="HC32" i="55" s="1"/>
  <c r="HD32" i="55" s="1"/>
  <c r="HE32" i="55" s="1"/>
  <c r="GX32" i="55"/>
  <c r="GY32" i="55" s="1"/>
  <c r="GM32" i="55"/>
  <c r="GN32" i="55" s="1"/>
  <c r="GO32" i="55" s="1"/>
  <c r="GP32" i="55" s="1"/>
  <c r="GQ32" i="55" s="1"/>
  <c r="GR32" i="55" s="1"/>
  <c r="GS32" i="55" s="1"/>
  <c r="GL32" i="55"/>
  <c r="FZ32" i="55"/>
  <c r="GA32" i="55" s="1"/>
  <c r="GB32" i="55" s="1"/>
  <c r="GC32" i="55" s="1"/>
  <c r="GD32" i="55" s="1"/>
  <c r="GE32" i="55" s="1"/>
  <c r="GF32" i="55" s="1"/>
  <c r="GG32" i="55" s="1"/>
  <c r="FN32" i="55"/>
  <c r="FO32" i="55" s="1"/>
  <c r="FP32" i="55" s="1"/>
  <c r="FQ32" i="55" s="1"/>
  <c r="FR32" i="55" s="1"/>
  <c r="FS32" i="55" s="1"/>
  <c r="FT32" i="55" s="1"/>
  <c r="FU32" i="55" s="1"/>
  <c r="FB32" i="55"/>
  <c r="FC32" i="55" s="1"/>
  <c r="FD32" i="55" s="1"/>
  <c r="FE32" i="55" s="1"/>
  <c r="FF32" i="55" s="1"/>
  <c r="FG32" i="55" s="1"/>
  <c r="FH32" i="55" s="1"/>
  <c r="FI32" i="55" s="1"/>
  <c r="EP32" i="55"/>
  <c r="EQ32" i="55" s="1"/>
  <c r="ER32" i="55" s="1"/>
  <c r="ES32" i="55" s="1"/>
  <c r="ET32" i="55" s="1"/>
  <c r="EU32" i="55" s="1"/>
  <c r="EV32" i="55" s="1"/>
  <c r="EW32" i="55" s="1"/>
  <c r="ED32" i="55"/>
  <c r="EE32" i="55" s="1"/>
  <c r="EF32" i="55" s="1"/>
  <c r="EG32" i="55" s="1"/>
  <c r="EH32" i="55" s="1"/>
  <c r="EI32" i="55" s="1"/>
  <c r="EJ32" i="55" s="1"/>
  <c r="EK32" i="55" s="1"/>
  <c r="ML32" i="55"/>
  <c r="MM32" i="55" s="1"/>
  <c r="MN32" i="55" s="1"/>
  <c r="MO32" i="55" s="1"/>
  <c r="MP32" i="55" s="1"/>
  <c r="MQ32" i="55" s="1"/>
  <c r="MR32" i="55" s="1"/>
  <c r="MS32" i="55" s="1"/>
  <c r="LZ32" i="55"/>
  <c r="MA32" i="55" s="1"/>
  <c r="MB32" i="55" s="1"/>
  <c r="MC32" i="55" s="1"/>
  <c r="MD32" i="55" s="1"/>
  <c r="ME32" i="55" s="1"/>
  <c r="MF32" i="55" s="1"/>
  <c r="MG32" i="55" s="1"/>
  <c r="LN32" i="55"/>
  <c r="LO32" i="55" s="1"/>
  <c r="LP32" i="55" s="1"/>
  <c r="LQ32" i="55" s="1"/>
  <c r="LR32" i="55" s="1"/>
  <c r="LS32" i="55" s="1"/>
  <c r="LT32" i="55" s="1"/>
  <c r="LU32" i="55" s="1"/>
  <c r="DR32" i="55"/>
  <c r="DS32" i="55" s="1"/>
  <c r="DT32" i="55" s="1"/>
  <c r="DU32" i="55" s="1"/>
  <c r="DV32" i="55" s="1"/>
  <c r="DW32" i="55" s="1"/>
  <c r="DX32" i="55" s="1"/>
  <c r="DY32" i="55" s="1"/>
  <c r="S35" i="55" l="1"/>
  <c r="Z32" i="55"/>
  <c r="AA32" i="55" s="1"/>
  <c r="AB32" i="55" s="1"/>
  <c r="AC32" i="55" s="1"/>
  <c r="AD32" i="55" s="1"/>
  <c r="AE32" i="55" s="1"/>
  <c r="AF32" i="55" s="1"/>
  <c r="AG32" i="55" s="1"/>
  <c r="Y1" i="55"/>
  <c r="AK1" i="55" s="1"/>
  <c r="AW1" i="55" s="1"/>
  <c r="BI1" i="55" s="1"/>
  <c r="BU1" i="55" s="1"/>
  <c r="CG1" i="55" s="1"/>
  <c r="CS1" i="55" s="1"/>
  <c r="DE1" i="55" s="1"/>
  <c r="DQ1" i="55" s="1"/>
  <c r="EC1" i="55" s="1"/>
  <c r="EO1" i="55" s="1"/>
  <c r="FA1" i="55" s="1"/>
  <c r="FM1" i="55" s="1"/>
  <c r="FY1" i="55" s="1"/>
  <c r="GK1" i="55" s="1"/>
  <c r="GW1" i="55" s="1"/>
  <c r="HI1" i="55" s="1"/>
  <c r="HU1" i="55" s="1"/>
  <c r="IG1" i="55" s="1"/>
  <c r="IS1" i="55" s="1"/>
  <c r="JE1" i="55" s="1"/>
  <c r="JQ1" i="55" s="1"/>
  <c r="KC1" i="55" s="1"/>
  <c r="KO1" i="55" s="1"/>
  <c r="LA1" i="55" s="1"/>
  <c r="LM1" i="55" s="1"/>
  <c r="LY1" i="55" s="1"/>
  <c r="MK1" i="55" s="1"/>
  <c r="L6" i="55" a="1"/>
  <c r="L13" i="55" s="1"/>
  <c r="M5" i="55" a="1"/>
  <c r="R5" i="55" s="1"/>
  <c r="J129" i="55"/>
  <c r="I129" i="55"/>
  <c r="H129" i="55"/>
  <c r="G129" i="55"/>
  <c r="F129" i="55"/>
  <c r="E129" i="55"/>
  <c r="D129" i="55"/>
  <c r="C129" i="55"/>
  <c r="B129" i="55"/>
  <c r="J128" i="55"/>
  <c r="I128" i="55"/>
  <c r="H128" i="55"/>
  <c r="G128" i="55"/>
  <c r="F128" i="55"/>
  <c r="E128" i="55"/>
  <c r="D128" i="55"/>
  <c r="C128" i="55"/>
  <c r="B128" i="55"/>
  <c r="J127" i="55"/>
  <c r="I127" i="55"/>
  <c r="H127" i="55"/>
  <c r="G127" i="55"/>
  <c r="F127" i="55"/>
  <c r="E127" i="55"/>
  <c r="D127" i="55"/>
  <c r="C127" i="55"/>
  <c r="B127" i="55"/>
  <c r="J126" i="55"/>
  <c r="I126" i="55"/>
  <c r="H126" i="55"/>
  <c r="G126" i="55"/>
  <c r="F126" i="55"/>
  <c r="E126" i="55"/>
  <c r="D126" i="55"/>
  <c r="C126" i="55"/>
  <c r="B126" i="55"/>
  <c r="J125" i="55"/>
  <c r="I125" i="55"/>
  <c r="H125" i="55"/>
  <c r="G125" i="55"/>
  <c r="F125" i="55"/>
  <c r="E125" i="55"/>
  <c r="D125" i="55"/>
  <c r="C125" i="55"/>
  <c r="B125" i="55"/>
  <c r="A104" i="55"/>
  <c r="A105" i="55" s="1"/>
  <c r="A106" i="55" s="1"/>
  <c r="A107" i="55" s="1"/>
  <c r="A108" i="55" s="1"/>
  <c r="A109" i="55" s="1"/>
  <c r="A110" i="55" s="1"/>
  <c r="A111" i="55" s="1"/>
  <c r="A112" i="55" s="1"/>
  <c r="A113" i="55" s="1"/>
  <c r="A114" i="55" s="1"/>
  <c r="A115" i="55" s="1"/>
  <c r="A116" i="55" s="1"/>
  <c r="A117" i="55" s="1"/>
  <c r="A118" i="55" s="1"/>
  <c r="A119" i="55" s="1"/>
  <c r="A120" i="55" s="1"/>
  <c r="A121" i="55" s="1"/>
  <c r="A122" i="55" s="1"/>
  <c r="A123" i="55" s="1"/>
  <c r="S36" i="55" l="1"/>
  <c r="O5" i="55"/>
  <c r="Q5" i="55"/>
  <c r="M5" i="55"/>
  <c r="L10" i="55"/>
  <c r="L6" i="55"/>
  <c r="L11" i="55"/>
  <c r="S5" i="55"/>
  <c r="L7" i="55"/>
  <c r="L12" i="55"/>
  <c r="U5" i="55"/>
  <c r="L8" i="55"/>
  <c r="L14" i="55"/>
  <c r="P5" i="55"/>
  <c r="T5" i="55"/>
  <c r="N5" i="55"/>
  <c r="L9" i="55"/>
  <c r="L234" i="54" a="1"/>
  <c r="L234" i="54" s="1"/>
  <c r="N233" i="54"/>
  <c r="O233" i="54" s="1"/>
  <c r="P233" i="54" s="1"/>
  <c r="L216" i="54" a="1"/>
  <c r="L216" i="54" s="1"/>
  <c r="N215" i="54"/>
  <c r="O215" i="54" s="1"/>
  <c r="P215" i="54" s="1"/>
  <c r="L203" i="54" a="1"/>
  <c r="L203" i="54" s="1"/>
  <c r="N202" i="54"/>
  <c r="O202" i="54" s="1"/>
  <c r="P202" i="54" s="1"/>
  <c r="L190" i="54" a="1"/>
  <c r="L190" i="54" s="1"/>
  <c r="M189" i="54" a="1"/>
  <c r="M189" i="54" s="1"/>
  <c r="L177" i="54" a="1"/>
  <c r="L177" i="54" s="1"/>
  <c r="M176" i="54" a="1"/>
  <c r="M176" i="54" s="1"/>
  <c r="P176" i="54"/>
  <c r="T176" i="54"/>
  <c r="L163" i="54" a="1"/>
  <c r="L163" i="54" s="1"/>
  <c r="N162" i="54"/>
  <c r="O162" i="54" s="1"/>
  <c r="P162" i="54" s="1"/>
  <c r="L149" i="54" a="1"/>
  <c r="L149" i="54" s="1"/>
  <c r="N148" i="54"/>
  <c r="O148" i="54" s="1"/>
  <c r="P148" i="54" s="1"/>
  <c r="L122" i="54" a="1"/>
  <c r="L124" i="54" s="1"/>
  <c r="L127" i="54"/>
  <c r="M122" i="54" a="1"/>
  <c r="N121" i="54"/>
  <c r="O121" i="54" s="1"/>
  <c r="P121" i="54" s="1"/>
  <c r="Q121" i="54" s="1"/>
  <c r="R121" i="54" s="1"/>
  <c r="S121" i="54" s="1"/>
  <c r="T121" i="54" s="1"/>
  <c r="U121" i="54" s="1"/>
  <c r="L96" i="54" a="1"/>
  <c r="L96" i="54" s="1"/>
  <c r="M95" i="54" a="1"/>
  <c r="M95" i="54" s="1"/>
  <c r="M90" i="54" a="1"/>
  <c r="O90" i="54" s="1"/>
  <c r="M85" i="54" a="1"/>
  <c r="M85" i="54" s="1"/>
  <c r="L73" i="54" a="1"/>
  <c r="L73" i="54" s="1"/>
  <c r="M73" i="54" a="1"/>
  <c r="N72" i="54"/>
  <c r="O72" i="54" s="1"/>
  <c r="P72" i="54" s="1"/>
  <c r="Q72" i="54" s="1"/>
  <c r="R72" i="54" s="1"/>
  <c r="S72" i="54" s="1"/>
  <c r="T72" i="54" s="1"/>
  <c r="U72" i="54" s="1"/>
  <c r="M54" i="54" a="1"/>
  <c r="O54" i="54" s="1"/>
  <c r="L41" i="54" a="1"/>
  <c r="L41" i="54" s="1"/>
  <c r="M40" i="54" a="1"/>
  <c r="M40" i="54" s="1"/>
  <c r="L28" i="54" a="1"/>
  <c r="L28" i="54" s="1"/>
  <c r="L35" i="54"/>
  <c r="M27" i="54" a="1"/>
  <c r="O27" i="54" s="1"/>
  <c r="P27" i="54"/>
  <c r="L14" i="54" a="1"/>
  <c r="L16" i="54" s="1"/>
  <c r="L18" i="54"/>
  <c r="M13" i="54" a="1"/>
  <c r="O13" i="54" s="1"/>
  <c r="M13" i="54"/>
  <c r="P13" i="54"/>
  <c r="Q13" i="54"/>
  <c r="N6" i="54"/>
  <c r="O6" i="54"/>
  <c r="P6" i="54"/>
  <c r="Q6" i="54"/>
  <c r="R6" i="54"/>
  <c r="S6" i="54"/>
  <c r="T6" i="54"/>
  <c r="U6" i="54"/>
  <c r="N7" i="54"/>
  <c r="O7" i="54"/>
  <c r="P7" i="54"/>
  <c r="Q7" i="54"/>
  <c r="R7" i="54"/>
  <c r="S7" i="54"/>
  <c r="T7" i="54"/>
  <c r="U7" i="54"/>
  <c r="N8" i="54"/>
  <c r="O8" i="54"/>
  <c r="P8" i="54"/>
  <c r="Q8" i="54"/>
  <c r="R8" i="54"/>
  <c r="S8" i="54"/>
  <c r="T8" i="54"/>
  <c r="U8" i="54"/>
  <c r="N9" i="54"/>
  <c r="O9" i="54"/>
  <c r="P9" i="54"/>
  <c r="Q9" i="54"/>
  <c r="R9" i="54"/>
  <c r="S9" i="54"/>
  <c r="T9" i="54"/>
  <c r="U9" i="54"/>
  <c r="M9" i="54"/>
  <c r="M8" i="54"/>
  <c r="M7" i="54"/>
  <c r="M6" i="54"/>
  <c r="M5" i="54" a="1"/>
  <c r="M5" i="54" s="1"/>
  <c r="J129" i="54"/>
  <c r="I129" i="54"/>
  <c r="H129" i="54"/>
  <c r="G129" i="54"/>
  <c r="F129" i="54"/>
  <c r="E129" i="54"/>
  <c r="D129" i="54"/>
  <c r="C129" i="54"/>
  <c r="B129" i="54"/>
  <c r="J128" i="54"/>
  <c r="I128" i="54"/>
  <c r="H128" i="54"/>
  <c r="G128" i="54"/>
  <c r="F128" i="54"/>
  <c r="E128" i="54"/>
  <c r="D128" i="54"/>
  <c r="C128" i="54"/>
  <c r="B128" i="54"/>
  <c r="J127" i="54"/>
  <c r="I127" i="54"/>
  <c r="H127" i="54"/>
  <c r="G127" i="54"/>
  <c r="F127" i="54"/>
  <c r="E127" i="54"/>
  <c r="D127" i="54"/>
  <c r="C127" i="54"/>
  <c r="B127" i="54"/>
  <c r="J126" i="54"/>
  <c r="I126" i="54"/>
  <c r="H126" i="54"/>
  <c r="G126" i="54"/>
  <c r="F126" i="54"/>
  <c r="E126" i="54"/>
  <c r="D126" i="54"/>
  <c r="C126" i="54"/>
  <c r="B126" i="54"/>
  <c r="J125" i="54"/>
  <c r="I125" i="54"/>
  <c r="H125" i="54"/>
  <c r="G125" i="54"/>
  <c r="F125" i="54"/>
  <c r="E125" i="54"/>
  <c r="D125" i="54"/>
  <c r="C125" i="54"/>
  <c r="B125" i="54"/>
  <c r="A104" i="54"/>
  <c r="A105" i="54" s="1"/>
  <c r="A106" i="54" s="1"/>
  <c r="A107" i="54" s="1"/>
  <c r="A108" i="54" s="1"/>
  <c r="A109" i="54" s="1"/>
  <c r="A110" i="54" s="1"/>
  <c r="A111" i="54" s="1"/>
  <c r="A112" i="54" s="1"/>
  <c r="A113" i="54" s="1"/>
  <c r="A114" i="54" s="1"/>
  <c r="A115" i="54" s="1"/>
  <c r="A116" i="54" s="1"/>
  <c r="A117" i="54" s="1"/>
  <c r="A118" i="54" s="1"/>
  <c r="A119" i="54" s="1"/>
  <c r="A120" i="54" s="1"/>
  <c r="A121" i="54" s="1"/>
  <c r="A122" i="54" s="1"/>
  <c r="A123" i="54" s="1"/>
  <c r="L185" i="51" a="1"/>
  <c r="L185" i="51" s="1"/>
  <c r="N184" i="51"/>
  <c r="O184" i="51" s="1"/>
  <c r="P184" i="51" s="1"/>
  <c r="L167" i="51" a="1"/>
  <c r="L167" i="51" s="1"/>
  <c r="O166" i="51"/>
  <c r="P166" i="51" s="1"/>
  <c r="N166" i="51"/>
  <c r="L154" i="51" a="1"/>
  <c r="L154" i="51" s="1"/>
  <c r="N153" i="51"/>
  <c r="O153" i="51" s="1"/>
  <c r="P153" i="51" s="1"/>
  <c r="L141" i="51" a="1"/>
  <c r="L141" i="51" s="1"/>
  <c r="L146" i="51"/>
  <c r="M140" i="51" a="1"/>
  <c r="N140" i="51" s="1"/>
  <c r="M140" i="51"/>
  <c r="S140" i="51"/>
  <c r="U140" i="51"/>
  <c r="L128" i="51" a="1"/>
  <c r="L128" i="51" s="1"/>
  <c r="L131" i="51"/>
  <c r="L134" i="51"/>
  <c r="M127" i="51" a="1"/>
  <c r="M127" i="51" s="1"/>
  <c r="L114" i="51" a="1"/>
  <c r="L114" i="51" s="1"/>
  <c r="N113" i="51"/>
  <c r="O113" i="51" s="1"/>
  <c r="P113" i="51" s="1"/>
  <c r="L100" i="51" a="1"/>
  <c r="L100" i="51" s="1"/>
  <c r="N99" i="51"/>
  <c r="O99" i="51" s="1"/>
  <c r="P99" i="51" s="1"/>
  <c r="L73" i="51" a="1"/>
  <c r="L73" i="51" s="1"/>
  <c r="M73" i="51" a="1"/>
  <c r="N72" i="51"/>
  <c r="O72" i="51" s="1"/>
  <c r="P72" i="51" s="1"/>
  <c r="Q72" i="51" s="1"/>
  <c r="R72" i="51" s="1"/>
  <c r="S72" i="51" s="1"/>
  <c r="T72" i="51" s="1"/>
  <c r="U72" i="51" s="1"/>
  <c r="M54" i="51" a="1"/>
  <c r="M54" i="51" s="1"/>
  <c r="L41" i="51" a="1"/>
  <c r="L41" i="51" s="1"/>
  <c r="M40" i="51" a="1"/>
  <c r="M40" i="51" s="1"/>
  <c r="L28" i="51" a="1"/>
  <c r="L28" i="51" s="1"/>
  <c r="M27" i="51" a="1"/>
  <c r="M27" i="51" s="1"/>
  <c r="L14" i="51" a="1"/>
  <c r="L16" i="51" s="1"/>
  <c r="M13" i="51" a="1"/>
  <c r="O13" i="51" s="1"/>
  <c r="N6" i="51"/>
  <c r="O6" i="51"/>
  <c r="P6" i="51"/>
  <c r="Q6" i="51"/>
  <c r="R6" i="51"/>
  <c r="S6" i="51"/>
  <c r="T6" i="51"/>
  <c r="U6" i="51"/>
  <c r="N7" i="51"/>
  <c r="O7" i="51"/>
  <c r="P7" i="51"/>
  <c r="Q7" i="51"/>
  <c r="R7" i="51"/>
  <c r="S7" i="51"/>
  <c r="T7" i="51"/>
  <c r="U7" i="51"/>
  <c r="N8" i="51"/>
  <c r="O8" i="51"/>
  <c r="P8" i="51"/>
  <c r="Q8" i="51"/>
  <c r="R8" i="51"/>
  <c r="S8" i="51"/>
  <c r="T8" i="51"/>
  <c r="U8" i="51"/>
  <c r="N9" i="51"/>
  <c r="O9" i="51"/>
  <c r="P9" i="51"/>
  <c r="Q9" i="51"/>
  <c r="R9" i="51"/>
  <c r="S9" i="51"/>
  <c r="T9" i="51"/>
  <c r="U9" i="51"/>
  <c r="M9" i="51"/>
  <c r="M8" i="51"/>
  <c r="M7" i="51"/>
  <c r="M6" i="51"/>
  <c r="M5" i="51" a="1"/>
  <c r="M5" i="51" s="1"/>
  <c r="L143" i="51" l="1"/>
  <c r="N13" i="54"/>
  <c r="M27" i="54"/>
  <c r="L117" i="51"/>
  <c r="P140" i="51"/>
  <c r="L156" i="51"/>
  <c r="L123" i="54"/>
  <c r="L14" i="54"/>
  <c r="R40" i="54"/>
  <c r="T13" i="54"/>
  <c r="N40" i="54"/>
  <c r="L148" i="51"/>
  <c r="U27" i="54"/>
  <c r="S37" i="55"/>
  <c r="L135" i="51"/>
  <c r="T140" i="51"/>
  <c r="L155" i="51"/>
  <c r="T27" i="54"/>
  <c r="L30" i="54"/>
  <c r="Q54" i="54"/>
  <c r="Q90" i="54"/>
  <c r="L210" i="54"/>
  <c r="R27" i="54"/>
  <c r="L184" i="54"/>
  <c r="L121" i="51"/>
  <c r="L133" i="51"/>
  <c r="Q140" i="51"/>
  <c r="U13" i="54"/>
  <c r="L22" i="54"/>
  <c r="Q27" i="54"/>
  <c r="S40" i="54"/>
  <c r="T95" i="54"/>
  <c r="L129" i="54"/>
  <c r="L154" i="54"/>
  <c r="L180" i="54"/>
  <c r="S95" i="54"/>
  <c r="L115" i="51"/>
  <c r="L130" i="51"/>
  <c r="O140" i="51"/>
  <c r="L160" i="51"/>
  <c r="R13" i="54"/>
  <c r="L17" i="54"/>
  <c r="N27" i="54"/>
  <c r="P40" i="54"/>
  <c r="L76" i="54"/>
  <c r="O95" i="54"/>
  <c r="L125" i="54"/>
  <c r="P189" i="54"/>
  <c r="L129" i="51"/>
  <c r="L159" i="51"/>
  <c r="R127" i="51"/>
  <c r="L157" i="51"/>
  <c r="R85" i="54"/>
  <c r="L99" i="54"/>
  <c r="L172" i="51"/>
  <c r="L21" i="54"/>
  <c r="L15" i="54"/>
  <c r="L33" i="54"/>
  <c r="L46" i="54"/>
  <c r="L103" i="54"/>
  <c r="L170" i="54"/>
  <c r="L223" i="54"/>
  <c r="L173" i="51"/>
  <c r="L120" i="51"/>
  <c r="L170" i="51"/>
  <c r="L192" i="51"/>
  <c r="L19" i="54"/>
  <c r="L221" i="54"/>
  <c r="L241" i="54"/>
  <c r="L168" i="51"/>
  <c r="L188" i="51"/>
  <c r="L217" i="54"/>
  <c r="T5" i="51"/>
  <c r="L107" i="51"/>
  <c r="T127" i="51"/>
  <c r="O127" i="51"/>
  <c r="P5" i="51"/>
  <c r="L103" i="51"/>
  <c r="L116" i="51"/>
  <c r="S127" i="51"/>
  <c r="N127" i="51"/>
  <c r="R140" i="51"/>
  <c r="L147" i="51"/>
  <c r="L142" i="51"/>
  <c r="L174" i="51"/>
  <c r="L169" i="51"/>
  <c r="L191" i="51"/>
  <c r="L187" i="51"/>
  <c r="L34" i="54"/>
  <c r="L29" i="54"/>
  <c r="L44" i="54"/>
  <c r="U54" i="54"/>
  <c r="P54" i="54"/>
  <c r="P85" i="54"/>
  <c r="U90" i="54"/>
  <c r="P90" i="54"/>
  <c r="L98" i="54"/>
  <c r="L130" i="54"/>
  <c r="L126" i="54"/>
  <c r="L122" i="54"/>
  <c r="L152" i="54"/>
  <c r="L169" i="54"/>
  <c r="L206" i="54"/>
  <c r="L237" i="54"/>
  <c r="L190" i="51"/>
  <c r="L186" i="51"/>
  <c r="L48" i="54"/>
  <c r="L43" i="54"/>
  <c r="T54" i="54"/>
  <c r="N54" i="54"/>
  <c r="T85" i="54"/>
  <c r="O85" i="54"/>
  <c r="T90" i="54"/>
  <c r="N90" i="54"/>
  <c r="L156" i="54"/>
  <c r="L151" i="54"/>
  <c r="L166" i="54"/>
  <c r="L197" i="54"/>
  <c r="P127" i="51"/>
  <c r="L144" i="51"/>
  <c r="L161" i="51"/>
  <c r="L193" i="51"/>
  <c r="L189" i="51"/>
  <c r="L31" i="54"/>
  <c r="T40" i="54"/>
  <c r="O40" i="54"/>
  <c r="L47" i="54"/>
  <c r="L42" i="54"/>
  <c r="R54" i="54"/>
  <c r="M54" i="54"/>
  <c r="L80" i="54"/>
  <c r="S85" i="54"/>
  <c r="N85" i="54"/>
  <c r="R90" i="54"/>
  <c r="M90" i="54"/>
  <c r="P95" i="54"/>
  <c r="L102" i="54"/>
  <c r="L128" i="54"/>
  <c r="L155" i="54"/>
  <c r="L150" i="54"/>
  <c r="L165" i="54"/>
  <c r="T189" i="54"/>
  <c r="L193" i="54"/>
  <c r="L219" i="54"/>
  <c r="Y5" i="55" a="1"/>
  <c r="L240" i="54"/>
  <c r="L236" i="54"/>
  <c r="L239" i="54"/>
  <c r="L235" i="54"/>
  <c r="L242" i="54"/>
  <c r="L238" i="54"/>
  <c r="L222" i="54"/>
  <c r="L218" i="54"/>
  <c r="L224" i="54"/>
  <c r="L220" i="54"/>
  <c r="L209" i="54"/>
  <c r="L205" i="54"/>
  <c r="L208" i="54"/>
  <c r="L204" i="54"/>
  <c r="L211" i="54"/>
  <c r="L207" i="54"/>
  <c r="L196" i="54"/>
  <c r="L192" i="54"/>
  <c r="L195" i="54"/>
  <c r="L191" i="54"/>
  <c r="L198" i="54"/>
  <c r="L194" i="54"/>
  <c r="S189" i="54"/>
  <c r="O189" i="54"/>
  <c r="R189" i="54"/>
  <c r="N189" i="54"/>
  <c r="U189" i="54"/>
  <c r="Q189" i="54"/>
  <c r="L183" i="54"/>
  <c r="L179" i="54"/>
  <c r="L182" i="54"/>
  <c r="L178" i="54"/>
  <c r="L185" i="54"/>
  <c r="L181" i="54"/>
  <c r="S176" i="54"/>
  <c r="O176" i="54"/>
  <c r="R176" i="54"/>
  <c r="N176" i="54"/>
  <c r="U176" i="54"/>
  <c r="Q176" i="54"/>
  <c r="L168" i="54"/>
  <c r="L164" i="54"/>
  <c r="L171" i="54"/>
  <c r="L167" i="54"/>
  <c r="L157" i="54"/>
  <c r="L153" i="54"/>
  <c r="L101" i="54"/>
  <c r="L97" i="54"/>
  <c r="L104" i="54"/>
  <c r="L100" i="54"/>
  <c r="R95" i="54"/>
  <c r="N95" i="54"/>
  <c r="U95" i="54"/>
  <c r="Q95" i="54"/>
  <c r="S90" i="54"/>
  <c r="U85" i="54"/>
  <c r="Q85" i="54"/>
  <c r="L79" i="54"/>
  <c r="L75" i="54"/>
  <c r="L78" i="54"/>
  <c r="L74" i="54"/>
  <c r="L81" i="54"/>
  <c r="L77" i="54"/>
  <c r="S54" i="54"/>
  <c r="L49" i="54"/>
  <c r="L45" i="54"/>
  <c r="U40" i="54"/>
  <c r="Q40" i="54"/>
  <c r="L36" i="54"/>
  <c r="L32" i="54"/>
  <c r="S27" i="54"/>
  <c r="L20" i="54"/>
  <c r="S13" i="54"/>
  <c r="S5" i="54"/>
  <c r="O5" i="54"/>
  <c r="T5" i="54"/>
  <c r="P5" i="54"/>
  <c r="R5" i="54"/>
  <c r="N5" i="54"/>
  <c r="U5" i="54"/>
  <c r="Q5" i="54"/>
  <c r="L175" i="51"/>
  <c r="L171" i="51"/>
  <c r="L162" i="51"/>
  <c r="L158" i="51"/>
  <c r="L149" i="51"/>
  <c r="L145" i="51"/>
  <c r="L136" i="51"/>
  <c r="L132" i="51"/>
  <c r="U127" i="51"/>
  <c r="Q127" i="51"/>
  <c r="L119" i="51"/>
  <c r="L122" i="51"/>
  <c r="L118" i="51"/>
  <c r="L106" i="51"/>
  <c r="L102" i="51"/>
  <c r="L105" i="51"/>
  <c r="L101" i="51"/>
  <c r="L108" i="51"/>
  <c r="L104" i="51"/>
  <c r="L80" i="51"/>
  <c r="L76" i="51"/>
  <c r="L79" i="51"/>
  <c r="L75" i="51"/>
  <c r="L78" i="51"/>
  <c r="L74" i="51"/>
  <c r="L81" i="51"/>
  <c r="L77" i="51"/>
  <c r="P54" i="51"/>
  <c r="O54" i="51"/>
  <c r="R54" i="51"/>
  <c r="N54" i="51"/>
  <c r="T54" i="51"/>
  <c r="S54" i="51"/>
  <c r="U54" i="51"/>
  <c r="Q54" i="51"/>
  <c r="L48" i="51"/>
  <c r="L47" i="51"/>
  <c r="L46" i="51"/>
  <c r="L42" i="51"/>
  <c r="L44" i="51"/>
  <c r="L43" i="51"/>
  <c r="L49" i="51"/>
  <c r="L45" i="51"/>
  <c r="T40" i="51"/>
  <c r="O40" i="51"/>
  <c r="P40" i="51"/>
  <c r="S40" i="51"/>
  <c r="R40" i="51"/>
  <c r="N40" i="51"/>
  <c r="U40" i="51"/>
  <c r="Q40" i="51"/>
  <c r="L35" i="51"/>
  <c r="L31" i="51"/>
  <c r="L34" i="51"/>
  <c r="L30" i="51"/>
  <c r="L33" i="51"/>
  <c r="L29" i="51"/>
  <c r="L36" i="51"/>
  <c r="L32" i="51"/>
  <c r="T27" i="51"/>
  <c r="P27" i="51"/>
  <c r="S27" i="51"/>
  <c r="O27" i="51"/>
  <c r="R27" i="51"/>
  <c r="N27" i="51"/>
  <c r="U27" i="51"/>
  <c r="Q27" i="51"/>
  <c r="L19" i="51"/>
  <c r="L15" i="51"/>
  <c r="L22" i="51"/>
  <c r="L18" i="51"/>
  <c r="L14" i="51"/>
  <c r="L21" i="51"/>
  <c r="L17" i="51"/>
  <c r="L20" i="51"/>
  <c r="R13" i="51"/>
  <c r="N13" i="51"/>
  <c r="U13" i="51"/>
  <c r="Q13" i="51"/>
  <c r="M13" i="51"/>
  <c r="T13" i="51"/>
  <c r="P13" i="51"/>
  <c r="S13" i="51"/>
  <c r="S5" i="51"/>
  <c r="O5" i="51"/>
  <c r="R5" i="51"/>
  <c r="N5" i="51"/>
  <c r="U5" i="51"/>
  <c r="Q5" i="51"/>
  <c r="S38" i="55" l="1"/>
  <c r="Z5" i="55"/>
  <c r="AC5" i="55"/>
  <c r="AE5" i="55"/>
  <c r="Y5" i="55"/>
  <c r="AA5" i="55"/>
  <c r="AF5" i="55"/>
  <c r="AB5" i="55"/>
  <c r="AD5" i="55"/>
  <c r="AG5" i="55"/>
  <c r="S80" i="51"/>
  <c r="T79" i="51"/>
  <c r="O78" i="51"/>
  <c r="M81" i="51"/>
  <c r="M80" i="51"/>
  <c r="O76" i="51"/>
  <c r="S73" i="51"/>
  <c r="T81" i="54"/>
  <c r="N79" i="54"/>
  <c r="T79" i="54"/>
  <c r="U81" i="54"/>
  <c r="M78" i="54"/>
  <c r="T78" i="54"/>
  <c r="M79" i="54"/>
  <c r="T73" i="54"/>
  <c r="Q75" i="54"/>
  <c r="P23" i="51"/>
  <c r="U23" i="54"/>
  <c r="R23" i="54"/>
  <c r="P23" i="54"/>
  <c r="U23" i="51"/>
  <c r="O23" i="51"/>
  <c r="R23" i="51"/>
  <c r="T23" i="51"/>
  <c r="S23" i="51"/>
  <c r="N23" i="54"/>
  <c r="Q23" i="54"/>
  <c r="Q23" i="51"/>
  <c r="O23" i="54"/>
  <c r="M23" i="54"/>
  <c r="M28" i="54" a="1"/>
  <c r="M23" i="51"/>
  <c r="M28" i="51" a="1"/>
  <c r="N23" i="51"/>
  <c r="S23" i="54"/>
  <c r="T23" i="54"/>
  <c r="J129" i="51"/>
  <c r="I129" i="51"/>
  <c r="H129" i="51"/>
  <c r="G129" i="51"/>
  <c r="F129" i="51"/>
  <c r="E129" i="51"/>
  <c r="D129" i="51"/>
  <c r="C129" i="51"/>
  <c r="B129" i="51"/>
  <c r="J128" i="51"/>
  <c r="I128" i="51"/>
  <c r="H128" i="51"/>
  <c r="G128" i="51"/>
  <c r="F128" i="51"/>
  <c r="E128" i="51"/>
  <c r="D128" i="51"/>
  <c r="C128" i="51"/>
  <c r="B128" i="51"/>
  <c r="J127" i="51"/>
  <c r="I127" i="51"/>
  <c r="H127" i="51"/>
  <c r="G127" i="51"/>
  <c r="F127" i="51"/>
  <c r="E127" i="51"/>
  <c r="D127" i="51"/>
  <c r="C127" i="51"/>
  <c r="B127" i="51"/>
  <c r="J126" i="51"/>
  <c r="I126" i="51"/>
  <c r="H126" i="51"/>
  <c r="G126" i="51"/>
  <c r="F126" i="51"/>
  <c r="E126" i="51"/>
  <c r="D126" i="51"/>
  <c r="C126" i="51"/>
  <c r="B126" i="51"/>
  <c r="J125" i="51"/>
  <c r="I125" i="51"/>
  <c r="H125" i="51"/>
  <c r="G125" i="51"/>
  <c r="F125" i="51"/>
  <c r="E125" i="51"/>
  <c r="D125" i="51"/>
  <c r="C125" i="51"/>
  <c r="B125" i="51"/>
  <c r="A104" i="51"/>
  <c r="A105" i="51" s="1"/>
  <c r="A106" i="51" s="1"/>
  <c r="A107" i="51" s="1"/>
  <c r="A108" i="51" s="1"/>
  <c r="A109" i="51" s="1"/>
  <c r="A110" i="51" s="1"/>
  <c r="A111" i="51" s="1"/>
  <c r="A112" i="51" s="1"/>
  <c r="A113" i="51" s="1"/>
  <c r="A114" i="51" s="1"/>
  <c r="A115" i="51" s="1"/>
  <c r="A116" i="51" s="1"/>
  <c r="A117" i="51" s="1"/>
  <c r="A118" i="51" s="1"/>
  <c r="A119" i="51" s="1"/>
  <c r="A120" i="51" s="1"/>
  <c r="A121" i="51" s="1"/>
  <c r="A122" i="51" s="1"/>
  <c r="A123" i="51" s="1"/>
  <c r="AZ42" i="40" a="1"/>
  <c r="BH42" i="40" s="1"/>
  <c r="BW45" i="40"/>
  <c r="BX45" i="40" s="1"/>
  <c r="BY45" i="40" s="1"/>
  <c r="J43" i="40"/>
  <c r="K43" i="40" s="1"/>
  <c r="L43" i="40" s="1"/>
  <c r="C43" i="40"/>
  <c r="D43" i="40" s="1"/>
  <c r="E43" i="40" s="1"/>
  <c r="BW32" i="40"/>
  <c r="BX32" i="40" s="1"/>
  <c r="BY32" i="40" s="1"/>
  <c r="C30" i="40"/>
  <c r="D30" i="40" s="1"/>
  <c r="E30" i="40" s="1"/>
  <c r="F30" i="40" s="1"/>
  <c r="G30" i="40" s="1"/>
  <c r="H30" i="40" s="1"/>
  <c r="I30" i="40" s="1"/>
  <c r="J30" i="40" s="1"/>
  <c r="EJ27" i="40"/>
  <c r="EJ28" i="40" s="1"/>
  <c r="EJ29" i="40" s="1"/>
  <c r="DX27" i="40"/>
  <c r="DX28" i="40" s="1"/>
  <c r="DX29" i="40" s="1"/>
  <c r="DQ27" i="40"/>
  <c r="DQ28" i="40" s="1"/>
  <c r="DQ29" i="40" s="1"/>
  <c r="DQ30" i="40" s="1"/>
  <c r="DQ31" i="40" s="1"/>
  <c r="DQ32" i="40" s="1"/>
  <c r="DQ33" i="40" s="1"/>
  <c r="DQ34" i="40" s="1"/>
  <c r="DQ35" i="40" s="1"/>
  <c r="DQ36" i="40" s="1"/>
  <c r="DQ37" i="40" s="1"/>
  <c r="DQ38" i="40" s="1"/>
  <c r="DQ39" i="40" s="1"/>
  <c r="DQ40" i="40" s="1"/>
  <c r="DQ41" i="40" s="1"/>
  <c r="DQ42" i="40" s="1"/>
  <c r="DQ43" i="40" s="1"/>
  <c r="DQ44" i="40" s="1"/>
  <c r="DQ45" i="40" s="1"/>
  <c r="DQ46" i="40" s="1"/>
  <c r="DQ47" i="40" s="1"/>
  <c r="DQ48" i="40" s="1"/>
  <c r="DQ49" i="40" s="1"/>
  <c r="DQ50" i="40" s="1"/>
  <c r="DQ51" i="40" s="1"/>
  <c r="DQ52" i="40" s="1"/>
  <c r="DQ53" i="40" s="1"/>
  <c r="DQ54" i="40" s="1"/>
  <c r="DQ55" i="40" s="1"/>
  <c r="DQ56" i="40" s="1"/>
  <c r="DQ57" i="40" s="1"/>
  <c r="DQ58" i="40" s="1"/>
  <c r="DQ59" i="40" s="1"/>
  <c r="DQ60" i="40" s="1"/>
  <c r="DQ61" i="40" s="1"/>
  <c r="DQ62" i="40" s="1"/>
  <c r="DQ63" i="40" s="1"/>
  <c r="DQ64" i="40" s="1"/>
  <c r="DQ65" i="40" s="1"/>
  <c r="DQ66" i="40" s="1"/>
  <c r="DQ67" i="40" s="1"/>
  <c r="DQ68" i="40" s="1"/>
  <c r="DQ69" i="40" s="1"/>
  <c r="DQ70" i="40" s="1"/>
  <c r="DQ71" i="40" s="1"/>
  <c r="DQ72" i="40" s="1"/>
  <c r="DQ73" i="40" s="1"/>
  <c r="DQ74" i="40" s="1"/>
  <c r="DQ75" i="40" s="1"/>
  <c r="DQ76" i="40" s="1"/>
  <c r="DQ77" i="40" s="1"/>
  <c r="DQ78" i="40" s="1"/>
  <c r="DQ79" i="40" s="1"/>
  <c r="DQ80" i="40" s="1"/>
  <c r="DQ81" i="40" s="1"/>
  <c r="DQ82" i="40" s="1"/>
  <c r="DQ83" i="40" s="1"/>
  <c r="DQ84" i="40" s="1"/>
  <c r="DQ85" i="40" s="1"/>
  <c r="DQ86" i="40" s="1"/>
  <c r="DQ87" i="40" s="1"/>
  <c r="DQ88" i="40" s="1"/>
  <c r="DQ89" i="40" s="1"/>
  <c r="DQ90" i="40" s="1"/>
  <c r="DQ91" i="40" s="1"/>
  <c r="DQ92" i="40" s="1"/>
  <c r="DQ93" i="40" s="1"/>
  <c r="DQ94" i="40" s="1"/>
  <c r="DQ95" i="40" s="1"/>
  <c r="DQ96" i="40" s="1"/>
  <c r="DQ97" i="40" s="1"/>
  <c r="DQ98" i="40" s="1"/>
  <c r="DQ99" i="40" s="1"/>
  <c r="DQ100" i="40" s="1"/>
  <c r="DQ101" i="40" s="1"/>
  <c r="DQ102" i="40" s="1"/>
  <c r="DQ103" i="40" s="1"/>
  <c r="DQ104" i="40" s="1"/>
  <c r="DQ105" i="40" s="1"/>
  <c r="DQ106" i="40" s="1"/>
  <c r="DQ107" i="40" s="1"/>
  <c r="DQ108" i="40" s="1"/>
  <c r="DQ109" i="40" s="1"/>
  <c r="DQ110" i="40" s="1"/>
  <c r="DQ111" i="40" s="1"/>
  <c r="DQ112" i="40" s="1"/>
  <c r="DQ113" i="40" s="1"/>
  <c r="DQ114" i="40" s="1"/>
  <c r="DQ115" i="40" s="1"/>
  <c r="DQ116" i="40" s="1"/>
  <c r="DQ117" i="40" s="1"/>
  <c r="DQ118" i="40" s="1"/>
  <c r="DQ119" i="40" s="1"/>
  <c r="DQ120" i="40" s="1"/>
  <c r="DQ121" i="40" s="1"/>
  <c r="DQ122" i="40" s="1"/>
  <c r="DQ123" i="40" s="1"/>
  <c r="DQ124" i="40" s="1"/>
  <c r="DQ125" i="40" s="1"/>
  <c r="DQ126" i="40" s="1"/>
  <c r="DQ127" i="40" s="1"/>
  <c r="DQ128" i="40" s="1"/>
  <c r="DQ129" i="40" s="1"/>
  <c r="DQ130" i="40" s="1"/>
  <c r="DQ131" i="40" s="1"/>
  <c r="DQ132" i="40" s="1"/>
  <c r="DQ133" i="40" s="1"/>
  <c r="DQ134" i="40" s="1"/>
  <c r="DQ135" i="40" s="1"/>
  <c r="DQ136" i="40" s="1"/>
  <c r="DQ137" i="40" s="1"/>
  <c r="DQ138" i="40" s="1"/>
  <c r="DQ139" i="40" s="1"/>
  <c r="DQ140" i="40" s="1"/>
  <c r="DQ141" i="40" s="1"/>
  <c r="DQ142" i="40" s="1"/>
  <c r="DQ143" i="40" s="1"/>
  <c r="DQ144" i="40" s="1"/>
  <c r="DQ145" i="40" s="1"/>
  <c r="EL25" i="40"/>
  <c r="EM25" i="40" s="1"/>
  <c r="EN25" i="40" s="1"/>
  <c r="EE25" i="40"/>
  <c r="EF25" i="40" s="1"/>
  <c r="EG25" i="40" s="1"/>
  <c r="DZ25" i="40"/>
  <c r="EA25" i="40" s="1"/>
  <c r="EB25" i="40" s="1"/>
  <c r="DU25" i="40"/>
  <c r="DS25" i="40"/>
  <c r="DT25" i="40" s="1"/>
  <c r="DG25" i="40"/>
  <c r="DH25" i="40" s="1"/>
  <c r="DI25" i="40" s="1"/>
  <c r="CO25" i="40"/>
  <c r="CP25" i="40" s="1"/>
  <c r="CQ25" i="40" s="1"/>
  <c r="CY20" i="40"/>
  <c r="CY21" i="40" s="1"/>
  <c r="CY22" i="40" s="1"/>
  <c r="CY23" i="40" s="1"/>
  <c r="CY24" i="40" s="1"/>
  <c r="CY25" i="40" s="1"/>
  <c r="CY26" i="40" s="1"/>
  <c r="CY27" i="40" s="1"/>
  <c r="CY28" i="40" s="1"/>
  <c r="CY29" i="40" s="1"/>
  <c r="CY30" i="40" s="1"/>
  <c r="CY31" i="40" s="1"/>
  <c r="CY32" i="40" s="1"/>
  <c r="CY33" i="40" s="1"/>
  <c r="CY34" i="40" s="1"/>
  <c r="CY35" i="40" s="1"/>
  <c r="CY36" i="40" s="1"/>
  <c r="CY37" i="40" s="1"/>
  <c r="CY38" i="40" s="1"/>
  <c r="CY39" i="40" s="1"/>
  <c r="CY40" i="40" s="1"/>
  <c r="CY41" i="40" s="1"/>
  <c r="CY42" i="40" s="1"/>
  <c r="CY43" i="40" s="1"/>
  <c r="CY44" i="40" s="1"/>
  <c r="CY45" i="40" s="1"/>
  <c r="CY46" i="40" s="1"/>
  <c r="CY47" i="40" s="1"/>
  <c r="CY48" i="40" s="1"/>
  <c r="CY49" i="40" s="1"/>
  <c r="CY50" i="40" s="1"/>
  <c r="CY51" i="40" s="1"/>
  <c r="CY52" i="40" s="1"/>
  <c r="CY53" i="40" s="1"/>
  <c r="CY54" i="40" s="1"/>
  <c r="CY55" i="40" s="1"/>
  <c r="CY56" i="40" s="1"/>
  <c r="CY57" i="40" s="1"/>
  <c r="CY58" i="40" s="1"/>
  <c r="CY59" i="40" s="1"/>
  <c r="CY60" i="40" s="1"/>
  <c r="CY61" i="40" s="1"/>
  <c r="CY62" i="40" s="1"/>
  <c r="CY63" i="40" s="1"/>
  <c r="CY64" i="40" s="1"/>
  <c r="CY65" i="40" s="1"/>
  <c r="CY66" i="40" s="1"/>
  <c r="CY67" i="40" s="1"/>
  <c r="CY68" i="40" s="1"/>
  <c r="CY69" i="40" s="1"/>
  <c r="CY70" i="40" s="1"/>
  <c r="CY71" i="40" s="1"/>
  <c r="CY72" i="40" s="1"/>
  <c r="CY73" i="40" s="1"/>
  <c r="CY74" i="40" s="1"/>
  <c r="CY75" i="40" s="1"/>
  <c r="CY76" i="40" s="1"/>
  <c r="CY77" i="40" s="1"/>
  <c r="CY78" i="40" s="1"/>
  <c r="CY79" i="40" s="1"/>
  <c r="CY80" i="40" s="1"/>
  <c r="CY81" i="40" s="1"/>
  <c r="CY82" i="40" s="1"/>
  <c r="CY83" i="40" s="1"/>
  <c r="CY84" i="40" s="1"/>
  <c r="CY85" i="40" s="1"/>
  <c r="CY86" i="40" s="1"/>
  <c r="CY87" i="40" s="1"/>
  <c r="CY88" i="40" s="1"/>
  <c r="CY89" i="40" s="1"/>
  <c r="CY90" i="40" s="1"/>
  <c r="CY91" i="40" s="1"/>
  <c r="CY92" i="40" s="1"/>
  <c r="CY93" i="40" s="1"/>
  <c r="CY94" i="40" s="1"/>
  <c r="CY95" i="40" s="1"/>
  <c r="CY96" i="40" s="1"/>
  <c r="CY97" i="40" s="1"/>
  <c r="CY98" i="40" s="1"/>
  <c r="CY99" i="40" s="1"/>
  <c r="CY100" i="40" s="1"/>
  <c r="CY101" i="40" s="1"/>
  <c r="CY102" i="40" s="1"/>
  <c r="CY103" i="40" s="1"/>
  <c r="CY104" i="40" s="1"/>
  <c r="CY105" i="40" s="1"/>
  <c r="CY106" i="40" s="1"/>
  <c r="CY107" i="40" s="1"/>
  <c r="CY108" i="40" s="1"/>
  <c r="CY109" i="40" s="1"/>
  <c r="CY110" i="40" s="1"/>
  <c r="CY111" i="40" s="1"/>
  <c r="CY112" i="40" s="1"/>
  <c r="CY113" i="40" s="1"/>
  <c r="CY114" i="40" s="1"/>
  <c r="CY115" i="40" s="1"/>
  <c r="CY116" i="40" s="1"/>
  <c r="CY117" i="40" s="1"/>
  <c r="CY118" i="40" s="1"/>
  <c r="CY119" i="40" s="1"/>
  <c r="CY120" i="40" s="1"/>
  <c r="CY121" i="40" s="1"/>
  <c r="CY122" i="40" s="1"/>
  <c r="CY123" i="40" s="1"/>
  <c r="CY124" i="40" s="1"/>
  <c r="CY125" i="40" s="1"/>
  <c r="CY126" i="40" s="1"/>
  <c r="CY127" i="40" s="1"/>
  <c r="CY128" i="40" s="1"/>
  <c r="CY129" i="40" s="1"/>
  <c r="CY130" i="40" s="1"/>
  <c r="CY131" i="40" s="1"/>
  <c r="CY132" i="40" s="1"/>
  <c r="CY133" i="40" s="1"/>
  <c r="CY134" i="40" s="1"/>
  <c r="CY135" i="40" s="1"/>
  <c r="CY136" i="40" s="1"/>
  <c r="CY137" i="40" s="1"/>
  <c r="CY138" i="40" s="1"/>
  <c r="CG20" i="40"/>
  <c r="CG21" i="40" s="1"/>
  <c r="CG22" i="40" s="1"/>
  <c r="CG23" i="40" s="1"/>
  <c r="CG24" i="40" s="1"/>
  <c r="CG25" i="40" s="1"/>
  <c r="CG26" i="40" s="1"/>
  <c r="CG27" i="40" s="1"/>
  <c r="CG28" i="40" s="1"/>
  <c r="CG29" i="40" s="1"/>
  <c r="CG30" i="40" s="1"/>
  <c r="CG31" i="40" s="1"/>
  <c r="CG32" i="40" s="1"/>
  <c r="CG33" i="40" s="1"/>
  <c r="CG34" i="40" s="1"/>
  <c r="CG35" i="40" s="1"/>
  <c r="CG36" i="40" s="1"/>
  <c r="CG37" i="40" s="1"/>
  <c r="CG38" i="40" s="1"/>
  <c r="CG39" i="40" s="1"/>
  <c r="CG40" i="40" s="1"/>
  <c r="CG41" i="40" s="1"/>
  <c r="CG42" i="40" s="1"/>
  <c r="CG43" i="40" s="1"/>
  <c r="CG44" i="40" s="1"/>
  <c r="CG45" i="40" s="1"/>
  <c r="CG46" i="40" s="1"/>
  <c r="CG47" i="40" s="1"/>
  <c r="CG48" i="40" s="1"/>
  <c r="CG49" i="40" s="1"/>
  <c r="CG50" i="40" s="1"/>
  <c r="CG51" i="40" s="1"/>
  <c r="CG52" i="40" s="1"/>
  <c r="CG53" i="40" s="1"/>
  <c r="CG54" i="40" s="1"/>
  <c r="CG55" i="40" s="1"/>
  <c r="CG56" i="40" s="1"/>
  <c r="CG57" i="40" s="1"/>
  <c r="CG58" i="40" s="1"/>
  <c r="CG59" i="40" s="1"/>
  <c r="CG60" i="40" s="1"/>
  <c r="CG61" i="40" s="1"/>
  <c r="CG62" i="40" s="1"/>
  <c r="CG63" i="40" s="1"/>
  <c r="CG64" i="40" s="1"/>
  <c r="CG65" i="40" s="1"/>
  <c r="CG66" i="40" s="1"/>
  <c r="CG67" i="40" s="1"/>
  <c r="CG68" i="40" s="1"/>
  <c r="CG69" i="40" s="1"/>
  <c r="CG70" i="40" s="1"/>
  <c r="CG71" i="40" s="1"/>
  <c r="CG72" i="40" s="1"/>
  <c r="CG73" i="40" s="1"/>
  <c r="CG74" i="40" s="1"/>
  <c r="CG75" i="40" s="1"/>
  <c r="CG76" i="40" s="1"/>
  <c r="CG77" i="40" s="1"/>
  <c r="CG78" i="40" s="1"/>
  <c r="CG79" i="40" s="1"/>
  <c r="CG80" i="40" s="1"/>
  <c r="CG81" i="40" s="1"/>
  <c r="CG82" i="40" s="1"/>
  <c r="CG83" i="40" s="1"/>
  <c r="CG84" i="40" s="1"/>
  <c r="CG85" i="40" s="1"/>
  <c r="CG86" i="40" s="1"/>
  <c r="CG87" i="40" s="1"/>
  <c r="CG88" i="40" s="1"/>
  <c r="CG89" i="40" s="1"/>
  <c r="CG90" i="40" s="1"/>
  <c r="CG91" i="40" s="1"/>
  <c r="CG92" i="40" s="1"/>
  <c r="CG93" i="40" s="1"/>
  <c r="CG94" i="40" s="1"/>
  <c r="CG95" i="40" s="1"/>
  <c r="CG96" i="40" s="1"/>
  <c r="CG97" i="40" s="1"/>
  <c r="CG98" i="40" s="1"/>
  <c r="CG99" i="40" s="1"/>
  <c r="CG100" i="40" s="1"/>
  <c r="CG101" i="40" s="1"/>
  <c r="CG102" i="40" s="1"/>
  <c r="CG103" i="40" s="1"/>
  <c r="CG104" i="40" s="1"/>
  <c r="CG105" i="40" s="1"/>
  <c r="CG106" i="40" s="1"/>
  <c r="CG107" i="40" s="1"/>
  <c r="CG108" i="40" s="1"/>
  <c r="CG109" i="40" s="1"/>
  <c r="CG110" i="40" s="1"/>
  <c r="CG111" i="40" s="1"/>
  <c r="CG112" i="40" s="1"/>
  <c r="CG113" i="40" s="1"/>
  <c r="CG114" i="40" s="1"/>
  <c r="CG115" i="40" s="1"/>
  <c r="CG116" i="40" s="1"/>
  <c r="CG117" i="40" s="1"/>
  <c r="CG118" i="40" s="1"/>
  <c r="CG119" i="40" s="1"/>
  <c r="CG120" i="40" s="1"/>
  <c r="CG121" i="40" s="1"/>
  <c r="CG122" i="40" s="1"/>
  <c r="CG123" i="40" s="1"/>
  <c r="CG124" i="40" s="1"/>
  <c r="CG125" i="40" s="1"/>
  <c r="CG126" i="40" s="1"/>
  <c r="CG127" i="40" s="1"/>
  <c r="CG128" i="40" s="1"/>
  <c r="CG129" i="40" s="1"/>
  <c r="CG130" i="40" s="1"/>
  <c r="CG131" i="40" s="1"/>
  <c r="CG132" i="40" s="1"/>
  <c r="CG133" i="40" s="1"/>
  <c r="CG134" i="40" s="1"/>
  <c r="CG135" i="40" s="1"/>
  <c r="CG136" i="40" s="1"/>
  <c r="CG137" i="40" s="1"/>
  <c r="CG138" i="40" s="1"/>
  <c r="DA18" i="40"/>
  <c r="DB18" i="40" s="1"/>
  <c r="DC18" i="40" s="1"/>
  <c r="CI18" i="40"/>
  <c r="CJ18" i="40" s="1"/>
  <c r="CK18" i="40" s="1"/>
  <c r="BW18" i="40"/>
  <c r="BX18" i="40" s="1"/>
  <c r="BY18" i="40" s="1"/>
  <c r="BW5" i="40"/>
  <c r="BX5" i="40" s="1"/>
  <c r="BY5" i="40" s="1"/>
  <c r="BA42" i="40" l="1"/>
  <c r="S39" i="55"/>
  <c r="BE42" i="40"/>
  <c r="BF42" i="40"/>
  <c r="AK5" i="55" a="1"/>
  <c r="BB42" i="40"/>
  <c r="R75" i="54"/>
  <c r="U80" i="54"/>
  <c r="N80" i="54"/>
  <c r="S73" i="54"/>
  <c r="U77" i="54"/>
  <c r="S75" i="54"/>
  <c r="O74" i="54"/>
  <c r="S81" i="54"/>
  <c r="O79" i="51"/>
  <c r="O81" i="51"/>
  <c r="N77" i="51"/>
  <c r="O73" i="51"/>
  <c r="N75" i="51"/>
  <c r="N78" i="51"/>
  <c r="N75" i="54"/>
  <c r="N74" i="54"/>
  <c r="N81" i="54"/>
  <c r="U76" i="54"/>
  <c r="O77" i="51"/>
  <c r="Q78" i="54"/>
  <c r="T74" i="54"/>
  <c r="Q73" i="54"/>
  <c r="Q76" i="54"/>
  <c r="T76" i="54"/>
  <c r="T75" i="54"/>
  <c r="U77" i="51"/>
  <c r="Q76" i="51"/>
  <c r="Q77" i="51"/>
  <c r="Q78" i="51"/>
  <c r="P73" i="54"/>
  <c r="S77" i="54"/>
  <c r="S76" i="54"/>
  <c r="U74" i="54"/>
  <c r="N77" i="54"/>
  <c r="N76" i="54"/>
  <c r="S74" i="54"/>
  <c r="N73" i="54"/>
  <c r="U73" i="54"/>
  <c r="U79" i="54"/>
  <c r="O74" i="51"/>
  <c r="N81" i="51"/>
  <c r="O80" i="51"/>
  <c r="R73" i="54"/>
  <c r="R77" i="54"/>
  <c r="R74" i="54"/>
  <c r="T77" i="51"/>
  <c r="M76" i="51"/>
  <c r="T78" i="51"/>
  <c r="M74" i="51"/>
  <c r="R76" i="54"/>
  <c r="R79" i="54"/>
  <c r="T81" i="51"/>
  <c r="M77" i="51"/>
  <c r="T74" i="51"/>
  <c r="R81" i="54"/>
  <c r="R80" i="54"/>
  <c r="M78" i="51"/>
  <c r="T80" i="51"/>
  <c r="T75" i="51"/>
  <c r="M79" i="51"/>
  <c r="T73" i="51"/>
  <c r="T76" i="51"/>
  <c r="M73" i="51"/>
  <c r="X6" i="55" a="1"/>
  <c r="M28" i="54"/>
  <c r="T36" i="54"/>
  <c r="M35" i="54"/>
  <c r="O33" i="54"/>
  <c r="Q31" i="54"/>
  <c r="S29" i="54"/>
  <c r="S36" i="54"/>
  <c r="U34" i="54"/>
  <c r="N33" i="54"/>
  <c r="P31" i="54"/>
  <c r="R29" i="54"/>
  <c r="R36" i="54"/>
  <c r="T34" i="54"/>
  <c r="M33" i="54"/>
  <c r="O31" i="54"/>
  <c r="Q29" i="54"/>
  <c r="U36" i="54"/>
  <c r="N35" i="54"/>
  <c r="P33" i="54"/>
  <c r="R31" i="54"/>
  <c r="T29" i="54"/>
  <c r="P36" i="54"/>
  <c r="R34" i="54"/>
  <c r="T32" i="54"/>
  <c r="M31" i="54"/>
  <c r="O29" i="54"/>
  <c r="O36" i="54"/>
  <c r="Q34" i="54"/>
  <c r="S32" i="54"/>
  <c r="U30" i="54"/>
  <c r="N29" i="54"/>
  <c r="N36" i="54"/>
  <c r="P34" i="54"/>
  <c r="R32" i="54"/>
  <c r="T30" i="54"/>
  <c r="M29" i="54"/>
  <c r="Q36" i="54"/>
  <c r="S34" i="54"/>
  <c r="U32" i="54"/>
  <c r="N31" i="54"/>
  <c r="P29" i="54"/>
  <c r="N34" i="54"/>
  <c r="R30" i="54"/>
  <c r="T35" i="54"/>
  <c r="O32" i="54"/>
  <c r="S28" i="54"/>
  <c r="U33" i="54"/>
  <c r="P30" i="54"/>
  <c r="M36" i="54"/>
  <c r="Q32" i="54"/>
  <c r="U28" i="54"/>
  <c r="S33" i="54"/>
  <c r="N30" i="54"/>
  <c r="P35" i="54"/>
  <c r="T31" i="54"/>
  <c r="O28" i="54"/>
  <c r="Q33" i="54"/>
  <c r="U29" i="54"/>
  <c r="R35" i="54"/>
  <c r="M32" i="54"/>
  <c r="Q28" i="54"/>
  <c r="U35" i="54"/>
  <c r="P32" i="54"/>
  <c r="T28" i="54"/>
  <c r="M34" i="54"/>
  <c r="Q30" i="54"/>
  <c r="S35" i="54"/>
  <c r="N32" i="54"/>
  <c r="R28" i="54"/>
  <c r="O34" i="54"/>
  <c r="S30" i="54"/>
  <c r="Q35" i="54"/>
  <c r="U31" i="54"/>
  <c r="P28" i="54"/>
  <c r="R33" i="54"/>
  <c r="M30" i="54"/>
  <c r="O35" i="54"/>
  <c r="S31" i="54"/>
  <c r="N28" i="54"/>
  <c r="T33" i="54"/>
  <c r="O30" i="54"/>
  <c r="P75" i="54"/>
  <c r="P81" i="54"/>
  <c r="M74" i="54"/>
  <c r="M75" i="54"/>
  <c r="M81" i="54"/>
  <c r="S75" i="51"/>
  <c r="P74" i="51"/>
  <c r="U73" i="51"/>
  <c r="R73" i="51"/>
  <c r="S77" i="51"/>
  <c r="U74" i="51"/>
  <c r="Q74" i="51"/>
  <c r="R78" i="51"/>
  <c r="P73" i="51"/>
  <c r="M28" i="51"/>
  <c r="T36" i="51"/>
  <c r="S33" i="51"/>
  <c r="R30" i="51"/>
  <c r="T35" i="51"/>
  <c r="S32" i="51"/>
  <c r="R29" i="51"/>
  <c r="S35" i="51"/>
  <c r="U33" i="51"/>
  <c r="N32" i="51"/>
  <c r="P30" i="51"/>
  <c r="R28" i="51"/>
  <c r="N34" i="51"/>
  <c r="N30" i="51"/>
  <c r="P35" i="51"/>
  <c r="P31" i="51"/>
  <c r="U36" i="51"/>
  <c r="N35" i="51"/>
  <c r="P33" i="51"/>
  <c r="R31" i="51"/>
  <c r="T29" i="51"/>
  <c r="U35" i="51"/>
  <c r="T32" i="51"/>
  <c r="S29" i="51"/>
  <c r="U34" i="51"/>
  <c r="T31" i="51"/>
  <c r="S28" i="51"/>
  <c r="O35" i="51"/>
  <c r="Q33" i="51"/>
  <c r="S31" i="51"/>
  <c r="U29" i="51"/>
  <c r="N28" i="51"/>
  <c r="O33" i="51"/>
  <c r="O29" i="51"/>
  <c r="M34" i="51"/>
  <c r="M30" i="51"/>
  <c r="Q36" i="51"/>
  <c r="S34" i="51"/>
  <c r="U32" i="51"/>
  <c r="N31" i="51"/>
  <c r="P29" i="51"/>
  <c r="M31" i="51"/>
  <c r="R33" i="51"/>
  <c r="N36" i="51"/>
  <c r="R32" i="51"/>
  <c r="M29" i="51"/>
  <c r="Q31" i="51"/>
  <c r="O32" i="51"/>
  <c r="R35" i="51"/>
  <c r="M32" i="51"/>
  <c r="Q28" i="51"/>
  <c r="M33" i="51"/>
  <c r="N33" i="51"/>
  <c r="Q32" i="51"/>
  <c r="Q35" i="51"/>
  <c r="T28" i="51"/>
  <c r="U30" i="51"/>
  <c r="T34" i="51"/>
  <c r="O31" i="51"/>
  <c r="P36" i="51"/>
  <c r="P28" i="51"/>
  <c r="N29" i="51"/>
  <c r="O34" i="51"/>
  <c r="S30" i="51"/>
  <c r="R34" i="51"/>
  <c r="S36" i="51"/>
  <c r="Q30" i="51"/>
  <c r="P34" i="51"/>
  <c r="T30" i="51"/>
  <c r="M35" i="51"/>
  <c r="O36" i="51"/>
  <c r="O28" i="51"/>
  <c r="T33" i="51"/>
  <c r="O30" i="51"/>
  <c r="U31" i="51"/>
  <c r="Q34" i="51"/>
  <c r="R36" i="51"/>
  <c r="Q29" i="51"/>
  <c r="P32" i="51"/>
  <c r="M36" i="51"/>
  <c r="U28" i="51"/>
  <c r="V23" i="54"/>
  <c r="O81" i="54"/>
  <c r="S78" i="54"/>
  <c r="Q80" i="54"/>
  <c r="T80" i="54"/>
  <c r="Q79" i="54"/>
  <c r="Q81" i="54"/>
  <c r="P74" i="54"/>
  <c r="M80" i="54"/>
  <c r="P80" i="54"/>
  <c r="O73" i="54"/>
  <c r="O79" i="54"/>
  <c r="T77" i="54"/>
  <c r="U78" i="54"/>
  <c r="N78" i="54"/>
  <c r="R77" i="51"/>
  <c r="Q79" i="51"/>
  <c r="P75" i="51"/>
  <c r="S79" i="51"/>
  <c r="N74" i="51"/>
  <c r="O75" i="51"/>
  <c r="U80" i="51"/>
  <c r="P79" i="51"/>
  <c r="N80" i="51"/>
  <c r="S78" i="51"/>
  <c r="S81" i="51"/>
  <c r="R74" i="51"/>
  <c r="P77" i="51"/>
  <c r="P80" i="51"/>
  <c r="R76" i="51"/>
  <c r="M73" i="54"/>
  <c r="P79" i="54"/>
  <c r="R75" i="51"/>
  <c r="R81" i="51"/>
  <c r="U81" i="51"/>
  <c r="Q80" i="51"/>
  <c r="P76" i="51"/>
  <c r="V23" i="51"/>
  <c r="O75" i="54"/>
  <c r="P77" i="54"/>
  <c r="P78" i="54"/>
  <c r="O77" i="54"/>
  <c r="M77" i="54"/>
  <c r="U75" i="54"/>
  <c r="S79" i="54"/>
  <c r="O78" i="54"/>
  <c r="O80" i="54"/>
  <c r="R78" i="54"/>
  <c r="S80" i="54"/>
  <c r="Q77" i="54"/>
  <c r="O76" i="54"/>
  <c r="M76" i="54"/>
  <c r="Q74" i="54"/>
  <c r="P76" i="54"/>
  <c r="N73" i="51"/>
  <c r="P81" i="51"/>
  <c r="Q81" i="51"/>
  <c r="U75" i="51"/>
  <c r="R79" i="51"/>
  <c r="Q75" i="51"/>
  <c r="N76" i="51"/>
  <c r="S74" i="51"/>
  <c r="R80" i="51"/>
  <c r="Q73" i="51"/>
  <c r="N79" i="51"/>
  <c r="M86" i="51" a="1"/>
  <c r="M75" i="51"/>
  <c r="S76" i="51"/>
  <c r="P78" i="51"/>
  <c r="U78" i="51"/>
  <c r="U76" i="51"/>
  <c r="U79" i="51"/>
  <c r="L6" i="41"/>
  <c r="BC42" i="40"/>
  <c r="BG42" i="40"/>
  <c r="AZ42" i="40"/>
  <c r="BD42" i="40"/>
  <c r="J129" i="39"/>
  <c r="I129" i="39"/>
  <c r="H129" i="39"/>
  <c r="G129" i="39"/>
  <c r="F129" i="39"/>
  <c r="E129" i="39"/>
  <c r="D129" i="39"/>
  <c r="C129" i="39"/>
  <c r="B129" i="39"/>
  <c r="J128" i="39"/>
  <c r="I128" i="39"/>
  <c r="H128" i="39"/>
  <c r="G128" i="39"/>
  <c r="F128" i="39"/>
  <c r="E128" i="39"/>
  <c r="D128" i="39"/>
  <c r="C128" i="39"/>
  <c r="B128" i="39"/>
  <c r="J127" i="39"/>
  <c r="I127" i="39"/>
  <c r="H127" i="39"/>
  <c r="G127" i="39"/>
  <c r="F127" i="39"/>
  <c r="E127" i="39"/>
  <c r="D127" i="39"/>
  <c r="C127" i="39"/>
  <c r="B127" i="39"/>
  <c r="J126" i="39"/>
  <c r="I126" i="39"/>
  <c r="H126" i="39"/>
  <c r="G126" i="39"/>
  <c r="F126" i="39"/>
  <c r="E126" i="39"/>
  <c r="D126" i="39"/>
  <c r="C126" i="39"/>
  <c r="B126" i="39"/>
  <c r="J125" i="39"/>
  <c r="I125" i="39"/>
  <c r="H125" i="39"/>
  <c r="G125" i="39"/>
  <c r="F125" i="39"/>
  <c r="E125" i="39"/>
  <c r="D125" i="39"/>
  <c r="C125" i="39"/>
  <c r="B125" i="39"/>
  <c r="AD121" i="39"/>
  <c r="A104" i="39"/>
  <c r="AS61" i="39" a="1"/>
  <c r="W5" i="39"/>
  <c r="W6" i="39" s="1"/>
  <c r="W7" i="39" s="1"/>
  <c r="W8" i="39" s="1"/>
  <c r="W9" i="39" s="1"/>
  <c r="W10" i="39" s="1"/>
  <c r="W11" i="39" s="1"/>
  <c r="W12" i="39" s="1"/>
  <c r="W13" i="39" s="1"/>
  <c r="W14" i="39" s="1"/>
  <c r="W15" i="39" s="1"/>
  <c r="W16" i="39" s="1"/>
  <c r="W17" i="39" s="1"/>
  <c r="W18" i="39" s="1"/>
  <c r="W19" i="39" s="1"/>
  <c r="W20" i="39" s="1"/>
  <c r="W21" i="39" s="1"/>
  <c r="W22" i="39" s="1"/>
  <c r="W23" i="39" s="1"/>
  <c r="W24" i="39" s="1"/>
  <c r="W25" i="39" s="1"/>
  <c r="W26" i="39" s="1"/>
  <c r="W27" i="39" s="1"/>
  <c r="W28" i="39" s="1"/>
  <c r="W29" i="39" s="1"/>
  <c r="W30" i="39" s="1"/>
  <c r="W31" i="39" s="1"/>
  <c r="W32" i="39" s="1"/>
  <c r="W33" i="39" s="1"/>
  <c r="W34" i="39" s="1"/>
  <c r="W35" i="39" s="1"/>
  <c r="W36" i="39" s="1"/>
  <c r="W37" i="39" s="1"/>
  <c r="W38" i="39" s="1"/>
  <c r="W39" i="39" s="1"/>
  <c r="W40" i="39" s="1"/>
  <c r="W41" i="39" s="1"/>
  <c r="W42" i="39" s="1"/>
  <c r="W43" i="39" s="1"/>
  <c r="W44" i="39" s="1"/>
  <c r="W45" i="39" s="1"/>
  <c r="W46" i="39" s="1"/>
  <c r="W47" i="39" s="1"/>
  <c r="W48" i="39" s="1"/>
  <c r="W49" i="39" s="1"/>
  <c r="W50" i="39" s="1"/>
  <c r="W51" i="39" s="1"/>
  <c r="W52" i="39" s="1"/>
  <c r="W53" i="39" s="1"/>
  <c r="W54" i="39" s="1"/>
  <c r="W55" i="39" s="1"/>
  <c r="W56" i="39" s="1"/>
  <c r="W57" i="39" s="1"/>
  <c r="W58" i="39" s="1"/>
  <c r="W59" i="39" s="1"/>
  <c r="W60" i="39" s="1"/>
  <c r="W61" i="39" s="1"/>
  <c r="W62" i="39" s="1"/>
  <c r="W63" i="39" s="1"/>
  <c r="W64" i="39" s="1"/>
  <c r="W65" i="39" s="1"/>
  <c r="W66" i="39" s="1"/>
  <c r="W67" i="39" s="1"/>
  <c r="W68" i="39" s="1"/>
  <c r="W69" i="39" s="1"/>
  <c r="W70" i="39" s="1"/>
  <c r="W71" i="39" s="1"/>
  <c r="W72" i="39" s="1"/>
  <c r="W73" i="39" s="1"/>
  <c r="W74" i="39" s="1"/>
  <c r="W75" i="39" s="1"/>
  <c r="W76" i="39" s="1"/>
  <c r="W77" i="39" s="1"/>
  <c r="W78" i="39" s="1"/>
  <c r="W79" i="39" s="1"/>
  <c r="W80" i="39" s="1"/>
  <c r="W81" i="39" s="1"/>
  <c r="W82" i="39" s="1"/>
  <c r="W83" i="39" s="1"/>
  <c r="W84" i="39" s="1"/>
  <c r="W85" i="39" s="1"/>
  <c r="W86" i="39" s="1"/>
  <c r="W87" i="39" s="1"/>
  <c r="W88" i="39" s="1"/>
  <c r="W89" i="39" s="1"/>
  <c r="W90" i="39" s="1"/>
  <c r="W91" i="39" s="1"/>
  <c r="W92" i="39" s="1"/>
  <c r="W93" i="39" s="1"/>
  <c r="W94" i="39" s="1"/>
  <c r="W95" i="39" s="1"/>
  <c r="W96" i="39" s="1"/>
  <c r="W97" i="39" s="1"/>
  <c r="W98" i="39" s="1"/>
  <c r="W99" i="39" s="1"/>
  <c r="W100" i="39" s="1"/>
  <c r="W101" i="39" s="1"/>
  <c r="W102" i="39" s="1"/>
  <c r="W103" i="39" s="1"/>
  <c r="W104" i="39" s="1"/>
  <c r="W105" i="39" s="1"/>
  <c r="W106" i="39" s="1"/>
  <c r="W107" i="39" s="1"/>
  <c r="W108" i="39" s="1"/>
  <c r="W109" i="39" s="1"/>
  <c r="W110" i="39" s="1"/>
  <c r="W111" i="39" s="1"/>
  <c r="W112" i="39" s="1"/>
  <c r="W113" i="39" s="1"/>
  <c r="W114" i="39" s="1"/>
  <c r="W115" i="39" s="1"/>
  <c r="W116" i="39" s="1"/>
  <c r="W117" i="39" s="1"/>
  <c r="W118" i="39" s="1"/>
  <c r="W119" i="39" s="1"/>
  <c r="W120" i="39" s="1"/>
  <c r="W121" i="39" s="1"/>
  <c r="W122" i="39" s="1"/>
  <c r="W123" i="39" s="1"/>
  <c r="M3" i="39" a="1"/>
  <c r="R3" i="39" s="1"/>
  <c r="M41" i="54" l="1" a="1"/>
  <c r="M41" i="51" a="1"/>
  <c r="S40" i="55"/>
  <c r="P3" i="39"/>
  <c r="AF58" i="39"/>
  <c r="G5" i="40"/>
  <c r="G5" i="41"/>
  <c r="X8" i="39"/>
  <c r="AZ43" i="40" a="1"/>
  <c r="BB43" i="40" s="1"/>
  <c r="BB44" i="40" s="1"/>
  <c r="M100" i="51" a="1"/>
  <c r="O107" i="51" s="1"/>
  <c r="AR5" i="55"/>
  <c r="AO5" i="55"/>
  <c r="AS5" i="55"/>
  <c r="AM5" i="55"/>
  <c r="AP5" i="55"/>
  <c r="AK5" i="55"/>
  <c r="AQ5" i="55"/>
  <c r="AL5" i="55"/>
  <c r="AN5" i="55"/>
  <c r="E5" i="41"/>
  <c r="E5" i="40"/>
  <c r="U3" i="39"/>
  <c r="A105" i="39"/>
  <c r="A106" i="39" s="1"/>
  <c r="A107" i="39" s="1"/>
  <c r="A108" i="39" s="1"/>
  <c r="A109" i="39" s="1"/>
  <c r="A110" i="39" s="1"/>
  <c r="A111" i="39" s="1"/>
  <c r="A112" i="39" s="1"/>
  <c r="A113" i="39" s="1"/>
  <c r="A114" i="39" s="1"/>
  <c r="A115" i="39" s="1"/>
  <c r="A116" i="39" s="1"/>
  <c r="A117" i="39" s="1"/>
  <c r="A118" i="39" s="1"/>
  <c r="A119" i="39" s="1"/>
  <c r="A120" i="39" s="1"/>
  <c r="A121" i="39" s="1"/>
  <c r="A122" i="39" s="1"/>
  <c r="A123" i="39" s="1"/>
  <c r="W73" i="54"/>
  <c r="W78" i="54"/>
  <c r="W81" i="51"/>
  <c r="Z103" i="39"/>
  <c r="Z28" i="39"/>
  <c r="AD48" i="39"/>
  <c r="AD13" i="39"/>
  <c r="AD81" i="39"/>
  <c r="Z5" i="39"/>
  <c r="AD8" i="39"/>
  <c r="AD18" i="39"/>
  <c r="AD35" i="39"/>
  <c r="AD55" i="39"/>
  <c r="Z62" i="39"/>
  <c r="Z84" i="39"/>
  <c r="Z6" i="39"/>
  <c r="AD9" i="39"/>
  <c r="Z20" i="39"/>
  <c r="Z38" i="39"/>
  <c r="AD57" i="39"/>
  <c r="Z70" i="39"/>
  <c r="Z92" i="39"/>
  <c r="Z111" i="39"/>
  <c r="Z4" i="39"/>
  <c r="AF12" i="39"/>
  <c r="AD25" i="39"/>
  <c r="AD46" i="39"/>
  <c r="Z73" i="39"/>
  <c r="Z95" i="39"/>
  <c r="AD113" i="39"/>
  <c r="AC105" i="39"/>
  <c r="X18" i="39"/>
  <c r="AB19" i="39"/>
  <c r="AF40" i="39"/>
  <c r="BG43" i="40"/>
  <c r="BG44" i="40" s="1"/>
  <c r="AE22" i="39"/>
  <c r="Z117" i="39"/>
  <c r="Z114" i="39"/>
  <c r="Z109" i="39"/>
  <c r="Z106" i="39"/>
  <c r="Z101" i="39"/>
  <c r="Z96" i="39"/>
  <c r="Z93" i="39"/>
  <c r="Z90" i="39"/>
  <c r="Z82" i="39"/>
  <c r="Z79" i="39"/>
  <c r="Z71" i="39"/>
  <c r="Z68" i="39"/>
  <c r="Z63" i="39"/>
  <c r="Z56" i="39"/>
  <c r="Z54" i="39"/>
  <c r="Z52" i="39"/>
  <c r="Z49" i="39"/>
  <c r="Z47" i="39"/>
  <c r="Z42" i="39"/>
  <c r="Z39" i="39"/>
  <c r="Z36" i="39"/>
  <c r="Z31" i="39"/>
  <c r="Z26" i="39"/>
  <c r="Z24" i="39"/>
  <c r="Z9" i="39"/>
  <c r="Z121" i="39"/>
  <c r="Z118" i="39"/>
  <c r="Z113" i="39"/>
  <c r="Z110" i="39"/>
  <c r="Z100" i="39"/>
  <c r="Z97" i="39"/>
  <c r="Z89" i="39"/>
  <c r="Z86" i="39"/>
  <c r="Z78" i="39"/>
  <c r="Z75" i="39"/>
  <c r="Z72" i="39"/>
  <c r="Z67" i="39"/>
  <c r="Z64" i="39"/>
  <c r="Z59" i="39"/>
  <c r="Z57" i="39"/>
  <c r="Z55" i="39"/>
  <c r="Z48" i="39"/>
  <c r="Z46" i="39"/>
  <c r="Z43" i="39"/>
  <c r="Z32" i="39"/>
  <c r="Z25" i="39"/>
  <c r="Z18" i="39"/>
  <c r="Z8" i="39"/>
  <c r="Z123" i="39"/>
  <c r="Z120" i="39"/>
  <c r="Z115" i="39"/>
  <c r="Z112" i="39"/>
  <c r="Z107" i="39"/>
  <c r="Z104" i="39"/>
  <c r="Z102" i="39"/>
  <c r="Z99" i="39"/>
  <c r="Z91" i="39"/>
  <c r="Z88" i="39"/>
  <c r="Z80" i="39"/>
  <c r="Z77" i="39"/>
  <c r="Z69" i="39"/>
  <c r="Z66" i="39"/>
  <c r="Z61" i="39"/>
  <c r="Z37" i="39"/>
  <c r="Z34" i="39"/>
  <c r="Z29" i="39"/>
  <c r="Z27" i="39"/>
  <c r="Z22" i="39"/>
  <c r="AD122" i="39"/>
  <c r="AD119" i="39"/>
  <c r="AD111" i="39"/>
  <c r="AD98" i="39"/>
  <c r="AD87" i="39"/>
  <c r="AD84" i="39"/>
  <c r="AD76" i="39"/>
  <c r="AD73" i="39"/>
  <c r="AD65" i="39"/>
  <c r="AD60" i="39"/>
  <c r="AD58" i="39"/>
  <c r="AD44" i="39"/>
  <c r="AD33" i="39"/>
  <c r="AD28" i="39"/>
  <c r="AD21" i="39"/>
  <c r="AD19" i="39"/>
  <c r="AD16" i="39"/>
  <c r="AD11" i="39"/>
  <c r="AD7" i="39"/>
  <c r="AD5" i="39"/>
  <c r="AD123" i="39"/>
  <c r="AD115" i="39"/>
  <c r="AD107" i="39"/>
  <c r="AD104" i="39"/>
  <c r="AD102" i="39"/>
  <c r="AD94" i="39"/>
  <c r="AD91" i="39"/>
  <c r="AD83" i="39"/>
  <c r="AD80" i="39"/>
  <c r="AD69" i="39"/>
  <c r="AD52" i="39"/>
  <c r="AD50" i="39"/>
  <c r="AD40" i="39"/>
  <c r="AD37" i="39"/>
  <c r="AD34" i="39"/>
  <c r="AD29" i="39"/>
  <c r="AD27" i="39"/>
  <c r="AD20" i="39"/>
  <c r="AD14" i="39"/>
  <c r="AD12" i="39"/>
  <c r="AD10" i="39"/>
  <c r="AD6" i="39"/>
  <c r="AD117" i="39"/>
  <c r="AD109" i="39"/>
  <c r="AD96" i="39"/>
  <c r="AD93" i="39"/>
  <c r="AD85" i="39"/>
  <c r="AD82" i="39"/>
  <c r="AD74" i="39"/>
  <c r="AD71" i="39"/>
  <c r="AD63" i="39"/>
  <c r="AD56" i="39"/>
  <c r="AD54" i="39"/>
  <c r="AD49" i="39"/>
  <c r="AD47" i="39"/>
  <c r="AD45" i="39"/>
  <c r="AD42" i="39"/>
  <c r="AD39" i="39"/>
  <c r="AD31" i="39"/>
  <c r="AD24" i="39"/>
  <c r="AD4" i="39"/>
  <c r="Z11" i="39"/>
  <c r="AD15" i="39"/>
  <c r="Z21" i="39"/>
  <c r="AD30" i="39"/>
  <c r="Z41" i="39"/>
  <c r="Z51" i="39"/>
  <c r="Z65" i="39"/>
  <c r="Z76" i="39"/>
  <c r="AD86" i="39"/>
  <c r="Z98" i="39"/>
  <c r="AD105" i="39"/>
  <c r="Z116" i="39"/>
  <c r="BC43" i="40"/>
  <c r="AA13" i="39"/>
  <c r="AA52" i="39"/>
  <c r="Z12" i="39"/>
  <c r="Z17" i="39"/>
  <c r="Z23" i="39"/>
  <c r="AD32" i="39"/>
  <c r="Z44" i="39"/>
  <c r="AD53" i="39"/>
  <c r="Z60" i="39"/>
  <c r="AD67" i="39"/>
  <c r="AD78" i="39"/>
  <c r="AD89" i="39"/>
  <c r="AD100" i="39"/>
  <c r="Z108" i="39"/>
  <c r="Z119" i="39"/>
  <c r="AB4" i="39"/>
  <c r="AF79" i="39"/>
  <c r="AE11" i="39"/>
  <c r="BA43" i="40"/>
  <c r="BA44" i="40" s="1"/>
  <c r="Y25" i="39"/>
  <c r="Y21" i="39"/>
  <c r="Y8" i="39"/>
  <c r="Y122" i="39"/>
  <c r="Y94" i="39"/>
  <c r="Y15" i="39"/>
  <c r="AC71" i="39"/>
  <c r="BE43" i="40"/>
  <c r="BE44" i="40" s="1"/>
  <c r="AC31" i="39"/>
  <c r="AC4" i="39"/>
  <c r="AC62" i="39"/>
  <c r="AF5" i="39"/>
  <c r="X15" i="39"/>
  <c r="Y17" i="39"/>
  <c r="AF23" i="39"/>
  <c r="AC35" i="39"/>
  <c r="AC44" i="39"/>
  <c r="AF50" i="39"/>
  <c r="AB7" i="39"/>
  <c r="AC8" i="39"/>
  <c r="Y10" i="39"/>
  <c r="AC15" i="39"/>
  <c r="AF87" i="39"/>
  <c r="AC6" i="39"/>
  <c r="AF13" i="39"/>
  <c r="AC19" i="39"/>
  <c r="Y23" i="39"/>
  <c r="Y39" i="39"/>
  <c r="AC73" i="39"/>
  <c r="X59" i="39"/>
  <c r="AZ43" i="40"/>
  <c r="X20" i="39"/>
  <c r="X9" i="39"/>
  <c r="X21" i="39"/>
  <c r="X16" i="39"/>
  <c r="BD43" i="40"/>
  <c r="AB6" i="39"/>
  <c r="AB75" i="39"/>
  <c r="AB31" i="39"/>
  <c r="BH43" i="40"/>
  <c r="BH44" i="40" s="1"/>
  <c r="AF54" i="39"/>
  <c r="AF46" i="39"/>
  <c r="AA103" i="39"/>
  <c r="AA56" i="39"/>
  <c r="AA48" i="39"/>
  <c r="AA28" i="39"/>
  <c r="AA5" i="39"/>
  <c r="AA95" i="39"/>
  <c r="Z7" i="39"/>
  <c r="Z10" i="39"/>
  <c r="Z13" i="39"/>
  <c r="Z14" i="39"/>
  <c r="Z15" i="39"/>
  <c r="Z16" i="39"/>
  <c r="AD17" i="39"/>
  <c r="Z19" i="39"/>
  <c r="AD22" i="39"/>
  <c r="AD23" i="39"/>
  <c r="AD26" i="39"/>
  <c r="Z30" i="39"/>
  <c r="Z33" i="39"/>
  <c r="Z35" i="39"/>
  <c r="AD36" i="39"/>
  <c r="AD38" i="39"/>
  <c r="Z40" i="39"/>
  <c r="AD41" i="39"/>
  <c r="AD43" i="39"/>
  <c r="Z45" i="39"/>
  <c r="Z50" i="39"/>
  <c r="AD51" i="39"/>
  <c r="Z53" i="39"/>
  <c r="Z58" i="39"/>
  <c r="AD59" i="39"/>
  <c r="AD61" i="39"/>
  <c r="AD62" i="39"/>
  <c r="AD64" i="39"/>
  <c r="AD66" i="39"/>
  <c r="AD68" i="39"/>
  <c r="AD70" i="39"/>
  <c r="AD72" i="39"/>
  <c r="Z74" i="39"/>
  <c r="AD75" i="39"/>
  <c r="AD77" i="39"/>
  <c r="AD79" i="39"/>
  <c r="Z81" i="39"/>
  <c r="Z83" i="39"/>
  <c r="Z85" i="39"/>
  <c r="Z87" i="39"/>
  <c r="AD88" i="39"/>
  <c r="AD90" i="39"/>
  <c r="AD92" i="39"/>
  <c r="Z94" i="39"/>
  <c r="AD95" i="39"/>
  <c r="AD97" i="39"/>
  <c r="AD99" i="39"/>
  <c r="AD101" i="39"/>
  <c r="AD103" i="39"/>
  <c r="Z105" i="39"/>
  <c r="AD106" i="39"/>
  <c r="AD108" i="39"/>
  <c r="AD110" i="39"/>
  <c r="AD112" i="39"/>
  <c r="AD114" i="39"/>
  <c r="AD116" i="39"/>
  <c r="AD118" i="39"/>
  <c r="AD120" i="39"/>
  <c r="Z122" i="39"/>
  <c r="W74" i="51"/>
  <c r="W80" i="51"/>
  <c r="W79" i="54"/>
  <c r="W77" i="51"/>
  <c r="X6" i="55"/>
  <c r="X33" i="55" s="1"/>
  <c r="X9" i="55"/>
  <c r="X36" i="55" s="1"/>
  <c r="X7" i="55"/>
  <c r="X34" i="55" s="1"/>
  <c r="X12" i="55"/>
  <c r="X39" i="55" s="1"/>
  <c r="X14" i="55"/>
  <c r="X41" i="55" s="1"/>
  <c r="X8" i="55"/>
  <c r="X35" i="55" s="1"/>
  <c r="X11" i="55"/>
  <c r="X38" i="55" s="1"/>
  <c r="X10" i="55"/>
  <c r="X37" i="55" s="1"/>
  <c r="X13" i="55"/>
  <c r="X40" i="55" s="1"/>
  <c r="M125" i="54"/>
  <c r="O125" i="54"/>
  <c r="S127" i="54"/>
  <c r="S126" i="54"/>
  <c r="Q125" i="54"/>
  <c r="S130" i="54"/>
  <c r="N125" i="54"/>
  <c r="S123" i="54"/>
  <c r="N122" i="54"/>
  <c r="U124" i="54"/>
  <c r="S125" i="54"/>
  <c r="M88" i="51"/>
  <c r="M86" i="51"/>
  <c r="M94" i="51"/>
  <c r="M87" i="51"/>
  <c r="M91" i="51"/>
  <c r="M90" i="51"/>
  <c r="M93" i="51"/>
  <c r="M89" i="51"/>
  <c r="M92" i="51"/>
  <c r="W73" i="51"/>
  <c r="W79" i="51"/>
  <c r="W80" i="54"/>
  <c r="W81" i="54"/>
  <c r="W76" i="51"/>
  <c r="W76" i="54"/>
  <c r="W78" i="51"/>
  <c r="W75" i="54"/>
  <c r="W75" i="51"/>
  <c r="W77" i="54"/>
  <c r="W74" i="54"/>
  <c r="AS68" i="39"/>
  <c r="AS69" i="39"/>
  <c r="BK26" i="40" a="1"/>
  <c r="AB122" i="39"/>
  <c r="AB118" i="39"/>
  <c r="AB114" i="39"/>
  <c r="AB110" i="39"/>
  <c r="AB106" i="39"/>
  <c r="AB123" i="39"/>
  <c r="AB119" i="39"/>
  <c r="AB115" i="39"/>
  <c r="AB111" i="39"/>
  <c r="AB107" i="39"/>
  <c r="AB103" i="39"/>
  <c r="AB101" i="39"/>
  <c r="AB99" i="39"/>
  <c r="AB97" i="39"/>
  <c r="AB95" i="39"/>
  <c r="AB93" i="39"/>
  <c r="AB91" i="39"/>
  <c r="AB116" i="39"/>
  <c r="AB108" i="39"/>
  <c r="AB102" i="39"/>
  <c r="AB100" i="39"/>
  <c r="AB98" i="39"/>
  <c r="AB96" i="39"/>
  <c r="AB94" i="39"/>
  <c r="AB92" i="39"/>
  <c r="AB90" i="39"/>
  <c r="AB86" i="39"/>
  <c r="AB84" i="39"/>
  <c r="AB82" i="39"/>
  <c r="AB80" i="39"/>
  <c r="AB78" i="39"/>
  <c r="AB76" i="39"/>
  <c r="AB73" i="39"/>
  <c r="AB71" i="39"/>
  <c r="AB69" i="39"/>
  <c r="AB67" i="39"/>
  <c r="AB65" i="39"/>
  <c r="AB117" i="39"/>
  <c r="AB109" i="39"/>
  <c r="AB120" i="39"/>
  <c r="AB104" i="39"/>
  <c r="AB88" i="39"/>
  <c r="AB70" i="39"/>
  <c r="AB64" i="39"/>
  <c r="AB62" i="39"/>
  <c r="AB60" i="39"/>
  <c r="AB57" i="39"/>
  <c r="AB55" i="39"/>
  <c r="AB53" i="39"/>
  <c r="AB51" i="39"/>
  <c r="AB49" i="39"/>
  <c r="AB47" i="39"/>
  <c r="AB45" i="39"/>
  <c r="AB43" i="39"/>
  <c r="AB113" i="39"/>
  <c r="AB87" i="39"/>
  <c r="AB85" i="39"/>
  <c r="AB83" i="39"/>
  <c r="AB81" i="39"/>
  <c r="AB79" i="39"/>
  <c r="AB77" i="39"/>
  <c r="AB68" i="39"/>
  <c r="AB66" i="39"/>
  <c r="AB44" i="39"/>
  <c r="AB38" i="39"/>
  <c r="AB34" i="39"/>
  <c r="AB32" i="39"/>
  <c r="AB121" i="39"/>
  <c r="AB89" i="39"/>
  <c r="AB74" i="39"/>
  <c r="AB58" i="39"/>
  <c r="AB56" i="39"/>
  <c r="AB54" i="39"/>
  <c r="AB52" i="39"/>
  <c r="AB50" i="39"/>
  <c r="AB48" i="39"/>
  <c r="AB46" i="39"/>
  <c r="AB42" i="39"/>
  <c r="AB37" i="39"/>
  <c r="AB33" i="39"/>
  <c r="AB30" i="39"/>
  <c r="AB28" i="39"/>
  <c r="AB26" i="39"/>
  <c r="AB24" i="39"/>
  <c r="AB105" i="39"/>
  <c r="AB41" i="39"/>
  <c r="AB36" i="39"/>
  <c r="AB22" i="39"/>
  <c r="AB21" i="39"/>
  <c r="AB59" i="39"/>
  <c r="AB39" i="39"/>
  <c r="AB29" i="39"/>
  <c r="AB27" i="39"/>
  <c r="AB25" i="39"/>
  <c r="AB23" i="39"/>
  <c r="AB63" i="39"/>
  <c r="AF122" i="39"/>
  <c r="AF118" i="39"/>
  <c r="AF114" i="39"/>
  <c r="AF110" i="39"/>
  <c r="AF106" i="39"/>
  <c r="AF123" i="39"/>
  <c r="AF119" i="39"/>
  <c r="AF115" i="39"/>
  <c r="AF111" i="39"/>
  <c r="AF107" i="39"/>
  <c r="AF103" i="39"/>
  <c r="AF101" i="39"/>
  <c r="AF99" i="39"/>
  <c r="AF97" i="39"/>
  <c r="AF95" i="39"/>
  <c r="AF93" i="39"/>
  <c r="AF91" i="39"/>
  <c r="AF121" i="39"/>
  <c r="AF113" i="39"/>
  <c r="AF105" i="39"/>
  <c r="AF89" i="39"/>
  <c r="AF88" i="39"/>
  <c r="AF86" i="39"/>
  <c r="AF84" i="39"/>
  <c r="AF82" i="39"/>
  <c r="AF80" i="39"/>
  <c r="AF78" i="39"/>
  <c r="AF76" i="39"/>
  <c r="AF73" i="39"/>
  <c r="AF71" i="39"/>
  <c r="AF69" i="39"/>
  <c r="AF67" i="39"/>
  <c r="AF65" i="39"/>
  <c r="AF116" i="39"/>
  <c r="AF108" i="39"/>
  <c r="AF102" i="39"/>
  <c r="AF100" i="39"/>
  <c r="AF98" i="39"/>
  <c r="AF96" i="39"/>
  <c r="AF94" i="39"/>
  <c r="AF92" i="39"/>
  <c r="AF90" i="39"/>
  <c r="AF112" i="39"/>
  <c r="AF70" i="39"/>
  <c r="AF64" i="39"/>
  <c r="AF62" i="39"/>
  <c r="AF60" i="39"/>
  <c r="AF57" i="39"/>
  <c r="AF55" i="39"/>
  <c r="AF53" i="39"/>
  <c r="AF51" i="39"/>
  <c r="AF49" i="39"/>
  <c r="AF47" i="39"/>
  <c r="AF45" i="39"/>
  <c r="AF43" i="39"/>
  <c r="AF109" i="39"/>
  <c r="AF68" i="39"/>
  <c r="AF66" i="39"/>
  <c r="AF117" i="39"/>
  <c r="AF75" i="39"/>
  <c r="AF63" i="39"/>
  <c r="AF61" i="39"/>
  <c r="AF59" i="39"/>
  <c r="AF44" i="39"/>
  <c r="AF38" i="39"/>
  <c r="AF34" i="39"/>
  <c r="AF32" i="39"/>
  <c r="AF104" i="39"/>
  <c r="AF42" i="39"/>
  <c r="AF37" i="39"/>
  <c r="AF33" i="39"/>
  <c r="AF30" i="39"/>
  <c r="AF28" i="39"/>
  <c r="AF26" i="39"/>
  <c r="AF24" i="39"/>
  <c r="AF74" i="39"/>
  <c r="AF35" i="39"/>
  <c r="AF31" i="39"/>
  <c r="AF20" i="39"/>
  <c r="AF36" i="39"/>
  <c r="AF22" i="39"/>
  <c r="AF21" i="39"/>
  <c r="AF120" i="39"/>
  <c r="AF85" i="39"/>
  <c r="AF81" i="39"/>
  <c r="AF77" i="39"/>
  <c r="AF72" i="39"/>
  <c r="AE121" i="39"/>
  <c r="AE117" i="39"/>
  <c r="AE113" i="39"/>
  <c r="AE109" i="39"/>
  <c r="AE105" i="39"/>
  <c r="AE102" i="39"/>
  <c r="AE100" i="39"/>
  <c r="AE98" i="39"/>
  <c r="AE96" i="39"/>
  <c r="AE94" i="39"/>
  <c r="AE92" i="39"/>
  <c r="AE90" i="39"/>
  <c r="AE88" i="39"/>
  <c r="AE122" i="39"/>
  <c r="AE118" i="39"/>
  <c r="AE114" i="39"/>
  <c r="AE110" i="39"/>
  <c r="AE106" i="39"/>
  <c r="AE120" i="39"/>
  <c r="AE112" i="39"/>
  <c r="AE104" i="39"/>
  <c r="AE103" i="39"/>
  <c r="AE101" i="39"/>
  <c r="AE99" i="39"/>
  <c r="AE97" i="39"/>
  <c r="AE95" i="39"/>
  <c r="AE93" i="39"/>
  <c r="AE91" i="39"/>
  <c r="AE123" i="39"/>
  <c r="AE115" i="39"/>
  <c r="AE107" i="39"/>
  <c r="AE89" i="39"/>
  <c r="AE86" i="39"/>
  <c r="AE84" i="39"/>
  <c r="AE82" i="39"/>
  <c r="AE80" i="39"/>
  <c r="AE78" i="39"/>
  <c r="AE119" i="39"/>
  <c r="AE73" i="39"/>
  <c r="AE72" i="39"/>
  <c r="AE108" i="39"/>
  <c r="AE71" i="39"/>
  <c r="AE70" i="39"/>
  <c r="AE64" i="39"/>
  <c r="AE62" i="39"/>
  <c r="AE60" i="39"/>
  <c r="AE57" i="39"/>
  <c r="AE55" i="39"/>
  <c r="AE53" i="39"/>
  <c r="AE51" i="39"/>
  <c r="AE49" i="39"/>
  <c r="AE47" i="39"/>
  <c r="AE45" i="39"/>
  <c r="AE116" i="39"/>
  <c r="AE76" i="39"/>
  <c r="AE67" i="39"/>
  <c r="AE65" i="39"/>
  <c r="AE41" i="39"/>
  <c r="AE39" i="39"/>
  <c r="AE35" i="39"/>
  <c r="AE31" i="39"/>
  <c r="AE29" i="39"/>
  <c r="AE27" i="39"/>
  <c r="AE25" i="39"/>
  <c r="AE23" i="39"/>
  <c r="AE21" i="39"/>
  <c r="AE111" i="39"/>
  <c r="AE75" i="39"/>
  <c r="AE63" i="39"/>
  <c r="AE61" i="39"/>
  <c r="AE59" i="39"/>
  <c r="AE44" i="39"/>
  <c r="AE38" i="39"/>
  <c r="AE34" i="39"/>
  <c r="AE32" i="39"/>
  <c r="AE87" i="39"/>
  <c r="AE83" i="39"/>
  <c r="AE79" i="39"/>
  <c r="AE69" i="39"/>
  <c r="AE68" i="39"/>
  <c r="AE58" i="39"/>
  <c r="AE56" i="39"/>
  <c r="AE54" i="39"/>
  <c r="AE52" i="39"/>
  <c r="AE50" i="39"/>
  <c r="AE48" i="39"/>
  <c r="AE46" i="39"/>
  <c r="AE40" i="39"/>
  <c r="AE19" i="39"/>
  <c r="AE17" i="39"/>
  <c r="AE15" i="39"/>
  <c r="AE12" i="39"/>
  <c r="AE10" i="39"/>
  <c r="AE8" i="39"/>
  <c r="AE6" i="39"/>
  <c r="AE4" i="39"/>
  <c r="AE43" i="39"/>
  <c r="AE42" i="39"/>
  <c r="AE37" i="39"/>
  <c r="AE30" i="39"/>
  <c r="AE28" i="39"/>
  <c r="AE26" i="39"/>
  <c r="AE24" i="39"/>
  <c r="AE20" i="39"/>
  <c r="AE74" i="39"/>
  <c r="AB5" i="39"/>
  <c r="X6" i="39"/>
  <c r="X7" i="39"/>
  <c r="AE9" i="39"/>
  <c r="AF10" i="39"/>
  <c r="AF11" i="39"/>
  <c r="AE16" i="39"/>
  <c r="AF17" i="39"/>
  <c r="X22" i="39"/>
  <c r="AA26" i="39"/>
  <c r="X35" i="39"/>
  <c r="AE36" i="39"/>
  <c r="AF41" i="39"/>
  <c r="AB72" i="39"/>
  <c r="Y123" i="39"/>
  <c r="Y119" i="39"/>
  <c r="Y115" i="39"/>
  <c r="Y111" i="39"/>
  <c r="Y107" i="39"/>
  <c r="Y103" i="39"/>
  <c r="Y101" i="39"/>
  <c r="Y99" i="39"/>
  <c r="Y97" i="39"/>
  <c r="Y95" i="39"/>
  <c r="Y93" i="39"/>
  <c r="Y91" i="39"/>
  <c r="Y89" i="39"/>
  <c r="Y120" i="39"/>
  <c r="Y116" i="39"/>
  <c r="Y112" i="39"/>
  <c r="Y108" i="39"/>
  <c r="Y104" i="39"/>
  <c r="Y118" i="39"/>
  <c r="Y110" i="39"/>
  <c r="Y121" i="39"/>
  <c r="Y113" i="39"/>
  <c r="Y105" i="39"/>
  <c r="Y88" i="39"/>
  <c r="Y87" i="39"/>
  <c r="Y85" i="39"/>
  <c r="Y83" i="39"/>
  <c r="Y81" i="39"/>
  <c r="Y79" i="39"/>
  <c r="Y109" i="39"/>
  <c r="Y77" i="39"/>
  <c r="Y76" i="39"/>
  <c r="Y68" i="39"/>
  <c r="Y67" i="39"/>
  <c r="Y66" i="39"/>
  <c r="Y41" i="39"/>
  <c r="Y114" i="39"/>
  <c r="Y86" i="39"/>
  <c r="Y84" i="39"/>
  <c r="Y82" i="39"/>
  <c r="Y80" i="39"/>
  <c r="Y78" i="39"/>
  <c r="Y75" i="39"/>
  <c r="Y74" i="39"/>
  <c r="Y73" i="39"/>
  <c r="Y63" i="39"/>
  <c r="Y61" i="39"/>
  <c r="Y59" i="39"/>
  <c r="Y58" i="39"/>
  <c r="Y56" i="39"/>
  <c r="Y54" i="39"/>
  <c r="Y52" i="39"/>
  <c r="Y50" i="39"/>
  <c r="Y48" i="39"/>
  <c r="Y46" i="39"/>
  <c r="Y106" i="39"/>
  <c r="Y72" i="39"/>
  <c r="Y42" i="39"/>
  <c r="Y37" i="39"/>
  <c r="Y33" i="39"/>
  <c r="Y30" i="39"/>
  <c r="Y28" i="39"/>
  <c r="Y26" i="39"/>
  <c r="Y24" i="39"/>
  <c r="Y22" i="39"/>
  <c r="Y20" i="39"/>
  <c r="Y100" i="39"/>
  <c r="Y96" i="39"/>
  <c r="Y92" i="39"/>
  <c r="Y71" i="39"/>
  <c r="Y64" i="39"/>
  <c r="Y62" i="39"/>
  <c r="Y60" i="39"/>
  <c r="Y57" i="39"/>
  <c r="Y55" i="39"/>
  <c r="Y53" i="39"/>
  <c r="Y51" i="39"/>
  <c r="Y49" i="39"/>
  <c r="Y47" i="39"/>
  <c r="Y40" i="39"/>
  <c r="Y36" i="39"/>
  <c r="Y98" i="39"/>
  <c r="Y90" i="39"/>
  <c r="Y44" i="39"/>
  <c r="Y43" i="39"/>
  <c r="Y38" i="39"/>
  <c r="Y32" i="39"/>
  <c r="Y16" i="39"/>
  <c r="Y13" i="39"/>
  <c r="Y11" i="39"/>
  <c r="Y9" i="39"/>
  <c r="Y7" i="39"/>
  <c r="Y5" i="39"/>
  <c r="Y35" i="39"/>
  <c r="Y31" i="39"/>
  <c r="Y18" i="39"/>
  <c r="M3" i="39"/>
  <c r="Y4" i="39"/>
  <c r="X5" i="39"/>
  <c r="Y6" i="39"/>
  <c r="AE7" i="39"/>
  <c r="AF8" i="39"/>
  <c r="AA9" i="39"/>
  <c r="AF9" i="39"/>
  <c r="AB10" i="39"/>
  <c r="AB11" i="39"/>
  <c r="X12" i="39"/>
  <c r="AC12" i="39"/>
  <c r="X13" i="39"/>
  <c r="X14" i="39"/>
  <c r="AB14" i="39"/>
  <c r="AF14" i="39"/>
  <c r="AF15" i="39"/>
  <c r="AA16" i="39"/>
  <c r="AF16" i="39"/>
  <c r="AB17" i="39"/>
  <c r="AA18" i="39"/>
  <c r="AF18" i="39"/>
  <c r="Y19" i="39"/>
  <c r="AB20" i="39"/>
  <c r="AA24" i="39"/>
  <c r="AF27" i="39"/>
  <c r="Y29" i="39"/>
  <c r="X31" i="39"/>
  <c r="AC32" i="39"/>
  <c r="Y34" i="39"/>
  <c r="X36" i="39"/>
  <c r="AC38" i="39"/>
  <c r="AB40" i="39"/>
  <c r="Y45" i="39"/>
  <c r="AA46" i="39"/>
  <c r="AF48" i="39"/>
  <c r="AA50" i="39"/>
  <c r="AF52" i="39"/>
  <c r="AA54" i="39"/>
  <c r="AF56" i="39"/>
  <c r="AA58" i="39"/>
  <c r="Y65" i="39"/>
  <c r="Y70" i="39"/>
  <c r="AF83" i="39"/>
  <c r="Y102" i="39"/>
  <c r="Y117" i="39"/>
  <c r="X122" i="39"/>
  <c r="X118" i="39"/>
  <c r="X114" i="39"/>
  <c r="X110" i="39"/>
  <c r="X106" i="39"/>
  <c r="X123" i="39"/>
  <c r="X119" i="39"/>
  <c r="X115" i="39"/>
  <c r="X111" i="39"/>
  <c r="X107" i="39"/>
  <c r="X103" i="39"/>
  <c r="X101" i="39"/>
  <c r="X99" i="39"/>
  <c r="X97" i="39"/>
  <c r="X95" i="39"/>
  <c r="X93" i="39"/>
  <c r="X91" i="39"/>
  <c r="X117" i="39"/>
  <c r="X109" i="39"/>
  <c r="X86" i="39"/>
  <c r="X84" i="39"/>
  <c r="X82" i="39"/>
  <c r="X80" i="39"/>
  <c r="X78" i="39"/>
  <c r="X76" i="39"/>
  <c r="X73" i="39"/>
  <c r="X71" i="39"/>
  <c r="X69" i="39"/>
  <c r="X67" i="39"/>
  <c r="X65" i="39"/>
  <c r="X120" i="39"/>
  <c r="X112" i="39"/>
  <c r="X104" i="39"/>
  <c r="X108" i="39"/>
  <c r="X102" i="39"/>
  <c r="X100" i="39"/>
  <c r="X98" i="39"/>
  <c r="X96" i="39"/>
  <c r="X94" i="39"/>
  <c r="X92" i="39"/>
  <c r="X90" i="39"/>
  <c r="X89" i="39"/>
  <c r="X87" i="39"/>
  <c r="X85" i="39"/>
  <c r="X83" i="39"/>
  <c r="X81" i="39"/>
  <c r="X79" i="39"/>
  <c r="X70" i="39"/>
  <c r="X64" i="39"/>
  <c r="X62" i="39"/>
  <c r="X60" i="39"/>
  <c r="X57" i="39"/>
  <c r="X55" i="39"/>
  <c r="X53" i="39"/>
  <c r="X51" i="39"/>
  <c r="X49" i="39"/>
  <c r="X47" i="39"/>
  <c r="X45" i="39"/>
  <c r="X43" i="39"/>
  <c r="X121" i="39"/>
  <c r="X105" i="39"/>
  <c r="X77" i="39"/>
  <c r="X68" i="39"/>
  <c r="X66" i="39"/>
  <c r="X113" i="39"/>
  <c r="X74" i="39"/>
  <c r="X58" i="39"/>
  <c r="X56" i="39"/>
  <c r="X54" i="39"/>
  <c r="X52" i="39"/>
  <c r="X50" i="39"/>
  <c r="X48" i="39"/>
  <c r="X46" i="39"/>
  <c r="X44" i="39"/>
  <c r="X38" i="39"/>
  <c r="X34" i="39"/>
  <c r="X32" i="39"/>
  <c r="X72" i="39"/>
  <c r="X42" i="39"/>
  <c r="X41" i="39"/>
  <c r="X37" i="39"/>
  <c r="X33" i="39"/>
  <c r="X30" i="39"/>
  <c r="X28" i="39"/>
  <c r="X26" i="39"/>
  <c r="X24" i="39"/>
  <c r="X75" i="39"/>
  <c r="X39" i="39"/>
  <c r="X29" i="39"/>
  <c r="X27" i="39"/>
  <c r="X25" i="39"/>
  <c r="X23" i="39"/>
  <c r="X61" i="39"/>
  <c r="X40" i="39"/>
  <c r="X88" i="39"/>
  <c r="AA121" i="39"/>
  <c r="AA117" i="39"/>
  <c r="AA113" i="39"/>
  <c r="AA109" i="39"/>
  <c r="AA105" i="39"/>
  <c r="AA102" i="39"/>
  <c r="AA100" i="39"/>
  <c r="AA98" i="39"/>
  <c r="AA96" i="39"/>
  <c r="AA94" i="39"/>
  <c r="AA92" i="39"/>
  <c r="AA90" i="39"/>
  <c r="AA88" i="39"/>
  <c r="AA122" i="39"/>
  <c r="AA118" i="39"/>
  <c r="AA114" i="39"/>
  <c r="AA110" i="39"/>
  <c r="AA106" i="39"/>
  <c r="AA89" i="39"/>
  <c r="AA119" i="39"/>
  <c r="AA116" i="39"/>
  <c r="AA111" i="39"/>
  <c r="AA108" i="39"/>
  <c r="AA86" i="39"/>
  <c r="AA84" i="39"/>
  <c r="AA82" i="39"/>
  <c r="AA80" i="39"/>
  <c r="AA78" i="39"/>
  <c r="AA115" i="39"/>
  <c r="AA72" i="39"/>
  <c r="AA71" i="39"/>
  <c r="AA120" i="39"/>
  <c r="AA104" i="39"/>
  <c r="AA70" i="39"/>
  <c r="AA69" i="39"/>
  <c r="AA65" i="39"/>
  <c r="AA64" i="39"/>
  <c r="AA62" i="39"/>
  <c r="AA60" i="39"/>
  <c r="AA57" i="39"/>
  <c r="AA55" i="39"/>
  <c r="AA53" i="39"/>
  <c r="AA51" i="39"/>
  <c r="AA49" i="39"/>
  <c r="AA47" i="39"/>
  <c r="AA107" i="39"/>
  <c r="AA75" i="39"/>
  <c r="AA73" i="39"/>
  <c r="AA66" i="39"/>
  <c r="AA63" i="39"/>
  <c r="AA61" i="39"/>
  <c r="AA59" i="39"/>
  <c r="AA45" i="39"/>
  <c r="AA39" i="39"/>
  <c r="AA35" i="39"/>
  <c r="AA31" i="39"/>
  <c r="AA29" i="39"/>
  <c r="AA27" i="39"/>
  <c r="AA25" i="39"/>
  <c r="AA23" i="39"/>
  <c r="AA21" i="39"/>
  <c r="AA101" i="39"/>
  <c r="AA97" i="39"/>
  <c r="AA93" i="39"/>
  <c r="AA87" i="39"/>
  <c r="AA85" i="39"/>
  <c r="AA83" i="39"/>
  <c r="AA81" i="39"/>
  <c r="AA79" i="39"/>
  <c r="AA77" i="39"/>
  <c r="AA68" i="39"/>
  <c r="AA44" i="39"/>
  <c r="AA43" i="39"/>
  <c r="AA38" i="39"/>
  <c r="AA34" i="39"/>
  <c r="AA32" i="39"/>
  <c r="AA112" i="39"/>
  <c r="AA99" i="39"/>
  <c r="AA91" i="39"/>
  <c r="AA20" i="39"/>
  <c r="AA19" i="39"/>
  <c r="AA17" i="39"/>
  <c r="AA15" i="39"/>
  <c r="AA12" i="39"/>
  <c r="AA10" i="39"/>
  <c r="AA8" i="39"/>
  <c r="AA6" i="39"/>
  <c r="AA4" i="39"/>
  <c r="AA41" i="39"/>
  <c r="AA36" i="39"/>
  <c r="AA33" i="39"/>
  <c r="AA22" i="39"/>
  <c r="AA67" i="39"/>
  <c r="S3" i="39"/>
  <c r="O3" i="39"/>
  <c r="Q3" i="39"/>
  <c r="X4" i="39"/>
  <c r="AA11" i="39"/>
  <c r="AB12" i="39"/>
  <c r="AB13" i="39"/>
  <c r="AA14" i="39"/>
  <c r="AE14" i="39"/>
  <c r="AE18" i="39"/>
  <c r="X19" i="39"/>
  <c r="AF29" i="39"/>
  <c r="AE33" i="39"/>
  <c r="AA40" i="39"/>
  <c r="AE66" i="39"/>
  <c r="AE81" i="39"/>
  <c r="AA123" i="39"/>
  <c r="AC123" i="39"/>
  <c r="AC119" i="39"/>
  <c r="AC115" i="39"/>
  <c r="AC111" i="39"/>
  <c r="AC107" i="39"/>
  <c r="AC103" i="39"/>
  <c r="AC101" i="39"/>
  <c r="AC99" i="39"/>
  <c r="AC97" i="39"/>
  <c r="AC95" i="39"/>
  <c r="AC93" i="39"/>
  <c r="AC91" i="39"/>
  <c r="AC89" i="39"/>
  <c r="AC120" i="39"/>
  <c r="AC116" i="39"/>
  <c r="AC112" i="39"/>
  <c r="AC108" i="39"/>
  <c r="AC104" i="39"/>
  <c r="AC122" i="39"/>
  <c r="AC117" i="39"/>
  <c r="AC114" i="39"/>
  <c r="AC109" i="39"/>
  <c r="AC106" i="39"/>
  <c r="AC87" i="39"/>
  <c r="AC85" i="39"/>
  <c r="AC83" i="39"/>
  <c r="AC81" i="39"/>
  <c r="AC79" i="39"/>
  <c r="AC77" i="39"/>
  <c r="AC113" i="39"/>
  <c r="AC69" i="39"/>
  <c r="AC68" i="39"/>
  <c r="AC66" i="39"/>
  <c r="AC65" i="39"/>
  <c r="AC41" i="39"/>
  <c r="AC118" i="39"/>
  <c r="AC102" i="39"/>
  <c r="AC100" i="39"/>
  <c r="AC98" i="39"/>
  <c r="AC96" i="39"/>
  <c r="AC94" i="39"/>
  <c r="AC92" i="39"/>
  <c r="AC90" i="39"/>
  <c r="AC76" i="39"/>
  <c r="AC75" i="39"/>
  <c r="AC74" i="39"/>
  <c r="AC67" i="39"/>
  <c r="AC63" i="39"/>
  <c r="AC61" i="39"/>
  <c r="AC59" i="39"/>
  <c r="AC58" i="39"/>
  <c r="AC56" i="39"/>
  <c r="AC54" i="39"/>
  <c r="AC52" i="39"/>
  <c r="AC50" i="39"/>
  <c r="AC48" i="39"/>
  <c r="AC46" i="39"/>
  <c r="AC121" i="39"/>
  <c r="AC88" i="39"/>
  <c r="AC86" i="39"/>
  <c r="AC84" i="39"/>
  <c r="AC82" i="39"/>
  <c r="AC80" i="39"/>
  <c r="AC78" i="39"/>
  <c r="AC70" i="39"/>
  <c r="AC43" i="39"/>
  <c r="AC42" i="39"/>
  <c r="AC37" i="39"/>
  <c r="AC33" i="39"/>
  <c r="AC30" i="39"/>
  <c r="AC28" i="39"/>
  <c r="AC26" i="39"/>
  <c r="AC24" i="39"/>
  <c r="AC22" i="39"/>
  <c r="AC20" i="39"/>
  <c r="AC110" i="39"/>
  <c r="AC72" i="39"/>
  <c r="AC40" i="39"/>
  <c r="AC36" i="39"/>
  <c r="AC64" i="39"/>
  <c r="AC60" i="39"/>
  <c r="AC39" i="39"/>
  <c r="AC34" i="39"/>
  <c r="AC29" i="39"/>
  <c r="AC27" i="39"/>
  <c r="AC25" i="39"/>
  <c r="AC23" i="39"/>
  <c r="AC16" i="39"/>
  <c r="AC13" i="39"/>
  <c r="AC11" i="39"/>
  <c r="AC9" i="39"/>
  <c r="AC7" i="39"/>
  <c r="AC5" i="39"/>
  <c r="AC57" i="39"/>
  <c r="AC55" i="39"/>
  <c r="AC53" i="39"/>
  <c r="AC51" i="39"/>
  <c r="AC49" i="39"/>
  <c r="AC47" i="39"/>
  <c r="AC45" i="39"/>
  <c r="AC18" i="39"/>
  <c r="N3" i="39"/>
  <c r="T3" i="39"/>
  <c r="AF4" i="39"/>
  <c r="AE5" i="39"/>
  <c r="AF6" i="39"/>
  <c r="AA7" i="39"/>
  <c r="AF7" i="39"/>
  <c r="AB8" i="39"/>
  <c r="AB9" i="39"/>
  <c r="X10" i="39"/>
  <c r="AC10" i="39"/>
  <c r="X11" i="39"/>
  <c r="Y12" i="39"/>
  <c r="AE13" i="39"/>
  <c r="Y14" i="39"/>
  <c r="AC14" i="39"/>
  <c r="AB15" i="39"/>
  <c r="AB16" i="39"/>
  <c r="X17" i="39"/>
  <c r="AC17" i="39"/>
  <c r="AB18" i="39"/>
  <c r="AF19" i="39"/>
  <c r="AC21" i="39"/>
  <c r="AF25" i="39"/>
  <c r="Y27" i="39"/>
  <c r="AA30" i="39"/>
  <c r="AB35" i="39"/>
  <c r="AA37" i="39"/>
  <c r="AF39" i="39"/>
  <c r="AA42" i="39"/>
  <c r="AB61" i="39"/>
  <c r="X63" i="39"/>
  <c r="Y69" i="39"/>
  <c r="AA74" i="39"/>
  <c r="AA76" i="39"/>
  <c r="AE77" i="39"/>
  <c r="AE85" i="39"/>
  <c r="AB112" i="39"/>
  <c r="X116" i="39"/>
  <c r="AS67" i="39"/>
  <c r="AS63" i="39"/>
  <c r="AS66" i="39"/>
  <c r="AS62" i="39"/>
  <c r="AS65" i="39"/>
  <c r="AS64" i="39"/>
  <c r="AS61" i="39"/>
  <c r="U10" i="2"/>
  <c r="Q49" i="51" l="1"/>
  <c r="R48" i="51"/>
  <c r="S47" i="51"/>
  <c r="T46" i="51"/>
  <c r="U45" i="51"/>
  <c r="M45" i="51"/>
  <c r="N44" i="51"/>
  <c r="O43" i="51"/>
  <c r="P42" i="51"/>
  <c r="Q41" i="51"/>
  <c r="P49" i="51"/>
  <c r="Q48" i="51"/>
  <c r="R47" i="51"/>
  <c r="S46" i="51"/>
  <c r="T45" i="51"/>
  <c r="U44" i="51"/>
  <c r="M44" i="51"/>
  <c r="N43" i="51"/>
  <c r="O42" i="51"/>
  <c r="P41" i="51"/>
  <c r="O49" i="51"/>
  <c r="P48" i="51"/>
  <c r="Q47" i="51"/>
  <c r="R46" i="51"/>
  <c r="S45" i="51"/>
  <c r="T44" i="51"/>
  <c r="U43" i="51"/>
  <c r="M43" i="51"/>
  <c r="N42" i="51"/>
  <c r="O41" i="51"/>
  <c r="N49" i="51"/>
  <c r="O48" i="51"/>
  <c r="P47" i="51"/>
  <c r="Q46" i="51"/>
  <c r="R45" i="51"/>
  <c r="S44" i="51"/>
  <c r="T43" i="51"/>
  <c r="U42" i="51"/>
  <c r="M42" i="51"/>
  <c r="N41" i="51"/>
  <c r="U49" i="51"/>
  <c r="M49" i="51"/>
  <c r="N48" i="51"/>
  <c r="O47" i="51"/>
  <c r="P46" i="51"/>
  <c r="Q45" i="51"/>
  <c r="R44" i="51"/>
  <c r="S43" i="51"/>
  <c r="T42" i="51"/>
  <c r="U41" i="51"/>
  <c r="M41" i="51"/>
  <c r="T49" i="51"/>
  <c r="U48" i="51"/>
  <c r="M48" i="51"/>
  <c r="N47" i="51"/>
  <c r="O46" i="51"/>
  <c r="P45" i="51"/>
  <c r="Q44" i="51"/>
  <c r="R43" i="51"/>
  <c r="S42" i="51"/>
  <c r="T41" i="51"/>
  <c r="S49" i="51"/>
  <c r="T48" i="51"/>
  <c r="U47" i="51"/>
  <c r="M47" i="51"/>
  <c r="N46" i="51"/>
  <c r="O45" i="51"/>
  <c r="P44" i="51"/>
  <c r="Q43" i="51"/>
  <c r="R42" i="51"/>
  <c r="S41" i="51"/>
  <c r="P43" i="51"/>
  <c r="R49" i="51"/>
  <c r="Q42" i="51"/>
  <c r="T47" i="51"/>
  <c r="U46" i="51"/>
  <c r="M46" i="51"/>
  <c r="N45" i="51"/>
  <c r="S48" i="51"/>
  <c r="O44" i="51"/>
  <c r="R41" i="51"/>
  <c r="P49" i="54"/>
  <c r="Q48" i="54"/>
  <c r="R47" i="54"/>
  <c r="S46" i="54"/>
  <c r="T45" i="54"/>
  <c r="U44" i="54"/>
  <c r="M44" i="54"/>
  <c r="N43" i="54"/>
  <c r="O42" i="54"/>
  <c r="P41" i="54"/>
  <c r="N49" i="54"/>
  <c r="O48" i="54"/>
  <c r="P47" i="54"/>
  <c r="Q46" i="54"/>
  <c r="R45" i="54"/>
  <c r="S44" i="54"/>
  <c r="T43" i="54"/>
  <c r="U42" i="54"/>
  <c r="M42" i="54"/>
  <c r="N41" i="54"/>
  <c r="U49" i="54"/>
  <c r="M49" i="54"/>
  <c r="N48" i="54"/>
  <c r="O47" i="54"/>
  <c r="P46" i="54"/>
  <c r="Q45" i="54"/>
  <c r="R44" i="54"/>
  <c r="S43" i="54"/>
  <c r="T42" i="54"/>
  <c r="U41" i="54"/>
  <c r="M41" i="54"/>
  <c r="T49" i="54"/>
  <c r="U48" i="54"/>
  <c r="M48" i="54"/>
  <c r="N47" i="54"/>
  <c r="O46" i="54"/>
  <c r="P45" i="54"/>
  <c r="Q44" i="54"/>
  <c r="R43" i="54"/>
  <c r="S42" i="54"/>
  <c r="T41" i="54"/>
  <c r="S49" i="54"/>
  <c r="T48" i="54"/>
  <c r="U47" i="54"/>
  <c r="M47" i="54"/>
  <c r="N46" i="54"/>
  <c r="O45" i="54"/>
  <c r="P44" i="54"/>
  <c r="Q43" i="54"/>
  <c r="R42" i="54"/>
  <c r="S41" i="54"/>
  <c r="P48" i="54"/>
  <c r="U45" i="54"/>
  <c r="P43" i="54"/>
  <c r="O41" i="54"/>
  <c r="S47" i="54"/>
  <c r="N45" i="54"/>
  <c r="M43" i="54"/>
  <c r="R49" i="54"/>
  <c r="Q47" i="54"/>
  <c r="M45" i="54"/>
  <c r="Q42" i="54"/>
  <c r="Q49" i="54"/>
  <c r="M46" i="54"/>
  <c r="N42" i="54"/>
  <c r="S48" i="54"/>
  <c r="T44" i="54"/>
  <c r="Q41" i="54"/>
  <c r="R48" i="54"/>
  <c r="O44" i="54"/>
  <c r="R46" i="54"/>
  <c r="N44" i="54"/>
  <c r="U43" i="54"/>
  <c r="S45" i="54"/>
  <c r="R41" i="54"/>
  <c r="O49" i="54"/>
  <c r="T47" i="54"/>
  <c r="U46" i="54"/>
  <c r="O43" i="54"/>
  <c r="P42" i="54"/>
  <c r="T46" i="54"/>
  <c r="S41" i="55"/>
  <c r="N107" i="51"/>
  <c r="N108" i="51"/>
  <c r="BF43" i="40"/>
  <c r="BF44" i="40" s="1"/>
  <c r="M103" i="51"/>
  <c r="P104" i="51"/>
  <c r="O100" i="51"/>
  <c r="N105" i="51"/>
  <c r="P107" i="51"/>
  <c r="N106" i="51"/>
  <c r="P100" i="51"/>
  <c r="J5" i="40"/>
  <c r="J5" i="41"/>
  <c r="M108" i="51"/>
  <c r="O105" i="51"/>
  <c r="O103" i="51"/>
  <c r="M107" i="51"/>
  <c r="P103" i="51"/>
  <c r="O101" i="51"/>
  <c r="M101" i="51"/>
  <c r="P106" i="51"/>
  <c r="P105" i="51"/>
  <c r="I5" i="41"/>
  <c r="I5" i="40"/>
  <c r="F5" i="40"/>
  <c r="F5" i="41"/>
  <c r="B5" i="41"/>
  <c r="B5" i="40"/>
  <c r="M102" i="51"/>
  <c r="P101" i="51"/>
  <c r="P108" i="51"/>
  <c r="N104" i="51"/>
  <c r="M100" i="51"/>
  <c r="M106" i="51"/>
  <c r="O106" i="51"/>
  <c r="M104" i="51"/>
  <c r="N100" i="51"/>
  <c r="H5" i="41"/>
  <c r="H5" i="40"/>
  <c r="BK27" i="40" a="1"/>
  <c r="BO27" i="40" s="1"/>
  <c r="CA6" i="40" a="1"/>
  <c r="CA13" i="40" s="1"/>
  <c r="C5" i="40"/>
  <c r="C5" i="41"/>
  <c r="D5" i="41"/>
  <c r="D5" i="40"/>
  <c r="O108" i="51"/>
  <c r="N101" i="51"/>
  <c r="M5" i="41"/>
  <c r="M6" i="41" s="1"/>
  <c r="AW5" i="55" a="1"/>
  <c r="AJ6" i="55" a="1"/>
  <c r="O104" i="51"/>
  <c r="O102" i="51"/>
  <c r="P102" i="51"/>
  <c r="N102" i="51"/>
  <c r="M105" i="51"/>
  <c r="N103" i="51"/>
  <c r="O127" i="54"/>
  <c r="O129" i="54"/>
  <c r="U123" i="54"/>
  <c r="O126" i="54"/>
  <c r="BC44" i="40"/>
  <c r="BP27" i="40"/>
  <c r="BR27" i="40"/>
  <c r="BD44" i="40"/>
  <c r="BS27" i="40"/>
  <c r="AZ44" i="40"/>
  <c r="R125" i="54"/>
  <c r="N126" i="54"/>
  <c r="M128" i="54"/>
  <c r="M124" i="54"/>
  <c r="N127" i="54"/>
  <c r="N123" i="54"/>
  <c r="R122" i="54"/>
  <c r="N124" i="54"/>
  <c r="M127" i="54"/>
  <c r="R128" i="54"/>
  <c r="N130" i="54"/>
  <c r="M123" i="54"/>
  <c r="R124" i="54"/>
  <c r="O122" i="54"/>
  <c r="M129" i="54"/>
  <c r="M122" i="54"/>
  <c r="R129" i="54"/>
  <c r="R123" i="54"/>
  <c r="N129" i="54"/>
  <c r="U127" i="54"/>
  <c r="M130" i="54"/>
  <c r="S128" i="54"/>
  <c r="S124" i="54"/>
  <c r="M126" i="54"/>
  <c r="R127" i="54"/>
  <c r="P124" i="54"/>
  <c r="P122" i="54"/>
  <c r="T127" i="54"/>
  <c r="Q122" i="54"/>
  <c r="M95" i="51"/>
  <c r="N88" i="51" s="1"/>
  <c r="T123" i="54"/>
  <c r="U130" i="54"/>
  <c r="Q126" i="54"/>
  <c r="T126" i="54"/>
  <c r="Q124" i="54"/>
  <c r="P128" i="54"/>
  <c r="U129" i="54"/>
  <c r="T122" i="54"/>
  <c r="Q128" i="54"/>
  <c r="U125" i="54"/>
  <c r="P123" i="54"/>
  <c r="O130" i="54"/>
  <c r="Q130" i="54"/>
  <c r="S129" i="54"/>
  <c r="U128" i="54"/>
  <c r="R130" i="54"/>
  <c r="Q123" i="54"/>
  <c r="U122" i="54"/>
  <c r="T129" i="54"/>
  <c r="S122" i="54"/>
  <c r="R126" i="54"/>
  <c r="U126" i="54"/>
  <c r="N128" i="54"/>
  <c r="M135" i="54" a="1"/>
  <c r="T125" i="54"/>
  <c r="P129" i="54"/>
  <c r="T130" i="54"/>
  <c r="O128" i="54"/>
  <c r="Q127" i="54"/>
  <c r="Q129" i="54"/>
  <c r="P125" i="54"/>
  <c r="T128" i="54"/>
  <c r="P130" i="54"/>
  <c r="O123" i="54"/>
  <c r="P127" i="54"/>
  <c r="T124" i="54"/>
  <c r="O124" i="54"/>
  <c r="P126" i="54"/>
  <c r="D7" i="40"/>
  <c r="I6" i="40"/>
  <c r="D9" i="40"/>
  <c r="G11" i="40"/>
  <c r="J13" i="40"/>
  <c r="H7" i="40"/>
  <c r="H10" i="40"/>
  <c r="B13" i="40"/>
  <c r="H6" i="40"/>
  <c r="D10" i="40"/>
  <c r="D13" i="40"/>
  <c r="B7" i="40"/>
  <c r="E9" i="40"/>
  <c r="H11" i="40"/>
  <c r="C14" i="40"/>
  <c r="J6" i="40"/>
  <c r="H8" i="40"/>
  <c r="F10" i="40"/>
  <c r="D12" i="40"/>
  <c r="B14" i="40"/>
  <c r="B9" i="40"/>
  <c r="F7" i="40"/>
  <c r="I9" i="40"/>
  <c r="C12" i="40"/>
  <c r="G14" i="40"/>
  <c r="E8" i="40"/>
  <c r="D11" i="40"/>
  <c r="H13" i="40"/>
  <c r="J7" i="40"/>
  <c r="I10" i="40"/>
  <c r="I13" i="40"/>
  <c r="G7" i="40"/>
  <c r="J9" i="40"/>
  <c r="E12" i="40"/>
  <c r="H14" i="40"/>
  <c r="E7" i="40"/>
  <c r="C9" i="40"/>
  <c r="J10" i="40"/>
  <c r="H12" i="40"/>
  <c r="F14" i="40"/>
  <c r="C10" i="40"/>
  <c r="F11" i="40"/>
  <c r="B8" i="40"/>
  <c r="E10" i="40"/>
  <c r="I12" i="40"/>
  <c r="G6" i="40"/>
  <c r="J8" i="40"/>
  <c r="J11" i="40"/>
  <c r="D14" i="40"/>
  <c r="F8" i="40"/>
  <c r="B12" i="40"/>
  <c r="E14" i="40"/>
  <c r="C8" i="40"/>
  <c r="G10" i="40"/>
  <c r="J12" i="40"/>
  <c r="B6" i="40"/>
  <c r="I7" i="40"/>
  <c r="G9" i="40"/>
  <c r="E11" i="40"/>
  <c r="C13" i="40"/>
  <c r="J14" i="40"/>
  <c r="C6" i="40"/>
  <c r="D6" i="40"/>
  <c r="G8" i="40"/>
  <c r="B11" i="40"/>
  <c r="E13" i="40"/>
  <c r="C7" i="40"/>
  <c r="F9" i="40"/>
  <c r="F12" i="40"/>
  <c r="I14" i="40"/>
  <c r="H9" i="40"/>
  <c r="G12" i="40"/>
  <c r="E6" i="40"/>
  <c r="I8" i="40"/>
  <c r="C11" i="40"/>
  <c r="F13" i="40"/>
  <c r="F6" i="40"/>
  <c r="D8" i="40"/>
  <c r="B10" i="40"/>
  <c r="I11" i="40"/>
  <c r="G13" i="40"/>
  <c r="BR26" i="40"/>
  <c r="BN26" i="40"/>
  <c r="BQ26" i="40"/>
  <c r="BL26" i="40"/>
  <c r="BP26" i="40"/>
  <c r="BK26" i="40"/>
  <c r="BO26" i="40"/>
  <c r="BM26" i="40"/>
  <c r="BS26" i="40"/>
  <c r="BS28" i="40" s="1"/>
  <c r="AP40" i="39"/>
  <c r="AM39" i="39"/>
  <c r="AN38" i="39"/>
  <c r="AO37" i="39"/>
  <c r="AP36" i="39"/>
  <c r="AM35" i="39"/>
  <c r="AN34" i="39"/>
  <c r="AO33" i="39"/>
  <c r="AP32" i="39"/>
  <c r="AO40" i="39"/>
  <c r="AP39" i="39"/>
  <c r="AM38" i="39"/>
  <c r="AN37" i="39"/>
  <c r="AO36" i="39"/>
  <c r="AP35" i="39"/>
  <c r="AM34" i="39"/>
  <c r="AN33" i="39"/>
  <c r="AO32" i="39"/>
  <c r="AP31" i="39"/>
  <c r="AM40" i="39"/>
  <c r="AN39" i="39"/>
  <c r="AO38" i="39"/>
  <c r="AP37" i="39"/>
  <c r="AM32" i="39"/>
  <c r="AN31" i="39"/>
  <c r="AN35" i="39"/>
  <c r="AP33" i="39"/>
  <c r="AM37" i="39"/>
  <c r="AN36" i="39"/>
  <c r="AO35" i="39"/>
  <c r="AP34" i="39"/>
  <c r="AM36" i="39"/>
  <c r="AO34" i="39"/>
  <c r="AN40" i="39"/>
  <c r="AO39" i="39"/>
  <c r="AP38" i="39"/>
  <c r="AM33" i="39"/>
  <c r="AN32" i="39"/>
  <c r="AO31" i="39"/>
  <c r="S31" i="39"/>
  <c r="T31" i="39"/>
  <c r="U31" i="39"/>
  <c r="AU61" i="39" a="1"/>
  <c r="AJ14" i="39"/>
  <c r="L4" i="39" a="1"/>
  <c r="AI3" i="39" a="1"/>
  <c r="N14" i="39"/>
  <c r="A15" i="38"/>
  <c r="A9" i="38"/>
  <c r="A3" i="38"/>
  <c r="N6" i="37"/>
  <c r="R107" i="51" l="1"/>
  <c r="S107" i="51" s="1"/>
  <c r="BN27" i="40"/>
  <c r="BO28" i="40"/>
  <c r="BL27" i="40"/>
  <c r="BL28" i="40" s="1"/>
  <c r="BK27" i="40"/>
  <c r="BK28" i="40" s="1"/>
  <c r="N50" i="51"/>
  <c r="O50" i="51"/>
  <c r="R50" i="51"/>
  <c r="Q50" i="51"/>
  <c r="R50" i="54"/>
  <c r="S50" i="54"/>
  <c r="P50" i="54"/>
  <c r="R105" i="51"/>
  <c r="S105" i="51" s="1"/>
  <c r="R108" i="51"/>
  <c r="S108" i="51" s="1"/>
  <c r="R102" i="51"/>
  <c r="S102" i="51" s="1"/>
  <c r="N109" i="51"/>
  <c r="R100" i="51"/>
  <c r="S100" i="51" s="1"/>
  <c r="R104" i="51"/>
  <c r="S104" i="51" s="1"/>
  <c r="R103" i="51"/>
  <c r="S103" i="51" s="1"/>
  <c r="R101" i="51"/>
  <c r="S101" i="51" s="1"/>
  <c r="R106" i="51"/>
  <c r="S106" i="51" s="1"/>
  <c r="P109" i="51"/>
  <c r="O109" i="51"/>
  <c r="M128" i="51" a="1"/>
  <c r="R136" i="51" s="1"/>
  <c r="M109" i="51"/>
  <c r="CA6" i="40"/>
  <c r="CA14" i="40"/>
  <c r="CA11" i="40"/>
  <c r="B6" i="44" a="1"/>
  <c r="I8" i="44" s="1"/>
  <c r="B6" i="41" a="1"/>
  <c r="J12" i="41" s="1"/>
  <c r="J38" i="41" s="1"/>
  <c r="M149" i="54" a="1"/>
  <c r="N150" i="54" s="1"/>
  <c r="AJ11" i="55"/>
  <c r="AJ38" i="55" s="1"/>
  <c r="AJ12" i="55"/>
  <c r="AJ39" i="55" s="1"/>
  <c r="AJ7" i="55"/>
  <c r="AJ34" i="55" s="1"/>
  <c r="AJ10" i="55"/>
  <c r="AJ37" i="55" s="1"/>
  <c r="AJ13" i="55"/>
  <c r="AJ40" i="55" s="1"/>
  <c r="AJ8" i="55"/>
  <c r="AJ35" i="55" s="1"/>
  <c r="AJ14" i="55"/>
  <c r="AJ41" i="55" s="1"/>
  <c r="AJ9" i="55"/>
  <c r="AJ36" i="55" s="1"/>
  <c r="AJ6" i="55"/>
  <c r="AJ33" i="55" s="1"/>
  <c r="BQ27" i="40"/>
  <c r="BQ28" i="40" s="1"/>
  <c r="BM27" i="40"/>
  <c r="BM28" i="40" s="1"/>
  <c r="B5" i="44" a="1"/>
  <c r="AO5" i="40" a="1"/>
  <c r="AD5" i="40" a="1"/>
  <c r="CA8" i="40"/>
  <c r="CA7" i="40"/>
  <c r="CA10" i="40"/>
  <c r="BN28" i="40"/>
  <c r="BB5" i="55"/>
  <c r="BE5" i="55"/>
  <c r="AW5" i="55"/>
  <c r="BC5" i="55"/>
  <c r="AY5" i="55"/>
  <c r="BA5" i="55"/>
  <c r="AZ5" i="55"/>
  <c r="BD5" i="55"/>
  <c r="AX5" i="55"/>
  <c r="CA12" i="40"/>
  <c r="CA9" i="40"/>
  <c r="B18" i="41" a="1"/>
  <c r="A6" i="41" a="1"/>
  <c r="BR28" i="40"/>
  <c r="BP28" i="40"/>
  <c r="W122" i="54"/>
  <c r="N91" i="51"/>
  <c r="W124" i="54"/>
  <c r="M137" i="54"/>
  <c r="M136" i="54"/>
  <c r="M142" i="54"/>
  <c r="M139" i="54"/>
  <c r="M140" i="54"/>
  <c r="M143" i="54"/>
  <c r="M135" i="54"/>
  <c r="M138" i="54"/>
  <c r="M141" i="54"/>
  <c r="N94" i="51"/>
  <c r="N87" i="51"/>
  <c r="N92" i="51"/>
  <c r="N86" i="51"/>
  <c r="O86" i="51" s="1"/>
  <c r="W127" i="54"/>
  <c r="W129" i="54"/>
  <c r="N89" i="51"/>
  <c r="W130" i="54"/>
  <c r="N93" i="51"/>
  <c r="N90" i="51"/>
  <c r="W123" i="54"/>
  <c r="O50" i="54"/>
  <c r="W128" i="54"/>
  <c r="W125" i="54"/>
  <c r="W126" i="54"/>
  <c r="N50" i="54"/>
  <c r="Y5" i="40"/>
  <c r="Y6" i="40"/>
  <c r="AQ36" i="39"/>
  <c r="AU69" i="39"/>
  <c r="AU65" i="39"/>
  <c r="AU61" i="39"/>
  <c r="AU68" i="39"/>
  <c r="AU64" i="39"/>
  <c r="AU63" i="39"/>
  <c r="AU62" i="39"/>
  <c r="AU67" i="39"/>
  <c r="AU66" i="39"/>
  <c r="N64" i="39"/>
  <c r="S37" i="39"/>
  <c r="M60" i="39"/>
  <c r="R33" i="39"/>
  <c r="N67" i="39"/>
  <c r="S40" i="39"/>
  <c r="N61" i="39"/>
  <c r="S34" i="39"/>
  <c r="M67" i="39"/>
  <c r="R40" i="39"/>
  <c r="AQ39" i="39"/>
  <c r="AQ3" i="39"/>
  <c r="AM3" i="39"/>
  <c r="AI3" i="39"/>
  <c r="AP3" i="39"/>
  <c r="AK3" i="39"/>
  <c r="AN3" i="39"/>
  <c r="AO3" i="39"/>
  <c r="AJ3" i="39"/>
  <c r="AL3" i="39"/>
  <c r="O67" i="39"/>
  <c r="T40" i="39"/>
  <c r="N63" i="39"/>
  <c r="S36" i="39"/>
  <c r="M65" i="39"/>
  <c r="R38" i="39"/>
  <c r="O59" i="39"/>
  <c r="T32" i="39"/>
  <c r="R31" i="39"/>
  <c r="M32" i="39" a="1"/>
  <c r="P63" i="39"/>
  <c r="U36" i="39"/>
  <c r="N65" i="39"/>
  <c r="S38" i="39"/>
  <c r="U33" i="39"/>
  <c r="P60" i="39"/>
  <c r="N62" i="39"/>
  <c r="S35" i="39"/>
  <c r="AQ33" i="39"/>
  <c r="AQ37" i="39"/>
  <c r="AQ32" i="39"/>
  <c r="L10" i="39"/>
  <c r="L6" i="39"/>
  <c r="L12" i="39"/>
  <c r="L7" i="39"/>
  <c r="L9" i="39"/>
  <c r="L8" i="39"/>
  <c r="L11" i="39"/>
  <c r="L5" i="39"/>
  <c r="L4" i="39"/>
  <c r="A6" i="40" s="1"/>
  <c r="N60" i="39"/>
  <c r="S33" i="39"/>
  <c r="M64" i="39"/>
  <c r="R37" i="39"/>
  <c r="U35" i="39"/>
  <c r="P62" i="39"/>
  <c r="P66" i="39"/>
  <c r="U39" i="39"/>
  <c r="P65" i="39"/>
  <c r="U38" i="39"/>
  <c r="T33" i="39"/>
  <c r="O60" i="39"/>
  <c r="M62" i="39"/>
  <c r="R35" i="39"/>
  <c r="P67" i="39"/>
  <c r="U40" i="39"/>
  <c r="AI61" i="39" a="1"/>
  <c r="M59" i="39"/>
  <c r="R32" i="39"/>
  <c r="P64" i="39"/>
  <c r="U37" i="39"/>
  <c r="N66" i="39"/>
  <c r="S39" i="39"/>
  <c r="AQ40" i="39"/>
  <c r="AQ34" i="39"/>
  <c r="AH32" i="39" a="1"/>
  <c r="AM31" i="39"/>
  <c r="P61" i="39"/>
  <c r="U34" i="39"/>
  <c r="O62" i="39"/>
  <c r="T35" i="39"/>
  <c r="P59" i="39"/>
  <c r="U32" i="39"/>
  <c r="O65" i="39"/>
  <c r="T38" i="39"/>
  <c r="M61" i="39"/>
  <c r="R34" i="39"/>
  <c r="O63" i="39"/>
  <c r="T36" i="39"/>
  <c r="N59" i="39"/>
  <c r="S32" i="39"/>
  <c r="T39" i="39"/>
  <c r="O66" i="39"/>
  <c r="T37" i="39"/>
  <c r="O64" i="39"/>
  <c r="M66" i="39"/>
  <c r="R39" i="39"/>
  <c r="O61" i="39"/>
  <c r="T34" i="39"/>
  <c r="M63" i="39"/>
  <c r="R36" i="39"/>
  <c r="AQ38" i="39"/>
  <c r="AQ35" i="39"/>
  <c r="Y7" i="37"/>
  <c r="Q6" i="37"/>
  <c r="R6" i="37" s="1"/>
  <c r="S6" i="37" s="1"/>
  <c r="R4" i="37"/>
  <c r="S4" i="37" s="1"/>
  <c r="Q5" i="37"/>
  <c r="R5" i="37" s="1"/>
  <c r="S5" i="37" s="1"/>
  <c r="E9" i="41" l="1"/>
  <c r="E35" i="41" s="1"/>
  <c r="E10" i="41"/>
  <c r="E36" i="41" s="1"/>
  <c r="C13" i="41"/>
  <c r="C39" i="41" s="1"/>
  <c r="G13" i="41"/>
  <c r="G39" i="41" s="1"/>
  <c r="B13" i="41"/>
  <c r="B39" i="41" s="1"/>
  <c r="D6" i="41"/>
  <c r="D32" i="41" s="1"/>
  <c r="I11" i="41"/>
  <c r="I37" i="41" s="1"/>
  <c r="J6" i="41"/>
  <c r="J32" i="41" s="1"/>
  <c r="I7" i="41"/>
  <c r="I33" i="41" s="1"/>
  <c r="G8" i="41"/>
  <c r="G34" i="41" s="1"/>
  <c r="D11" i="41"/>
  <c r="D37" i="41" s="1"/>
  <c r="G12" i="41"/>
  <c r="G38" i="41" s="1"/>
  <c r="N153" i="54"/>
  <c r="H14" i="41"/>
  <c r="H40" i="41" s="1"/>
  <c r="E14" i="41"/>
  <c r="E40" i="41" s="1"/>
  <c r="J13" i="41"/>
  <c r="J39" i="41" s="1"/>
  <c r="B11" i="41"/>
  <c r="B37" i="41" s="1"/>
  <c r="H13" i="41"/>
  <c r="H39" i="41" s="1"/>
  <c r="C10" i="41"/>
  <c r="C36" i="41" s="1"/>
  <c r="P157" i="54"/>
  <c r="E6" i="41"/>
  <c r="E32" i="41" s="1"/>
  <c r="E7" i="41"/>
  <c r="E33" i="41" s="1"/>
  <c r="D14" i="41"/>
  <c r="D40" i="41" s="1"/>
  <c r="M50" i="54"/>
  <c r="S50" i="51"/>
  <c r="T50" i="54"/>
  <c r="T50" i="51"/>
  <c r="P50" i="51"/>
  <c r="Q50" i="54"/>
  <c r="M50" i="51"/>
  <c r="U50" i="54"/>
  <c r="U50" i="51"/>
  <c r="R116" i="51"/>
  <c r="S116" i="51" s="1"/>
  <c r="R121" i="51"/>
  <c r="S121" i="51" s="1"/>
  <c r="R122" i="51"/>
  <c r="S122" i="51" s="1"/>
  <c r="O123" i="51"/>
  <c r="M123" i="51"/>
  <c r="S109" i="51"/>
  <c r="T132" i="51"/>
  <c r="O128" i="51"/>
  <c r="Q129" i="51"/>
  <c r="M129" i="51"/>
  <c r="Q128" i="51"/>
  <c r="O130" i="51"/>
  <c r="P129" i="51"/>
  <c r="S128" i="51"/>
  <c r="O136" i="51"/>
  <c r="R132" i="51"/>
  <c r="S130" i="51"/>
  <c r="U128" i="51"/>
  <c r="Q135" i="51"/>
  <c r="U132" i="51"/>
  <c r="P123" i="51"/>
  <c r="M154" i="51" a="1"/>
  <c r="O154" i="51" s="1"/>
  <c r="R120" i="51"/>
  <c r="S120" i="51" s="1"/>
  <c r="R115" i="51"/>
  <c r="S115" i="51" s="1"/>
  <c r="R119" i="51"/>
  <c r="S119" i="51" s="1"/>
  <c r="R118" i="51"/>
  <c r="S118" i="51" s="1"/>
  <c r="N123" i="51"/>
  <c r="N136" i="51"/>
  <c r="U134" i="51"/>
  <c r="Q136" i="51"/>
  <c r="Q132" i="51"/>
  <c r="R135" i="51"/>
  <c r="P130" i="51"/>
  <c r="R131" i="51"/>
  <c r="N131" i="51"/>
  <c r="O132" i="51"/>
  <c r="M134" i="51"/>
  <c r="T129" i="51"/>
  <c r="Q131" i="51"/>
  <c r="O129" i="51"/>
  <c r="S134" i="51"/>
  <c r="Q134" i="51"/>
  <c r="O131" i="51"/>
  <c r="P133" i="51"/>
  <c r="N129" i="51"/>
  <c r="CC6" i="40" a="1"/>
  <c r="CC8" i="40" s="1"/>
  <c r="N134" i="51"/>
  <c r="M128" i="51"/>
  <c r="U133" i="51"/>
  <c r="T128" i="51"/>
  <c r="P135" i="51"/>
  <c r="O133" i="51"/>
  <c r="R128" i="51"/>
  <c r="M131" i="51"/>
  <c r="U131" i="51"/>
  <c r="U129" i="51"/>
  <c r="S131" i="51"/>
  <c r="N135" i="51"/>
  <c r="P131" i="51"/>
  <c r="N128" i="51"/>
  <c r="M130" i="51"/>
  <c r="T130" i="51"/>
  <c r="M135" i="51"/>
  <c r="B9" i="41"/>
  <c r="B35" i="41" s="1"/>
  <c r="J7" i="41"/>
  <c r="J33" i="41" s="1"/>
  <c r="C9" i="41"/>
  <c r="C35" i="41" s="1"/>
  <c r="C7" i="41"/>
  <c r="C33" i="41" s="1"/>
  <c r="C11" i="41"/>
  <c r="C37" i="41" s="1"/>
  <c r="I6" i="41"/>
  <c r="I32" i="41" s="1"/>
  <c r="D10" i="41"/>
  <c r="D36" i="41" s="1"/>
  <c r="F10" i="41"/>
  <c r="F36" i="41" s="1"/>
  <c r="G6" i="41"/>
  <c r="G32" i="41" s="1"/>
  <c r="G10" i="41"/>
  <c r="G36" i="41" s="1"/>
  <c r="F7" i="41"/>
  <c r="F33" i="41" s="1"/>
  <c r="I10" i="41"/>
  <c r="I36" i="41" s="1"/>
  <c r="J10" i="41"/>
  <c r="J36" i="41" s="1"/>
  <c r="E13" i="41"/>
  <c r="E39" i="41" s="1"/>
  <c r="I8" i="41"/>
  <c r="I34" i="41" s="1"/>
  <c r="H10" i="41"/>
  <c r="H36" i="41" s="1"/>
  <c r="C14" i="41"/>
  <c r="C40" i="41" s="1"/>
  <c r="B8" i="41"/>
  <c r="B34" i="41" s="1"/>
  <c r="B12" i="41"/>
  <c r="B38" i="41" s="1"/>
  <c r="E11" i="41"/>
  <c r="E37" i="41" s="1"/>
  <c r="R109" i="51"/>
  <c r="R114" i="51"/>
  <c r="S114" i="51" s="1"/>
  <c r="R117" i="51"/>
  <c r="S117" i="51" s="1"/>
  <c r="Q133" i="51"/>
  <c r="M136" i="51"/>
  <c r="T134" i="51"/>
  <c r="R133" i="51"/>
  <c r="U135" i="51"/>
  <c r="N130" i="51"/>
  <c r="T136" i="51"/>
  <c r="R130" i="51"/>
  <c r="S132" i="51"/>
  <c r="S136" i="51"/>
  <c r="M132" i="51"/>
  <c r="R129" i="51"/>
  <c r="U130" i="51"/>
  <c r="T135" i="51"/>
  <c r="M156" i="54"/>
  <c r="I9" i="41"/>
  <c r="I35" i="41" s="1"/>
  <c r="I13" i="41"/>
  <c r="I39" i="41" s="1"/>
  <c r="H12" i="41"/>
  <c r="H38" i="41" s="1"/>
  <c r="F12" i="41"/>
  <c r="F38" i="41" s="1"/>
  <c r="F6" i="41"/>
  <c r="F32" i="41" s="1"/>
  <c r="G11" i="41"/>
  <c r="G37" i="41" s="1"/>
  <c r="B7" i="41"/>
  <c r="B33" i="41" s="1"/>
  <c r="B14" i="41"/>
  <c r="B40" i="41" s="1"/>
  <c r="J11" i="41"/>
  <c r="J37" i="41" s="1"/>
  <c r="B6" i="41"/>
  <c r="L5" i="41" s="1"/>
  <c r="C12" i="41"/>
  <c r="C38" i="41" s="1"/>
  <c r="G7" i="41"/>
  <c r="G33" i="41" s="1"/>
  <c r="F14" i="41"/>
  <c r="F40" i="41" s="1"/>
  <c r="F9" i="41"/>
  <c r="F35" i="41" s="1"/>
  <c r="F13" i="41"/>
  <c r="F39" i="41" s="1"/>
  <c r="D7" i="41"/>
  <c r="D33" i="41" s="1"/>
  <c r="H6" i="41"/>
  <c r="H32" i="41" s="1"/>
  <c r="H8" i="41"/>
  <c r="H34" i="41" s="1"/>
  <c r="I12" i="41"/>
  <c r="I38" i="41" s="1"/>
  <c r="C8" i="41"/>
  <c r="C34" i="41" s="1"/>
  <c r="J14" i="41"/>
  <c r="J40" i="41" s="1"/>
  <c r="S133" i="51"/>
  <c r="O135" i="51"/>
  <c r="U136" i="51"/>
  <c r="P134" i="51"/>
  <c r="N133" i="51"/>
  <c r="O134" i="51"/>
  <c r="Q130" i="51"/>
  <c r="M133" i="51"/>
  <c r="T131" i="51"/>
  <c r="S129" i="51"/>
  <c r="S135" i="51"/>
  <c r="P132" i="51"/>
  <c r="N132" i="51"/>
  <c r="R134" i="51"/>
  <c r="P136" i="51"/>
  <c r="P128" i="51"/>
  <c r="T133" i="51"/>
  <c r="O157" i="54"/>
  <c r="N151" i="54"/>
  <c r="N154" i="54"/>
  <c r="G14" i="41"/>
  <c r="G40" i="41" s="1"/>
  <c r="J9" i="41"/>
  <c r="J35" i="41" s="1"/>
  <c r="H9" i="41"/>
  <c r="H35" i="41" s="1"/>
  <c r="B10" i="41"/>
  <c r="B36" i="41" s="1"/>
  <c r="H7" i="41"/>
  <c r="H33" i="41" s="1"/>
  <c r="H11" i="41"/>
  <c r="H37" i="41" s="1"/>
  <c r="F11" i="41"/>
  <c r="F37" i="41" s="1"/>
  <c r="F8" i="41"/>
  <c r="F34" i="41" s="1"/>
  <c r="G9" i="41"/>
  <c r="G35" i="41" s="1"/>
  <c r="E8" i="41"/>
  <c r="E34" i="41" s="1"/>
  <c r="E12" i="41"/>
  <c r="E38" i="41" s="1"/>
  <c r="C6" i="41"/>
  <c r="C32" i="41" s="1"/>
  <c r="I14" i="41"/>
  <c r="I40" i="41" s="1"/>
  <c r="D8" i="41"/>
  <c r="D34" i="41" s="1"/>
  <c r="D9" i="41"/>
  <c r="D35" i="41" s="1"/>
  <c r="D13" i="41"/>
  <c r="D39" i="41" s="1"/>
  <c r="D12" i="41"/>
  <c r="D38" i="41" s="1"/>
  <c r="J8" i="41"/>
  <c r="J34" i="41" s="1"/>
  <c r="G6" i="44"/>
  <c r="E6" i="44"/>
  <c r="D12" i="44"/>
  <c r="J8" i="44"/>
  <c r="H9" i="44"/>
  <c r="I6" i="44"/>
  <c r="B7" i="44"/>
  <c r="E10" i="44"/>
  <c r="C13" i="44"/>
  <c r="D11" i="44"/>
  <c r="B12" i="44"/>
  <c r="B10" i="44"/>
  <c r="I10" i="44"/>
  <c r="B14" i="44"/>
  <c r="E14" i="44"/>
  <c r="F13" i="44"/>
  <c r="C9" i="44"/>
  <c r="P156" i="54"/>
  <c r="C7" i="44"/>
  <c r="D13" i="44"/>
  <c r="B8" i="44"/>
  <c r="D6" i="44"/>
  <c r="I14" i="44"/>
  <c r="G11" i="44"/>
  <c r="E7" i="44"/>
  <c r="J13" i="44"/>
  <c r="B9" i="44"/>
  <c r="M155" i="54"/>
  <c r="D9" i="44"/>
  <c r="H14" i="44"/>
  <c r="E11" i="44"/>
  <c r="F8" i="44"/>
  <c r="N156" i="54"/>
  <c r="H13" i="44"/>
  <c r="O155" i="54"/>
  <c r="P155" i="54"/>
  <c r="C8" i="44"/>
  <c r="F11" i="44"/>
  <c r="Q39" i="39"/>
  <c r="A13" i="40"/>
  <c r="A26" i="40" s="1"/>
  <c r="A38" i="40" s="1"/>
  <c r="A51" i="40" s="1"/>
  <c r="A9" i="41"/>
  <c r="A14" i="41"/>
  <c r="A10" i="41"/>
  <c r="A11" i="41"/>
  <c r="A12" i="41"/>
  <c r="A7" i="41"/>
  <c r="A8" i="41"/>
  <c r="A13" i="41"/>
  <c r="A6" i="41"/>
  <c r="Q36" i="39"/>
  <c r="A10" i="40"/>
  <c r="A23" i="40" s="1"/>
  <c r="A35" i="40" s="1"/>
  <c r="A48" i="40" s="1"/>
  <c r="Q34" i="39"/>
  <c r="A8" i="40"/>
  <c r="A21" i="40" s="1"/>
  <c r="A33" i="40" s="1"/>
  <c r="A46" i="40" s="1"/>
  <c r="G18" i="41"/>
  <c r="I18" i="41"/>
  <c r="F18" i="41"/>
  <c r="C18" i="41"/>
  <c r="E18" i="41"/>
  <c r="H18" i="41"/>
  <c r="B18" i="41"/>
  <c r="D18" i="41"/>
  <c r="J18" i="41"/>
  <c r="O156" i="54"/>
  <c r="P151" i="54"/>
  <c r="O151" i="54"/>
  <c r="C14" i="44"/>
  <c r="I13" i="44"/>
  <c r="F10" i="44"/>
  <c r="G9" i="44"/>
  <c r="AJ5" i="40"/>
  <c r="AK5" i="40"/>
  <c r="AG5" i="40"/>
  <c r="AD5" i="40"/>
  <c r="AL5" i="40"/>
  <c r="AF5" i="40"/>
  <c r="AE5" i="40"/>
  <c r="AI5" i="40"/>
  <c r="AH5" i="40"/>
  <c r="M150" i="54"/>
  <c r="P149" i="54"/>
  <c r="B13" i="44"/>
  <c r="C12" i="44"/>
  <c r="F14" i="44"/>
  <c r="G8" i="44"/>
  <c r="I11" i="44"/>
  <c r="D10" i="44"/>
  <c r="E13" i="44"/>
  <c r="CA19" i="40" a="1"/>
  <c r="M154" i="54"/>
  <c r="P152" i="54"/>
  <c r="H6" i="44"/>
  <c r="G14" i="44"/>
  <c r="C10" i="44"/>
  <c r="I7" i="44"/>
  <c r="F6" i="44"/>
  <c r="H7" i="44"/>
  <c r="G10" i="44"/>
  <c r="Q40" i="39"/>
  <c r="A14" i="40"/>
  <c r="A27" i="40" s="1"/>
  <c r="BI5" i="55" a="1"/>
  <c r="AV6" i="55" a="1"/>
  <c r="AO5" i="40"/>
  <c r="AQ5" i="40"/>
  <c r="AU5" i="40"/>
  <c r="AT5" i="40"/>
  <c r="AW5" i="40"/>
  <c r="AP5" i="40"/>
  <c r="AR5" i="40"/>
  <c r="AS5" i="40"/>
  <c r="AV5" i="40"/>
  <c r="N152" i="54"/>
  <c r="N149" i="54"/>
  <c r="O152" i="54"/>
  <c r="M152" i="54"/>
  <c r="O150" i="54"/>
  <c r="F9" i="44"/>
  <c r="F7" i="44"/>
  <c r="D8" i="44"/>
  <c r="P154" i="54"/>
  <c r="E9" i="44"/>
  <c r="J7" i="44"/>
  <c r="I12" i="44"/>
  <c r="B11" i="44"/>
  <c r="G13" i="44"/>
  <c r="O149" i="54"/>
  <c r="H11" i="44"/>
  <c r="C6" i="44"/>
  <c r="A19" i="40"/>
  <c r="Q37" i="39"/>
  <c r="A11" i="40"/>
  <c r="A24" i="40" s="1"/>
  <c r="A36" i="40" s="1"/>
  <c r="A49" i="40" s="1"/>
  <c r="Q38" i="39"/>
  <c r="A12" i="40"/>
  <c r="A25" i="40" s="1"/>
  <c r="A37" i="40" s="1"/>
  <c r="A50" i="40" s="1"/>
  <c r="Q33" i="39"/>
  <c r="A7" i="40"/>
  <c r="A20" i="40" s="1"/>
  <c r="A32" i="40" s="1"/>
  <c r="A45" i="40" s="1"/>
  <c r="Q35" i="39"/>
  <c r="A9" i="40"/>
  <c r="A22" i="40" s="1"/>
  <c r="J14" i="44"/>
  <c r="BV6" i="40" a="1"/>
  <c r="BY12" i="40" s="1"/>
  <c r="N157" i="54"/>
  <c r="N155" i="54"/>
  <c r="H10" i="44"/>
  <c r="I9" i="44"/>
  <c r="H12" i="44"/>
  <c r="J12" i="44"/>
  <c r="C11" i="44"/>
  <c r="P150" i="54"/>
  <c r="J10" i="44"/>
  <c r="G5" i="44"/>
  <c r="H5" i="44"/>
  <c r="D5" i="44"/>
  <c r="I5" i="44"/>
  <c r="C5" i="44"/>
  <c r="E5" i="44"/>
  <c r="B5" i="44"/>
  <c r="F5" i="44"/>
  <c r="J5" i="44"/>
  <c r="M151" i="54"/>
  <c r="M149" i="54"/>
  <c r="P153" i="54"/>
  <c r="J6" i="44"/>
  <c r="G7" i="44"/>
  <c r="J11" i="44"/>
  <c r="B6" i="44"/>
  <c r="G12" i="44"/>
  <c r="O154" i="54"/>
  <c r="E12" i="44"/>
  <c r="O153" i="54"/>
  <c r="M153" i="54"/>
  <c r="D7" i="44"/>
  <c r="H8" i="44"/>
  <c r="J9" i="44"/>
  <c r="D14" i="44"/>
  <c r="F12" i="44"/>
  <c r="M157" i="54"/>
  <c r="E8" i="44"/>
  <c r="G31" i="40"/>
  <c r="I31" i="40"/>
  <c r="J39" i="40"/>
  <c r="J33" i="40"/>
  <c r="J34" i="40"/>
  <c r="G36" i="40"/>
  <c r="F35" i="40"/>
  <c r="Y9" i="40"/>
  <c r="G33" i="40"/>
  <c r="G37" i="40"/>
  <c r="D31" i="40"/>
  <c r="M144" i="54"/>
  <c r="N141" i="54" s="1"/>
  <c r="Y8" i="40"/>
  <c r="Y12" i="40" s="1"/>
  <c r="I32" i="40"/>
  <c r="H31" i="40"/>
  <c r="D34" i="40"/>
  <c r="G39" i="40"/>
  <c r="H39" i="40"/>
  <c r="I37" i="40"/>
  <c r="I36" i="40"/>
  <c r="B36" i="40"/>
  <c r="C34" i="40"/>
  <c r="H35" i="40"/>
  <c r="H32" i="40"/>
  <c r="I39" i="40"/>
  <c r="O87" i="51"/>
  <c r="O88" i="51" s="1"/>
  <c r="O89" i="51" s="1"/>
  <c r="O90" i="51" s="1"/>
  <c r="O91" i="51" s="1"/>
  <c r="O92" i="51" s="1"/>
  <c r="O93" i="51" s="1"/>
  <c r="O94" i="51" s="1"/>
  <c r="B31" i="40"/>
  <c r="M6" i="40" a="1"/>
  <c r="M9" i="40" s="1"/>
  <c r="I38" i="40"/>
  <c r="E37" i="40"/>
  <c r="H36" i="40"/>
  <c r="G35" i="40"/>
  <c r="G34" i="40"/>
  <c r="I33" i="40"/>
  <c r="E32" i="40"/>
  <c r="J38" i="40"/>
  <c r="B37" i="40"/>
  <c r="D32" i="40"/>
  <c r="D33" i="40"/>
  <c r="B32" i="40"/>
  <c r="J36" i="40"/>
  <c r="I35" i="40"/>
  <c r="C35" i="40"/>
  <c r="I34" i="40"/>
  <c r="H33" i="40"/>
  <c r="J31" i="40"/>
  <c r="G32" i="40"/>
  <c r="H37" i="40"/>
  <c r="H34" i="40"/>
  <c r="C32" i="40"/>
  <c r="D36" i="40"/>
  <c r="B34" i="40"/>
  <c r="AZ32" i="40" a="1"/>
  <c r="BE37" i="40" s="1"/>
  <c r="B33" i="40"/>
  <c r="D39" i="40"/>
  <c r="F38" i="40"/>
  <c r="E36" i="40"/>
  <c r="F33" i="40"/>
  <c r="C33" i="40"/>
  <c r="F39" i="40"/>
  <c r="F36" i="40"/>
  <c r="D35" i="40"/>
  <c r="E33" i="40"/>
  <c r="C38" i="40"/>
  <c r="BK19" i="40" a="1"/>
  <c r="BS21" i="40" s="1"/>
  <c r="B38" i="40"/>
  <c r="E31" i="40"/>
  <c r="G38" i="40"/>
  <c r="J37" i="40"/>
  <c r="C37" i="40"/>
  <c r="C36" i="40"/>
  <c r="E35" i="40"/>
  <c r="C31" i="40"/>
  <c r="D38" i="40"/>
  <c r="D37" i="40"/>
  <c r="C39" i="40"/>
  <c r="B35" i="40"/>
  <c r="E34" i="40"/>
  <c r="F32" i="40"/>
  <c r="F31" i="40"/>
  <c r="E39" i="40"/>
  <c r="B39" i="40"/>
  <c r="H38" i="40"/>
  <c r="E38" i="40"/>
  <c r="J35" i="40"/>
  <c r="J32" i="40"/>
  <c r="F37" i="40"/>
  <c r="F34" i="40"/>
  <c r="L59" i="39" a="1"/>
  <c r="Q32" i="39"/>
  <c r="L19" i="39" a="1"/>
  <c r="AH4" i="39" a="1"/>
  <c r="M37" i="39"/>
  <c r="M33" i="39"/>
  <c r="M40" i="39"/>
  <c r="M36" i="39"/>
  <c r="M32" i="39"/>
  <c r="M34" i="39"/>
  <c r="M39" i="39"/>
  <c r="M35" i="39"/>
  <c r="M38" i="39"/>
  <c r="AQ69" i="39"/>
  <c r="AM69" i="39"/>
  <c r="AI69" i="39"/>
  <c r="AN68" i="39"/>
  <c r="AJ68" i="39"/>
  <c r="AO67" i="39"/>
  <c r="AK67" i="39"/>
  <c r="AP66" i="39"/>
  <c r="AL66" i="39"/>
  <c r="AQ65" i="39"/>
  <c r="AM65" i="39"/>
  <c r="AI65" i="39"/>
  <c r="AN64" i="39"/>
  <c r="AJ64" i="39"/>
  <c r="AO63" i="39"/>
  <c r="AK63" i="39"/>
  <c r="AP62" i="39"/>
  <c r="AL62" i="39"/>
  <c r="AQ61" i="39"/>
  <c r="AM61" i="39"/>
  <c r="AI61" i="39"/>
  <c r="AP69" i="39"/>
  <c r="AL69" i="39"/>
  <c r="AQ68" i="39"/>
  <c r="AM68" i="39"/>
  <c r="AI68" i="39"/>
  <c r="AN67" i="39"/>
  <c r="AJ67" i="39"/>
  <c r="AO66" i="39"/>
  <c r="AK66" i="39"/>
  <c r="AP65" i="39"/>
  <c r="AL65" i="39"/>
  <c r="AQ64" i="39"/>
  <c r="AM64" i="39"/>
  <c r="AI64" i="39"/>
  <c r="AN63" i="39"/>
  <c r="AJ63" i="39"/>
  <c r="AO62" i="39"/>
  <c r="AK62" i="39"/>
  <c r="AP61" i="39"/>
  <c r="AL61" i="39"/>
  <c r="AO69" i="39"/>
  <c r="AP68" i="39"/>
  <c r="AQ67" i="39"/>
  <c r="AI67" i="39"/>
  <c r="AJ66" i="39"/>
  <c r="AK65" i="39"/>
  <c r="AL64" i="39"/>
  <c r="AM63" i="39"/>
  <c r="AN62" i="39"/>
  <c r="AO61" i="39"/>
  <c r="AN69" i="39"/>
  <c r="AO68" i="39"/>
  <c r="AP67" i="39"/>
  <c r="AQ66" i="39"/>
  <c r="AI66" i="39"/>
  <c r="AJ65" i="39"/>
  <c r="AK64" i="39"/>
  <c r="AL63" i="39"/>
  <c r="AM62" i="39"/>
  <c r="AN61" i="39"/>
  <c r="AL68" i="39"/>
  <c r="AN66" i="39"/>
  <c r="AP64" i="39"/>
  <c r="AI63" i="39"/>
  <c r="AK61" i="39"/>
  <c r="AK68" i="39"/>
  <c r="AM66" i="39"/>
  <c r="AO64" i="39"/>
  <c r="AQ62" i="39"/>
  <c r="AJ61" i="39"/>
  <c r="AL67" i="39"/>
  <c r="AP63" i="39"/>
  <c r="AI62" i="39"/>
  <c r="AQ63" i="39"/>
  <c r="AK69" i="39"/>
  <c r="AO65" i="39"/>
  <c r="AJ62" i="39"/>
  <c r="AJ69" i="39"/>
  <c r="AN65" i="39"/>
  <c r="AM67" i="39"/>
  <c r="AH38" i="39"/>
  <c r="AH34" i="39"/>
  <c r="AH37" i="39"/>
  <c r="AH33" i="39"/>
  <c r="AH39" i="39"/>
  <c r="AH36" i="39"/>
  <c r="AH35" i="39"/>
  <c r="AH32" i="39"/>
  <c r="AH40" i="39"/>
  <c r="Y5" i="37"/>
  <c r="N5" i="37"/>
  <c r="N14" i="37" s="1"/>
  <c r="N17" i="37" s="1"/>
  <c r="T5" i="37"/>
  <c r="U5" i="37" s="1"/>
  <c r="V5" i="37" s="1"/>
  <c r="Q7" i="37"/>
  <c r="R7" i="37" s="1"/>
  <c r="T4" i="37"/>
  <c r="U4" i="37" s="1"/>
  <c r="V4" i="37" s="1"/>
  <c r="T6" i="37"/>
  <c r="U6" i="37" s="1"/>
  <c r="V6" i="37" s="1"/>
  <c r="BY14" i="40" l="1"/>
  <c r="BY13" i="40"/>
  <c r="BY9" i="40"/>
  <c r="BW6" i="40"/>
  <c r="BV6" i="40"/>
  <c r="M141" i="51" a="1"/>
  <c r="U147" i="51" s="1"/>
  <c r="BX14" i="40"/>
  <c r="BW14" i="40"/>
  <c r="BY7" i="40"/>
  <c r="BY10" i="40"/>
  <c r="BX8" i="40"/>
  <c r="BV8" i="40"/>
  <c r="A19" i="41" a="1"/>
  <c r="A27" i="41" s="1"/>
  <c r="V50" i="54"/>
  <c r="M55" i="54" s="1" a="1"/>
  <c r="T55" i="54" s="1"/>
  <c r="V50" i="51"/>
  <c r="M55" i="51" s="1" a="1"/>
  <c r="S55" i="51" s="1"/>
  <c r="O162" i="51"/>
  <c r="N157" i="51"/>
  <c r="N154" i="51"/>
  <c r="N160" i="51"/>
  <c r="N156" i="51"/>
  <c r="CC6" i="40"/>
  <c r="B32" i="41"/>
  <c r="D15" i="44"/>
  <c r="N155" i="51"/>
  <c r="P156" i="51"/>
  <c r="R153" i="54"/>
  <c r="S153" i="54" s="1"/>
  <c r="O155" i="51"/>
  <c r="P159" i="51"/>
  <c r="CC13" i="40"/>
  <c r="R157" i="54"/>
  <c r="S157" i="54" s="1"/>
  <c r="P161" i="51"/>
  <c r="P154" i="51"/>
  <c r="O158" i="51"/>
  <c r="O159" i="51"/>
  <c r="O156" i="51"/>
  <c r="M154" i="51"/>
  <c r="N161" i="51"/>
  <c r="P160" i="51"/>
  <c r="N158" i="51"/>
  <c r="R123" i="51"/>
  <c r="CC14" i="40"/>
  <c r="CC7" i="40"/>
  <c r="G15" i="44"/>
  <c r="J15" i="44"/>
  <c r="E15" i="44"/>
  <c r="M160" i="51"/>
  <c r="P162" i="51"/>
  <c r="P157" i="51"/>
  <c r="P158" i="51"/>
  <c r="O160" i="51"/>
  <c r="M158" i="51"/>
  <c r="O157" i="51"/>
  <c r="M155" i="51"/>
  <c r="N162" i="51"/>
  <c r="S123" i="51"/>
  <c r="CC11" i="40"/>
  <c r="CC9" i="40"/>
  <c r="C15" i="44"/>
  <c r="N159" i="51"/>
  <c r="M161" i="51"/>
  <c r="M156" i="51"/>
  <c r="M157" i="51"/>
  <c r="P155" i="51"/>
  <c r="M162" i="51"/>
  <c r="O161" i="51"/>
  <c r="M159" i="51"/>
  <c r="CC12" i="40"/>
  <c r="CC10" i="40"/>
  <c r="I15" i="44"/>
  <c r="P158" i="54"/>
  <c r="D44" i="40" a="1"/>
  <c r="D49" i="40" s="1"/>
  <c r="B20" i="44" a="1"/>
  <c r="I23" i="44" s="1"/>
  <c r="BX13" i="40"/>
  <c r="B15" i="44"/>
  <c r="R152" i="54"/>
  <c r="S152" i="54" s="1"/>
  <c r="F15" i="44"/>
  <c r="H15" i="44"/>
  <c r="R150" i="54"/>
  <c r="S150" i="54" s="1"/>
  <c r="R155" i="54"/>
  <c r="S155" i="54" s="1"/>
  <c r="R156" i="54"/>
  <c r="S156" i="54" s="1"/>
  <c r="O158" i="54"/>
  <c r="BW7" i="40"/>
  <c r="BY8" i="40"/>
  <c r="R151" i="54"/>
  <c r="S151" i="54" s="1"/>
  <c r="N158" i="54"/>
  <c r="R154" i="54"/>
  <c r="S154" i="54" s="1"/>
  <c r="BW8" i="40"/>
  <c r="BW9" i="40"/>
  <c r="BY6" i="40"/>
  <c r="BW12" i="40"/>
  <c r="BY11" i="40"/>
  <c r="BV9" i="40"/>
  <c r="BV13" i="40"/>
  <c r="BV12" i="40"/>
  <c r="BX11" i="40"/>
  <c r="BV7" i="40"/>
  <c r="BX6" i="40"/>
  <c r="BV14" i="40"/>
  <c r="BV10" i="40"/>
  <c r="BW10" i="40"/>
  <c r="BW11" i="40"/>
  <c r="BW13" i="40"/>
  <c r="BX7" i="40"/>
  <c r="BX12" i="40"/>
  <c r="BX9" i="40"/>
  <c r="BX10" i="40"/>
  <c r="BV11" i="40"/>
  <c r="A34" i="40"/>
  <c r="A47" i="40" s="1"/>
  <c r="AC6" i="40" a="1"/>
  <c r="AD18" i="40" a="1"/>
  <c r="A21" i="41"/>
  <c r="A22" i="41"/>
  <c r="AC19" i="40" a="1"/>
  <c r="A31" i="40"/>
  <c r="BN5" i="55"/>
  <c r="BK5" i="55"/>
  <c r="BQ5" i="55"/>
  <c r="BP5" i="55"/>
  <c r="BI5" i="55"/>
  <c r="BO5" i="55"/>
  <c r="BL5" i="55"/>
  <c r="BM5" i="55"/>
  <c r="BJ5" i="55"/>
  <c r="CA21" i="40"/>
  <c r="CA20" i="40"/>
  <c r="CA26" i="40"/>
  <c r="CA27" i="40"/>
  <c r="CA24" i="40"/>
  <c r="CA22" i="40"/>
  <c r="CA19" i="40"/>
  <c r="CA25" i="40"/>
  <c r="CA23" i="40"/>
  <c r="B31" i="41" a="1"/>
  <c r="C44" i="40" a="1"/>
  <c r="C44" i="40" s="1"/>
  <c r="E44" i="40" a="1"/>
  <c r="E49" i="40" s="1"/>
  <c r="AV13" i="55"/>
  <c r="AV40" i="55" s="1"/>
  <c r="AV14" i="55"/>
  <c r="AV41" i="55" s="1"/>
  <c r="AV10" i="55"/>
  <c r="AV37" i="55" s="1"/>
  <c r="AV9" i="55"/>
  <c r="AV36" i="55" s="1"/>
  <c r="AV6" i="55"/>
  <c r="AV33" i="55" s="1"/>
  <c r="AV7" i="55"/>
  <c r="AV34" i="55" s="1"/>
  <c r="AV11" i="55"/>
  <c r="AV38" i="55" s="1"/>
  <c r="AV12" i="55"/>
  <c r="AV39" i="55" s="1"/>
  <c r="AV8" i="55"/>
  <c r="AV35" i="55" s="1"/>
  <c r="B44" i="40" a="1"/>
  <c r="B52" i="40" s="1"/>
  <c r="M177" i="54" a="1"/>
  <c r="M158" i="54"/>
  <c r="R149" i="54"/>
  <c r="B19" i="44" a="1"/>
  <c r="A6" i="44" a="1"/>
  <c r="A39" i="40"/>
  <c r="A52" i="40" s="1"/>
  <c r="AO18" i="40" a="1"/>
  <c r="AZ5" i="40" a="1"/>
  <c r="Y13" i="40"/>
  <c r="BN22" i="40"/>
  <c r="BA33" i="40"/>
  <c r="BG40" i="40"/>
  <c r="N142" i="54"/>
  <c r="AZ36" i="40"/>
  <c r="M12" i="40"/>
  <c r="BF32" i="40"/>
  <c r="M11" i="40"/>
  <c r="BS20" i="40"/>
  <c r="M7" i="40"/>
  <c r="M10" i="40"/>
  <c r="BQ19" i="40"/>
  <c r="M13" i="40"/>
  <c r="Y11" i="40"/>
  <c r="BQ22" i="40"/>
  <c r="BK21" i="40"/>
  <c r="BO21" i="40"/>
  <c r="BP22" i="40"/>
  <c r="BQ21" i="40"/>
  <c r="BQ20" i="40"/>
  <c r="M14" i="40"/>
  <c r="M6" i="40"/>
  <c r="BS22" i="40"/>
  <c r="BL21" i="40"/>
  <c r="BK20" i="40"/>
  <c r="BR19" i="40"/>
  <c r="BB40" i="40"/>
  <c r="BM21" i="40"/>
  <c r="BP20" i="40"/>
  <c r="BR21" i="40"/>
  <c r="BR22" i="40"/>
  <c r="BO22" i="40"/>
  <c r="BS19" i="40"/>
  <c r="BL22" i="40"/>
  <c r="BC38" i="40"/>
  <c r="BH40" i="40"/>
  <c r="BD37" i="40"/>
  <c r="BC39" i="40"/>
  <c r="K32" i="40"/>
  <c r="N136" i="54"/>
  <c r="N140" i="54"/>
  <c r="N135" i="54"/>
  <c r="O135" i="54" s="1"/>
  <c r="N139" i="54"/>
  <c r="N137" i="54"/>
  <c r="BG35" i="40"/>
  <c r="BG39" i="40"/>
  <c r="BF37" i="40"/>
  <c r="BN21" i="40"/>
  <c r="BN20" i="40"/>
  <c r="BK22" i="40"/>
  <c r="BK19" i="40"/>
  <c r="BP21" i="40"/>
  <c r="BM22" i="40"/>
  <c r="BL20" i="40"/>
  <c r="BH33" i="40"/>
  <c r="AZ40" i="40"/>
  <c r="AZ35" i="40"/>
  <c r="BF33" i="40"/>
  <c r="N143" i="54"/>
  <c r="N138" i="54"/>
  <c r="K39" i="40"/>
  <c r="M8" i="40"/>
  <c r="BR20" i="40"/>
  <c r="BO20" i="40"/>
  <c r="BO19" i="40"/>
  <c r="BM19" i="40"/>
  <c r="BN19" i="40"/>
  <c r="BL19" i="40"/>
  <c r="BM20" i="40"/>
  <c r="BP19" i="40"/>
  <c r="BH37" i="40"/>
  <c r="BE34" i="40"/>
  <c r="BE32" i="40"/>
  <c r="BG33" i="40"/>
  <c r="BH38" i="40"/>
  <c r="K38" i="40"/>
  <c r="AO6" i="40" a="1"/>
  <c r="AT6" i="40" s="1"/>
  <c r="K35" i="40"/>
  <c r="K33" i="40"/>
  <c r="AZ6" i="40" a="1"/>
  <c r="BB13" i="40" s="1"/>
  <c r="BE39" i="40"/>
  <c r="BF38" i="40"/>
  <c r="BC32" i="40"/>
  <c r="BG34" i="40"/>
  <c r="BB34" i="40"/>
  <c r="BB35" i="40"/>
  <c r="BC36" i="40"/>
  <c r="BD34" i="40"/>
  <c r="BC37" i="40"/>
  <c r="BE35" i="40"/>
  <c r="BA36" i="40"/>
  <c r="BG36" i="40"/>
  <c r="BH34" i="40"/>
  <c r="BD32" i="40"/>
  <c r="AZ32" i="40"/>
  <c r="BD33" i="40"/>
  <c r="BD35" i="40"/>
  <c r="BE33" i="40"/>
  <c r="BF40" i="40"/>
  <c r="BB32" i="40"/>
  <c r="K34" i="40"/>
  <c r="AD6" i="40" a="1"/>
  <c r="AE10" i="40" s="1"/>
  <c r="AZ33" i="40"/>
  <c r="BF34" i="40"/>
  <c r="BH35" i="40"/>
  <c r="BH36" i="40"/>
  <c r="BA39" i="40"/>
  <c r="BG38" i="40"/>
  <c r="BA38" i="40"/>
  <c r="BB36" i="40"/>
  <c r="BB39" i="40"/>
  <c r="BA40" i="40"/>
  <c r="BF39" i="40"/>
  <c r="BE38" i="40"/>
  <c r="BF36" i="40"/>
  <c r="BA32" i="40"/>
  <c r="BE36" i="40"/>
  <c r="AZ37" i="40"/>
  <c r="BB37" i="40"/>
  <c r="BC35" i="40"/>
  <c r="BC34" i="40"/>
  <c r="AZ34" i="40"/>
  <c r="K36" i="40"/>
  <c r="K31" i="40"/>
  <c r="BF35" i="40"/>
  <c r="BG37" i="40"/>
  <c r="BD39" i="40"/>
  <c r="BB38" i="40"/>
  <c r="BA35" i="40"/>
  <c r="BG32" i="40"/>
  <c r="BH39" i="40"/>
  <c r="AZ38" i="40"/>
  <c r="BD40" i="40"/>
  <c r="BD36" i="40"/>
  <c r="BB33" i="40"/>
  <c r="BC40" i="40"/>
  <c r="BD38" i="40"/>
  <c r="BC33" i="40"/>
  <c r="BH32" i="40"/>
  <c r="BE40" i="40"/>
  <c r="AZ39" i="40"/>
  <c r="BA37" i="40"/>
  <c r="BA34" i="40"/>
  <c r="K37" i="40"/>
  <c r="AI87" i="39" a="1"/>
  <c r="AN74" i="39" a="1"/>
  <c r="AW61" i="39" a="1"/>
  <c r="L67" i="39"/>
  <c r="L63" i="39"/>
  <c r="L59" i="39"/>
  <c r="L66" i="39"/>
  <c r="L62" i="39"/>
  <c r="L61" i="39"/>
  <c r="L60" i="39"/>
  <c r="L65" i="39"/>
  <c r="L64" i="39"/>
  <c r="AH9" i="39"/>
  <c r="AL37" i="39" s="1"/>
  <c r="AH5" i="39"/>
  <c r="AL33" i="39" s="1"/>
  <c r="AH12" i="39"/>
  <c r="AL40" i="39" s="1"/>
  <c r="AH7" i="39"/>
  <c r="AL35" i="39" s="1"/>
  <c r="AH10" i="39"/>
  <c r="AL38" i="39" s="1"/>
  <c r="AH4" i="39"/>
  <c r="AH8" i="39"/>
  <c r="AL36" i="39" s="1"/>
  <c r="AH11" i="39"/>
  <c r="AL39" i="39" s="1"/>
  <c r="AH6" i="39"/>
  <c r="AL34" i="39" s="1"/>
  <c r="AI41" i="39"/>
  <c r="AI33" i="39" s="1"/>
  <c r="M41" i="39"/>
  <c r="N34" i="39" s="1"/>
  <c r="L24" i="39"/>
  <c r="L20" i="39"/>
  <c r="L27" i="39"/>
  <c r="L23" i="39"/>
  <c r="L19" i="39"/>
  <c r="L25" i="39"/>
  <c r="L21" i="39"/>
  <c r="L26" i="39"/>
  <c r="L22" i="39"/>
  <c r="R8" i="37"/>
  <c r="N12" i="37" s="1"/>
  <c r="S7" i="37"/>
  <c r="S8" i="37" s="1"/>
  <c r="Q11" i="37" s="1"/>
  <c r="A26" i="41" l="1"/>
  <c r="A19" i="41"/>
  <c r="A20" i="41"/>
  <c r="A23" i="41"/>
  <c r="A24" i="41"/>
  <c r="A25" i="41"/>
  <c r="CC19" i="40" a="1"/>
  <c r="CC21" i="40" s="1"/>
  <c r="R143" i="51"/>
  <c r="S141" i="51"/>
  <c r="S142" i="51"/>
  <c r="N146" i="51"/>
  <c r="O55" i="51"/>
  <c r="U55" i="51"/>
  <c r="M147" i="51"/>
  <c r="D51" i="40"/>
  <c r="O142" i="51"/>
  <c r="N55" i="51"/>
  <c r="M149" i="51"/>
  <c r="O143" i="51"/>
  <c r="O145" i="51"/>
  <c r="P144" i="51"/>
  <c r="T141" i="51"/>
  <c r="R149" i="51"/>
  <c r="T144" i="51"/>
  <c r="T147" i="51"/>
  <c r="U143" i="51"/>
  <c r="N142" i="51"/>
  <c r="U148" i="51"/>
  <c r="N143" i="51"/>
  <c r="U142" i="51"/>
  <c r="M144" i="51"/>
  <c r="N141" i="51"/>
  <c r="P141" i="51"/>
  <c r="R147" i="51"/>
  <c r="O144" i="51"/>
  <c r="Q148" i="51"/>
  <c r="P149" i="51"/>
  <c r="O141" i="51"/>
  <c r="M55" i="54"/>
  <c r="T55" i="51"/>
  <c r="S149" i="51"/>
  <c r="Q55" i="54"/>
  <c r="M55" i="51"/>
  <c r="P143" i="51"/>
  <c r="P147" i="51"/>
  <c r="O149" i="51"/>
  <c r="C52" i="40"/>
  <c r="U144" i="51"/>
  <c r="T142" i="51"/>
  <c r="Q55" i="51"/>
  <c r="P148" i="51"/>
  <c r="R148" i="51"/>
  <c r="Q146" i="51"/>
  <c r="M141" i="51"/>
  <c r="Q145" i="51"/>
  <c r="R55" i="51"/>
  <c r="R141" i="51"/>
  <c r="P145" i="51"/>
  <c r="S146" i="51"/>
  <c r="M145" i="51"/>
  <c r="Q142" i="51"/>
  <c r="N144" i="51"/>
  <c r="R142" i="51"/>
  <c r="T143" i="51"/>
  <c r="P55" i="51"/>
  <c r="N55" i="54"/>
  <c r="R145" i="51"/>
  <c r="M143" i="51"/>
  <c r="Q149" i="51"/>
  <c r="S147" i="51"/>
  <c r="U145" i="51"/>
  <c r="P142" i="51"/>
  <c r="M142" i="51"/>
  <c r="R55" i="54"/>
  <c r="N145" i="51"/>
  <c r="M148" i="51"/>
  <c r="O148" i="51"/>
  <c r="U146" i="51"/>
  <c r="N148" i="51"/>
  <c r="Q147" i="51"/>
  <c r="N149" i="51"/>
  <c r="Q141" i="51"/>
  <c r="N147" i="51"/>
  <c r="U55" i="54"/>
  <c r="T145" i="51"/>
  <c r="T146" i="51"/>
  <c r="T148" i="51"/>
  <c r="R144" i="51"/>
  <c r="R146" i="51"/>
  <c r="O55" i="54"/>
  <c r="U141" i="51"/>
  <c r="S144" i="51"/>
  <c r="O147" i="51"/>
  <c r="S143" i="51"/>
  <c r="E47" i="40"/>
  <c r="S145" i="51"/>
  <c r="S55" i="54"/>
  <c r="Q143" i="51"/>
  <c r="U149" i="51"/>
  <c r="O146" i="51"/>
  <c r="Q144" i="51"/>
  <c r="P55" i="54"/>
  <c r="P146" i="51"/>
  <c r="S148" i="51"/>
  <c r="M146" i="51"/>
  <c r="T149" i="51"/>
  <c r="D48" i="40"/>
  <c r="D50" i="40"/>
  <c r="D44" i="40"/>
  <c r="D47" i="40"/>
  <c r="C47" i="40"/>
  <c r="CC26" i="40"/>
  <c r="CC19" i="40"/>
  <c r="D45" i="40"/>
  <c r="D46" i="40"/>
  <c r="C48" i="40"/>
  <c r="B49" i="40"/>
  <c r="D52" i="40"/>
  <c r="CC20" i="40"/>
  <c r="V55" i="51"/>
  <c r="V55" i="54"/>
  <c r="C24" i="44"/>
  <c r="C20" i="44"/>
  <c r="I20" i="44"/>
  <c r="E21" i="44"/>
  <c r="E20" i="44"/>
  <c r="D23" i="44"/>
  <c r="J23" i="44"/>
  <c r="I26" i="44"/>
  <c r="E22" i="44"/>
  <c r="H21" i="44"/>
  <c r="G20" i="44"/>
  <c r="I21" i="44"/>
  <c r="F22" i="44"/>
  <c r="H24" i="44"/>
  <c r="J26" i="44"/>
  <c r="E27" i="44"/>
  <c r="F20" i="44"/>
  <c r="J28" i="44"/>
  <c r="H22" i="44"/>
  <c r="D24" i="44"/>
  <c r="G24" i="44"/>
  <c r="G22" i="44"/>
  <c r="H25" i="44"/>
  <c r="D28" i="44"/>
  <c r="B27" i="44"/>
  <c r="C23" i="44"/>
  <c r="G28" i="44"/>
  <c r="H28" i="44"/>
  <c r="B21" i="44"/>
  <c r="C26" i="44"/>
  <c r="D20" i="44"/>
  <c r="B23" i="44"/>
  <c r="J21" i="44"/>
  <c r="B25" i="44"/>
  <c r="I27" i="44"/>
  <c r="F23" i="44"/>
  <c r="J24" i="44"/>
  <c r="C21" i="44"/>
  <c r="B20" i="44"/>
  <c r="D25" i="44"/>
  <c r="J27" i="44"/>
  <c r="G21" i="44"/>
  <c r="D21" i="44"/>
  <c r="J25" i="44"/>
  <c r="F28" i="44"/>
  <c r="B22" i="44"/>
  <c r="K15" i="44"/>
  <c r="D22" i="44"/>
  <c r="E24" i="44"/>
  <c r="H20" i="44"/>
  <c r="G23" i="44"/>
  <c r="I24" i="44"/>
  <c r="J20" i="44"/>
  <c r="J22" i="44"/>
  <c r="I25" i="44"/>
  <c r="H27" i="44"/>
  <c r="F21" i="44"/>
  <c r="E23" i="44"/>
  <c r="B24" i="44"/>
  <c r="E28" i="44"/>
  <c r="C22" i="44"/>
  <c r="G25" i="44"/>
  <c r="R168" i="54"/>
  <c r="S168" i="54" s="1"/>
  <c r="R167" i="54"/>
  <c r="S167" i="54" s="1"/>
  <c r="CE6" i="40" a="1"/>
  <c r="CE9" i="40" s="1"/>
  <c r="R166" i="54"/>
  <c r="S166" i="54" s="1"/>
  <c r="BX19" i="40" a="1"/>
  <c r="BX26" i="40" s="1"/>
  <c r="BY19" i="40" a="1"/>
  <c r="BY23" i="40" s="1"/>
  <c r="O172" i="54"/>
  <c r="E52" i="40"/>
  <c r="E44" i="40"/>
  <c r="BV19" i="40" a="1"/>
  <c r="BV21" i="40" s="1"/>
  <c r="BW19" i="40" a="1"/>
  <c r="BW27" i="40" s="1"/>
  <c r="R171" i="54"/>
  <c r="S171" i="54" s="1"/>
  <c r="R164" i="54"/>
  <c r="S164" i="54" s="1"/>
  <c r="N172" i="54"/>
  <c r="R165" i="54"/>
  <c r="S165" i="54" s="1"/>
  <c r="E26" i="44"/>
  <c r="G26" i="44"/>
  <c r="H26" i="44"/>
  <c r="F27" i="44"/>
  <c r="B26" i="44"/>
  <c r="I28" i="44"/>
  <c r="C27" i="44"/>
  <c r="D27" i="44"/>
  <c r="B28" i="44"/>
  <c r="F26" i="44"/>
  <c r="I22" i="44"/>
  <c r="E25" i="44"/>
  <c r="F25" i="44"/>
  <c r="D26" i="44"/>
  <c r="C25" i="44"/>
  <c r="C28" i="44"/>
  <c r="G27" i="44"/>
  <c r="H23" i="44"/>
  <c r="F24" i="44"/>
  <c r="E45" i="40"/>
  <c r="B48" i="40"/>
  <c r="E46" i="40"/>
  <c r="M203" i="54" a="1"/>
  <c r="R163" i="54"/>
  <c r="M172" i="54"/>
  <c r="R169" i="54"/>
  <c r="S169" i="54" s="1"/>
  <c r="P172" i="54"/>
  <c r="R170" i="54"/>
  <c r="S170" i="54" s="1"/>
  <c r="B46" i="40"/>
  <c r="C51" i="40"/>
  <c r="E50" i="40"/>
  <c r="E48" i="40"/>
  <c r="B45" i="40"/>
  <c r="C49" i="40"/>
  <c r="C46" i="40"/>
  <c r="AU18" i="40"/>
  <c r="AR18" i="40"/>
  <c r="AO18" i="40"/>
  <c r="AV18" i="40"/>
  <c r="AT18" i="40"/>
  <c r="AS18" i="40"/>
  <c r="AQ18" i="40"/>
  <c r="AW18" i="40"/>
  <c r="AP18" i="40"/>
  <c r="S149" i="54"/>
  <c r="R158" i="54"/>
  <c r="AI18" i="40"/>
  <c r="AJ18" i="40"/>
  <c r="AF18" i="40"/>
  <c r="AD18" i="40"/>
  <c r="AE18" i="40"/>
  <c r="AG18" i="40"/>
  <c r="AK18" i="40"/>
  <c r="AL18" i="40"/>
  <c r="AH18" i="40"/>
  <c r="CS26" i="40" a="1"/>
  <c r="CC23" i="40"/>
  <c r="C45" i="40"/>
  <c r="C50" i="40"/>
  <c r="AC9" i="40"/>
  <c r="AC6" i="40"/>
  <c r="AC13" i="40"/>
  <c r="AC11" i="40"/>
  <c r="AC7" i="40"/>
  <c r="AC10" i="40"/>
  <c r="AC14" i="40"/>
  <c r="AC8" i="40"/>
  <c r="AC12" i="40"/>
  <c r="CC24" i="40"/>
  <c r="B50" i="40"/>
  <c r="AC26" i="40"/>
  <c r="AC25" i="40"/>
  <c r="AC24" i="40"/>
  <c r="AC19" i="40"/>
  <c r="AC20" i="40"/>
  <c r="AC21" i="40"/>
  <c r="AC23" i="40"/>
  <c r="AC27" i="40"/>
  <c r="A12" i="44"/>
  <c r="A6" i="44"/>
  <c r="A14" i="44"/>
  <c r="A8" i="44"/>
  <c r="A11" i="44"/>
  <c r="A9" i="44"/>
  <c r="A13" i="44"/>
  <c r="A10" i="44"/>
  <c r="A7" i="44"/>
  <c r="M177" i="54"/>
  <c r="S182" i="54"/>
  <c r="P181" i="54"/>
  <c r="M180" i="54"/>
  <c r="S178" i="54"/>
  <c r="T185" i="54"/>
  <c r="U179" i="54"/>
  <c r="R181" i="54"/>
  <c r="S183" i="54"/>
  <c r="T184" i="54"/>
  <c r="S177" i="54"/>
  <c r="P179" i="54"/>
  <c r="Q181" i="54"/>
  <c r="T180" i="54"/>
  <c r="R184" i="54"/>
  <c r="P180" i="54"/>
  <c r="N184" i="54"/>
  <c r="O184" i="54"/>
  <c r="O179" i="54"/>
  <c r="O180" i="54"/>
  <c r="P182" i="54"/>
  <c r="P177" i="54"/>
  <c r="Q184" i="54"/>
  <c r="N183" i="54"/>
  <c r="T181" i="54"/>
  <c r="Q180" i="54"/>
  <c r="O185" i="54"/>
  <c r="N178" i="54"/>
  <c r="T179" i="54"/>
  <c r="U181" i="54"/>
  <c r="M183" i="54"/>
  <c r="S184" i="54"/>
  <c r="R177" i="54"/>
  <c r="S179" i="54"/>
  <c r="O177" i="54"/>
  <c r="M181" i="54"/>
  <c r="R185" i="54"/>
  <c r="R180" i="54"/>
  <c r="S180" i="54"/>
  <c r="T183" i="54"/>
  <c r="N182" i="54"/>
  <c r="U180" i="54"/>
  <c r="R179" i="54"/>
  <c r="O178" i="54"/>
  <c r="P185" i="54"/>
  <c r="M184" i="54"/>
  <c r="S181" i="54"/>
  <c r="P183" i="54"/>
  <c r="Q185" i="54"/>
  <c r="P178" i="54"/>
  <c r="Q179" i="54"/>
  <c r="N181" i="54"/>
  <c r="O183" i="54"/>
  <c r="P184" i="54"/>
  <c r="U178" i="54"/>
  <c r="U183" i="54"/>
  <c r="Q178" i="54"/>
  <c r="M179" i="54"/>
  <c r="T182" i="54"/>
  <c r="S185" i="54"/>
  <c r="R178" i="54"/>
  <c r="N179" i="54"/>
  <c r="T177" i="54"/>
  <c r="U184" i="54"/>
  <c r="R183" i="54"/>
  <c r="O182" i="54"/>
  <c r="Q183" i="54"/>
  <c r="N185" i="54"/>
  <c r="M178" i="54"/>
  <c r="N180" i="54"/>
  <c r="O181" i="54"/>
  <c r="U182" i="54"/>
  <c r="M185" i="54"/>
  <c r="U177" i="54"/>
  <c r="Q182" i="54"/>
  <c r="Q177" i="54"/>
  <c r="M182" i="54"/>
  <c r="R182" i="54"/>
  <c r="N177" i="54"/>
  <c r="T178" i="54"/>
  <c r="U185" i="54"/>
  <c r="B44" i="40"/>
  <c r="B47" i="40"/>
  <c r="E31" i="41"/>
  <c r="D31" i="41"/>
  <c r="I31" i="41"/>
  <c r="B31" i="41"/>
  <c r="G31" i="41"/>
  <c r="H31" i="41"/>
  <c r="F31" i="41"/>
  <c r="C31" i="41"/>
  <c r="J31" i="41"/>
  <c r="BU5" i="55" a="1"/>
  <c r="BH6" i="55" a="1"/>
  <c r="CC25" i="40"/>
  <c r="B51" i="40"/>
  <c r="E51" i="40"/>
  <c r="A32" i="41" a="1"/>
  <c r="BF5" i="40"/>
  <c r="AZ5" i="40"/>
  <c r="BD5" i="40"/>
  <c r="BB5" i="40"/>
  <c r="BH5" i="40"/>
  <c r="BG5" i="40"/>
  <c r="BC5" i="40"/>
  <c r="BE5" i="40"/>
  <c r="BA5" i="40"/>
  <c r="H19" i="44"/>
  <c r="G19" i="44"/>
  <c r="E19" i="44"/>
  <c r="F19" i="44"/>
  <c r="D19" i="44"/>
  <c r="B19" i="44"/>
  <c r="I19" i="44"/>
  <c r="J19" i="44"/>
  <c r="C19" i="44"/>
  <c r="A44" i="40"/>
  <c r="AN6" i="40" a="1"/>
  <c r="AC22" i="40"/>
  <c r="AV10" i="40"/>
  <c r="BA9" i="40"/>
  <c r="M15" i="40"/>
  <c r="N7" i="40" s="1"/>
  <c r="AF12" i="40"/>
  <c r="AZ8" i="40"/>
  <c r="BD9" i="40"/>
  <c r="AH13" i="40"/>
  <c r="AQ6" i="40"/>
  <c r="AW11" i="40"/>
  <c r="BF7" i="40"/>
  <c r="AS8" i="40"/>
  <c r="AR7" i="40"/>
  <c r="AT11" i="40"/>
  <c r="AW10" i="40"/>
  <c r="AR13" i="40"/>
  <c r="AW6" i="40"/>
  <c r="BH13" i="40"/>
  <c r="AQ7" i="40"/>
  <c r="AO12" i="40"/>
  <c r="AT10" i="40"/>
  <c r="AO7" i="40"/>
  <c r="AO13" i="40"/>
  <c r="AV7" i="40"/>
  <c r="AS13" i="40"/>
  <c r="AU12" i="40"/>
  <c r="AU6" i="40"/>
  <c r="AQ14" i="40"/>
  <c r="AO9" i="40"/>
  <c r="AT13" i="40"/>
  <c r="AV12" i="40"/>
  <c r="AS9" i="40"/>
  <c r="AO14" i="40"/>
  <c r="AQ8" i="40"/>
  <c r="AU13" i="40"/>
  <c r="AU8" i="40"/>
  <c r="AW8" i="40"/>
  <c r="AT14" i="40"/>
  <c r="AQ11" i="40"/>
  <c r="AU9" i="40"/>
  <c r="AP7" i="40"/>
  <c r="AQ9" i="40"/>
  <c r="AT8" i="40"/>
  <c r="AO8" i="40"/>
  <c r="AR6" i="40"/>
  <c r="AT7" i="40"/>
  <c r="AP8" i="40"/>
  <c r="AW14" i="40"/>
  <c r="AV8" i="40"/>
  <c r="BK32" i="40" a="1"/>
  <c r="BM32" i="40" s="1"/>
  <c r="AW13" i="40"/>
  <c r="AP6" i="40"/>
  <c r="AS7" i="40"/>
  <c r="AW7" i="40"/>
  <c r="AV9" i="40"/>
  <c r="AP14" i="40"/>
  <c r="O136" i="54"/>
  <c r="O137" i="54" s="1"/>
  <c r="O138" i="54" s="1"/>
  <c r="O139" i="54" s="1"/>
  <c r="O140" i="54" s="1"/>
  <c r="O141" i="54" s="1"/>
  <c r="O142" i="54" s="1"/>
  <c r="O143" i="54" s="1"/>
  <c r="BD12" i="40"/>
  <c r="AH9" i="40"/>
  <c r="BB11" i="40"/>
  <c r="AZ13" i="40"/>
  <c r="AS6" i="40"/>
  <c r="AW9" i="40"/>
  <c r="AR14" i="40"/>
  <c r="AP9" i="40"/>
  <c r="AQ13" i="40"/>
  <c r="AU7" i="40"/>
  <c r="AQ12" i="40"/>
  <c r="AT9" i="40"/>
  <c r="AV14" i="40"/>
  <c r="AS11" i="40"/>
  <c r="AR8" i="40"/>
  <c r="AT12" i="40"/>
  <c r="AU10" i="40"/>
  <c r="AR9" i="40"/>
  <c r="AR12" i="40"/>
  <c r="AI32" i="39"/>
  <c r="AJ32" i="39" s="1"/>
  <c r="AJ33" i="39" s="1"/>
  <c r="AL9" i="40"/>
  <c r="AE11" i="40"/>
  <c r="BC13" i="40"/>
  <c r="BD14" i="40"/>
  <c r="AD7" i="40"/>
  <c r="AH7" i="40"/>
  <c r="AL7" i="40"/>
  <c r="AI13" i="40"/>
  <c r="AI38" i="39"/>
  <c r="AD11" i="40"/>
  <c r="AF6" i="40"/>
  <c r="AK6" i="40"/>
  <c r="AI11" i="40"/>
  <c r="AJ12" i="40"/>
  <c r="AL11" i="40"/>
  <c r="AZ11" i="40"/>
  <c r="BA14" i="40"/>
  <c r="BE14" i="40"/>
  <c r="BB7" i="40"/>
  <c r="BH7" i="40"/>
  <c r="AD14" i="40"/>
  <c r="AD6" i="40"/>
  <c r="AF7" i="40"/>
  <c r="AK10" i="40"/>
  <c r="AD9" i="40"/>
  <c r="BE12" i="40"/>
  <c r="BE7" i="40"/>
  <c r="BA8" i="40"/>
  <c r="BC9" i="40"/>
  <c r="BF8" i="40"/>
  <c r="AZ46" i="40" a="1"/>
  <c r="BH46" i="40" s="1"/>
  <c r="N37" i="39"/>
  <c r="AV13" i="40"/>
  <c r="AS12" i="40"/>
  <c r="AU14" i="40"/>
  <c r="AR11" i="40"/>
  <c r="AO10" i="40"/>
  <c r="AS10" i="40"/>
  <c r="AO6" i="40"/>
  <c r="AP12" i="40"/>
  <c r="AR10" i="40"/>
  <c r="AO11" i="40"/>
  <c r="AP13" i="40"/>
  <c r="AV11" i="40"/>
  <c r="AW12" i="40"/>
  <c r="AP11" i="40"/>
  <c r="AP10" i="40"/>
  <c r="AQ10" i="40"/>
  <c r="AS14" i="40"/>
  <c r="AV6" i="40"/>
  <c r="AU11" i="40"/>
  <c r="AI8" i="40"/>
  <c r="AH8" i="40"/>
  <c r="AE7" i="40"/>
  <c r="AF9" i="40"/>
  <c r="AK9" i="40"/>
  <c r="AI9" i="40"/>
  <c r="AJ7" i="40"/>
  <c r="AJ9" i="40"/>
  <c r="AL10" i="40"/>
  <c r="AF10" i="40"/>
  <c r="AF8" i="40"/>
  <c r="AI10" i="40"/>
  <c r="AH14" i="40"/>
  <c r="AG14" i="40"/>
  <c r="AH12" i="40"/>
  <c r="AF13" i="40"/>
  <c r="AL6" i="40"/>
  <c r="AG11" i="40"/>
  <c r="AH6" i="40"/>
  <c r="AI6" i="40"/>
  <c r="AJ13" i="40"/>
  <c r="BH6" i="40"/>
  <c r="BF10" i="40"/>
  <c r="BA12" i="40"/>
  <c r="BF13" i="40"/>
  <c r="BD10" i="40"/>
  <c r="BG14" i="40"/>
  <c r="AZ7" i="40"/>
  <c r="BF6" i="40"/>
  <c r="BF11" i="40"/>
  <c r="AZ6" i="40"/>
  <c r="BD7" i="40"/>
  <c r="BD8" i="40"/>
  <c r="BB12" i="40"/>
  <c r="BG7" i="40"/>
  <c r="BC8" i="40"/>
  <c r="BG10" i="40"/>
  <c r="BA11" i="40"/>
  <c r="BG11" i="40"/>
  <c r="BC10" i="40"/>
  <c r="BF9" i="40"/>
  <c r="AE12" i="40"/>
  <c r="AD12" i="40"/>
  <c r="AD10" i="40"/>
  <c r="AH11" i="40"/>
  <c r="AG13" i="40"/>
  <c r="AI12" i="40"/>
  <c r="AJ10" i="40"/>
  <c r="AG12" i="40"/>
  <c r="AL13" i="40"/>
  <c r="AE13" i="40"/>
  <c r="AK11" i="40"/>
  <c r="AK12" i="40"/>
  <c r="AL12" i="40"/>
  <c r="AJ8" i="40"/>
  <c r="AE6" i="40"/>
  <c r="AG7" i="40"/>
  <c r="AJ11" i="40"/>
  <c r="AK13" i="40"/>
  <c r="AL8" i="40"/>
  <c r="AG8" i="40"/>
  <c r="BH9" i="40"/>
  <c r="BE13" i="40"/>
  <c r="BE6" i="40"/>
  <c r="BE9" i="40"/>
  <c r="AZ14" i="40"/>
  <c r="BG6" i="40"/>
  <c r="BB9" i="40"/>
  <c r="BC11" i="40"/>
  <c r="BF14" i="40"/>
  <c r="BC7" i="40"/>
  <c r="BA10" i="40"/>
  <c r="AZ12" i="40"/>
  <c r="BD6" i="40"/>
  <c r="BE8" i="40"/>
  <c r="BE10" i="40"/>
  <c r="BA13" i="40"/>
  <c r="BD13" i="40"/>
  <c r="BB14" i="40"/>
  <c r="BF12" i="40"/>
  <c r="BD11" i="40"/>
  <c r="N39" i="39"/>
  <c r="AI37" i="39"/>
  <c r="N36" i="39"/>
  <c r="AE8" i="40"/>
  <c r="AL14" i="40"/>
  <c r="AD13" i="40"/>
  <c r="AE14" i="40"/>
  <c r="AG9" i="40"/>
  <c r="AE9" i="40"/>
  <c r="AF14" i="40"/>
  <c r="AI14" i="40"/>
  <c r="AH10" i="40"/>
  <c r="AI7" i="40"/>
  <c r="AK14" i="40"/>
  <c r="AD8" i="40"/>
  <c r="AK7" i="40"/>
  <c r="AJ14" i="40"/>
  <c r="AK8" i="40"/>
  <c r="AG10" i="40"/>
  <c r="AJ6" i="40"/>
  <c r="AG6" i="40"/>
  <c r="AF11" i="40"/>
  <c r="AZ9" i="40"/>
  <c r="BH12" i="40"/>
  <c r="BB6" i="40"/>
  <c r="BG8" i="40"/>
  <c r="BG13" i="40"/>
  <c r="BB8" i="40"/>
  <c r="BG9" i="40"/>
  <c r="BH11" i="40"/>
  <c r="BC14" i="40"/>
  <c r="BH8" i="40"/>
  <c r="BH10" i="40"/>
  <c r="BC12" i="40"/>
  <c r="BH14" i="40"/>
  <c r="AZ10" i="40"/>
  <c r="BE11" i="40"/>
  <c r="BG12" i="40"/>
  <c r="BC6" i="40"/>
  <c r="BA7" i="40"/>
  <c r="BB10" i="40"/>
  <c r="BA6" i="40"/>
  <c r="N35" i="39"/>
  <c r="AI35" i="39"/>
  <c r="AN82" i="39"/>
  <c r="AN81" i="39"/>
  <c r="AN80" i="39"/>
  <c r="AN79" i="39"/>
  <c r="AN78" i="39"/>
  <c r="AN77" i="39"/>
  <c r="AN76" i="39"/>
  <c r="AN75" i="39"/>
  <c r="AN74" i="39"/>
  <c r="AO82" i="39"/>
  <c r="AQ80" i="39"/>
  <c r="AP79" i="39"/>
  <c r="AO78" i="39"/>
  <c r="AQ76" i="39"/>
  <c r="AP75" i="39"/>
  <c r="AO74" i="39"/>
  <c r="AQ81" i="39"/>
  <c r="AP80" i="39"/>
  <c r="AO79" i="39"/>
  <c r="AQ77" i="39"/>
  <c r="AP76" i="39"/>
  <c r="AO75" i="39"/>
  <c r="AQ82" i="39"/>
  <c r="AO80" i="39"/>
  <c r="AP77" i="39"/>
  <c r="AQ74" i="39"/>
  <c r="AP82" i="39"/>
  <c r="AQ79" i="39"/>
  <c r="AO77" i="39"/>
  <c r="AP74" i="39"/>
  <c r="AQ78" i="39"/>
  <c r="AP78" i="39"/>
  <c r="AO81" i="39"/>
  <c r="AP81" i="39"/>
  <c r="AO76" i="39"/>
  <c r="AQ75" i="39"/>
  <c r="AW67" i="39"/>
  <c r="AW63" i="39"/>
  <c r="AW66" i="39"/>
  <c r="AW62" i="39"/>
  <c r="AW69" i="39"/>
  <c r="AW61" i="39"/>
  <c r="AW68" i="39"/>
  <c r="AW65" i="39"/>
  <c r="AW64" i="39"/>
  <c r="AI34" i="39"/>
  <c r="N33" i="39"/>
  <c r="AQ95" i="39"/>
  <c r="AM95" i="39"/>
  <c r="AI95" i="39"/>
  <c r="AN94" i="39"/>
  <c r="AJ94" i="39"/>
  <c r="AO93" i="39"/>
  <c r="AK93" i="39"/>
  <c r="AP92" i="39"/>
  <c r="AL92" i="39"/>
  <c r="AQ91" i="39"/>
  <c r="AM91" i="39"/>
  <c r="AI91" i="39"/>
  <c r="AN90" i="39"/>
  <c r="AJ90" i="39"/>
  <c r="AO89" i="39"/>
  <c r="AK89" i="39"/>
  <c r="AP88" i="39"/>
  <c r="AL88" i="39"/>
  <c r="AQ87" i="39"/>
  <c r="AM87" i="39"/>
  <c r="AI87" i="39"/>
  <c r="AP95" i="39"/>
  <c r="AL95" i="39"/>
  <c r="AQ94" i="39"/>
  <c r="AM94" i="39"/>
  <c r="AI94" i="39"/>
  <c r="AN93" i="39"/>
  <c r="AJ93" i="39"/>
  <c r="AO92" i="39"/>
  <c r="AK92" i="39"/>
  <c r="AP91" i="39"/>
  <c r="AL91" i="39"/>
  <c r="AQ90" i="39"/>
  <c r="AM90" i="39"/>
  <c r="AI90" i="39"/>
  <c r="AN89" i="39"/>
  <c r="AJ89" i="39"/>
  <c r="AO88" i="39"/>
  <c r="AK88" i="39"/>
  <c r="AP87" i="39"/>
  <c r="AL87" i="39"/>
  <c r="AK95" i="39"/>
  <c r="AL94" i="39"/>
  <c r="AM93" i="39"/>
  <c r="AN92" i="39"/>
  <c r="AO91" i="39"/>
  <c r="AP90" i="39"/>
  <c r="AQ89" i="39"/>
  <c r="AI89" i="39"/>
  <c r="AJ88" i="39"/>
  <c r="AK87" i="39"/>
  <c r="AJ95" i="39"/>
  <c r="AK94" i="39"/>
  <c r="AL93" i="39"/>
  <c r="AM92" i="39"/>
  <c r="AN91" i="39"/>
  <c r="AO90" i="39"/>
  <c r="AP89" i="39"/>
  <c r="AQ88" i="39"/>
  <c r="AI88" i="39"/>
  <c r="AJ87" i="39"/>
  <c r="AP94" i="39"/>
  <c r="AI93" i="39"/>
  <c r="AK91" i="39"/>
  <c r="AM89" i="39"/>
  <c r="AO87" i="39"/>
  <c r="AO94" i="39"/>
  <c r="AQ92" i="39"/>
  <c r="AJ91" i="39"/>
  <c r="AL89" i="39"/>
  <c r="AN87" i="39"/>
  <c r="AP93" i="39"/>
  <c r="AK90" i="39"/>
  <c r="AO95" i="39"/>
  <c r="AJ92" i="39"/>
  <c r="AN88" i="39"/>
  <c r="AI92" i="39"/>
  <c r="AM88" i="39"/>
  <c r="AL90" i="39"/>
  <c r="AN95" i="39"/>
  <c r="AQ93" i="39"/>
  <c r="AI39" i="39"/>
  <c r="N32" i="39"/>
  <c r="O32" i="39" s="1"/>
  <c r="AH19" i="39" a="1"/>
  <c r="AL32" i="39"/>
  <c r="N40" i="39"/>
  <c r="AI40" i="39"/>
  <c r="N38" i="39"/>
  <c r="AI36" i="39"/>
  <c r="Q12" i="37"/>
  <c r="T7" i="37"/>
  <c r="U7" i="37" s="1"/>
  <c r="V7" i="37" s="1"/>
  <c r="V8" i="37" s="1"/>
  <c r="N11" i="37" s="1"/>
  <c r="B33" i="44" l="1" a="1"/>
  <c r="DF5" i="40" a="1"/>
  <c r="DR5" i="40" a="1"/>
  <c r="CN18" i="40" a="1"/>
  <c r="CC27" i="40"/>
  <c r="CU34" i="40" s="1"/>
  <c r="CU26" i="40" a="1"/>
  <c r="CC22" i="40"/>
  <c r="CU29" i="40" s="1"/>
  <c r="BY27" i="40"/>
  <c r="BY26" i="40"/>
  <c r="BV22" i="40"/>
  <c r="BV24" i="40"/>
  <c r="F49" i="40"/>
  <c r="P49" i="40" s="1"/>
  <c r="Q49" i="40" s="1"/>
  <c r="BY24" i="40"/>
  <c r="BV27" i="40"/>
  <c r="BW23" i="40"/>
  <c r="CE8" i="40"/>
  <c r="BV26" i="40"/>
  <c r="BY20" i="40"/>
  <c r="BY25" i="40"/>
  <c r="BY22" i="40"/>
  <c r="BV20" i="40"/>
  <c r="BY21" i="40"/>
  <c r="BW26" i="40"/>
  <c r="BX25" i="40"/>
  <c r="BX22" i="40"/>
  <c r="BX23" i="40"/>
  <c r="BX19" i="40"/>
  <c r="BX21" i="40"/>
  <c r="BV19" i="40"/>
  <c r="BV25" i="40"/>
  <c r="BX24" i="40"/>
  <c r="BX20" i="40"/>
  <c r="BV23" i="40"/>
  <c r="BY19" i="40"/>
  <c r="BX27" i="40"/>
  <c r="F52" i="40"/>
  <c r="P52" i="40" s="1"/>
  <c r="Q52" i="40" s="1"/>
  <c r="CE6" i="40"/>
  <c r="CE7" i="40"/>
  <c r="F46" i="40"/>
  <c r="P46" i="40" s="1"/>
  <c r="Q46" i="40" s="1"/>
  <c r="F50" i="40"/>
  <c r="P50" i="40" s="1"/>
  <c r="Q50" i="40" s="1"/>
  <c r="BW25" i="40"/>
  <c r="BW21" i="40"/>
  <c r="P206" i="54"/>
  <c r="N205" i="54"/>
  <c r="P203" i="54"/>
  <c r="P211" i="54"/>
  <c r="N210" i="54"/>
  <c r="M208" i="54"/>
  <c r="M211" i="54"/>
  <c r="O205" i="54"/>
  <c r="O209" i="54"/>
  <c r="P210" i="54"/>
  <c r="N209" i="54"/>
  <c r="P207" i="54"/>
  <c r="O207" i="54"/>
  <c r="O210" i="54"/>
  <c r="O208" i="54"/>
  <c r="O204" i="54"/>
  <c r="M209" i="54"/>
  <c r="P208" i="54"/>
  <c r="N207" i="54"/>
  <c r="P205" i="54"/>
  <c r="N204" i="54"/>
  <c r="O211" i="54"/>
  <c r="M204" i="54"/>
  <c r="M207" i="54"/>
  <c r="M206" i="54"/>
  <c r="M210" i="54"/>
  <c r="N208" i="54"/>
  <c r="M205" i="54"/>
  <c r="M203" i="54"/>
  <c r="N206" i="54"/>
  <c r="P204" i="54"/>
  <c r="N203" i="54"/>
  <c r="N211" i="54"/>
  <c r="P209" i="54"/>
  <c r="O203" i="54"/>
  <c r="O206" i="54"/>
  <c r="R172" i="54"/>
  <c r="S163" i="54"/>
  <c r="S172" i="54" s="1"/>
  <c r="BW22" i="40"/>
  <c r="BW20" i="40"/>
  <c r="BW19" i="40"/>
  <c r="F45" i="40"/>
  <c r="P45" i="40" s="1"/>
  <c r="Q45" i="40" s="1"/>
  <c r="S158" i="54"/>
  <c r="BW24" i="40"/>
  <c r="F48" i="40"/>
  <c r="P48" i="40" s="1"/>
  <c r="Q48" i="40" s="1"/>
  <c r="A38" i="41"/>
  <c r="A37" i="41"/>
  <c r="A39" i="41"/>
  <c r="A36" i="41"/>
  <c r="A33" i="41"/>
  <c r="A40" i="41"/>
  <c r="A34" i="41"/>
  <c r="A32" i="41"/>
  <c r="A35" i="41"/>
  <c r="BZ5" i="55"/>
  <c r="BV5" i="55"/>
  <c r="CC5" i="55"/>
  <c r="CA5" i="55"/>
  <c r="CB5" i="55"/>
  <c r="BW5" i="55"/>
  <c r="BY5" i="55"/>
  <c r="BX5" i="55"/>
  <c r="BU5" i="55"/>
  <c r="AN13" i="40"/>
  <c r="AN12" i="40"/>
  <c r="AN6" i="40"/>
  <c r="AN8" i="40"/>
  <c r="AN11" i="40"/>
  <c r="AN9" i="40"/>
  <c r="AN10" i="40"/>
  <c r="AN14" i="40"/>
  <c r="AN7" i="40"/>
  <c r="M190" i="54" a="1"/>
  <c r="M195" i="54" s="1"/>
  <c r="A20" i="44" a="1"/>
  <c r="CU33" i="40"/>
  <c r="CU32" i="40"/>
  <c r="CU30" i="40"/>
  <c r="CU27" i="40"/>
  <c r="CU26" i="40"/>
  <c r="CU28" i="40"/>
  <c r="CU31" i="40"/>
  <c r="AN19" i="40" a="1"/>
  <c r="H44" i="40" a="1"/>
  <c r="AO31" i="40" a="1"/>
  <c r="AZ18" i="40" a="1"/>
  <c r="B32" i="44" a="1"/>
  <c r="A82" i="40" a="1"/>
  <c r="A57" i="40" a="1"/>
  <c r="F44" i="40"/>
  <c r="AD45" i="40" a="1"/>
  <c r="AD19" i="40" a="1"/>
  <c r="AO19" i="40" a="1"/>
  <c r="BK5" i="40" a="1"/>
  <c r="AC32" i="40" a="1"/>
  <c r="AC45" i="40" a="1"/>
  <c r="AD31" i="40" a="1"/>
  <c r="F51" i="40"/>
  <c r="P51" i="40" s="1"/>
  <c r="Q51" i="40" s="1"/>
  <c r="BH8" i="55"/>
  <c r="BH35" i="55" s="1"/>
  <c r="BH9" i="55"/>
  <c r="BH36" i="55" s="1"/>
  <c r="BH12" i="55"/>
  <c r="BH39" i="55" s="1"/>
  <c r="BH7" i="55"/>
  <c r="BH34" i="55" s="1"/>
  <c r="BH6" i="55"/>
  <c r="BH33" i="55" s="1"/>
  <c r="BH11" i="55"/>
  <c r="BH38" i="55" s="1"/>
  <c r="BH10" i="55"/>
  <c r="BH37" i="55" s="1"/>
  <c r="BH13" i="55"/>
  <c r="BH40" i="55" s="1"/>
  <c r="BH14" i="55"/>
  <c r="BH41" i="55" s="1"/>
  <c r="F47" i="40"/>
  <c r="P47" i="40" s="1"/>
  <c r="Q47" i="40" s="1"/>
  <c r="CS28" i="40"/>
  <c r="CS30" i="40"/>
  <c r="CS31" i="40"/>
  <c r="CS32" i="40"/>
  <c r="CS29" i="40"/>
  <c r="CS33" i="40"/>
  <c r="CS27" i="40"/>
  <c r="CS26" i="40"/>
  <c r="CS34" i="40"/>
  <c r="N8" i="40"/>
  <c r="N10" i="40"/>
  <c r="O33" i="39"/>
  <c r="O34" i="39" s="1"/>
  <c r="O35" i="39" s="1"/>
  <c r="O36" i="39" s="1"/>
  <c r="O37" i="39" s="1"/>
  <c r="O38" i="39" s="1"/>
  <c r="O39" i="39" s="1"/>
  <c r="O40" i="39" s="1"/>
  <c r="N9" i="40"/>
  <c r="N13" i="40"/>
  <c r="N14" i="40"/>
  <c r="BC46" i="40"/>
  <c r="N11" i="40"/>
  <c r="N6" i="40"/>
  <c r="O6" i="40" s="1"/>
  <c r="O7" i="40" s="1"/>
  <c r="N12" i="40"/>
  <c r="BN32" i="40"/>
  <c r="BL32" i="40"/>
  <c r="BK32" i="40"/>
  <c r="BE46" i="40"/>
  <c r="AZ19" i="40" a="1"/>
  <c r="BF21" i="40" s="1"/>
  <c r="BA46" i="40"/>
  <c r="BF46" i="40"/>
  <c r="AZ46" i="40"/>
  <c r="BD46" i="40"/>
  <c r="BB46" i="40"/>
  <c r="BG46" i="40"/>
  <c r="AJ34" i="39"/>
  <c r="AJ35" i="39" s="1"/>
  <c r="AJ36" i="39" s="1"/>
  <c r="AJ37" i="39" s="1"/>
  <c r="AJ38" i="39" s="1"/>
  <c r="AJ39" i="39" s="1"/>
  <c r="AJ40" i="39" s="1"/>
  <c r="AS74" i="39" a="1"/>
  <c r="AS87" i="39" a="1"/>
  <c r="AH26" i="39"/>
  <c r="AH22" i="39"/>
  <c r="AH27" i="39"/>
  <c r="AH21" i="39"/>
  <c r="AH25" i="39"/>
  <c r="AH20" i="39"/>
  <c r="AH23" i="39"/>
  <c r="AH24" i="39"/>
  <c r="AH19" i="39"/>
  <c r="Q14" i="37"/>
  <c r="Q16" i="37" s="1"/>
  <c r="Q19" i="37"/>
  <c r="Q13" i="37"/>
  <c r="Q15" i="37" s="1"/>
  <c r="Q17" i="37" s="1"/>
  <c r="Q18" i="37" s="1"/>
  <c r="Q20" i="37" s="1"/>
  <c r="N13" i="37"/>
  <c r="N15" i="37" s="1"/>
  <c r="N18" i="37" s="1"/>
  <c r="CO20" i="40" l="1"/>
  <c r="CO18" i="40"/>
  <c r="CN20" i="40"/>
  <c r="CN18" i="40"/>
  <c r="CN26" i="40" s="1" a="1"/>
  <c r="CP21" i="40"/>
  <c r="CP19" i="40"/>
  <c r="CN21" i="40"/>
  <c r="CN19" i="40"/>
  <c r="CQ18" i="40"/>
  <c r="CP18" i="40"/>
  <c r="CQ21" i="40"/>
  <c r="CO21" i="40"/>
  <c r="CQ20" i="40"/>
  <c r="CQ19" i="40"/>
  <c r="CO19" i="40"/>
  <c r="CP20" i="40"/>
  <c r="DY8" i="40"/>
  <c r="DZ7" i="40"/>
  <c r="DR7" i="40"/>
  <c r="DS6" i="40"/>
  <c r="DT5" i="40"/>
  <c r="DX8" i="40"/>
  <c r="DY7" i="40"/>
  <c r="DZ6" i="40"/>
  <c r="DR6" i="40"/>
  <c r="DS5" i="40"/>
  <c r="DV8" i="40"/>
  <c r="DW7" i="40"/>
  <c r="DX6" i="40"/>
  <c r="DY5" i="40"/>
  <c r="DS8" i="40"/>
  <c r="DW6" i="40"/>
  <c r="DU5" i="40"/>
  <c r="DR8" i="40"/>
  <c r="DV6" i="40"/>
  <c r="DR5" i="40"/>
  <c r="DX7" i="40"/>
  <c r="DU6" i="40"/>
  <c r="DV7" i="40"/>
  <c r="DT6" i="40"/>
  <c r="DZ8" i="40"/>
  <c r="DU7" i="40"/>
  <c r="DZ5" i="40"/>
  <c r="DU8" i="40"/>
  <c r="DS7" i="40"/>
  <c r="DW5" i="40"/>
  <c r="DW8" i="40"/>
  <c r="DT8" i="40"/>
  <c r="DT7" i="40"/>
  <c r="DV5" i="40"/>
  <c r="DY6" i="40"/>
  <c r="DX5" i="40"/>
  <c r="DI12" i="40"/>
  <c r="DI10" i="40"/>
  <c r="DI8" i="40"/>
  <c r="DI6" i="40"/>
  <c r="DH12" i="40"/>
  <c r="DH10" i="40"/>
  <c r="DH8" i="40"/>
  <c r="DH6" i="40"/>
  <c r="DI11" i="40"/>
  <c r="DG9" i="40"/>
  <c r="DG6" i="40"/>
  <c r="DH11" i="40"/>
  <c r="DF9" i="40"/>
  <c r="DF6" i="40"/>
  <c r="DI13" i="40"/>
  <c r="DG11" i="40"/>
  <c r="DG8" i="40"/>
  <c r="DI5" i="40"/>
  <c r="DH13" i="40"/>
  <c r="DF11" i="40"/>
  <c r="DF8" i="40"/>
  <c r="DH5" i="40"/>
  <c r="DG13" i="40"/>
  <c r="DG10" i="40"/>
  <c r="DI7" i="40"/>
  <c r="DG5" i="40"/>
  <c r="DG12" i="40"/>
  <c r="DI9" i="40"/>
  <c r="DG7" i="40"/>
  <c r="DF13" i="40"/>
  <c r="DF12" i="40"/>
  <c r="DF10" i="40"/>
  <c r="DH9" i="40"/>
  <c r="DH7" i="40"/>
  <c r="DF7" i="40"/>
  <c r="DF5" i="40"/>
  <c r="C41" i="44"/>
  <c r="D40" i="44"/>
  <c r="E39" i="44"/>
  <c r="F38" i="44"/>
  <c r="G37" i="44"/>
  <c r="H36" i="44"/>
  <c r="I35" i="44"/>
  <c r="J34" i="44"/>
  <c r="B34" i="44"/>
  <c r="C33" i="44"/>
  <c r="J41" i="44"/>
  <c r="B41" i="44"/>
  <c r="C40" i="44"/>
  <c r="D39" i="44"/>
  <c r="E38" i="44"/>
  <c r="F37" i="44"/>
  <c r="G36" i="44"/>
  <c r="H35" i="44"/>
  <c r="I34" i="44"/>
  <c r="J33" i="44"/>
  <c r="B33" i="44"/>
  <c r="H41" i="44"/>
  <c r="I40" i="44"/>
  <c r="J39" i="44"/>
  <c r="B39" i="44"/>
  <c r="C38" i="44"/>
  <c r="D37" i="44"/>
  <c r="E36" i="44"/>
  <c r="F35" i="44"/>
  <c r="G34" i="44"/>
  <c r="H33" i="44"/>
  <c r="G41" i="44"/>
  <c r="H40" i="44"/>
  <c r="I39" i="44"/>
  <c r="J38" i="44"/>
  <c r="B38" i="44"/>
  <c r="C37" i="44"/>
  <c r="D36" i="44"/>
  <c r="E35" i="44"/>
  <c r="F34" i="44"/>
  <c r="G33" i="44"/>
  <c r="F41" i="44"/>
  <c r="G40" i="44"/>
  <c r="H39" i="44"/>
  <c r="I38" i="44"/>
  <c r="J37" i="44"/>
  <c r="B37" i="44"/>
  <c r="C36" i="44"/>
  <c r="D35" i="44"/>
  <c r="E34" i="44"/>
  <c r="F33" i="44"/>
  <c r="E41" i="44"/>
  <c r="F40" i="44"/>
  <c r="G39" i="44"/>
  <c r="H38" i="44"/>
  <c r="I37" i="44"/>
  <c r="J36" i="44"/>
  <c r="B36" i="44"/>
  <c r="C35" i="44"/>
  <c r="D34" i="44"/>
  <c r="E33" i="44"/>
  <c r="G38" i="44"/>
  <c r="B35" i="44"/>
  <c r="I41" i="44"/>
  <c r="D38" i="44"/>
  <c r="H34" i="44"/>
  <c r="D41" i="44"/>
  <c r="H37" i="44"/>
  <c r="C34" i="44"/>
  <c r="J40" i="44"/>
  <c r="E37" i="44"/>
  <c r="I33" i="44"/>
  <c r="E40" i="44"/>
  <c r="I36" i="44"/>
  <c r="D33" i="44"/>
  <c r="F39" i="44"/>
  <c r="J35" i="44"/>
  <c r="C39" i="44"/>
  <c r="F36" i="44"/>
  <c r="G35" i="44"/>
  <c r="B40" i="44"/>
  <c r="DM26" i="40" a="1"/>
  <c r="DM32" i="40" s="1"/>
  <c r="T193" i="54"/>
  <c r="P191" i="54"/>
  <c r="Q197" i="54"/>
  <c r="P190" i="54"/>
  <c r="M192" i="54"/>
  <c r="R192" i="54"/>
  <c r="Q193" i="54"/>
  <c r="N192" i="54"/>
  <c r="S194" i="54"/>
  <c r="U194" i="54"/>
  <c r="O195" i="54"/>
  <c r="Q192" i="54"/>
  <c r="O197" i="54"/>
  <c r="P197" i="54"/>
  <c r="O198" i="54"/>
  <c r="S192" i="54"/>
  <c r="U190" i="54"/>
  <c r="S190" i="54"/>
  <c r="U191" i="54"/>
  <c r="S195" i="54"/>
  <c r="U193" i="54"/>
  <c r="R197" i="54"/>
  <c r="T195" i="54"/>
  <c r="T197" i="54"/>
  <c r="M197" i="54"/>
  <c r="O192" i="54"/>
  <c r="N190" i="54"/>
  <c r="DM28" i="40"/>
  <c r="DK26" i="40" a="1"/>
  <c r="T198" i="54"/>
  <c r="R193" i="54"/>
  <c r="N193" i="54"/>
  <c r="M196" i="54"/>
  <c r="T190" i="54"/>
  <c r="P192" i="54"/>
  <c r="DM34" i="40"/>
  <c r="O190" i="54"/>
  <c r="O194" i="54"/>
  <c r="N191" i="54"/>
  <c r="R195" i="54"/>
  <c r="U192" i="54"/>
  <c r="S193" i="54"/>
  <c r="Q195" i="54"/>
  <c r="S198" i="54"/>
  <c r="DM29" i="40"/>
  <c r="DM30" i="40"/>
  <c r="M49" i="40"/>
  <c r="CH19" i="40" a="1"/>
  <c r="CI89" i="40" s="1"/>
  <c r="M47" i="40"/>
  <c r="M52" i="40"/>
  <c r="M45" i="40"/>
  <c r="M48" i="40"/>
  <c r="Q190" i="54"/>
  <c r="A99" i="40" a="1"/>
  <c r="AO32" i="40" a="1"/>
  <c r="BV46" i="40" a="1"/>
  <c r="M44" i="40"/>
  <c r="E57" i="40" a="1"/>
  <c r="AD32" i="40" a="1"/>
  <c r="M50" i="40"/>
  <c r="CE19" i="40" a="1"/>
  <c r="M51" i="40"/>
  <c r="M46" i="40"/>
  <c r="O191" i="54"/>
  <c r="AC38" i="40"/>
  <c r="AC39" i="40"/>
  <c r="AC34" i="40"/>
  <c r="AC32" i="40"/>
  <c r="AC37" i="40"/>
  <c r="AC36" i="40"/>
  <c r="AC40" i="40"/>
  <c r="AC33" i="40"/>
  <c r="AC35" i="40"/>
  <c r="AD51" i="40"/>
  <c r="AE52" i="40"/>
  <c r="AG52" i="40"/>
  <c r="AF53" i="40"/>
  <c r="AI52" i="40"/>
  <c r="AE51" i="40"/>
  <c r="AH49" i="40"/>
  <c r="AH53" i="40"/>
  <c r="AF46" i="40"/>
  <c r="AF50" i="40"/>
  <c r="AH51" i="40"/>
  <c r="AI53" i="40"/>
  <c r="AK51" i="40"/>
  <c r="AK47" i="40"/>
  <c r="AJ49" i="40"/>
  <c r="AL49" i="40"/>
  <c r="AE47" i="40"/>
  <c r="AH45" i="40"/>
  <c r="AL47" i="40"/>
  <c r="AJ47" i="40"/>
  <c r="AD53" i="40"/>
  <c r="AL53" i="40"/>
  <c r="AF45" i="40"/>
  <c r="AH52" i="40"/>
  <c r="AI48" i="40"/>
  <c r="AD46" i="40"/>
  <c r="AK45" i="40"/>
  <c r="AK49" i="40"/>
  <c r="AE53" i="40"/>
  <c r="AJ53" i="40"/>
  <c r="AG45" i="40"/>
  <c r="AG47" i="40"/>
  <c r="AK50" i="40"/>
  <c r="AL51" i="40"/>
  <c r="AG46" i="40"/>
  <c r="AD45" i="40"/>
  <c r="AH48" i="40"/>
  <c r="AE50" i="40"/>
  <c r="AF51" i="40"/>
  <c r="AL46" i="40"/>
  <c r="AK46" i="40"/>
  <c r="AF47" i="40"/>
  <c r="AD47" i="40"/>
  <c r="AI45" i="40"/>
  <c r="AE46" i="40"/>
  <c r="AG48" i="40"/>
  <c r="AH46" i="40"/>
  <c r="AJ52" i="40"/>
  <c r="AE48" i="40"/>
  <c r="AK53" i="40"/>
  <c r="AG49" i="40"/>
  <c r="AJ45" i="40"/>
  <c r="AJ48" i="40"/>
  <c r="AI51" i="40"/>
  <c r="AI50" i="40"/>
  <c r="AJ51" i="40"/>
  <c r="AF52" i="40"/>
  <c r="AL48" i="40"/>
  <c r="AJ46" i="40"/>
  <c r="AL45" i="40"/>
  <c r="AH47" i="40"/>
  <c r="AD48" i="40"/>
  <c r="AK52" i="40"/>
  <c r="AI49" i="40"/>
  <c r="AH50" i="40"/>
  <c r="AL52" i="40"/>
  <c r="AI46" i="40"/>
  <c r="AG50" i="40"/>
  <c r="AL50" i="40"/>
  <c r="AF48" i="40"/>
  <c r="AD52" i="40"/>
  <c r="AD49" i="40"/>
  <c r="AI47" i="40"/>
  <c r="AJ50" i="40"/>
  <c r="AF49" i="40"/>
  <c r="AE45" i="40"/>
  <c r="AG53" i="40"/>
  <c r="AD50" i="40"/>
  <c r="AG51" i="40"/>
  <c r="AE49" i="40"/>
  <c r="AK48" i="40"/>
  <c r="AR31" i="40"/>
  <c r="AU31" i="40"/>
  <c r="AW31" i="40"/>
  <c r="AT31" i="40"/>
  <c r="AV31" i="40"/>
  <c r="AQ31" i="40"/>
  <c r="AS31" i="40"/>
  <c r="AP31" i="40"/>
  <c r="AO31" i="40"/>
  <c r="P193" i="54"/>
  <c r="S197" i="54"/>
  <c r="P196" i="54"/>
  <c r="U197" i="54"/>
  <c r="T191" i="54"/>
  <c r="M190" i="54"/>
  <c r="N197" i="54"/>
  <c r="R190" i="54"/>
  <c r="Q198" i="54"/>
  <c r="R196" i="54"/>
  <c r="U198" i="54"/>
  <c r="P194" i="54"/>
  <c r="Q196" i="54"/>
  <c r="BK8" i="40"/>
  <c r="BN7" i="40"/>
  <c r="BM6" i="40"/>
  <c r="BM5" i="40"/>
  <c r="BN8" i="40"/>
  <c r="BK6" i="40"/>
  <c r="BN6" i="40"/>
  <c r="BM8" i="40"/>
  <c r="BK5" i="40"/>
  <c r="BL7" i="40"/>
  <c r="BL5" i="40"/>
  <c r="BL6" i="40"/>
  <c r="BN5" i="40"/>
  <c r="BK7" i="40"/>
  <c r="BL8" i="40"/>
  <c r="BM7" i="40"/>
  <c r="P44" i="40"/>
  <c r="F53" i="40"/>
  <c r="M193" i="54"/>
  <c r="O193" i="54"/>
  <c r="M194" i="54"/>
  <c r="N194" i="54"/>
  <c r="N198" i="54"/>
  <c r="S191" i="54"/>
  <c r="P195" i="54"/>
  <c r="R198" i="54"/>
  <c r="O196" i="54"/>
  <c r="M191" i="54"/>
  <c r="AI31" i="40"/>
  <c r="AL31" i="40"/>
  <c r="AH31" i="40"/>
  <c r="AE31" i="40"/>
  <c r="AD31" i="40"/>
  <c r="AJ31" i="40"/>
  <c r="AK31" i="40"/>
  <c r="AF31" i="40"/>
  <c r="AG31" i="40"/>
  <c r="AS27" i="40"/>
  <c r="AS21" i="40"/>
  <c r="AS19" i="40"/>
  <c r="AO22" i="40"/>
  <c r="AW26" i="40"/>
  <c r="AR19" i="40"/>
  <c r="AT24" i="40"/>
  <c r="AV20" i="40"/>
  <c r="AS24" i="40"/>
  <c r="AW21" i="40"/>
  <c r="AV21" i="40"/>
  <c r="AO25" i="40"/>
  <c r="AV25" i="40"/>
  <c r="AS22" i="40"/>
  <c r="AU21" i="40"/>
  <c r="AU27" i="40"/>
  <c r="AQ19" i="40"/>
  <c r="AP21" i="40"/>
  <c r="AS25" i="40"/>
  <c r="AW23" i="40"/>
  <c r="AR25" i="40"/>
  <c r="AT19" i="40"/>
  <c r="AT27" i="40"/>
  <c r="AU23" i="40"/>
  <c r="AP19" i="40"/>
  <c r="AR22" i="40"/>
  <c r="AR24" i="40"/>
  <c r="AS20" i="40"/>
  <c r="AU26" i="40"/>
  <c r="AS26" i="40"/>
  <c r="AR27" i="40"/>
  <c r="AO20" i="40"/>
  <c r="AW24" i="40"/>
  <c r="AS23" i="40"/>
  <c r="AW20" i="40"/>
  <c r="AT21" i="40"/>
  <c r="AW25" i="40"/>
  <c r="AV27" i="40"/>
  <c r="AU25" i="40"/>
  <c r="AO23" i="40"/>
  <c r="AP27" i="40"/>
  <c r="AQ22" i="40"/>
  <c r="AO19" i="40"/>
  <c r="AP24" i="40"/>
  <c r="AT22" i="40"/>
  <c r="AV22" i="40"/>
  <c r="AV26" i="40"/>
  <c r="AQ26" i="40"/>
  <c r="AV19" i="40"/>
  <c r="AP25" i="40"/>
  <c r="AR23" i="40"/>
  <c r="AW19" i="40"/>
  <c r="AO24" i="40"/>
  <c r="AR20" i="40"/>
  <c r="AR21" i="40"/>
  <c r="AT23" i="40"/>
  <c r="AQ20" i="40"/>
  <c r="AU24" i="40"/>
  <c r="AQ25" i="40"/>
  <c r="AW22" i="40"/>
  <c r="AR26" i="40"/>
  <c r="AP22" i="40"/>
  <c r="AO26" i="40"/>
  <c r="AT20" i="40"/>
  <c r="AQ21" i="40"/>
  <c r="AU22" i="40"/>
  <c r="AP20" i="40"/>
  <c r="AO27" i="40"/>
  <c r="AQ23" i="40"/>
  <c r="AU20" i="40"/>
  <c r="AP26" i="40"/>
  <c r="AQ24" i="40"/>
  <c r="AT26" i="40"/>
  <c r="AV23" i="40"/>
  <c r="AW27" i="40"/>
  <c r="AU19" i="40"/>
  <c r="AV24" i="40"/>
  <c r="AO21" i="40"/>
  <c r="AQ27" i="40"/>
  <c r="AT25" i="40"/>
  <c r="AP23" i="40"/>
  <c r="A62" i="40"/>
  <c r="A58" i="40"/>
  <c r="B63" i="40"/>
  <c r="B59" i="40"/>
  <c r="D62" i="40"/>
  <c r="C63" i="40"/>
  <c r="C64" i="40"/>
  <c r="C58" i="40"/>
  <c r="D57" i="40"/>
  <c r="B64" i="40"/>
  <c r="C57" i="40"/>
  <c r="A65" i="40"/>
  <c r="A61" i="40"/>
  <c r="A57" i="40"/>
  <c r="B62" i="40"/>
  <c r="B58" i="40"/>
  <c r="D60" i="40"/>
  <c r="C61" i="40"/>
  <c r="C60" i="40"/>
  <c r="D61" i="40"/>
  <c r="A64" i="40"/>
  <c r="A60" i="40"/>
  <c r="B65" i="40"/>
  <c r="B61" i="40"/>
  <c r="B57" i="40"/>
  <c r="D58" i="40"/>
  <c r="C59" i="40"/>
  <c r="D63" i="40"/>
  <c r="D65" i="40"/>
  <c r="A63" i="40"/>
  <c r="A59" i="40"/>
  <c r="B60" i="40"/>
  <c r="D64" i="40"/>
  <c r="C65" i="40"/>
  <c r="D59" i="40"/>
  <c r="C62" i="40"/>
  <c r="H32" i="44"/>
  <c r="G32" i="44"/>
  <c r="E32" i="44"/>
  <c r="D32" i="44"/>
  <c r="B32" i="44"/>
  <c r="J32" i="44"/>
  <c r="I32" i="44"/>
  <c r="F32" i="44"/>
  <c r="C32" i="44"/>
  <c r="R194" i="54"/>
  <c r="N196" i="54"/>
  <c r="T196" i="54"/>
  <c r="U196" i="54"/>
  <c r="U195" i="54"/>
  <c r="H51" i="40"/>
  <c r="H50" i="40"/>
  <c r="H48" i="40"/>
  <c r="H47" i="40"/>
  <c r="H45" i="40"/>
  <c r="H49" i="40"/>
  <c r="H52" i="40"/>
  <c r="H46" i="40"/>
  <c r="H44" i="40"/>
  <c r="A27" i="44"/>
  <c r="A25" i="44"/>
  <c r="A28" i="44"/>
  <c r="A22" i="44"/>
  <c r="A23" i="44"/>
  <c r="A21" i="44"/>
  <c r="A24" i="44"/>
  <c r="A26" i="44"/>
  <c r="A20" i="44"/>
  <c r="S196" i="54"/>
  <c r="T194" i="54"/>
  <c r="N195" i="54"/>
  <c r="Q191" i="54"/>
  <c r="M198" i="54"/>
  <c r="CG5" i="55" a="1"/>
  <c r="BT6" i="55" a="1"/>
  <c r="DK34" i="40"/>
  <c r="DK33" i="40"/>
  <c r="DK31" i="40"/>
  <c r="DK30" i="40"/>
  <c r="DK28" i="40"/>
  <c r="DK26" i="40"/>
  <c r="DK29" i="40"/>
  <c r="DK27" i="40"/>
  <c r="DK32" i="40"/>
  <c r="AC49" i="40"/>
  <c r="AC52" i="40"/>
  <c r="AC45" i="40"/>
  <c r="AC51" i="40"/>
  <c r="AC48" i="40"/>
  <c r="AC46" i="40"/>
  <c r="AC50" i="40"/>
  <c r="AC47" i="40"/>
  <c r="AC53" i="40"/>
  <c r="AD27" i="40"/>
  <c r="AE20" i="40"/>
  <c r="AG25" i="40"/>
  <c r="AK20" i="40"/>
  <c r="AK22" i="40"/>
  <c r="AD24" i="40"/>
  <c r="AJ24" i="40"/>
  <c r="AF20" i="40"/>
  <c r="AG20" i="40"/>
  <c r="AH27" i="40"/>
  <c r="AL22" i="40"/>
  <c r="AD19" i="40"/>
  <c r="AE25" i="40"/>
  <c r="AL25" i="40"/>
  <c r="AH21" i="40"/>
  <c r="AF21" i="40"/>
  <c r="AH22" i="40"/>
  <c r="AK25" i="40"/>
  <c r="AH26" i="40"/>
  <c r="AD22" i="40"/>
  <c r="AJ21" i="40"/>
  <c r="AK19" i="40"/>
  <c r="AE23" i="40"/>
  <c r="AG24" i="40"/>
  <c r="AJ23" i="40"/>
  <c r="AG26" i="40"/>
  <c r="AE27" i="40"/>
  <c r="AJ22" i="40"/>
  <c r="AE22" i="40"/>
  <c r="AL24" i="40"/>
  <c r="AJ27" i="40"/>
  <c r="AI22" i="40"/>
  <c r="AG21" i="40"/>
  <c r="AI27" i="40"/>
  <c r="AI19" i="40"/>
  <c r="AK23" i="40"/>
  <c r="AD23" i="40"/>
  <c r="AF27" i="40"/>
  <c r="AG19" i="40"/>
  <c r="AJ20" i="40"/>
  <c r="AH24" i="40"/>
  <c r="AH23" i="40"/>
  <c r="AI25" i="40"/>
  <c r="AI21" i="40"/>
  <c r="AJ26" i="40"/>
  <c r="AJ25" i="40"/>
  <c r="AF23" i="40"/>
  <c r="AD26" i="40"/>
  <c r="AF24" i="40"/>
  <c r="AK24" i="40"/>
  <c r="AK21" i="40"/>
  <c r="AK26" i="40"/>
  <c r="AE19" i="40"/>
  <c r="AE24" i="40"/>
  <c r="AI24" i="40"/>
  <c r="AL27" i="40"/>
  <c r="AD20" i="40"/>
  <c r="AD25" i="40"/>
  <c r="AF22" i="40"/>
  <c r="AE26" i="40"/>
  <c r="AH20" i="40"/>
  <c r="AI26" i="40"/>
  <c r="AL19" i="40"/>
  <c r="AI20" i="40"/>
  <c r="AG22" i="40"/>
  <c r="AG27" i="40"/>
  <c r="AL26" i="40"/>
  <c r="AE21" i="40"/>
  <c r="AF26" i="40"/>
  <c r="AD21" i="40"/>
  <c r="AH25" i="40"/>
  <c r="AF25" i="40"/>
  <c r="AL20" i="40"/>
  <c r="AF19" i="40"/>
  <c r="AL21" i="40"/>
  <c r="AL23" i="40"/>
  <c r="AK27" i="40"/>
  <c r="AI23" i="40"/>
  <c r="AH19" i="40"/>
  <c r="AG23" i="40"/>
  <c r="AJ19" i="40"/>
  <c r="C90" i="40"/>
  <c r="C86" i="40"/>
  <c r="C82" i="40"/>
  <c r="D87" i="40"/>
  <c r="D83" i="40"/>
  <c r="B85" i="40"/>
  <c r="A86" i="40"/>
  <c r="A83" i="40"/>
  <c r="B82" i="40"/>
  <c r="C89" i="40"/>
  <c r="C85" i="40"/>
  <c r="D90" i="40"/>
  <c r="D86" i="40"/>
  <c r="D82" i="40"/>
  <c r="B83" i="40"/>
  <c r="A84" i="40"/>
  <c r="B88" i="40"/>
  <c r="A89" i="40"/>
  <c r="C88" i="40"/>
  <c r="C84" i="40"/>
  <c r="D89" i="40"/>
  <c r="D85" i="40"/>
  <c r="B89" i="40"/>
  <c r="A90" i="40"/>
  <c r="A82" i="40"/>
  <c r="B84" i="40"/>
  <c r="A85" i="40"/>
  <c r="C87" i="40"/>
  <c r="C83" i="40"/>
  <c r="D88" i="40"/>
  <c r="D84" i="40"/>
  <c r="B87" i="40"/>
  <c r="A88" i="40"/>
  <c r="A87" i="40"/>
  <c r="B90" i="40"/>
  <c r="B86" i="40"/>
  <c r="BF18" i="40"/>
  <c r="BD18" i="40"/>
  <c r="BA18" i="40"/>
  <c r="BH18" i="40"/>
  <c r="BC18" i="40"/>
  <c r="BG18" i="40"/>
  <c r="BE18" i="40"/>
  <c r="BB18" i="40"/>
  <c r="AZ18" i="40"/>
  <c r="AN23" i="40"/>
  <c r="AN24" i="40"/>
  <c r="AN27" i="40"/>
  <c r="AN19" i="40"/>
  <c r="AN25" i="40"/>
  <c r="AN26" i="40"/>
  <c r="AN22" i="40"/>
  <c r="AN21" i="40"/>
  <c r="AN20" i="40"/>
  <c r="Q194" i="54"/>
  <c r="T192" i="54"/>
  <c r="P198" i="54"/>
  <c r="R191" i="54"/>
  <c r="AY6" i="40" a="1"/>
  <c r="O8" i="40"/>
  <c r="O9" i="40" s="1"/>
  <c r="O10" i="40" s="1"/>
  <c r="O11" i="40" s="1"/>
  <c r="O12" i="40" s="1"/>
  <c r="O13" i="40" s="1"/>
  <c r="O14" i="40" s="1"/>
  <c r="BG23" i="40"/>
  <c r="BG25" i="40"/>
  <c r="BG26" i="40"/>
  <c r="BH20" i="40"/>
  <c r="BD27" i="40"/>
  <c r="BF24" i="40"/>
  <c r="BG24" i="40"/>
  <c r="BC27" i="40"/>
  <c r="BB25" i="40"/>
  <c r="AZ25" i="40"/>
  <c r="BB24" i="40"/>
  <c r="BC24" i="40"/>
  <c r="BG21" i="40"/>
  <c r="BF27" i="40"/>
  <c r="BC21" i="40"/>
  <c r="BG19" i="40"/>
  <c r="BA21" i="40"/>
  <c r="BF20" i="40"/>
  <c r="BE25" i="40"/>
  <c r="BD26" i="40"/>
  <c r="BE26" i="40"/>
  <c r="BF26" i="40"/>
  <c r="BC26" i="40"/>
  <c r="BC20" i="40"/>
  <c r="BE24" i="40"/>
  <c r="BE23" i="40"/>
  <c r="BA26" i="40"/>
  <c r="BF23" i="40"/>
  <c r="BD20" i="40"/>
  <c r="BA27" i="40"/>
  <c r="AZ27" i="40"/>
  <c r="BH24" i="40"/>
  <c r="AZ19" i="40"/>
  <c r="BA23" i="40"/>
  <c r="AZ24" i="40"/>
  <c r="BD19" i="40"/>
  <c r="BC23" i="40"/>
  <c r="AZ22" i="40"/>
  <c r="BE20" i="40"/>
  <c r="BA22" i="40"/>
  <c r="BB27" i="40"/>
  <c r="BH25" i="40"/>
  <c r="BB23" i="40"/>
  <c r="BA19" i="40"/>
  <c r="BA25" i="40"/>
  <c r="BH19" i="40"/>
  <c r="BB20" i="40"/>
  <c r="BH27" i="40"/>
  <c r="BG27" i="40"/>
  <c r="BC19" i="40"/>
  <c r="BB21" i="40"/>
  <c r="BH21" i="40"/>
  <c r="BD24" i="40"/>
  <c r="BH22" i="40"/>
  <c r="BF25" i="40"/>
  <c r="BF22" i="40"/>
  <c r="BG20" i="40"/>
  <c r="BH26" i="40"/>
  <c r="BD21" i="40"/>
  <c r="AZ20" i="40"/>
  <c r="BD23" i="40"/>
  <c r="BA20" i="40"/>
  <c r="BG22" i="40"/>
  <c r="AZ21" i="40"/>
  <c r="BD25" i="40"/>
  <c r="BB19" i="40"/>
  <c r="BA24" i="40"/>
  <c r="AZ23" i="40"/>
  <c r="BE19" i="40"/>
  <c r="BF19" i="40"/>
  <c r="BE21" i="40"/>
  <c r="BC25" i="40"/>
  <c r="BH23" i="40"/>
  <c r="BD22" i="40"/>
  <c r="BE27" i="40"/>
  <c r="BE22" i="40"/>
  <c r="BB22" i="40"/>
  <c r="AZ26" i="40"/>
  <c r="BB26" i="40"/>
  <c r="BC22" i="40"/>
  <c r="AS93" i="39"/>
  <c r="AS89" i="39"/>
  <c r="AS92" i="39"/>
  <c r="AS88" i="39"/>
  <c r="AS95" i="39"/>
  <c r="AS87" i="39"/>
  <c r="AS94" i="39"/>
  <c r="AS91" i="39"/>
  <c r="AS90" i="39"/>
  <c r="AS77" i="39"/>
  <c r="AS75" i="39"/>
  <c r="AS74" i="39"/>
  <c r="AS76" i="39"/>
  <c r="BC5" i="35"/>
  <c r="BC4" i="35"/>
  <c r="AX9" i="35" a="1"/>
  <c r="AT5" i="35"/>
  <c r="AT6" i="35"/>
  <c r="AT7" i="35"/>
  <c r="AT4" i="35"/>
  <c r="AR8" i="35"/>
  <c r="AS8" i="35"/>
  <c r="AQ8" i="35"/>
  <c r="AQ5" i="35"/>
  <c r="AR5" i="35"/>
  <c r="AS5" i="35"/>
  <c r="AQ6" i="35"/>
  <c r="AR6" i="35"/>
  <c r="AS6" i="35"/>
  <c r="AQ7" i="35"/>
  <c r="AR7" i="35"/>
  <c r="AS7" i="35"/>
  <c r="AR4" i="35"/>
  <c r="AS4" i="35"/>
  <c r="AQ4" i="35"/>
  <c r="AQ3" i="35" a="1"/>
  <c r="AQ3" i="35" s="1"/>
  <c r="AJ14" i="35"/>
  <c r="AK14" i="35"/>
  <c r="AI14" i="35"/>
  <c r="X46" i="35"/>
  <c r="W46" i="35"/>
  <c r="Y33" i="35"/>
  <c r="X31" i="35"/>
  <c r="W31" i="35"/>
  <c r="Y31" i="35" s="1"/>
  <c r="Y18" i="35"/>
  <c r="X16" i="35"/>
  <c r="W16" i="35"/>
  <c r="Y16" i="35" s="1"/>
  <c r="Y3" i="35"/>
  <c r="N9" i="35" a="1"/>
  <c r="CN34" i="40" l="1"/>
  <c r="CN32" i="40"/>
  <c r="CN30" i="40"/>
  <c r="CN28" i="40"/>
  <c r="CN26" i="40"/>
  <c r="CQ33" i="40"/>
  <c r="CQ31" i="40"/>
  <c r="CQ29" i="40"/>
  <c r="CQ27" i="40"/>
  <c r="CO33" i="40"/>
  <c r="CO31" i="40"/>
  <c r="CO29" i="40"/>
  <c r="CO27" i="40"/>
  <c r="CQ34" i="40"/>
  <c r="CQ32" i="40"/>
  <c r="CQ30" i="40"/>
  <c r="CQ28" i="40"/>
  <c r="CQ26" i="40"/>
  <c r="CP34" i="40"/>
  <c r="CP30" i="40"/>
  <c r="CP26" i="40"/>
  <c r="CO34" i="40"/>
  <c r="CO30" i="40"/>
  <c r="CO26" i="40"/>
  <c r="CP33" i="40"/>
  <c r="CP29" i="40"/>
  <c r="CN33" i="40"/>
  <c r="CN29" i="40"/>
  <c r="CP32" i="40"/>
  <c r="CP28" i="40"/>
  <c r="CP31" i="40"/>
  <c r="CP27" i="40"/>
  <c r="CO32" i="40"/>
  <c r="CN31" i="40"/>
  <c r="CO28" i="40"/>
  <c r="CN27" i="40"/>
  <c r="DM26" i="40"/>
  <c r="DM33" i="40"/>
  <c r="AZ31" i="40" a="1"/>
  <c r="O44" i="40" a="1"/>
  <c r="DM31" i="40"/>
  <c r="DM27" i="40"/>
  <c r="Y46" i="35"/>
  <c r="AN32" i="40" a="1"/>
  <c r="AS3" i="35"/>
  <c r="AT8" i="35"/>
  <c r="BC6" i="35"/>
  <c r="BC8" i="35" s="1"/>
  <c r="AS11" i="35"/>
  <c r="AT10" i="35"/>
  <c r="AR11" i="35"/>
  <c r="CH79" i="40"/>
  <c r="CK22" i="40"/>
  <c r="CI19" i="40"/>
  <c r="CJ79" i="40"/>
  <c r="CK29" i="40"/>
  <c r="CH104" i="40"/>
  <c r="CI59" i="40"/>
  <c r="CI96" i="40"/>
  <c r="CJ75" i="40"/>
  <c r="CI94" i="40"/>
  <c r="CJ74" i="40"/>
  <c r="CJ94" i="40"/>
  <c r="CK68" i="40"/>
  <c r="CH92" i="40"/>
  <c r="CJ97" i="40"/>
  <c r="CJ38" i="40"/>
  <c r="CI25" i="40"/>
  <c r="CH71" i="40"/>
  <c r="CI117" i="40"/>
  <c r="CI23" i="40"/>
  <c r="CK101" i="40"/>
  <c r="CH64" i="40"/>
  <c r="CH41" i="40"/>
  <c r="CI115" i="40"/>
  <c r="CH82" i="40"/>
  <c r="CJ54" i="40"/>
  <c r="CJ41" i="40"/>
  <c r="CH59" i="40"/>
  <c r="CI31" i="40"/>
  <c r="CJ110" i="40"/>
  <c r="CI68" i="40"/>
  <c r="CJ109" i="40"/>
  <c r="CJ86" i="40"/>
  <c r="CH91" i="40"/>
  <c r="CJ20" i="40"/>
  <c r="CK51" i="40"/>
  <c r="CK28" i="40"/>
  <c r="CI56" i="40"/>
  <c r="CI99" i="40"/>
  <c r="CK107" i="40"/>
  <c r="CH26" i="40"/>
  <c r="CI38" i="40"/>
  <c r="CK78" i="40"/>
  <c r="CI113" i="40"/>
  <c r="CK106" i="40"/>
  <c r="CK129" i="40"/>
  <c r="CK37" i="40"/>
  <c r="CJ25" i="40"/>
  <c r="CJ61" i="40"/>
  <c r="CH128" i="40"/>
  <c r="CH114" i="40"/>
  <c r="CH48" i="40"/>
  <c r="CJ35" i="40"/>
  <c r="CI101" i="40"/>
  <c r="CH125" i="40"/>
  <c r="CH73" i="40"/>
  <c r="CI103" i="40"/>
  <c r="CJ40" i="40"/>
  <c r="CK90" i="40"/>
  <c r="CK33" i="40"/>
  <c r="CJ134" i="40"/>
  <c r="CK58" i="40"/>
  <c r="CK82" i="40"/>
  <c r="CJ21" i="40"/>
  <c r="CH66" i="40"/>
  <c r="CI49" i="40"/>
  <c r="CI41" i="40"/>
  <c r="CK67" i="40"/>
  <c r="CK88" i="40"/>
  <c r="CK87" i="40"/>
  <c r="CH32" i="40"/>
  <c r="CI105" i="40"/>
  <c r="CJ98" i="40"/>
  <c r="CH57" i="40"/>
  <c r="CH67" i="40"/>
  <c r="CH55" i="40"/>
  <c r="CK122" i="40"/>
  <c r="CK126" i="40"/>
  <c r="CJ132" i="40"/>
  <c r="CH80" i="40"/>
  <c r="CJ50" i="40"/>
  <c r="CK114" i="40"/>
  <c r="CH120" i="40"/>
  <c r="CJ136" i="40"/>
  <c r="CJ138" i="40"/>
  <c r="CI46" i="40"/>
  <c r="CH97" i="40"/>
  <c r="CI119" i="40"/>
  <c r="CH127" i="40"/>
  <c r="CJ62" i="40"/>
  <c r="CJ68" i="40"/>
  <c r="CI65" i="40"/>
  <c r="CK85" i="40"/>
  <c r="CJ42" i="40"/>
  <c r="CI35" i="40"/>
  <c r="CH99" i="40"/>
  <c r="CJ115" i="40"/>
  <c r="CH126" i="40"/>
  <c r="CJ45" i="40"/>
  <c r="CK59" i="40"/>
  <c r="CH70" i="40"/>
  <c r="CJ31" i="40"/>
  <c r="CI85" i="40"/>
  <c r="CI71" i="40"/>
  <c r="CH39" i="40"/>
  <c r="CJ116" i="40"/>
  <c r="CI111" i="40"/>
  <c r="CJ120" i="40"/>
  <c r="CI91" i="40"/>
  <c r="CJ90" i="40"/>
  <c r="CH81" i="40"/>
  <c r="CH37" i="40"/>
  <c r="CH96" i="40"/>
  <c r="CK132" i="40"/>
  <c r="CK44" i="40"/>
  <c r="CJ65" i="40"/>
  <c r="CJ81" i="40"/>
  <c r="CJ66" i="40"/>
  <c r="CI58" i="40"/>
  <c r="CH98" i="40"/>
  <c r="CI92" i="40"/>
  <c r="CH24" i="40"/>
  <c r="CK74" i="40"/>
  <c r="CJ118" i="40"/>
  <c r="CK105" i="40"/>
  <c r="CK124" i="40"/>
  <c r="CJ34" i="40"/>
  <c r="CH133" i="40"/>
  <c r="CJ77" i="40"/>
  <c r="CI27" i="40"/>
  <c r="CI98" i="40"/>
  <c r="CI136" i="40"/>
  <c r="CI125" i="40"/>
  <c r="CI80" i="40"/>
  <c r="CI76" i="40"/>
  <c r="CK20" i="40"/>
  <c r="CK99" i="40"/>
  <c r="CH85" i="40"/>
  <c r="CJ108" i="40"/>
  <c r="CJ71" i="40"/>
  <c r="CH112" i="40"/>
  <c r="CH31" i="40"/>
  <c r="CH52" i="40"/>
  <c r="CH90" i="40"/>
  <c r="CH27" i="40"/>
  <c r="CH65" i="40"/>
  <c r="CI61" i="40"/>
  <c r="CJ76" i="40"/>
  <c r="CH117" i="40"/>
  <c r="CH30" i="40"/>
  <c r="CJ28" i="40"/>
  <c r="CJ72" i="40"/>
  <c r="CI108" i="40"/>
  <c r="CK111" i="40"/>
  <c r="CK64" i="40"/>
  <c r="CK95" i="40"/>
  <c r="CJ52" i="40"/>
  <c r="CJ104" i="40"/>
  <c r="CJ51" i="40"/>
  <c r="CH86" i="40"/>
  <c r="CK100" i="40"/>
  <c r="CJ126" i="40"/>
  <c r="CK83" i="40"/>
  <c r="CH74" i="40"/>
  <c r="CH116" i="40"/>
  <c r="CJ100" i="40"/>
  <c r="CH50" i="40"/>
  <c r="CJ102" i="40"/>
  <c r="CI138" i="40"/>
  <c r="CH93" i="40"/>
  <c r="CK109" i="40"/>
  <c r="CH21" i="40"/>
  <c r="CI131" i="40"/>
  <c r="CK42" i="40"/>
  <c r="CK138" i="40"/>
  <c r="CK118" i="40"/>
  <c r="CI30" i="40"/>
  <c r="CJ43" i="40"/>
  <c r="CH105" i="40"/>
  <c r="CI28" i="40"/>
  <c r="CI48" i="40"/>
  <c r="CJ93" i="40"/>
  <c r="CK117" i="40"/>
  <c r="CI133" i="40"/>
  <c r="CH100" i="40"/>
  <c r="CK38" i="40"/>
  <c r="CH110" i="40"/>
  <c r="CJ88" i="40"/>
  <c r="CI106" i="40"/>
  <c r="CI118" i="40"/>
  <c r="CH53" i="40"/>
  <c r="CK104" i="40"/>
  <c r="CI44" i="40"/>
  <c r="CJ122" i="40"/>
  <c r="CI39" i="40"/>
  <c r="CI21" i="40"/>
  <c r="CJ58" i="40"/>
  <c r="CI24" i="40"/>
  <c r="CH109" i="40"/>
  <c r="CH88" i="40"/>
  <c r="CH121" i="40"/>
  <c r="CH47" i="40"/>
  <c r="CH22" i="40"/>
  <c r="CI112" i="40"/>
  <c r="CJ114" i="40"/>
  <c r="CH119" i="40"/>
  <c r="CI73" i="40"/>
  <c r="CI50" i="40"/>
  <c r="CK21" i="40"/>
  <c r="CK80" i="40"/>
  <c r="CJ48" i="40"/>
  <c r="CK62" i="40"/>
  <c r="CJ91" i="40"/>
  <c r="CH129" i="40"/>
  <c r="CH115" i="40"/>
  <c r="CK137" i="40"/>
  <c r="CK131" i="40"/>
  <c r="CI114" i="40"/>
  <c r="CI116" i="40"/>
  <c r="CJ96" i="40"/>
  <c r="CI124" i="40"/>
  <c r="CI32" i="40"/>
  <c r="CH137" i="40"/>
  <c r="CJ123" i="40"/>
  <c r="CH69" i="40"/>
  <c r="CH36" i="40"/>
  <c r="CH68" i="40"/>
  <c r="CJ80" i="40"/>
  <c r="CH94" i="40"/>
  <c r="CH75" i="40"/>
  <c r="CK27" i="40"/>
  <c r="CJ29" i="40"/>
  <c r="CJ112" i="40"/>
  <c r="CI36" i="40"/>
  <c r="CK63" i="40"/>
  <c r="CJ95" i="40"/>
  <c r="CJ128" i="40"/>
  <c r="CH58" i="40"/>
  <c r="CK125" i="40"/>
  <c r="CH102" i="40"/>
  <c r="CH130" i="40"/>
  <c r="CH46" i="40"/>
  <c r="CJ129" i="40"/>
  <c r="CH20" i="40"/>
  <c r="CK57" i="40"/>
  <c r="CK94" i="40"/>
  <c r="CH34" i="40"/>
  <c r="CH43" i="40"/>
  <c r="CJ85" i="40"/>
  <c r="CK102" i="40"/>
  <c r="CJ56" i="40"/>
  <c r="CJ27" i="40"/>
  <c r="CH76" i="40"/>
  <c r="CK119" i="40"/>
  <c r="CJ119" i="40"/>
  <c r="CI69" i="40"/>
  <c r="CJ26" i="40"/>
  <c r="CH132" i="40"/>
  <c r="CI123" i="40"/>
  <c r="CK79" i="40"/>
  <c r="CI107" i="40"/>
  <c r="CJ107" i="40"/>
  <c r="CK53" i="40"/>
  <c r="CK120" i="40"/>
  <c r="CJ127" i="40"/>
  <c r="CK66" i="40"/>
  <c r="CK35" i="40"/>
  <c r="CI64" i="40"/>
  <c r="CJ22" i="40"/>
  <c r="CI87" i="40"/>
  <c r="CK89" i="40"/>
  <c r="CI51" i="40"/>
  <c r="CI53" i="40"/>
  <c r="CI84" i="40"/>
  <c r="CJ82" i="40"/>
  <c r="CI55" i="40"/>
  <c r="CH103" i="40"/>
  <c r="CK115" i="40"/>
  <c r="CK96" i="40"/>
  <c r="CI62" i="40"/>
  <c r="CH45" i="40"/>
  <c r="CK25" i="40"/>
  <c r="CI128" i="40"/>
  <c r="CJ59" i="40"/>
  <c r="CH35" i="40"/>
  <c r="CI78" i="40"/>
  <c r="CJ36" i="40"/>
  <c r="CI109" i="40"/>
  <c r="CH106" i="40"/>
  <c r="CH118" i="40"/>
  <c r="CK86" i="40"/>
  <c r="CK98" i="40"/>
  <c r="CI122" i="40"/>
  <c r="CI37" i="40"/>
  <c r="CJ69" i="40"/>
  <c r="CI90" i="40"/>
  <c r="CJ84" i="40"/>
  <c r="CK81" i="40"/>
  <c r="CK47" i="40"/>
  <c r="CH51" i="40"/>
  <c r="CH83" i="40"/>
  <c r="CK97" i="40"/>
  <c r="CJ78" i="40"/>
  <c r="CK128" i="40"/>
  <c r="CI132" i="40"/>
  <c r="CK50" i="40"/>
  <c r="CK73" i="40"/>
  <c r="CH29" i="40"/>
  <c r="CI57" i="40"/>
  <c r="CJ87" i="40"/>
  <c r="CK71" i="40"/>
  <c r="CH60" i="40"/>
  <c r="CJ135" i="40"/>
  <c r="CH63" i="40"/>
  <c r="CJ73" i="40"/>
  <c r="CH28" i="40"/>
  <c r="CJ32" i="40"/>
  <c r="CI127" i="40"/>
  <c r="CI54" i="40"/>
  <c r="CI45" i="40"/>
  <c r="CJ103" i="40"/>
  <c r="CI130" i="40"/>
  <c r="CH25" i="40"/>
  <c r="CJ125" i="40"/>
  <c r="CJ57" i="40"/>
  <c r="CJ99" i="40"/>
  <c r="CJ113" i="40"/>
  <c r="CJ131" i="40"/>
  <c r="CJ67" i="40"/>
  <c r="CI70" i="40"/>
  <c r="CI104" i="40"/>
  <c r="CI72" i="40"/>
  <c r="CK23" i="40"/>
  <c r="CJ106" i="40"/>
  <c r="CI86" i="40"/>
  <c r="CJ89" i="40"/>
  <c r="CI120" i="40"/>
  <c r="CJ23" i="40"/>
  <c r="CH87" i="40"/>
  <c r="CJ70" i="40"/>
  <c r="CH138" i="40"/>
  <c r="CJ49" i="40"/>
  <c r="CH33" i="40"/>
  <c r="CK93" i="40"/>
  <c r="CK60" i="40"/>
  <c r="CJ111" i="40"/>
  <c r="CK134" i="40"/>
  <c r="CI77" i="40"/>
  <c r="CH89" i="40"/>
  <c r="CH23" i="40"/>
  <c r="CI60" i="40"/>
  <c r="CJ44" i="40"/>
  <c r="CH111" i="40"/>
  <c r="CH38" i="40"/>
  <c r="CI135" i="40"/>
  <c r="CH108" i="40"/>
  <c r="CK72" i="40"/>
  <c r="CJ64" i="40"/>
  <c r="CI134" i="40"/>
  <c r="CK45" i="40"/>
  <c r="CK92" i="40"/>
  <c r="CK55" i="40"/>
  <c r="CJ117" i="40"/>
  <c r="CK48" i="40"/>
  <c r="CJ39" i="40"/>
  <c r="CI52" i="40"/>
  <c r="CK76" i="40"/>
  <c r="CI126" i="40"/>
  <c r="CK19" i="40"/>
  <c r="CH123" i="40"/>
  <c r="CJ83" i="40"/>
  <c r="CI81" i="40"/>
  <c r="CI75" i="40"/>
  <c r="CJ24" i="40"/>
  <c r="CJ121" i="40"/>
  <c r="CI42" i="40"/>
  <c r="CK52" i="40"/>
  <c r="CI100" i="40"/>
  <c r="CH40" i="40"/>
  <c r="CI29" i="40"/>
  <c r="CI74" i="40"/>
  <c r="CJ53" i="40"/>
  <c r="CI137" i="40"/>
  <c r="CK30" i="40"/>
  <c r="CK123" i="40"/>
  <c r="CK46" i="40"/>
  <c r="CK84" i="40"/>
  <c r="CI95" i="40"/>
  <c r="CH134" i="40"/>
  <c r="CI121" i="40"/>
  <c r="CI66" i="40"/>
  <c r="CK112" i="40"/>
  <c r="CJ30" i="40"/>
  <c r="CH131" i="40"/>
  <c r="CK32" i="40"/>
  <c r="CI33" i="40"/>
  <c r="CH101" i="40"/>
  <c r="CI83" i="40"/>
  <c r="CI47" i="40"/>
  <c r="CJ63" i="40"/>
  <c r="CJ105" i="40"/>
  <c r="CH49" i="40"/>
  <c r="CH95" i="40"/>
  <c r="CI79" i="40"/>
  <c r="CK54" i="40"/>
  <c r="CI97" i="40"/>
  <c r="CH78" i="40"/>
  <c r="CJ101" i="40"/>
  <c r="CK110" i="40"/>
  <c r="CH107" i="40"/>
  <c r="CK41" i="40"/>
  <c r="CJ92" i="40"/>
  <c r="CK116" i="40"/>
  <c r="CK70" i="40"/>
  <c r="CK133" i="40"/>
  <c r="CJ19" i="40"/>
  <c r="CK26" i="40"/>
  <c r="CK75" i="40"/>
  <c r="CK65" i="40"/>
  <c r="CJ133" i="40"/>
  <c r="CK39" i="40"/>
  <c r="CH54" i="40"/>
  <c r="CK77" i="40"/>
  <c r="CH113" i="40"/>
  <c r="CJ130" i="40"/>
  <c r="CI88" i="40"/>
  <c r="CI20" i="40"/>
  <c r="CK136" i="40"/>
  <c r="CI93" i="40"/>
  <c r="CJ47" i="40"/>
  <c r="CJ37" i="40"/>
  <c r="CK56" i="40"/>
  <c r="CK36" i="40"/>
  <c r="CJ46" i="40"/>
  <c r="CI110" i="40"/>
  <c r="CI22" i="40"/>
  <c r="CH62" i="40"/>
  <c r="CK91" i="40"/>
  <c r="CJ33" i="40"/>
  <c r="CK34" i="40"/>
  <c r="CK24" i="40"/>
  <c r="CH77" i="40"/>
  <c r="CI34" i="40"/>
  <c r="CK127" i="40"/>
  <c r="CH19" i="40"/>
  <c r="CK61" i="40"/>
  <c r="CK49" i="40"/>
  <c r="CJ60" i="40"/>
  <c r="CK103" i="40"/>
  <c r="CI63" i="40"/>
  <c r="CH61" i="40"/>
  <c r="CK135" i="40"/>
  <c r="CK40" i="40"/>
  <c r="CJ124" i="40"/>
  <c r="CI102" i="40"/>
  <c r="CK31" i="40"/>
  <c r="CK108" i="40"/>
  <c r="CH44" i="40"/>
  <c r="CK130" i="40"/>
  <c r="CK43" i="40"/>
  <c r="CH72" i="40"/>
  <c r="CJ55" i="40"/>
  <c r="CK69" i="40"/>
  <c r="CH136" i="40"/>
  <c r="CI82" i="40"/>
  <c r="CI129" i="40"/>
  <c r="CH135" i="40"/>
  <c r="CI43" i="40"/>
  <c r="CJ137" i="40"/>
  <c r="CH42" i="40"/>
  <c r="CI26" i="40"/>
  <c r="CH56" i="40"/>
  <c r="CI67" i="40"/>
  <c r="CH122" i="40"/>
  <c r="CH84" i="40"/>
  <c r="CI40" i="40"/>
  <c r="CH124" i="40"/>
  <c r="CK121" i="40"/>
  <c r="CK113" i="40"/>
  <c r="E88" i="40"/>
  <c r="G88" i="40" s="1"/>
  <c r="H64" i="40"/>
  <c r="H60" i="40"/>
  <c r="E65" i="40"/>
  <c r="E61" i="40"/>
  <c r="E57" i="40"/>
  <c r="G59" i="40"/>
  <c r="F60" i="40"/>
  <c r="G62" i="40"/>
  <c r="G60" i="40"/>
  <c r="H65" i="40"/>
  <c r="H61" i="40"/>
  <c r="H57" i="40"/>
  <c r="E62" i="40"/>
  <c r="E58" i="40"/>
  <c r="G61" i="40"/>
  <c r="F62" i="40"/>
  <c r="F59" i="40"/>
  <c r="F57" i="40"/>
  <c r="H63" i="40"/>
  <c r="H59" i="40"/>
  <c r="E64" i="40"/>
  <c r="E60" i="40"/>
  <c r="G65" i="40"/>
  <c r="G57" i="40"/>
  <c r="F58" i="40"/>
  <c r="G58" i="40"/>
  <c r="F61" i="40"/>
  <c r="H62" i="40"/>
  <c r="H58" i="40"/>
  <c r="E63" i="40"/>
  <c r="E59" i="40"/>
  <c r="G63" i="40"/>
  <c r="F64" i="40"/>
  <c r="F63" i="40"/>
  <c r="F65" i="40"/>
  <c r="G64" i="40"/>
  <c r="M53" i="40"/>
  <c r="E87" i="40"/>
  <c r="G87" i="40" s="1"/>
  <c r="E89" i="40"/>
  <c r="G89" i="40" s="1"/>
  <c r="CE20" i="40"/>
  <c r="CE19" i="40"/>
  <c r="CE22" i="40"/>
  <c r="CE21" i="40"/>
  <c r="BW53" i="40"/>
  <c r="BY49" i="40"/>
  <c r="BV49" i="40"/>
  <c r="BY46" i="40"/>
  <c r="BY50" i="40"/>
  <c r="BV54" i="40"/>
  <c r="BX53" i="40"/>
  <c r="BX46" i="40"/>
  <c r="BY54" i="40"/>
  <c r="BX51" i="40"/>
  <c r="BW54" i="40"/>
  <c r="BY53" i="40"/>
  <c r="BW47" i="40"/>
  <c r="BW50" i="40"/>
  <c r="BX54" i="40"/>
  <c r="BW48" i="40"/>
  <c r="BV47" i="40"/>
  <c r="BW49" i="40"/>
  <c r="BW51" i="40"/>
  <c r="BX47" i="40"/>
  <c r="BV52" i="40"/>
  <c r="BW46" i="40"/>
  <c r="BY47" i="40"/>
  <c r="BY48" i="40"/>
  <c r="BX50" i="40"/>
  <c r="BV51" i="40"/>
  <c r="BW52" i="40"/>
  <c r="BX52" i="40"/>
  <c r="BY52" i="40"/>
  <c r="BV50" i="40"/>
  <c r="BY51" i="40"/>
  <c r="BX48" i="40"/>
  <c r="BV53" i="40"/>
  <c r="BV48" i="40"/>
  <c r="BV46" i="40"/>
  <c r="BX49" i="40"/>
  <c r="D105" i="40"/>
  <c r="D101" i="40"/>
  <c r="C106" i="40"/>
  <c r="C102" i="40"/>
  <c r="B107" i="40"/>
  <c r="B99" i="40"/>
  <c r="A100" i="40"/>
  <c r="B102" i="40"/>
  <c r="B104" i="40"/>
  <c r="D106" i="40"/>
  <c r="D102" i="40"/>
  <c r="C107" i="40"/>
  <c r="C103" i="40"/>
  <c r="C99" i="40"/>
  <c r="B101" i="40"/>
  <c r="A102" i="40"/>
  <c r="B106" i="40"/>
  <c r="A99" i="40"/>
  <c r="D104" i="40"/>
  <c r="D100" i="40"/>
  <c r="C105" i="40"/>
  <c r="C101" i="40"/>
  <c r="B105" i="40"/>
  <c r="A106" i="40"/>
  <c r="A105" i="40"/>
  <c r="B100" i="40"/>
  <c r="A107" i="40"/>
  <c r="D107" i="40"/>
  <c r="D103" i="40"/>
  <c r="D99" i="40"/>
  <c r="C104" i="40"/>
  <c r="C100" i="40"/>
  <c r="B103" i="40"/>
  <c r="A104" i="40"/>
  <c r="A101" i="40"/>
  <c r="A103" i="40"/>
  <c r="AH39" i="40"/>
  <c r="AE38" i="40"/>
  <c r="AI34" i="40"/>
  <c r="AF32" i="40"/>
  <c r="AL39" i="40"/>
  <c r="AG37" i="40"/>
  <c r="AL32" i="40"/>
  <c r="AI33" i="40"/>
  <c r="AH37" i="40"/>
  <c r="AL37" i="40"/>
  <c r="AK36" i="40"/>
  <c r="AK38" i="40"/>
  <c r="AI39" i="40"/>
  <c r="AH40" i="40"/>
  <c r="AL40" i="40"/>
  <c r="AD39" i="40"/>
  <c r="AG35" i="40"/>
  <c r="AI40" i="40"/>
  <c r="AF36" i="40"/>
  <c r="AJ36" i="40"/>
  <c r="AL35" i="40"/>
  <c r="AJ39" i="40"/>
  <c r="AK32" i="40"/>
  <c r="AF38" i="40"/>
  <c r="AE35" i="40"/>
  <c r="AD35" i="40"/>
  <c r="AD34" i="40"/>
  <c r="AD38" i="40"/>
  <c r="AF37" i="40"/>
  <c r="AI36" i="40"/>
  <c r="AL33" i="40"/>
  <c r="AE34" i="40"/>
  <c r="AK37" i="40"/>
  <c r="AF39" i="40"/>
  <c r="AE32" i="40"/>
  <c r="AE40" i="40"/>
  <c r="AG36" i="40"/>
  <c r="AI37" i="40"/>
  <c r="AG38" i="40"/>
  <c r="AK39" i="40"/>
  <c r="AF40" i="40"/>
  <c r="AI38" i="40"/>
  <c r="AD33" i="40"/>
  <c r="AJ34" i="40"/>
  <c r="AG33" i="40"/>
  <c r="AK33" i="40"/>
  <c r="AJ33" i="40"/>
  <c r="AK40" i="40"/>
  <c r="AF35" i="40"/>
  <c r="AD36" i="40"/>
  <c r="AJ38" i="40"/>
  <c r="AE39" i="40"/>
  <c r="AJ37" i="40"/>
  <c r="AH36" i="40"/>
  <c r="AD37" i="40"/>
  <c r="AI32" i="40"/>
  <c r="AH32" i="40"/>
  <c r="AH33" i="40"/>
  <c r="AJ32" i="40"/>
  <c r="AE33" i="40"/>
  <c r="AF33" i="40"/>
  <c r="AL38" i="40"/>
  <c r="AG39" i="40"/>
  <c r="AJ35" i="40"/>
  <c r="AE36" i="40"/>
  <c r="AH35" i="40"/>
  <c r="AD40" i="40"/>
  <c r="AJ40" i="40"/>
  <c r="AG32" i="40"/>
  <c r="AE37" i="40"/>
  <c r="AG40" i="40"/>
  <c r="AD32" i="40"/>
  <c r="AH34" i="40"/>
  <c r="AL34" i="40"/>
  <c r="AL36" i="40"/>
  <c r="AF34" i="40"/>
  <c r="AI35" i="40"/>
  <c r="AK34" i="40"/>
  <c r="AH38" i="40"/>
  <c r="AK35" i="40"/>
  <c r="AG34" i="40"/>
  <c r="AS39" i="40"/>
  <c r="AU39" i="40"/>
  <c r="AP40" i="40"/>
  <c r="AS40" i="40"/>
  <c r="AR40" i="40"/>
  <c r="AR35" i="40"/>
  <c r="AR37" i="40"/>
  <c r="AS33" i="40"/>
  <c r="AS37" i="40"/>
  <c r="AT35" i="40"/>
  <c r="AO36" i="40"/>
  <c r="AS35" i="40"/>
  <c r="AV35" i="40"/>
  <c r="AP35" i="40"/>
  <c r="AR34" i="40"/>
  <c r="AV34" i="40"/>
  <c r="AT34" i="40"/>
  <c r="AT40" i="40"/>
  <c r="AW33" i="40"/>
  <c r="AV33" i="40"/>
  <c r="AQ34" i="40"/>
  <c r="AP34" i="40"/>
  <c r="AQ33" i="40"/>
  <c r="AU32" i="40"/>
  <c r="AU33" i="40"/>
  <c r="AQ39" i="40"/>
  <c r="AS32" i="40"/>
  <c r="AW39" i="40"/>
  <c r="AO40" i="40"/>
  <c r="AR32" i="40"/>
  <c r="AT32" i="40"/>
  <c r="AO37" i="40"/>
  <c r="AO35" i="40"/>
  <c r="AV37" i="40"/>
  <c r="AP32" i="40"/>
  <c r="AO34" i="40"/>
  <c r="AW37" i="40"/>
  <c r="AR38" i="40"/>
  <c r="AQ37" i="40"/>
  <c r="AU34" i="40"/>
  <c r="AV39" i="40"/>
  <c r="AU36" i="40"/>
  <c r="AP37" i="40"/>
  <c r="AR36" i="40"/>
  <c r="AQ38" i="40"/>
  <c r="AU38" i="40"/>
  <c r="AP36" i="40"/>
  <c r="AT36" i="40"/>
  <c r="AW35" i="40"/>
  <c r="AT38" i="40"/>
  <c r="AU35" i="40"/>
  <c r="AT37" i="40"/>
  <c r="AO33" i="40"/>
  <c r="AQ36" i="40"/>
  <c r="AR39" i="40"/>
  <c r="AW36" i="40"/>
  <c r="AV38" i="40"/>
  <c r="AQ40" i="40"/>
  <c r="AU40" i="40"/>
  <c r="AO39" i="40"/>
  <c r="AS34" i="40"/>
  <c r="AS36" i="40"/>
  <c r="AT39" i="40"/>
  <c r="AP38" i="40"/>
  <c r="AR33" i="40"/>
  <c r="AQ35" i="40"/>
  <c r="AW38" i="40"/>
  <c r="AU37" i="40"/>
  <c r="AV36" i="40"/>
  <c r="AP39" i="40"/>
  <c r="AS38" i="40"/>
  <c r="AW34" i="40"/>
  <c r="AW32" i="40"/>
  <c r="AQ32" i="40"/>
  <c r="AP33" i="40"/>
  <c r="AT33" i="40"/>
  <c r="AV40" i="40"/>
  <c r="AO32" i="40"/>
  <c r="AV32" i="40"/>
  <c r="AO38" i="40"/>
  <c r="AW40" i="40"/>
  <c r="BC7" i="35"/>
  <c r="A33" i="44" a="1"/>
  <c r="AY19" i="40" a="1"/>
  <c r="BA31" i="40"/>
  <c r="BC31" i="40"/>
  <c r="BE31" i="40"/>
  <c r="BF31" i="40"/>
  <c r="BG31" i="40"/>
  <c r="BB31" i="40"/>
  <c r="BH31" i="40"/>
  <c r="BD31" i="40"/>
  <c r="AZ31" i="40"/>
  <c r="A91" i="40"/>
  <c r="E82" i="40"/>
  <c r="BT13" i="55"/>
  <c r="BT40" i="55" s="1"/>
  <c r="BT14" i="55"/>
  <c r="BT41" i="55" s="1"/>
  <c r="BT10" i="55"/>
  <c r="BT37" i="55" s="1"/>
  <c r="BT8" i="55"/>
  <c r="BT35" i="55" s="1"/>
  <c r="BT11" i="55"/>
  <c r="BT38" i="55" s="1"/>
  <c r="BT6" i="55"/>
  <c r="BT33" i="55" s="1"/>
  <c r="BT12" i="55"/>
  <c r="BT39" i="55" s="1"/>
  <c r="BT9" i="55"/>
  <c r="BT36" i="55" s="1"/>
  <c r="BT7" i="55"/>
  <c r="BT34" i="55" s="1"/>
  <c r="O47" i="40"/>
  <c r="O45" i="40"/>
  <c r="O51" i="40"/>
  <c r="O49" i="40"/>
  <c r="O46" i="40"/>
  <c r="O50" i="40"/>
  <c r="O44" i="40"/>
  <c r="O48" i="40"/>
  <c r="O52" i="40"/>
  <c r="AD44" i="40" a="1"/>
  <c r="P53" i="40"/>
  <c r="Q44" i="40"/>
  <c r="BK12" i="40" a="1"/>
  <c r="BV33" i="40" a="1"/>
  <c r="AN35" i="40"/>
  <c r="AN32" i="40"/>
  <c r="AN37" i="40"/>
  <c r="AN36" i="40"/>
  <c r="AN34" i="40"/>
  <c r="AN39" i="40"/>
  <c r="AN38" i="40"/>
  <c r="AN33" i="40"/>
  <c r="AN40" i="40"/>
  <c r="AQ11" i="35"/>
  <c r="E90" i="40"/>
  <c r="H90" i="40" s="1"/>
  <c r="E84" i="40"/>
  <c r="J84" i="40" s="1"/>
  <c r="E83" i="40"/>
  <c r="H83" i="40" s="1"/>
  <c r="CG5" i="55"/>
  <c r="CL5" i="55"/>
  <c r="CI5" i="55"/>
  <c r="CN5" i="55"/>
  <c r="CH5" i="55"/>
  <c r="CM5" i="55"/>
  <c r="CO5" i="55"/>
  <c r="CJ5" i="55"/>
  <c r="CK5" i="55"/>
  <c r="AR3" i="35"/>
  <c r="AY13" i="40"/>
  <c r="AY6" i="40"/>
  <c r="AY10" i="40"/>
  <c r="AY11" i="40"/>
  <c r="AY9" i="40"/>
  <c r="AY14" i="40"/>
  <c r="AY12" i="40"/>
  <c r="AY8" i="40"/>
  <c r="AY7" i="40"/>
  <c r="E85" i="40"/>
  <c r="I85" i="40" s="1"/>
  <c r="E86" i="40"/>
  <c r="H86" i="40" s="1"/>
  <c r="B45" i="44" a="1"/>
  <c r="AU74" i="39" a="1"/>
  <c r="AU81" i="39" s="1"/>
  <c r="AU87" i="39" a="1"/>
  <c r="AU94" i="39" s="1"/>
  <c r="L5" i="35"/>
  <c r="L6" i="35"/>
  <c r="X15" i="35"/>
  <c r="AB14" i="35" s="1"/>
  <c r="X30" i="35"/>
  <c r="X45" i="35"/>
  <c r="AB44" i="35" s="1"/>
  <c r="AY10" i="35"/>
  <c r="AZ11" i="35"/>
  <c r="AY9" i="35"/>
  <c r="AZ9" i="35"/>
  <c r="AX11" i="35"/>
  <c r="AX10" i="35"/>
  <c r="O9" i="35"/>
  <c r="CI140" i="40" l="1" a="1"/>
  <c r="CI140" i="40" s="1"/>
  <c r="CK140" i="40" a="1"/>
  <c r="CJ140" i="40" a="1"/>
  <c r="AV21" i="35"/>
  <c r="AV22" i="35" s="1"/>
  <c r="AX4" i="35" a="1"/>
  <c r="AZ5" i="35" s="1"/>
  <c r="AY4" i="35"/>
  <c r="CJ141" i="40"/>
  <c r="G90" i="40"/>
  <c r="CK140" i="40"/>
  <c r="CI141" i="40"/>
  <c r="CK141" i="40"/>
  <c r="CH140" i="40"/>
  <c r="I88" i="40"/>
  <c r="H88" i="40"/>
  <c r="CH141" i="40"/>
  <c r="CJ140" i="40"/>
  <c r="J88" i="40"/>
  <c r="J90" i="40"/>
  <c r="I84" i="40"/>
  <c r="E91" i="40"/>
  <c r="H89" i="40"/>
  <c r="G84" i="40"/>
  <c r="E104" i="40"/>
  <c r="J104" i="40" s="1"/>
  <c r="A108" i="40"/>
  <c r="E99" i="40"/>
  <c r="G99" i="40" s="1"/>
  <c r="H82" i="40"/>
  <c r="I89" i="40"/>
  <c r="E103" i="40"/>
  <c r="H103" i="40" s="1"/>
  <c r="E106" i="40"/>
  <c r="H106" i="40" s="1"/>
  <c r="E102" i="40"/>
  <c r="J102" i="40" s="1"/>
  <c r="I87" i="40"/>
  <c r="J87" i="40"/>
  <c r="I82" i="40"/>
  <c r="Q53" i="40"/>
  <c r="J89" i="40"/>
  <c r="E105" i="40"/>
  <c r="I105" i="40" s="1"/>
  <c r="E101" i="40"/>
  <c r="J101" i="40" s="1"/>
  <c r="E107" i="40"/>
  <c r="G107" i="40" s="1"/>
  <c r="E100" i="40"/>
  <c r="I100" i="40" s="1"/>
  <c r="H87" i="40"/>
  <c r="G86" i="40"/>
  <c r="G85" i="40"/>
  <c r="BV39" i="40"/>
  <c r="BV40" i="40"/>
  <c r="BY39" i="40"/>
  <c r="BY35" i="40"/>
  <c r="BW38" i="40"/>
  <c r="BY36" i="40"/>
  <c r="BX39" i="40"/>
  <c r="BV38" i="40"/>
  <c r="BY40" i="40"/>
  <c r="BW40" i="40"/>
  <c r="BY34" i="40"/>
  <c r="BW41" i="40"/>
  <c r="BX35" i="40"/>
  <c r="BY37" i="40"/>
  <c r="BV33" i="40"/>
  <c r="BY38" i="40"/>
  <c r="BW35" i="40"/>
  <c r="BX33" i="40"/>
  <c r="BV35" i="40"/>
  <c r="BV36" i="40"/>
  <c r="BX37" i="40"/>
  <c r="BV37" i="40"/>
  <c r="BX38" i="40"/>
  <c r="BW39" i="40"/>
  <c r="BX36" i="40"/>
  <c r="BX41" i="40"/>
  <c r="BW37" i="40"/>
  <c r="BW33" i="40"/>
  <c r="BY41" i="40"/>
  <c r="BY33" i="40"/>
  <c r="BW34" i="40"/>
  <c r="BV41" i="40"/>
  <c r="BX40" i="40"/>
  <c r="BV34" i="40"/>
  <c r="BX34" i="40"/>
  <c r="BW36" i="40"/>
  <c r="AH44" i="40"/>
  <c r="AJ44" i="40"/>
  <c r="AI44" i="40"/>
  <c r="AL44" i="40"/>
  <c r="AK44" i="40"/>
  <c r="AF44" i="40"/>
  <c r="AG44" i="40"/>
  <c r="AD44" i="40"/>
  <c r="AE44" i="40"/>
  <c r="J83" i="40"/>
  <c r="G82" i="40"/>
  <c r="BU6" i="40" a="1"/>
  <c r="BO15" i="40"/>
  <c r="BP15" i="40"/>
  <c r="BN15" i="40"/>
  <c r="BR12" i="40"/>
  <c r="BP13" i="40"/>
  <c r="BM15" i="40"/>
  <c r="BP12" i="40"/>
  <c r="BQ13" i="40"/>
  <c r="BL13" i="40"/>
  <c r="BS15" i="40"/>
  <c r="BL12" i="40"/>
  <c r="BR13" i="40"/>
  <c r="BP14" i="40"/>
  <c r="BK12" i="40"/>
  <c r="BM13" i="40"/>
  <c r="BN13" i="40"/>
  <c r="BS14" i="40"/>
  <c r="BR14" i="40"/>
  <c r="BN12" i="40"/>
  <c r="BL14" i="40"/>
  <c r="BO12" i="40"/>
  <c r="BO14" i="40"/>
  <c r="BM12" i="40"/>
  <c r="BQ12" i="40"/>
  <c r="BN14" i="40"/>
  <c r="BK15" i="40"/>
  <c r="BQ15" i="40"/>
  <c r="BO13" i="40"/>
  <c r="BS13" i="40"/>
  <c r="BK14" i="40"/>
  <c r="BK13" i="40"/>
  <c r="BQ14" i="40"/>
  <c r="BL15" i="40"/>
  <c r="BS12" i="40"/>
  <c r="BM14" i="40"/>
  <c r="BR15" i="40"/>
  <c r="AY27" i="40"/>
  <c r="AY19" i="40"/>
  <c r="AY22" i="40"/>
  <c r="AY23" i="40"/>
  <c r="AY24" i="40"/>
  <c r="AY25" i="40"/>
  <c r="AY20" i="40"/>
  <c r="AY26" i="40"/>
  <c r="AY21" i="40"/>
  <c r="A37" i="44"/>
  <c r="A39" i="44"/>
  <c r="A33" i="44"/>
  <c r="A34" i="44"/>
  <c r="A35" i="44"/>
  <c r="A38" i="44"/>
  <c r="A41" i="44"/>
  <c r="A36" i="44"/>
  <c r="A40" i="44"/>
  <c r="J82" i="40"/>
  <c r="AV16" i="35"/>
  <c r="AV17" i="35" s="1"/>
  <c r="H45" i="44"/>
  <c r="G45" i="44"/>
  <c r="E45" i="44"/>
  <c r="D45" i="44"/>
  <c r="B45" i="44"/>
  <c r="C45" i="44"/>
  <c r="F45" i="44"/>
  <c r="J45" i="44"/>
  <c r="I45" i="44"/>
  <c r="CS5" i="55" a="1"/>
  <c r="CF6" i="55" a="1"/>
  <c r="J86" i="40"/>
  <c r="I86" i="40"/>
  <c r="J85" i="40"/>
  <c r="G83" i="40"/>
  <c r="AX4" i="35"/>
  <c r="I90" i="40"/>
  <c r="I83" i="40"/>
  <c r="H85" i="40"/>
  <c r="H84" i="40"/>
  <c r="AU87" i="39"/>
  <c r="AU74" i="39"/>
  <c r="AU92" i="39"/>
  <c r="AU76" i="39"/>
  <c r="AU93" i="39"/>
  <c r="AU82" i="39"/>
  <c r="AU79" i="39"/>
  <c r="AU80" i="39"/>
  <c r="AU77" i="39"/>
  <c r="AU75" i="39"/>
  <c r="AU78" i="39"/>
  <c r="P11" i="35"/>
  <c r="AU91" i="39"/>
  <c r="AU89" i="39"/>
  <c r="AU90" i="39"/>
  <c r="AU95" i="39"/>
  <c r="N10" i="35"/>
  <c r="AU88" i="39"/>
  <c r="N11" i="35"/>
  <c r="P10" i="35"/>
  <c r="O10" i="35"/>
  <c r="P9" i="35"/>
  <c r="L4" i="35"/>
  <c r="Y39" i="35"/>
  <c r="Z39" i="35" a="1"/>
  <c r="Z39" i="35" s="1"/>
  <c r="X39" i="35"/>
  <c r="W39" i="35"/>
  <c r="X10" i="35"/>
  <c r="Y10" i="35"/>
  <c r="Z10" i="35" a="1"/>
  <c r="Z10" i="35" s="1"/>
  <c r="W10" i="35"/>
  <c r="X9" i="35"/>
  <c r="W9" i="35"/>
  <c r="Y9" i="35"/>
  <c r="Z9" i="35" a="1"/>
  <c r="Z9" i="35" s="1"/>
  <c r="Y24" i="35"/>
  <c r="Z24" i="35" a="1"/>
  <c r="Z24" i="35" s="1"/>
  <c r="X24" i="35"/>
  <c r="W24" i="35"/>
  <c r="Z37" i="35" a="1"/>
  <c r="Z37" i="35" s="1"/>
  <c r="Y37" i="35"/>
  <c r="W37" i="35"/>
  <c r="X37" i="35"/>
  <c r="X7" i="35"/>
  <c r="W7" i="35"/>
  <c r="Z7" i="35" a="1"/>
  <c r="Z7" i="35" s="1"/>
  <c r="Y7" i="35"/>
  <c r="Y23" i="35"/>
  <c r="Z23" i="35" a="1"/>
  <c r="Z23" i="35" s="1"/>
  <c r="W23" i="35"/>
  <c r="X23" i="35"/>
  <c r="O11" i="35"/>
  <c r="AY11" i="35"/>
  <c r="N9" i="35"/>
  <c r="AX9" i="35"/>
  <c r="W22" i="35"/>
  <c r="Z22" i="35" a="1"/>
  <c r="Z22" i="35" s="1"/>
  <c r="Y22" i="35"/>
  <c r="X22" i="35"/>
  <c r="AB29" i="35"/>
  <c r="Y38" i="35"/>
  <c r="X38" i="35"/>
  <c r="Z38" i="35" a="1"/>
  <c r="Z38" i="35" s="1"/>
  <c r="W38" i="35"/>
  <c r="AI9" i="35" a="1"/>
  <c r="X8" i="35"/>
  <c r="Y8" i="35"/>
  <c r="W8" i="35"/>
  <c r="Z8" i="35" a="1"/>
  <c r="Z8" i="35" s="1"/>
  <c r="Y25" i="35"/>
  <c r="Z25" i="35" a="1"/>
  <c r="Z25" i="35" s="1"/>
  <c r="W25" i="35"/>
  <c r="X25" i="35"/>
  <c r="X40" i="35"/>
  <c r="W40" i="35"/>
  <c r="Y40" i="35"/>
  <c r="Z40" i="35" a="1"/>
  <c r="Z40" i="35" s="1"/>
  <c r="AZ10" i="35"/>
  <c r="L31" i="34"/>
  <c r="L32" i="34"/>
  <c r="L30" i="34" s="1"/>
  <c r="L33" i="34"/>
  <c r="S31" i="34"/>
  <c r="S30" i="34"/>
  <c r="J31" i="34"/>
  <c r="J32" i="34"/>
  <c r="J33" i="34"/>
  <c r="J30" i="34"/>
  <c r="J34" i="34" s="1"/>
  <c r="H34" i="34"/>
  <c r="I34" i="34"/>
  <c r="G34" i="34"/>
  <c r="G31" i="34"/>
  <c r="H31" i="34"/>
  <c r="I31" i="34"/>
  <c r="G32" i="34"/>
  <c r="H32" i="34"/>
  <c r="I32" i="34"/>
  <c r="G33" i="34"/>
  <c r="H33" i="34"/>
  <c r="I33" i="34"/>
  <c r="H30" i="34"/>
  <c r="I30" i="34"/>
  <c r="G30" i="34"/>
  <c r="G29" i="34" a="1"/>
  <c r="G29" i="34" s="1"/>
  <c r="I21" i="34"/>
  <c r="H21" i="34"/>
  <c r="G21" i="34"/>
  <c r="J20" i="34"/>
  <c r="I20" i="34"/>
  <c r="H20" i="34"/>
  <c r="G20" i="34"/>
  <c r="J19" i="34"/>
  <c r="I19" i="34"/>
  <c r="H19" i="34"/>
  <c r="G19" i="34"/>
  <c r="S18" i="34"/>
  <c r="S20" i="34" s="1"/>
  <c r="J18" i="34"/>
  <c r="I18" i="34"/>
  <c r="H18" i="34"/>
  <c r="G18" i="34"/>
  <c r="S17" i="34"/>
  <c r="J17" i="34"/>
  <c r="I17" i="34"/>
  <c r="H17" i="34"/>
  <c r="G17" i="34"/>
  <c r="G16" i="34" a="1"/>
  <c r="I16" i="34" s="1"/>
  <c r="S5" i="34"/>
  <c r="S4" i="34"/>
  <c r="J5" i="34"/>
  <c r="J6" i="34"/>
  <c r="J7" i="34"/>
  <c r="J4" i="34"/>
  <c r="H8" i="34"/>
  <c r="I8" i="34"/>
  <c r="G8" i="34"/>
  <c r="G5" i="34"/>
  <c r="H5" i="34"/>
  <c r="I5" i="34"/>
  <c r="G6" i="34"/>
  <c r="H6" i="34"/>
  <c r="I6" i="34"/>
  <c r="G7" i="34"/>
  <c r="H7" i="34"/>
  <c r="I7" i="34"/>
  <c r="H4" i="34"/>
  <c r="I4" i="34"/>
  <c r="G4" i="34"/>
  <c r="G3" i="34" a="1"/>
  <c r="G3" i="34" s="1"/>
  <c r="S32" i="34" l="1"/>
  <c r="AY6" i="35"/>
  <c r="AX5" i="35"/>
  <c r="AX6" i="35"/>
  <c r="AZ6" i="35"/>
  <c r="AZ4" i="35"/>
  <c r="J36" i="34"/>
  <c r="AY5" i="35"/>
  <c r="H37" i="34"/>
  <c r="H24" i="34"/>
  <c r="I24" i="34"/>
  <c r="B4" i="99"/>
  <c r="H101" i="40"/>
  <c r="G101" i="40"/>
  <c r="I102" i="40"/>
  <c r="H104" i="40"/>
  <c r="I101" i="40"/>
  <c r="H92" i="40"/>
  <c r="I91" i="40"/>
  <c r="H102" i="40"/>
  <c r="G106" i="40"/>
  <c r="H99" i="40"/>
  <c r="J103" i="40"/>
  <c r="I107" i="40"/>
  <c r="I99" i="40"/>
  <c r="J100" i="40"/>
  <c r="I106" i="40"/>
  <c r="I104" i="40"/>
  <c r="H107" i="40"/>
  <c r="G103" i="40"/>
  <c r="H91" i="40"/>
  <c r="H100" i="40"/>
  <c r="I92" i="40"/>
  <c r="H105" i="40"/>
  <c r="G100" i="40"/>
  <c r="I103" i="40"/>
  <c r="G102" i="40"/>
  <c r="J99" i="40"/>
  <c r="E108" i="40"/>
  <c r="G104" i="40"/>
  <c r="O67" i="40"/>
  <c r="J67" i="40" a="1"/>
  <c r="BK30" i="40" a="1"/>
  <c r="J105" i="40"/>
  <c r="G105" i="40"/>
  <c r="J107" i="40"/>
  <c r="J106" i="40"/>
  <c r="S33" i="34"/>
  <c r="I37" i="34"/>
  <c r="CS5" i="55"/>
  <c r="CX5" i="55"/>
  <c r="CY5" i="55"/>
  <c r="DA5" i="55"/>
  <c r="CU5" i="55"/>
  <c r="CT5" i="55"/>
  <c r="CZ5" i="55"/>
  <c r="CW5" i="55"/>
  <c r="CV5" i="55"/>
  <c r="J92" i="40"/>
  <c r="J91" i="40"/>
  <c r="G92" i="40"/>
  <c r="G91" i="40"/>
  <c r="BU6" i="40"/>
  <c r="BU7" i="40"/>
  <c r="BU13" i="40"/>
  <c r="BU14" i="40"/>
  <c r="BU10" i="40"/>
  <c r="BU9" i="40"/>
  <c r="BU8" i="40"/>
  <c r="BU11" i="40"/>
  <c r="BU12" i="40"/>
  <c r="S34" i="34"/>
  <c r="L47" i="34"/>
  <c r="L48" i="34" s="1"/>
  <c r="G37" i="34"/>
  <c r="N30" i="34" s="1" a="1"/>
  <c r="N30" i="34" s="1"/>
  <c r="CF14" i="55"/>
  <c r="CF41" i="55" s="1"/>
  <c r="CF11" i="55"/>
  <c r="CF38" i="55" s="1"/>
  <c r="CF10" i="55"/>
  <c r="CF37" i="55" s="1"/>
  <c r="CF12" i="55"/>
  <c r="CF39" i="55" s="1"/>
  <c r="CF13" i="55"/>
  <c r="CF40" i="55" s="1"/>
  <c r="CF6" i="55"/>
  <c r="CF33" i="55" s="1"/>
  <c r="CF8" i="55"/>
  <c r="CF35" i="55" s="1"/>
  <c r="CF9" i="55"/>
  <c r="CF36" i="55" s="1"/>
  <c r="CF7" i="55"/>
  <c r="CF34" i="55" s="1"/>
  <c r="AY32" i="40" a="1"/>
  <c r="BU19" i="40" a="1"/>
  <c r="BC3" i="35"/>
  <c r="AW74" i="39" a="1"/>
  <c r="AW81" i="39" s="1"/>
  <c r="AW87" i="39" a="1"/>
  <c r="AW94" i="39" s="1"/>
  <c r="AA24" i="35"/>
  <c r="AA25" i="35"/>
  <c r="AA37" i="35"/>
  <c r="AI9" i="35"/>
  <c r="AI10" i="35"/>
  <c r="AJ9" i="35"/>
  <c r="AK9" i="35"/>
  <c r="AJ10" i="35"/>
  <c r="AI11" i="35"/>
  <c r="AK11" i="35"/>
  <c r="AJ11" i="35"/>
  <c r="AK10" i="35"/>
  <c r="AA22" i="35"/>
  <c r="AA23" i="35"/>
  <c r="AA7" i="35"/>
  <c r="AA38" i="35"/>
  <c r="AA40" i="35"/>
  <c r="AA8" i="35"/>
  <c r="AA9" i="35"/>
  <c r="AA10" i="35"/>
  <c r="AA39" i="35"/>
  <c r="I29" i="34"/>
  <c r="H29" i="34"/>
  <c r="H11" i="34"/>
  <c r="J23" i="34"/>
  <c r="G24" i="34"/>
  <c r="N17" i="34" s="1" a="1"/>
  <c r="P18" i="34" s="1"/>
  <c r="S19" i="34"/>
  <c r="H16" i="34"/>
  <c r="J21" i="34"/>
  <c r="G16" i="34"/>
  <c r="J8" i="34"/>
  <c r="J10" i="34"/>
  <c r="G11" i="34"/>
  <c r="I11" i="34"/>
  <c r="S6" i="34"/>
  <c r="S7" i="34"/>
  <c r="I3" i="34"/>
  <c r="H3" i="34"/>
  <c r="J9" i="15"/>
  <c r="J8" i="15"/>
  <c r="J7" i="15"/>
  <c r="J6" i="15"/>
  <c r="J14" i="32"/>
  <c r="K14" i="32"/>
  <c r="I14" i="32"/>
  <c r="Q10" i="30"/>
  <c r="Q11" i="30" s="1"/>
  <c r="Q12" i="30" s="1"/>
  <c r="Q13" i="30" s="1"/>
  <c r="Q14" i="30" s="1"/>
  <c r="Q15" i="30" s="1"/>
  <c r="Q16" i="30" s="1"/>
  <c r="E5" i="30"/>
  <c r="E6" i="30" s="1"/>
  <c r="E7" i="30" s="1"/>
  <c r="E8" i="30" s="1"/>
  <c r="E9" i="30" s="1"/>
  <c r="E10" i="30" s="1"/>
  <c r="E11" i="30" s="1"/>
  <c r="AM9" i="14"/>
  <c r="AM10" i="14" s="1"/>
  <c r="AM11" i="14" s="1"/>
  <c r="AM12" i="14" s="1"/>
  <c r="AM13" i="14" s="1"/>
  <c r="AM14" i="14" s="1"/>
  <c r="AM15" i="14" s="1"/>
  <c r="B10" i="99" l="1"/>
  <c r="B5" i="99"/>
  <c r="G109" i="40"/>
  <c r="H108" i="40"/>
  <c r="H109" i="40"/>
  <c r="H93" i="40"/>
  <c r="I109" i="40"/>
  <c r="I93" i="40"/>
  <c r="I108" i="40"/>
  <c r="G108" i="40"/>
  <c r="BM30" i="40"/>
  <c r="BL30" i="40"/>
  <c r="BN30" i="40"/>
  <c r="BK30" i="40"/>
  <c r="J70" i="40"/>
  <c r="J69" i="40"/>
  <c r="J68" i="40"/>
  <c r="L70" i="40"/>
  <c r="J67" i="40"/>
  <c r="L69" i="40"/>
  <c r="L68" i="40"/>
  <c r="K67" i="40"/>
  <c r="L67" i="40"/>
  <c r="M69" i="40"/>
  <c r="M68" i="40"/>
  <c r="M67" i="40"/>
  <c r="K69" i="40"/>
  <c r="K68" i="40"/>
  <c r="K70" i="40"/>
  <c r="M70" i="40"/>
  <c r="J109" i="40"/>
  <c r="J108" i="40"/>
  <c r="G93" i="40"/>
  <c r="J93" i="40"/>
  <c r="BU21" i="40"/>
  <c r="BU22" i="40"/>
  <c r="BU24" i="40"/>
  <c r="BU19" i="40"/>
  <c r="BU25" i="40"/>
  <c r="BU20" i="40"/>
  <c r="BU26" i="40"/>
  <c r="BU23" i="40"/>
  <c r="BU27" i="40"/>
  <c r="AY36" i="40"/>
  <c r="AY39" i="40"/>
  <c r="AY32" i="40"/>
  <c r="AY38" i="40"/>
  <c r="AY37" i="40"/>
  <c r="AY40" i="40"/>
  <c r="AY33" i="40"/>
  <c r="AY35" i="40"/>
  <c r="AY34" i="40"/>
  <c r="BU33" i="40" a="1"/>
  <c r="S8" i="34"/>
  <c r="DE5" i="55" a="1"/>
  <c r="CR6" i="55" a="1"/>
  <c r="L42" i="34"/>
  <c r="L43" i="34" s="1"/>
  <c r="AW90" i="39"/>
  <c r="AW88" i="39"/>
  <c r="AW75" i="39"/>
  <c r="AW74" i="39"/>
  <c r="AW80" i="39"/>
  <c r="AW78" i="39"/>
  <c r="AW77" i="39"/>
  <c r="AW76" i="39"/>
  <c r="AW82" i="39"/>
  <c r="AW79" i="39"/>
  <c r="AW89" i="39"/>
  <c r="AW92" i="39"/>
  <c r="AW91" i="39"/>
  <c r="AW87" i="39"/>
  <c r="AW95" i="39"/>
  <c r="AW93" i="39"/>
  <c r="W45" i="35"/>
  <c r="Y45" i="35" s="1"/>
  <c r="W30" i="35"/>
  <c r="Y30" i="35" s="1"/>
  <c r="BC11" i="35"/>
  <c r="BC9" i="35"/>
  <c r="BC10" i="35" s="1"/>
  <c r="W15" i="35"/>
  <c r="AF5" i="35" a="1"/>
  <c r="AF5" i="35" s="1"/>
  <c r="AG5" i="35" s="1"/>
  <c r="AH5" i="35" s="1"/>
  <c r="AF10" i="35" a="1"/>
  <c r="AF10" i="35" s="1"/>
  <c r="AG10" i="35" s="1"/>
  <c r="AH10" i="35" s="1"/>
  <c r="AF13" i="35" a="1"/>
  <c r="AF13" i="35" s="1"/>
  <c r="AG13" i="35" s="1"/>
  <c r="AH13" i="35" s="1"/>
  <c r="AF18" i="35" a="1"/>
  <c r="AF18" i="35" s="1"/>
  <c r="AG18" i="35" s="1"/>
  <c r="AH18" i="35" s="1"/>
  <c r="AF21" i="35" a="1"/>
  <c r="AF21" i="35" s="1"/>
  <c r="AG21" i="35" s="1"/>
  <c r="AH21" i="35" s="1"/>
  <c r="AF26" i="35" a="1"/>
  <c r="AF26" i="35" s="1"/>
  <c r="AG26" i="35" s="1"/>
  <c r="AH26" i="35" s="1"/>
  <c r="AF29" i="35" a="1"/>
  <c r="AF29" i="35" s="1"/>
  <c r="AG29" i="35" s="1"/>
  <c r="AH29" i="35" s="1"/>
  <c r="AF34" i="35" a="1"/>
  <c r="AF34" i="35" s="1"/>
  <c r="AG34" i="35" s="1"/>
  <c r="AH34" i="35" s="1"/>
  <c r="AF4" i="35" a="1"/>
  <c r="AF4" i="35" s="1"/>
  <c r="AG4" i="35" s="1"/>
  <c r="AH4" i="35" s="1"/>
  <c r="AF15" i="35" a="1"/>
  <c r="AF15" i="35" s="1"/>
  <c r="AG15" i="35" s="1"/>
  <c r="AH15" i="35" s="1"/>
  <c r="AF28" i="35" a="1"/>
  <c r="AF28" i="35" s="1"/>
  <c r="AG28" i="35" s="1"/>
  <c r="AH28" i="35" s="1"/>
  <c r="AF8" i="35" a="1"/>
  <c r="AF8" i="35" s="1"/>
  <c r="AG8" i="35" s="1"/>
  <c r="AH8" i="35" s="1"/>
  <c r="AF11" i="35" a="1"/>
  <c r="AF11" i="35" s="1"/>
  <c r="AG11" i="35" s="1"/>
  <c r="AH11" i="35" s="1"/>
  <c r="AF16" i="35" a="1"/>
  <c r="AF16" i="35" s="1"/>
  <c r="AG16" i="35" s="1"/>
  <c r="AH16" i="35" s="1"/>
  <c r="AF19" i="35" a="1"/>
  <c r="AF19" i="35" s="1"/>
  <c r="AG19" i="35" s="1"/>
  <c r="AH19" i="35" s="1"/>
  <c r="AF24" i="35" a="1"/>
  <c r="AF24" i="35" s="1"/>
  <c r="AG24" i="35" s="1"/>
  <c r="AH24" i="35" s="1"/>
  <c r="AF27" i="35" a="1"/>
  <c r="AF27" i="35" s="1"/>
  <c r="AG27" i="35" s="1"/>
  <c r="AH27" i="35" s="1"/>
  <c r="AF32" i="35" a="1"/>
  <c r="AF32" i="35" s="1"/>
  <c r="AG32" i="35" s="1"/>
  <c r="AH32" i="35" s="1"/>
  <c r="AF35" i="35" a="1"/>
  <c r="AF35" i="35" s="1"/>
  <c r="AG35" i="35" s="1"/>
  <c r="AH35" i="35" s="1"/>
  <c r="AF12" i="35" a="1"/>
  <c r="AF12" i="35" s="1"/>
  <c r="AG12" i="35" s="1"/>
  <c r="AH12" i="35" s="1"/>
  <c r="AF23" i="35" a="1"/>
  <c r="AF23" i="35" s="1"/>
  <c r="AG23" i="35" s="1"/>
  <c r="AH23" i="35" s="1"/>
  <c r="AF6" i="35" a="1"/>
  <c r="AF6" i="35" s="1"/>
  <c r="AG6" i="35" s="1"/>
  <c r="AH6" i="35" s="1"/>
  <c r="AF9" i="35" a="1"/>
  <c r="AF9" i="35" s="1"/>
  <c r="AG9" i="35" s="1"/>
  <c r="AH9" i="35" s="1"/>
  <c r="AF14" i="35" a="1"/>
  <c r="AF14" i="35" s="1"/>
  <c r="AG14" i="35" s="1"/>
  <c r="AH14" i="35" s="1"/>
  <c r="AF17" i="35" a="1"/>
  <c r="AF17" i="35" s="1"/>
  <c r="AG17" i="35" s="1"/>
  <c r="AH17" i="35" s="1"/>
  <c r="AF22" i="35" a="1"/>
  <c r="AF22" i="35" s="1"/>
  <c r="AG22" i="35" s="1"/>
  <c r="AH22" i="35" s="1"/>
  <c r="AF25" i="35" a="1"/>
  <c r="AF25" i="35" s="1"/>
  <c r="AG25" i="35" s="1"/>
  <c r="AH25" i="35" s="1"/>
  <c r="AF30" i="35" a="1"/>
  <c r="AF30" i="35" s="1"/>
  <c r="AG30" i="35" s="1"/>
  <c r="AH30" i="35" s="1"/>
  <c r="AF33" i="35" a="1"/>
  <c r="AF33" i="35" s="1"/>
  <c r="AG33" i="35" s="1"/>
  <c r="AH33" i="35" s="1"/>
  <c r="AF7" i="35" a="1"/>
  <c r="AF7" i="35" s="1"/>
  <c r="AG7" i="35" s="1"/>
  <c r="AH7" i="35" s="1"/>
  <c r="AF20" i="35" a="1"/>
  <c r="AF20" i="35" s="1"/>
  <c r="AG20" i="35" s="1"/>
  <c r="AH20" i="35" s="1"/>
  <c r="AF31" i="35" a="1"/>
  <c r="AF31" i="35" s="1"/>
  <c r="AG31" i="35" s="1"/>
  <c r="AH31" i="35" s="1"/>
  <c r="AS17" i="35"/>
  <c r="AS21" i="35"/>
  <c r="AS22" i="35"/>
  <c r="AS16" i="35"/>
  <c r="AQ22" i="35"/>
  <c r="AQ21" i="35"/>
  <c r="AQ17" i="35"/>
  <c r="AQ16" i="35"/>
  <c r="AR21" i="35"/>
  <c r="AR16" i="35"/>
  <c r="AR17" i="35"/>
  <c r="AR22" i="35"/>
  <c r="P32" i="34"/>
  <c r="N32" i="34"/>
  <c r="O30" i="34"/>
  <c r="N31" i="34"/>
  <c r="P31" i="34"/>
  <c r="O32" i="34"/>
  <c r="O31" i="34"/>
  <c r="P30" i="34"/>
  <c r="N4" i="34" a="1"/>
  <c r="P4" i="34" s="1"/>
  <c r="O18" i="34"/>
  <c r="N18" i="34"/>
  <c r="P19" i="34"/>
  <c r="O19" i="34"/>
  <c r="P17" i="34"/>
  <c r="O17" i="34"/>
  <c r="N17" i="34"/>
  <c r="N19" i="34"/>
  <c r="S21" i="34"/>
  <c r="Z11" i="14"/>
  <c r="AA7" i="14"/>
  <c r="AA6" i="14"/>
  <c r="AA5" i="14"/>
  <c r="AB5" i="14" s="1"/>
  <c r="AB10" i="14" s="1"/>
  <c r="I48" i="34" l="1"/>
  <c r="G48" i="34"/>
  <c r="H42" i="34"/>
  <c r="G110" i="40"/>
  <c r="I110" i="40"/>
  <c r="H110" i="40"/>
  <c r="CZ19" i="40" a="1"/>
  <c r="CW26" i="40" a="1"/>
  <c r="K93" i="40"/>
  <c r="K94" i="40" s="1"/>
  <c r="J110" i="40"/>
  <c r="BU35" i="40"/>
  <c r="BU41" i="40"/>
  <c r="BU40" i="40"/>
  <c r="BU33" i="40"/>
  <c r="BU36" i="40"/>
  <c r="BU34" i="40"/>
  <c r="BU39" i="40"/>
  <c r="BU38" i="40"/>
  <c r="BU37" i="40"/>
  <c r="CM26" i="40" a="1"/>
  <c r="BU46" i="40" a="1"/>
  <c r="AB11" i="14"/>
  <c r="CR6" i="55"/>
  <c r="CR33" i="55" s="1"/>
  <c r="CR10" i="55"/>
  <c r="CR37" i="55" s="1"/>
  <c r="CR9" i="55"/>
  <c r="CR36" i="55" s="1"/>
  <c r="CR12" i="55"/>
  <c r="CR39" i="55" s="1"/>
  <c r="CR13" i="55"/>
  <c r="CR40" i="55" s="1"/>
  <c r="CR8" i="55"/>
  <c r="CR35" i="55" s="1"/>
  <c r="CR11" i="55"/>
  <c r="CR38" i="55" s="1"/>
  <c r="CR14" i="55"/>
  <c r="CR41" i="55" s="1"/>
  <c r="CR7" i="55"/>
  <c r="CR34" i="55" s="1"/>
  <c r="DJ5" i="55"/>
  <c r="DE5" i="55"/>
  <c r="DK5" i="55"/>
  <c r="DM5" i="55"/>
  <c r="DL5" i="55"/>
  <c r="DG5" i="55"/>
  <c r="DF5" i="55"/>
  <c r="DI5" i="55"/>
  <c r="DH5" i="55"/>
  <c r="W44" i="35"/>
  <c r="Y44" i="35" s="1"/>
  <c r="Z44" i="35" s="1"/>
  <c r="AA44" i="35" s="1"/>
  <c r="W29" i="35"/>
  <c r="Y29" i="35" s="1"/>
  <c r="Z29" i="35" s="1"/>
  <c r="AA29" i="35" s="1"/>
  <c r="AB24" i="35"/>
  <c r="AB25" i="35"/>
  <c r="AD29" i="35"/>
  <c r="AB23" i="35"/>
  <c r="AB22" i="35"/>
  <c r="AC29" i="35"/>
  <c r="AB37" i="35"/>
  <c r="AD44" i="35"/>
  <c r="AB39" i="35"/>
  <c r="AB40" i="35"/>
  <c r="AB38" i="35"/>
  <c r="AC44" i="35"/>
  <c r="W14" i="35"/>
  <c r="Y14" i="35" s="1"/>
  <c r="Y15" i="35"/>
  <c r="O6" i="34"/>
  <c r="O5" i="34"/>
  <c r="S29" i="34"/>
  <c r="H48" i="34"/>
  <c r="P5" i="34"/>
  <c r="N4" i="34"/>
  <c r="N5" i="34"/>
  <c r="O4" i="34"/>
  <c r="N6" i="34"/>
  <c r="P6" i="34"/>
  <c r="S16" i="34"/>
  <c r="Z30" i="31"/>
  <c r="AA7" i="31"/>
  <c r="Y53" i="31"/>
  <c r="AA30" i="31"/>
  <c r="X7" i="31"/>
  <c r="Z53" i="31"/>
  <c r="Y30" i="31"/>
  <c r="X30" i="31"/>
  <c r="Y7" i="31"/>
  <c r="AA53" i="31"/>
  <c r="Z7" i="31"/>
  <c r="X53" i="31"/>
  <c r="S3" i="30"/>
  <c r="M3" i="30"/>
  <c r="L7" i="30"/>
  <c r="R5" i="30"/>
  <c r="L8" i="30"/>
  <c r="R4" i="30"/>
  <c r="L6" i="30"/>
  <c r="L4" i="30"/>
  <c r="L5" i="30" s="1"/>
  <c r="S27" i="31"/>
  <c r="S28" i="31" s="1"/>
  <c r="S31" i="31"/>
  <c r="M27" i="31"/>
  <c r="M31" i="31"/>
  <c r="M36" i="31"/>
  <c r="M40" i="31"/>
  <c r="S30" i="31"/>
  <c r="M30" i="31"/>
  <c r="M34" i="31"/>
  <c r="M39" i="31"/>
  <c r="M33" i="31"/>
  <c r="M42" i="31"/>
  <c r="M28" i="31"/>
  <c r="M37" i="31"/>
  <c r="M29" i="31"/>
  <c r="M41" i="31"/>
  <c r="S29" i="31"/>
  <c r="M38" i="31"/>
  <c r="M32" i="31"/>
  <c r="Z26" i="31"/>
  <c r="T26" i="31"/>
  <c r="N26" i="31"/>
  <c r="AA3" i="31"/>
  <c r="U3" i="31"/>
  <c r="O3" i="31"/>
  <c r="Y49" i="31"/>
  <c r="S49" i="31"/>
  <c r="M49" i="31"/>
  <c r="O6" i="30"/>
  <c r="U4" i="30"/>
  <c r="O7" i="30"/>
  <c r="O4" i="30"/>
  <c r="O5" i="30" s="1"/>
  <c r="U5" i="30"/>
  <c r="O8" i="30"/>
  <c r="R3" i="30"/>
  <c r="L3" i="30"/>
  <c r="N28" i="31"/>
  <c r="N32" i="31"/>
  <c r="N37" i="31"/>
  <c r="N41" i="31"/>
  <c r="T27" i="31"/>
  <c r="T28" i="31" s="1"/>
  <c r="T31" i="31"/>
  <c r="N27" i="31"/>
  <c r="N31" i="31"/>
  <c r="N36" i="31"/>
  <c r="N40" i="31"/>
  <c r="T30" i="31"/>
  <c r="N30" i="31"/>
  <c r="N39" i="31"/>
  <c r="N33" i="31"/>
  <c r="N42" i="31"/>
  <c r="N34" i="31"/>
  <c r="N29" i="31"/>
  <c r="T29" i="31"/>
  <c r="N38" i="31"/>
  <c r="AA26" i="31"/>
  <c r="U26" i="31"/>
  <c r="O26" i="31"/>
  <c r="U7" i="31"/>
  <c r="O7" i="31"/>
  <c r="O11" i="31"/>
  <c r="O16" i="31"/>
  <c r="U6" i="31"/>
  <c r="O6" i="31"/>
  <c r="O10" i="31"/>
  <c r="O15" i="31"/>
  <c r="O5" i="31"/>
  <c r="O14" i="31"/>
  <c r="O18" i="31"/>
  <c r="U8" i="31"/>
  <c r="O8" i="31"/>
  <c r="O17" i="31"/>
  <c r="U4" i="31"/>
  <c r="U5" i="31" s="1"/>
  <c r="O13" i="31"/>
  <c r="O9" i="31"/>
  <c r="O4" i="31"/>
  <c r="O19" i="31"/>
  <c r="X3" i="31"/>
  <c r="R3" i="31"/>
  <c r="L3" i="31"/>
  <c r="S52" i="31"/>
  <c r="M52" i="31"/>
  <c r="M56" i="31"/>
  <c r="M62" i="31"/>
  <c r="M51" i="31"/>
  <c r="M55" i="31"/>
  <c r="M61" i="31"/>
  <c r="M65" i="31"/>
  <c r="M50" i="31"/>
  <c r="M64" i="31"/>
  <c r="S50" i="31"/>
  <c r="S51" i="31" s="1"/>
  <c r="S53" i="31"/>
  <c r="M53" i="31"/>
  <c r="M59" i="31"/>
  <c r="S54" i="31"/>
  <c r="M57" i="31"/>
  <c r="M63" i="31"/>
  <c r="M54" i="31"/>
  <c r="M60" i="31"/>
  <c r="Z49" i="31"/>
  <c r="N49" i="31"/>
  <c r="T49" i="31"/>
  <c r="O3" i="30"/>
  <c r="U3" i="30"/>
  <c r="T5" i="30"/>
  <c r="T4" i="30"/>
  <c r="N7" i="30"/>
  <c r="N4" i="30"/>
  <c r="N5" i="30" s="1"/>
  <c r="N6" i="30"/>
  <c r="N8" i="30"/>
  <c r="U29" i="31"/>
  <c r="O29" i="31"/>
  <c r="O33" i="31"/>
  <c r="O38" i="31"/>
  <c r="O42" i="31"/>
  <c r="O28" i="31"/>
  <c r="O32" i="31"/>
  <c r="O37" i="31"/>
  <c r="O41" i="31"/>
  <c r="U27" i="31"/>
  <c r="U28" i="31" s="1"/>
  <c r="O27" i="31"/>
  <c r="O36" i="31"/>
  <c r="U30" i="31"/>
  <c r="O30" i="31"/>
  <c r="O39" i="31"/>
  <c r="U31" i="31"/>
  <c r="O40" i="31"/>
  <c r="O34" i="31"/>
  <c r="O31" i="31"/>
  <c r="M5" i="31"/>
  <c r="M9" i="31"/>
  <c r="M14" i="31"/>
  <c r="S4" i="31"/>
  <c r="S5" i="31" s="1"/>
  <c r="S8" i="31"/>
  <c r="M4" i="31"/>
  <c r="M8" i="31"/>
  <c r="M13" i="31"/>
  <c r="M17" i="31"/>
  <c r="M11" i="31"/>
  <c r="S6" i="31"/>
  <c r="M6" i="31"/>
  <c r="M15" i="31"/>
  <c r="M19" i="31"/>
  <c r="M7" i="31"/>
  <c r="M18" i="31"/>
  <c r="S7" i="31"/>
  <c r="M16" i="31"/>
  <c r="M10" i="31"/>
  <c r="Y3" i="31"/>
  <c r="S3" i="31"/>
  <c r="M3" i="31"/>
  <c r="R8" i="31"/>
  <c r="R4" i="31"/>
  <c r="R5" i="31" s="1"/>
  <c r="R7" i="31"/>
  <c r="L19" i="31"/>
  <c r="L15" i="31"/>
  <c r="L10" i="31"/>
  <c r="L6" i="31"/>
  <c r="L18" i="31"/>
  <c r="L14" i="31"/>
  <c r="L9" i="31"/>
  <c r="L5" i="31"/>
  <c r="R6" i="31"/>
  <c r="L17" i="31"/>
  <c r="L8" i="31"/>
  <c r="L16" i="31"/>
  <c r="L7" i="31"/>
  <c r="L13" i="31"/>
  <c r="L4" i="31"/>
  <c r="L11" i="31"/>
  <c r="L65" i="31"/>
  <c r="L61" i="31"/>
  <c r="L56" i="31"/>
  <c r="L52" i="31"/>
  <c r="R54" i="31"/>
  <c r="R50" i="31"/>
  <c r="R51" i="31" s="1"/>
  <c r="L64" i="31"/>
  <c r="L60" i="31"/>
  <c r="L55" i="31"/>
  <c r="L51" i="31"/>
  <c r="R53" i="31"/>
  <c r="L63" i="31"/>
  <c r="L54" i="31"/>
  <c r="R52" i="31"/>
  <c r="L62" i="31"/>
  <c r="L53" i="31"/>
  <c r="L59" i="31"/>
  <c r="L57" i="31"/>
  <c r="L50" i="31"/>
  <c r="U54" i="31"/>
  <c r="O50" i="31"/>
  <c r="O54" i="31"/>
  <c r="O60" i="31"/>
  <c r="O64" i="31"/>
  <c r="U50" i="31"/>
  <c r="U51" i="31" s="1"/>
  <c r="U53" i="31"/>
  <c r="O53" i="31"/>
  <c r="O57" i="31"/>
  <c r="O59" i="31"/>
  <c r="O63" i="31"/>
  <c r="U52" i="31"/>
  <c r="O52" i="31"/>
  <c r="O55" i="31"/>
  <c r="O61" i="31"/>
  <c r="O56" i="31"/>
  <c r="O62" i="31"/>
  <c r="O51" i="31"/>
  <c r="O65" i="31"/>
  <c r="U49" i="31"/>
  <c r="AA49" i="31"/>
  <c r="O49" i="31"/>
  <c r="T50" i="31"/>
  <c r="T51" i="31" s="1"/>
  <c r="T53" i="31"/>
  <c r="N53" i="31"/>
  <c r="N57" i="31"/>
  <c r="N59" i="31"/>
  <c r="N63" i="31"/>
  <c r="T52" i="31"/>
  <c r="N52" i="31"/>
  <c r="N56" i="31"/>
  <c r="N62" i="31"/>
  <c r="N55" i="31"/>
  <c r="N61" i="31"/>
  <c r="N50" i="31"/>
  <c r="N64" i="31"/>
  <c r="N51" i="31"/>
  <c r="T54" i="31"/>
  <c r="N65" i="31"/>
  <c r="N54" i="31"/>
  <c r="N60" i="31"/>
  <c r="I9" i="32" a="1"/>
  <c r="N3" i="30"/>
  <c r="T3" i="30"/>
  <c r="S4" i="30"/>
  <c r="M4" i="30"/>
  <c r="M5" i="30" s="1"/>
  <c r="M8" i="30"/>
  <c r="M6" i="30"/>
  <c r="S5" i="30"/>
  <c r="M7" i="30"/>
  <c r="R30" i="31"/>
  <c r="L39" i="31"/>
  <c r="L34" i="31"/>
  <c r="L30" i="31"/>
  <c r="R29" i="31"/>
  <c r="L42" i="31"/>
  <c r="L38" i="31"/>
  <c r="L33" i="31"/>
  <c r="L29" i="31"/>
  <c r="L37" i="31"/>
  <c r="L28" i="31"/>
  <c r="R27" i="31"/>
  <c r="R28" i="31" s="1"/>
  <c r="L36" i="31"/>
  <c r="L27" i="31"/>
  <c r="L32" i="31"/>
  <c r="R31" i="31"/>
  <c r="L31" i="31"/>
  <c r="L41" i="31"/>
  <c r="L40" i="31"/>
  <c r="X26" i="31"/>
  <c r="R26" i="31"/>
  <c r="L26" i="31"/>
  <c r="Y26" i="31"/>
  <c r="S26" i="31"/>
  <c r="M26" i="31"/>
  <c r="T6" i="31"/>
  <c r="N6" i="31"/>
  <c r="N10" i="31"/>
  <c r="N15" i="31"/>
  <c r="N5" i="31"/>
  <c r="N9" i="31"/>
  <c r="N14" i="31"/>
  <c r="T8" i="31"/>
  <c r="N8" i="31"/>
  <c r="N17" i="31"/>
  <c r="N11" i="31"/>
  <c r="T4" i="31"/>
  <c r="T5" i="31" s="1"/>
  <c r="N13" i="31"/>
  <c r="N7" i="31"/>
  <c r="N18" i="31"/>
  <c r="N4" i="31"/>
  <c r="N19" i="31"/>
  <c r="T7" i="31"/>
  <c r="N16" i="31"/>
  <c r="Z3" i="31"/>
  <c r="T3" i="31"/>
  <c r="N3" i="31"/>
  <c r="R49" i="31"/>
  <c r="X49" i="31"/>
  <c r="L49" i="31"/>
  <c r="G59" i="31"/>
  <c r="G58" i="31"/>
  <c r="Z12" i="14"/>
  <c r="AC13" i="14"/>
  <c r="AC17" i="14"/>
  <c r="AC21" i="14"/>
  <c r="AC25" i="14"/>
  <c r="AC29" i="14"/>
  <c r="AC33" i="14"/>
  <c r="AC37" i="14"/>
  <c r="AC41" i="14"/>
  <c r="AC10" i="14"/>
  <c r="AC14" i="14"/>
  <c r="AC18" i="14"/>
  <c r="AC22" i="14"/>
  <c r="AC30" i="14"/>
  <c r="AC38" i="14"/>
  <c r="AC11" i="14"/>
  <c r="AC15" i="14"/>
  <c r="AC19" i="14"/>
  <c r="AC23" i="14"/>
  <c r="AC27" i="14"/>
  <c r="AC31" i="14"/>
  <c r="AC35" i="14"/>
  <c r="AC39" i="14"/>
  <c r="AC12" i="14"/>
  <c r="AC16" i="14"/>
  <c r="AC20" i="14"/>
  <c r="AC24" i="14"/>
  <c r="AC28" i="14"/>
  <c r="AC32" i="14"/>
  <c r="AC36" i="14"/>
  <c r="AC40" i="14"/>
  <c r="AC26" i="14"/>
  <c r="AC34" i="14"/>
  <c r="H43" i="34" l="1"/>
  <c r="S9" i="30"/>
  <c r="H47" i="34"/>
  <c r="L12" i="31"/>
  <c r="I43" i="34"/>
  <c r="I47" i="34"/>
  <c r="I42" i="34"/>
  <c r="G47" i="34"/>
  <c r="G43" i="34"/>
  <c r="G42" i="34"/>
  <c r="K110" i="40"/>
  <c r="K111" i="40" s="1"/>
  <c r="CW26" i="40"/>
  <c r="CW29" i="40"/>
  <c r="CW27" i="40"/>
  <c r="CW28" i="40"/>
  <c r="DB121" i="40"/>
  <c r="DC92" i="40"/>
  <c r="DB64" i="40"/>
  <c r="DB40" i="40"/>
  <c r="DB22" i="40"/>
  <c r="DB103" i="40"/>
  <c r="DA75" i="40"/>
  <c r="DB48" i="40"/>
  <c r="DB28" i="40"/>
  <c r="DB112" i="40"/>
  <c r="DA84" i="40"/>
  <c r="DB55" i="40"/>
  <c r="DC33" i="40"/>
  <c r="DC101" i="40"/>
  <c r="DA123" i="40"/>
  <c r="DB23" i="40"/>
  <c r="DB36" i="40"/>
  <c r="DB52" i="40"/>
  <c r="CZ128" i="40"/>
  <c r="CZ112" i="40"/>
  <c r="CZ96" i="40"/>
  <c r="CZ80" i="40"/>
  <c r="CZ64" i="40"/>
  <c r="DC131" i="40"/>
  <c r="DB110" i="40"/>
  <c r="CZ123" i="40"/>
  <c r="CZ102" i="40"/>
  <c r="CZ81" i="40"/>
  <c r="CZ59" i="40"/>
  <c r="DB118" i="40"/>
  <c r="DA93" i="40"/>
  <c r="DC71" i="40"/>
  <c r="DA51" i="40"/>
  <c r="DA35" i="40"/>
  <c r="DC32" i="40"/>
  <c r="DA54" i="40"/>
  <c r="DC82" i="40"/>
  <c r="DA111" i="40"/>
  <c r="CZ19" i="40"/>
  <c r="DC35" i="40"/>
  <c r="DA58" i="40"/>
  <c r="DC86" i="40"/>
  <c r="DA115" i="40"/>
  <c r="DA130" i="40"/>
  <c r="DA30" i="40"/>
  <c r="DC50" i="40"/>
  <c r="DA78" i="40"/>
  <c r="DC106" i="40"/>
  <c r="DA135" i="40"/>
  <c r="CZ111" i="40"/>
  <c r="CZ83" i="40"/>
  <c r="CZ55" i="40"/>
  <c r="DB102" i="40"/>
  <c r="DB74" i="40"/>
  <c r="DA48" i="40"/>
  <c r="DC25" i="40"/>
  <c r="DB51" i="40"/>
  <c r="DA88" i="40"/>
  <c r="DA127" i="40"/>
  <c r="CZ33" i="40"/>
  <c r="DB63" i="40"/>
  <c r="DC102" i="40"/>
  <c r="DC126" i="40"/>
  <c r="DB33" i="40"/>
  <c r="DC65" i="40"/>
  <c r="DA103" i="40"/>
  <c r="CZ135" i="40"/>
  <c r="CZ106" i="40"/>
  <c r="CZ78" i="40"/>
  <c r="DB134" i="40"/>
  <c r="DA97" i="40"/>
  <c r="DA69" i="40"/>
  <c r="DA44" i="40"/>
  <c r="DC29" i="40"/>
  <c r="DC57" i="40"/>
  <c r="DA95" i="40"/>
  <c r="DA134" i="40"/>
  <c r="DB38" i="40"/>
  <c r="DC70" i="40"/>
  <c r="DC109" i="40"/>
  <c r="DC133" i="40"/>
  <c r="DC38" i="40"/>
  <c r="DC72" i="40"/>
  <c r="DA110" i="40"/>
  <c r="CZ130" i="40"/>
  <c r="CZ73" i="40"/>
  <c r="DC91" i="40"/>
  <c r="DA40" i="40"/>
  <c r="DC64" i="40"/>
  <c r="CZ20" i="40"/>
  <c r="DC77" i="40"/>
  <c r="DA20" i="40"/>
  <c r="DA80" i="40"/>
  <c r="CZ138" i="40"/>
  <c r="CZ67" i="40"/>
  <c r="DB86" i="40"/>
  <c r="DC26" i="40"/>
  <c r="DB91" i="40"/>
  <c r="DB34" i="40"/>
  <c r="DB104" i="40"/>
  <c r="DB49" i="40"/>
  <c r="DB124" i="40"/>
  <c r="CZ94" i="40"/>
  <c r="DA117" i="40"/>
  <c r="DA57" i="40"/>
  <c r="DC40" i="40"/>
  <c r="DC112" i="40"/>
  <c r="DB50" i="40"/>
  <c r="DC125" i="40"/>
  <c r="CZ52" i="40"/>
  <c r="DA126" i="40"/>
  <c r="CZ131" i="40"/>
  <c r="CZ74" i="40"/>
  <c r="DB94" i="40"/>
  <c r="DA41" i="40"/>
  <c r="DA63" i="40"/>
  <c r="DC137" i="40"/>
  <c r="DA76" i="40"/>
  <c r="DA19" i="40"/>
  <c r="DB76" i="40"/>
  <c r="CZ51" i="40"/>
  <c r="DC117" i="40"/>
  <c r="DC60" i="40"/>
  <c r="DB20" i="40"/>
  <c r="DC69" i="40"/>
  <c r="DB25" i="40"/>
  <c r="DA66" i="40"/>
  <c r="DC108" i="40"/>
  <c r="CZ120" i="40"/>
  <c r="CZ88" i="40"/>
  <c r="CZ56" i="40"/>
  <c r="CZ134" i="40"/>
  <c r="CZ91" i="40"/>
  <c r="DA133" i="40"/>
  <c r="DB82" i="40"/>
  <c r="DA43" i="40"/>
  <c r="DB43" i="40"/>
  <c r="DC96" i="40"/>
  <c r="CZ27" i="40"/>
  <c r="DB72" i="40"/>
  <c r="DB129" i="40"/>
  <c r="CZ40" i="40"/>
  <c r="DB92" i="40"/>
  <c r="CZ126" i="40"/>
  <c r="CZ69" i="40"/>
  <c r="DA89" i="40"/>
  <c r="DA37" i="40"/>
  <c r="DA70" i="40"/>
  <c r="CZ22" i="40"/>
  <c r="DA83" i="40"/>
  <c r="DA23" i="40"/>
  <c r="DB83" i="40"/>
  <c r="CZ121" i="40"/>
  <c r="CZ63" i="40"/>
  <c r="DC83" i="40"/>
  <c r="DA33" i="40"/>
  <c r="DB77" i="40"/>
  <c r="CZ26" i="40"/>
  <c r="DA90" i="40"/>
  <c r="DA27" i="40"/>
  <c r="DC90" i="40"/>
  <c r="CZ101" i="40"/>
  <c r="DC63" i="40"/>
  <c r="DA102" i="40"/>
  <c r="DC116" i="40"/>
  <c r="DB117" i="40"/>
  <c r="DC119" i="40"/>
  <c r="DC52" i="40"/>
  <c r="DA67" i="40"/>
  <c r="DA87" i="40"/>
  <c r="CZ66" i="40"/>
  <c r="DA34" i="40"/>
  <c r="CZ25" i="40"/>
  <c r="DA25" i="40"/>
  <c r="DA73" i="40"/>
  <c r="DA129" i="40"/>
  <c r="DC31" i="40"/>
  <c r="DB42" i="40"/>
  <c r="DC42" i="40"/>
  <c r="DA100" i="40"/>
  <c r="DB71" i="40"/>
  <c r="DC45" i="40"/>
  <c r="DB26" i="40"/>
  <c r="DC110" i="40"/>
  <c r="DA82" i="40"/>
  <c r="DC53" i="40"/>
  <c r="DB32" i="40"/>
  <c r="DB119" i="40"/>
  <c r="DA91" i="40"/>
  <c r="DC62" i="40"/>
  <c r="CZ39" i="40"/>
  <c r="DB27" i="40"/>
  <c r="DC41" i="40"/>
  <c r="DA59" i="40"/>
  <c r="DB80" i="40"/>
  <c r="CZ132" i="40"/>
  <c r="CZ116" i="40"/>
  <c r="CZ84" i="40"/>
  <c r="CZ68" i="40"/>
  <c r="DC115" i="40"/>
  <c r="CZ107" i="40"/>
  <c r="CZ65" i="40"/>
  <c r="DB98" i="40"/>
  <c r="DC55" i="40"/>
  <c r="DC28" i="40"/>
  <c r="DB75" i="40"/>
  <c r="DA104" i="40"/>
  <c r="CZ31" i="40"/>
  <c r="DB79" i="40"/>
  <c r="DB136" i="40"/>
  <c r="DB45" i="40"/>
  <c r="DB99" i="40"/>
  <c r="CZ119" i="40"/>
  <c r="CZ62" i="40"/>
  <c r="DA81" i="40"/>
  <c r="DC19" i="40"/>
  <c r="DA79" i="40"/>
  <c r="CZ28" i="40"/>
  <c r="DA92" i="40"/>
  <c r="DA28" i="40"/>
  <c r="DA55" i="40"/>
  <c r="CZ114" i="40"/>
  <c r="CZ57" i="40"/>
  <c r="DC75" i="40"/>
  <c r="DC23" i="40"/>
  <c r="DA86" i="40"/>
  <c r="CZ32" i="40"/>
  <c r="DA99" i="40"/>
  <c r="DA32" i="40"/>
  <c r="DB101" i="40"/>
  <c r="DC107" i="40"/>
  <c r="DB47" i="40"/>
  <c r="DA60" i="40"/>
  <c r="DC136" i="40"/>
  <c r="DA36" i="40"/>
  <c r="CZ24" i="40"/>
  <c r="DC104" i="40"/>
  <c r="DC27" i="40"/>
  <c r="CZ37" i="40"/>
  <c r="DA124" i="40"/>
  <c r="DA52" i="40"/>
  <c r="DA120" i="40"/>
  <c r="DC58" i="40"/>
  <c r="DA114" i="40"/>
  <c r="DC85" i="40"/>
  <c r="DB57" i="40"/>
  <c r="CZ35" i="40"/>
  <c r="DC124" i="40"/>
  <c r="DB96" i="40"/>
  <c r="DA68" i="40"/>
  <c r="CZ43" i="40"/>
  <c r="DB24" i="40"/>
  <c r="DB105" i="40"/>
  <c r="DC76" i="40"/>
  <c r="DC49" i="40"/>
  <c r="DB29" i="40"/>
  <c r="DB73" i="40"/>
  <c r="DC94" i="40"/>
  <c r="DA116" i="40"/>
  <c r="DB19" i="40"/>
  <c r="DB31" i="40"/>
  <c r="CZ124" i="40"/>
  <c r="CZ108" i="40"/>
  <c r="CZ92" i="40"/>
  <c r="CZ76" i="40"/>
  <c r="CZ60" i="40"/>
  <c r="DB126" i="40"/>
  <c r="DA105" i="40"/>
  <c r="CZ118" i="40"/>
  <c r="CZ97" i="40"/>
  <c r="CZ75" i="40"/>
  <c r="CZ54" i="40"/>
  <c r="DC111" i="40"/>
  <c r="DC87" i="40"/>
  <c r="DB66" i="40"/>
  <c r="DA47" i="40"/>
  <c r="DC20" i="40"/>
  <c r="CZ38" i="40"/>
  <c r="DB61" i="40"/>
  <c r="DC89" i="40"/>
  <c r="DA118" i="40"/>
  <c r="CZ23" i="40"/>
  <c r="CZ41" i="40"/>
  <c r="DB65" i="40"/>
  <c r="DC93" i="40"/>
  <c r="DA122" i="40"/>
  <c r="DB137" i="40"/>
  <c r="DC34" i="40"/>
  <c r="DC56" i="40"/>
  <c r="DB85" i="40"/>
  <c r="DC113" i="40"/>
  <c r="CZ133" i="40"/>
  <c r="CZ105" i="40"/>
  <c r="CZ77" i="40"/>
  <c r="DB130" i="40"/>
  <c r="DC95" i="40"/>
  <c r="DC67" i="40"/>
  <c r="DA42" i="40"/>
  <c r="DC30" i="40"/>
  <c r="DB59" i="40"/>
  <c r="DC98" i="40"/>
  <c r="DA136" i="40"/>
  <c r="DC39" i="40"/>
  <c r="DA74" i="40"/>
  <c r="DB111" i="40"/>
  <c r="DB135" i="40"/>
  <c r="DB41" i="40"/>
  <c r="DC74" i="40"/>
  <c r="DA112" i="40"/>
  <c r="CZ127" i="40"/>
  <c r="CZ99" i="40"/>
  <c r="CZ71" i="40"/>
  <c r="DC123" i="40"/>
  <c r="DB90" i="40"/>
  <c r="DB62" i="40"/>
  <c r="DA38" i="40"/>
  <c r="DB35" i="40"/>
  <c r="DC66" i="40"/>
  <c r="DC105" i="40"/>
  <c r="CZ21" i="40"/>
  <c r="CZ45" i="40"/>
  <c r="DB81" i="40"/>
  <c r="DC118" i="40"/>
  <c r="DA21" i="40"/>
  <c r="DC46" i="40"/>
  <c r="DC81" i="40"/>
  <c r="DA119" i="40"/>
  <c r="CZ115" i="40"/>
  <c r="CZ58" i="40"/>
  <c r="DB78" i="40"/>
  <c r="DC22" i="40"/>
  <c r="DB84" i="40"/>
  <c r="CZ30" i="40"/>
  <c r="DB97" i="40"/>
  <c r="DA31" i="40"/>
  <c r="DC97" i="40"/>
  <c r="CZ125" i="40"/>
  <c r="DB138" i="40"/>
  <c r="DB58" i="40"/>
  <c r="DB39" i="40"/>
  <c r="DB109" i="40"/>
  <c r="CZ49" i="40"/>
  <c r="DB128" i="40"/>
  <c r="DB67" i="40"/>
  <c r="CZ137" i="40"/>
  <c r="CZ79" i="40"/>
  <c r="DC99" i="40"/>
  <c r="DA45" i="40"/>
  <c r="DA56" i="40"/>
  <c r="DC130" i="40"/>
  <c r="DC68" i="40"/>
  <c r="DA132" i="40"/>
  <c r="DB69" i="40"/>
  <c r="CZ110" i="40"/>
  <c r="CZ117" i="40"/>
  <c r="CZ61" i="40"/>
  <c r="DC79" i="40"/>
  <c r="DC21" i="40"/>
  <c r="DC80" i="40"/>
  <c r="CZ29" i="40"/>
  <c r="DB95" i="40"/>
  <c r="DA29" i="40"/>
  <c r="DA96" i="40"/>
  <c r="DC78" i="40"/>
  <c r="DB30" i="40"/>
  <c r="DB89" i="40"/>
  <c r="DC37" i="40"/>
  <c r="DA98" i="40"/>
  <c r="DB44" i="40"/>
  <c r="CZ47" i="40"/>
  <c r="DB87" i="40"/>
  <c r="CZ136" i="40"/>
  <c r="CZ104" i="40"/>
  <c r="CZ72" i="40"/>
  <c r="DA121" i="40"/>
  <c r="CZ113" i="40"/>
  <c r="CZ70" i="40"/>
  <c r="DC103" i="40"/>
  <c r="DA61" i="40"/>
  <c r="DC24" i="40"/>
  <c r="DB68" i="40"/>
  <c r="DB125" i="40"/>
  <c r="DB46" i="40"/>
  <c r="DC100" i="40"/>
  <c r="DA22" i="40"/>
  <c r="DA64" i="40"/>
  <c r="DC120" i="40"/>
  <c r="CZ98" i="40"/>
  <c r="DB122" i="40"/>
  <c r="DC59" i="40"/>
  <c r="DC36" i="40"/>
  <c r="DB107" i="40"/>
  <c r="DC47" i="40"/>
  <c r="DB120" i="40"/>
  <c r="CZ48" i="40"/>
  <c r="DC122" i="40"/>
  <c r="CZ93" i="40"/>
  <c r="DB114" i="40"/>
  <c r="DB54" i="40"/>
  <c r="CZ42" i="40"/>
  <c r="DC114" i="40"/>
  <c r="CZ53" i="40"/>
  <c r="DB127" i="40"/>
  <c r="DB53" i="40"/>
  <c r="DC129" i="40"/>
  <c r="DC127" i="40"/>
  <c r="CZ34" i="40"/>
  <c r="DC43" i="40"/>
  <c r="CZ44" i="40"/>
  <c r="CZ95" i="40"/>
  <c r="DA46" i="40"/>
  <c r="DC128" i="40"/>
  <c r="DA24" i="40"/>
  <c r="CZ122" i="40"/>
  <c r="DA85" i="40"/>
  <c r="DC73" i="40"/>
  <c r="DB88" i="40"/>
  <c r="DC88" i="40"/>
  <c r="CZ103" i="40"/>
  <c r="DA65" i="40"/>
  <c r="DB100" i="40"/>
  <c r="DB113" i="40"/>
  <c r="DB115" i="40"/>
  <c r="DB131" i="40"/>
  <c r="DC138" i="40"/>
  <c r="DC134" i="40"/>
  <c r="DA101" i="40"/>
  <c r="DC84" i="40"/>
  <c r="CZ109" i="40"/>
  <c r="DB70" i="40"/>
  <c r="DA106" i="40"/>
  <c r="DB108" i="40"/>
  <c r="DA109" i="40"/>
  <c r="DB56" i="40"/>
  <c r="DB133" i="40"/>
  <c r="DA107" i="40"/>
  <c r="DB21" i="40"/>
  <c r="CZ100" i="40"/>
  <c r="DA137" i="40"/>
  <c r="CZ129" i="40"/>
  <c r="CZ86" i="40"/>
  <c r="DA125" i="40"/>
  <c r="DA77" i="40"/>
  <c r="DA39" i="40"/>
  <c r="DC48" i="40"/>
  <c r="DB132" i="40"/>
  <c r="DC51" i="40"/>
  <c r="DA108" i="40"/>
  <c r="DA26" i="40"/>
  <c r="DA71" i="40"/>
  <c r="DA128" i="40"/>
  <c r="CZ90" i="40"/>
  <c r="DA113" i="40"/>
  <c r="DA53" i="40"/>
  <c r="DC44" i="40"/>
  <c r="DB116" i="40"/>
  <c r="DC54" i="40"/>
  <c r="DA131" i="40"/>
  <c r="DA94" i="40"/>
  <c r="CZ85" i="40"/>
  <c r="DB106" i="40"/>
  <c r="DA49" i="40"/>
  <c r="CZ50" i="40"/>
  <c r="DB123" i="40"/>
  <c r="DC61" i="40"/>
  <c r="DA138" i="40"/>
  <c r="DA62" i="40"/>
  <c r="CZ87" i="40"/>
  <c r="DA50" i="40"/>
  <c r="DC121" i="40"/>
  <c r="DB60" i="40"/>
  <c r="CZ82" i="40"/>
  <c r="DA72" i="40"/>
  <c r="CZ36" i="40"/>
  <c r="DC135" i="40"/>
  <c r="DB93" i="40"/>
  <c r="DB37" i="40"/>
  <c r="CZ89" i="40"/>
  <c r="CZ46" i="40"/>
  <c r="DC132" i="40"/>
  <c r="BU49" i="40"/>
  <c r="BU47" i="40"/>
  <c r="BU54" i="40"/>
  <c r="BU46" i="40"/>
  <c r="BU48" i="40"/>
  <c r="BU51" i="40"/>
  <c r="BU53" i="40"/>
  <c r="BU50" i="40"/>
  <c r="BU52" i="40"/>
  <c r="CM32" i="40"/>
  <c r="CM28" i="40"/>
  <c r="CM34" i="40"/>
  <c r="CM27" i="40"/>
  <c r="CM33" i="40"/>
  <c r="CM30" i="40"/>
  <c r="CM31" i="40"/>
  <c r="CM26" i="40"/>
  <c r="CM29" i="40"/>
  <c r="O35" i="31"/>
  <c r="DQ5" i="55" a="1"/>
  <c r="DD6" i="55" a="1"/>
  <c r="L58" i="31"/>
  <c r="Z14" i="35"/>
  <c r="AA14" i="35" s="1"/>
  <c r="AD38" i="35"/>
  <c r="AC38" i="35"/>
  <c r="AD37" i="35"/>
  <c r="AC37" i="35"/>
  <c r="AB9" i="35"/>
  <c r="AD14" i="35"/>
  <c r="AB10" i="35"/>
  <c r="AB8" i="35"/>
  <c r="AB7" i="35"/>
  <c r="AC14" i="35"/>
  <c r="AC40" i="35"/>
  <c r="AD40" i="35"/>
  <c r="AD25" i="35"/>
  <c r="AC25" i="35"/>
  <c r="AD39" i="35"/>
  <c r="AC39" i="35"/>
  <c r="AD22" i="35"/>
  <c r="AC22" i="35"/>
  <c r="AC24" i="35"/>
  <c r="AD24" i="35"/>
  <c r="AC23" i="35"/>
  <c r="AD23" i="35"/>
  <c r="O58" i="31"/>
  <c r="S35" i="34"/>
  <c r="S36" i="34" s="1"/>
  <c r="S37" i="34"/>
  <c r="S22" i="34"/>
  <c r="S23" i="34" s="1"/>
  <c r="S24" i="34"/>
  <c r="T9" i="30"/>
  <c r="U13" i="30"/>
  <c r="S3" i="34"/>
  <c r="S11" i="34" s="1"/>
  <c r="S15" i="30"/>
  <c r="R15" i="30"/>
  <c r="S10" i="30"/>
  <c r="R12" i="30"/>
  <c r="M35" i="31"/>
  <c r="M12" i="31"/>
  <c r="S14" i="30"/>
  <c r="T12" i="30"/>
  <c r="N35" i="31"/>
  <c r="L35" i="31"/>
  <c r="S11" i="30"/>
  <c r="T16" i="30"/>
  <c r="S12" i="30"/>
  <c r="S13" i="30"/>
  <c r="T15" i="30"/>
  <c r="U9" i="30"/>
  <c r="S16" i="30"/>
  <c r="U10" i="30"/>
  <c r="U11" i="30"/>
  <c r="U12" i="30"/>
  <c r="T10" i="30"/>
  <c r="R13" i="30"/>
  <c r="U14" i="30"/>
  <c r="N12" i="31"/>
  <c r="R10" i="30"/>
  <c r="U15" i="30"/>
  <c r="R11" i="30"/>
  <c r="T13" i="30"/>
  <c r="U16" i="30"/>
  <c r="R16" i="30"/>
  <c r="T14" i="30"/>
  <c r="R9" i="30"/>
  <c r="T11" i="30"/>
  <c r="R14" i="30"/>
  <c r="I9" i="32"/>
  <c r="K10" i="32"/>
  <c r="J10" i="32"/>
  <c r="J11" i="32"/>
  <c r="J9" i="32"/>
  <c r="I10" i="32"/>
  <c r="I11" i="32"/>
  <c r="K9" i="32"/>
  <c r="K11" i="32"/>
  <c r="N58" i="31"/>
  <c r="M58" i="31"/>
  <c r="O12" i="31"/>
  <c r="G60" i="31"/>
  <c r="Z13" i="14"/>
  <c r="AB12" i="14"/>
  <c r="DB140" i="40" l="1" a="1"/>
  <c r="DB140" i="40" s="1"/>
  <c r="DB141" i="40"/>
  <c r="DC140" i="40" a="1"/>
  <c r="DC140" i="40" s="1"/>
  <c r="DC141" i="40"/>
  <c r="DA141" i="40"/>
  <c r="DA140" i="40" a="1"/>
  <c r="DA140" i="40" s="1"/>
  <c r="CZ140" i="40"/>
  <c r="CZ141" i="40"/>
  <c r="DD9" i="55"/>
  <c r="DD36" i="55" s="1"/>
  <c r="DD7" i="55"/>
  <c r="DD34" i="55" s="1"/>
  <c r="DD13" i="55"/>
  <c r="DD40" i="55" s="1"/>
  <c r="DD14" i="55"/>
  <c r="DD41" i="55" s="1"/>
  <c r="DD10" i="55"/>
  <c r="DD37" i="55" s="1"/>
  <c r="DD12" i="55"/>
  <c r="DD39" i="55" s="1"/>
  <c r="DD8" i="55"/>
  <c r="DD35" i="55" s="1"/>
  <c r="DD11" i="55"/>
  <c r="DD38" i="55" s="1"/>
  <c r="DD6" i="55"/>
  <c r="DD33" i="55" s="1"/>
  <c r="DQ5" i="55"/>
  <c r="DS5" i="55"/>
  <c r="DW5" i="55"/>
  <c r="DR5" i="55"/>
  <c r="DV5" i="55"/>
  <c r="DY5" i="55"/>
  <c r="DX5" i="55"/>
  <c r="DU5" i="55"/>
  <c r="DT5" i="55"/>
  <c r="DE26" i="40" a="1"/>
  <c r="AD10" i="35"/>
  <c r="AC10" i="35"/>
  <c r="AC8" i="35"/>
  <c r="AD8" i="35"/>
  <c r="AD7" i="35"/>
  <c r="AC7" i="35"/>
  <c r="AC9" i="35"/>
  <c r="AD9" i="35"/>
  <c r="S7" i="30"/>
  <c r="S9" i="34"/>
  <c r="S10" i="34" s="1"/>
  <c r="V12" i="30"/>
  <c r="V10" i="30"/>
  <c r="U6" i="30"/>
  <c r="S8" i="30"/>
  <c r="V15" i="30"/>
  <c r="T7" i="30"/>
  <c r="V11" i="30"/>
  <c r="U7" i="30"/>
  <c r="S6" i="30"/>
  <c r="V16" i="30"/>
  <c r="U8" i="30"/>
  <c r="R8" i="30"/>
  <c r="R7" i="30"/>
  <c r="R6" i="30"/>
  <c r="V9" i="30"/>
  <c r="T8" i="30"/>
  <c r="F9" i="32" a="1"/>
  <c r="F9" i="32" s="1"/>
  <c r="G9" i="32" s="1"/>
  <c r="H9" i="32" s="1"/>
  <c r="F12" i="32" a="1"/>
  <c r="F12" i="32" s="1"/>
  <c r="G12" i="32" s="1"/>
  <c r="H12" i="32" s="1"/>
  <c r="F14" i="32" a="1"/>
  <c r="F14" i="32" s="1"/>
  <c r="G14" i="32" s="1"/>
  <c r="H14" i="32" s="1"/>
  <c r="F17" i="32" a="1"/>
  <c r="F17" i="32" s="1"/>
  <c r="G17" i="32" s="1"/>
  <c r="H17" i="32" s="1"/>
  <c r="F20" i="32" a="1"/>
  <c r="F20" i="32" s="1"/>
  <c r="G20" i="32" s="1"/>
  <c r="H20" i="32" s="1"/>
  <c r="F23" i="32" a="1"/>
  <c r="F23" i="32" s="1"/>
  <c r="G23" i="32" s="1"/>
  <c r="H23" i="32" s="1"/>
  <c r="F28" i="32" a="1"/>
  <c r="F28" i="32" s="1"/>
  <c r="G28" i="32" s="1"/>
  <c r="H28" i="32" s="1"/>
  <c r="F31" i="32" a="1"/>
  <c r="F31" i="32" s="1"/>
  <c r="G31" i="32" s="1"/>
  <c r="H31" i="32" s="1"/>
  <c r="F5" i="32" a="1"/>
  <c r="F5" i="32" s="1"/>
  <c r="G5" i="32" s="1"/>
  <c r="H5" i="32" s="1"/>
  <c r="F8" i="32" a="1"/>
  <c r="F8" i="32" s="1"/>
  <c r="G8" i="32" s="1"/>
  <c r="H8" i="32" s="1"/>
  <c r="F10" i="32" a="1"/>
  <c r="F10" i="32" s="1"/>
  <c r="G10" i="32" s="1"/>
  <c r="H10" i="32" s="1"/>
  <c r="F15" i="32" a="1"/>
  <c r="F15" i="32" s="1"/>
  <c r="G15" i="32" s="1"/>
  <c r="H15" i="32" s="1"/>
  <c r="F18" i="32" a="1"/>
  <c r="F18" i="32" s="1"/>
  <c r="G18" i="32" s="1"/>
  <c r="H18" i="32" s="1"/>
  <c r="F21" i="32" a="1"/>
  <c r="F21" i="32" s="1"/>
  <c r="G21" i="32" s="1"/>
  <c r="H21" i="32" s="1"/>
  <c r="F26" i="32" a="1"/>
  <c r="F26" i="32" s="1"/>
  <c r="G26" i="32" s="1"/>
  <c r="H26" i="32" s="1"/>
  <c r="F29" i="32" a="1"/>
  <c r="F29" i="32" s="1"/>
  <c r="G29" i="32" s="1"/>
  <c r="H29" i="32" s="1"/>
  <c r="F34" i="32" a="1"/>
  <c r="F34" i="32" s="1"/>
  <c r="G34" i="32" s="1"/>
  <c r="H34" i="32" s="1"/>
  <c r="F4" i="32" a="1"/>
  <c r="F4" i="32" s="1"/>
  <c r="G4" i="32" s="1"/>
  <c r="H4" i="32" s="1"/>
  <c r="F7" i="32" a="1"/>
  <c r="F7" i="32" s="1"/>
  <c r="G7" i="32" s="1"/>
  <c r="H7" i="32" s="1"/>
  <c r="F16" i="32" a="1"/>
  <c r="F16" i="32" s="1"/>
  <c r="G16" i="32" s="1"/>
  <c r="H16" i="32" s="1"/>
  <c r="F22" i="32" a="1"/>
  <c r="F22" i="32" s="1"/>
  <c r="G22" i="32" s="1"/>
  <c r="H22" i="32" s="1"/>
  <c r="F33" i="32" a="1"/>
  <c r="F33" i="32" s="1"/>
  <c r="G33" i="32" s="1"/>
  <c r="H33" i="32" s="1"/>
  <c r="F19" i="32" a="1"/>
  <c r="F19" i="32" s="1"/>
  <c r="G19" i="32" s="1"/>
  <c r="H19" i="32" s="1"/>
  <c r="F24" i="32" a="1"/>
  <c r="F24" i="32" s="1"/>
  <c r="G24" i="32" s="1"/>
  <c r="H24" i="32" s="1"/>
  <c r="F35" i="32" a="1"/>
  <c r="F35" i="32" s="1"/>
  <c r="G35" i="32" s="1"/>
  <c r="H35" i="32" s="1"/>
  <c r="F13" i="32" a="1"/>
  <c r="F13" i="32" s="1"/>
  <c r="G13" i="32" s="1"/>
  <c r="H13" i="32" s="1"/>
  <c r="F25" i="32" a="1"/>
  <c r="F25" i="32" s="1"/>
  <c r="G25" i="32" s="1"/>
  <c r="H25" i="32" s="1"/>
  <c r="F30" i="32" a="1"/>
  <c r="F30" i="32" s="1"/>
  <c r="G30" i="32" s="1"/>
  <c r="H30" i="32" s="1"/>
  <c r="F11" i="32" a="1"/>
  <c r="F11" i="32" s="1"/>
  <c r="G11" i="32" s="1"/>
  <c r="H11" i="32" s="1"/>
  <c r="F32" i="32" a="1"/>
  <c r="F32" i="32" s="1"/>
  <c r="G32" i="32" s="1"/>
  <c r="H32" i="32" s="1"/>
  <c r="F6" i="32" a="1"/>
  <c r="F6" i="32" s="1"/>
  <c r="G6" i="32" s="1"/>
  <c r="H6" i="32" s="1"/>
  <c r="F27" i="32" a="1"/>
  <c r="F27" i="32" s="1"/>
  <c r="G27" i="32" s="1"/>
  <c r="H27" i="32" s="1"/>
  <c r="T6" i="30"/>
  <c r="V14" i="30"/>
  <c r="V13" i="30"/>
  <c r="Z14" i="14"/>
  <c r="AB13" i="14"/>
  <c r="N9" i="21" a="1"/>
  <c r="EC5" i="55" l="1" a="1"/>
  <c r="DP6" i="55" a="1"/>
  <c r="DE34" i="40"/>
  <c r="DE31" i="40"/>
  <c r="DE28" i="40"/>
  <c r="DE30" i="40"/>
  <c r="DE33" i="40"/>
  <c r="DE32" i="40"/>
  <c r="DE26" i="40"/>
  <c r="DE29" i="40"/>
  <c r="DE27" i="40"/>
  <c r="Z15" i="14"/>
  <c r="AB14" i="14"/>
  <c r="L4" i="21"/>
  <c r="L5" i="21"/>
  <c r="L6" i="21"/>
  <c r="DP6" i="55" l="1"/>
  <c r="DP33" i="55" s="1"/>
  <c r="DP9" i="55"/>
  <c r="DP36" i="55" s="1"/>
  <c r="DP11" i="55"/>
  <c r="DP38" i="55" s="1"/>
  <c r="DP10" i="55"/>
  <c r="DP37" i="55" s="1"/>
  <c r="DP8" i="55"/>
  <c r="DP35" i="55" s="1"/>
  <c r="DP13" i="55"/>
  <c r="DP40" i="55" s="1"/>
  <c r="DP7" i="55"/>
  <c r="DP34" i="55" s="1"/>
  <c r="DP14" i="55"/>
  <c r="DP41" i="55" s="1"/>
  <c r="DP12" i="55"/>
  <c r="DP39" i="55" s="1"/>
  <c r="EC5" i="55"/>
  <c r="EK5" i="55"/>
  <c r="EE5" i="55"/>
  <c r="EH5" i="55"/>
  <c r="EI5" i="55"/>
  <c r="ED5" i="55"/>
  <c r="EG5" i="55"/>
  <c r="EF5" i="55"/>
  <c r="EJ5" i="55"/>
  <c r="P9" i="21"/>
  <c r="Z16" i="14"/>
  <c r="AB15" i="14"/>
  <c r="O10" i="21"/>
  <c r="O11" i="21"/>
  <c r="P10" i="21"/>
  <c r="N9" i="21"/>
  <c r="O9" i="21"/>
  <c r="P11" i="21"/>
  <c r="N10" i="21"/>
  <c r="N11" i="21"/>
  <c r="EO5" i="55" l="1" a="1"/>
  <c r="EB6" i="55" a="1"/>
  <c r="Z17" i="14"/>
  <c r="AB16" i="14"/>
  <c r="EB12" i="55" l="1"/>
  <c r="EB39" i="55" s="1"/>
  <c r="EB13" i="55"/>
  <c r="EB40" i="55" s="1"/>
  <c r="EB7" i="55"/>
  <c r="EB34" i="55" s="1"/>
  <c r="EB14" i="55"/>
  <c r="EB41" i="55" s="1"/>
  <c r="EB9" i="55"/>
  <c r="EB36" i="55" s="1"/>
  <c r="EB6" i="55"/>
  <c r="EB33" i="55" s="1"/>
  <c r="EB11" i="55"/>
  <c r="EB38" i="55" s="1"/>
  <c r="EB8" i="55"/>
  <c r="EB35" i="55" s="1"/>
  <c r="EB10" i="55"/>
  <c r="EB37" i="55" s="1"/>
  <c r="EW5" i="55"/>
  <c r="EO5" i="55"/>
  <c r="ES5" i="55"/>
  <c r="EQ5" i="55"/>
  <c r="ET5" i="55"/>
  <c r="EP5" i="55"/>
  <c r="EU5" i="55"/>
  <c r="EV5" i="55"/>
  <c r="ER5" i="55"/>
  <c r="Z18" i="14"/>
  <c r="AB17" i="14"/>
  <c r="FA5" i="55" l="1" a="1"/>
  <c r="EN6" i="55" a="1"/>
  <c r="Z19" i="14"/>
  <c r="AB18" i="14"/>
  <c r="EN13" i="55" l="1"/>
  <c r="EN40" i="55" s="1"/>
  <c r="EN14" i="55"/>
  <c r="EN41" i="55" s="1"/>
  <c r="EN10" i="55"/>
  <c r="EN37" i="55" s="1"/>
  <c r="EN12" i="55"/>
  <c r="EN39" i="55" s="1"/>
  <c r="EN7" i="55"/>
  <c r="EN34" i="55" s="1"/>
  <c r="EN9" i="55"/>
  <c r="EN36" i="55" s="1"/>
  <c r="EN6" i="55"/>
  <c r="EN33" i="55" s="1"/>
  <c r="EN11" i="55"/>
  <c r="EN38" i="55" s="1"/>
  <c r="EN8" i="55"/>
  <c r="EN35" i="55" s="1"/>
  <c r="FI5" i="55"/>
  <c r="FA5" i="55"/>
  <c r="FF5" i="55"/>
  <c r="FG5" i="55"/>
  <c r="FC5" i="55"/>
  <c r="FB5" i="55"/>
  <c r="FE5" i="55"/>
  <c r="FH5" i="55"/>
  <c r="FD5" i="55"/>
  <c r="Z20" i="14"/>
  <c r="AB19" i="14"/>
  <c r="FM5" i="55" l="1" a="1"/>
  <c r="EZ6" i="55" a="1"/>
  <c r="Z21" i="14"/>
  <c r="AB20" i="14"/>
  <c r="FM5" i="55" l="1"/>
  <c r="FU5" i="55"/>
  <c r="FN5" i="55"/>
  <c r="FQ5" i="55"/>
  <c r="FR5" i="55"/>
  <c r="FO5" i="55"/>
  <c r="FS5" i="55"/>
  <c r="FT5" i="55"/>
  <c r="FP5" i="55"/>
  <c r="EZ7" i="55"/>
  <c r="EZ34" i="55" s="1"/>
  <c r="EZ10" i="55"/>
  <c r="EZ37" i="55" s="1"/>
  <c r="EZ12" i="55"/>
  <c r="EZ39" i="55" s="1"/>
  <c r="EZ9" i="55"/>
  <c r="EZ36" i="55" s="1"/>
  <c r="EZ11" i="55"/>
  <c r="EZ38" i="55" s="1"/>
  <c r="EZ13" i="55"/>
  <c r="EZ40" i="55" s="1"/>
  <c r="EZ14" i="55"/>
  <c r="EZ41" i="55" s="1"/>
  <c r="EZ6" i="55"/>
  <c r="EZ33" i="55" s="1"/>
  <c r="EZ8" i="55"/>
  <c r="EZ35" i="55" s="1"/>
  <c r="Z22" i="14"/>
  <c r="AB21" i="14"/>
  <c r="FY5" i="55" l="1" a="1"/>
  <c r="FL6" i="55" a="1"/>
  <c r="Z23" i="14"/>
  <c r="AB22" i="14"/>
  <c r="FL14" i="55" l="1"/>
  <c r="FL41" i="55" s="1"/>
  <c r="FL12" i="55"/>
  <c r="FL39" i="55" s="1"/>
  <c r="FL10" i="55"/>
  <c r="FL37" i="55" s="1"/>
  <c r="FL11" i="55"/>
  <c r="FL38" i="55" s="1"/>
  <c r="FL8" i="55"/>
  <c r="FL35" i="55" s="1"/>
  <c r="FL9" i="55"/>
  <c r="FL36" i="55" s="1"/>
  <c r="FL7" i="55"/>
  <c r="FL34" i="55" s="1"/>
  <c r="FL6" i="55"/>
  <c r="FL33" i="55" s="1"/>
  <c r="FL13" i="55"/>
  <c r="FL40" i="55" s="1"/>
  <c r="GG5" i="55"/>
  <c r="FY5" i="55"/>
  <c r="GA5" i="55"/>
  <c r="FZ5" i="55"/>
  <c r="GC5" i="55"/>
  <c r="GD5" i="55"/>
  <c r="GE5" i="55"/>
  <c r="GB5" i="55"/>
  <c r="GF5" i="55"/>
  <c r="Z24" i="14"/>
  <c r="AB23" i="14"/>
  <c r="GK5" i="55" l="1" a="1"/>
  <c r="FX6" i="55" a="1"/>
  <c r="Z25" i="14"/>
  <c r="AB24" i="14"/>
  <c r="FX11" i="55" l="1"/>
  <c r="FX38" i="55" s="1"/>
  <c r="FX9" i="55"/>
  <c r="FX36" i="55" s="1"/>
  <c r="FX13" i="55"/>
  <c r="FX40" i="55" s="1"/>
  <c r="FX7" i="55"/>
  <c r="FX34" i="55" s="1"/>
  <c r="FX10" i="55"/>
  <c r="FX37" i="55" s="1"/>
  <c r="FX12" i="55"/>
  <c r="FX39" i="55" s="1"/>
  <c r="FX8" i="55"/>
  <c r="FX35" i="55" s="1"/>
  <c r="FX6" i="55"/>
  <c r="FX33" i="55" s="1"/>
  <c r="FX14" i="55"/>
  <c r="FX41" i="55" s="1"/>
  <c r="GS5" i="55"/>
  <c r="GK5" i="55"/>
  <c r="GO5" i="55"/>
  <c r="GM5" i="55"/>
  <c r="GL5" i="55"/>
  <c r="GP5" i="55"/>
  <c r="GQ5" i="55"/>
  <c r="GR5" i="55"/>
  <c r="GN5" i="55"/>
  <c r="Z26" i="14"/>
  <c r="AB25" i="14"/>
  <c r="GW5" i="55" l="1" a="1"/>
  <c r="GJ6" i="55" a="1"/>
  <c r="Z27" i="14"/>
  <c r="AB26" i="14"/>
  <c r="GJ12" i="55" l="1"/>
  <c r="GJ39" i="55" s="1"/>
  <c r="GJ13" i="55"/>
  <c r="GJ40" i="55" s="1"/>
  <c r="GJ14" i="55"/>
  <c r="GJ41" i="55" s="1"/>
  <c r="GJ10" i="55"/>
  <c r="GJ37" i="55" s="1"/>
  <c r="GJ9" i="55"/>
  <c r="GJ36" i="55" s="1"/>
  <c r="GJ8" i="55"/>
  <c r="GJ35" i="55" s="1"/>
  <c r="GJ11" i="55"/>
  <c r="GJ38" i="55" s="1"/>
  <c r="GJ7" i="55"/>
  <c r="GJ34" i="55" s="1"/>
  <c r="GJ6" i="55"/>
  <c r="GJ33" i="55" s="1"/>
  <c r="HE5" i="55"/>
  <c r="GW5" i="55"/>
  <c r="HC5" i="55"/>
  <c r="GY5" i="55"/>
  <c r="HB5" i="55"/>
  <c r="GX5" i="55"/>
  <c r="HA5" i="55"/>
  <c r="GZ5" i="55"/>
  <c r="HD5" i="55"/>
  <c r="Z28" i="14"/>
  <c r="AB27" i="14"/>
  <c r="HI5" i="55" l="1" a="1"/>
  <c r="GV6" i="55" a="1"/>
  <c r="Z29" i="14"/>
  <c r="AB28" i="14"/>
  <c r="GV7" i="55" l="1"/>
  <c r="GV34" i="55" s="1"/>
  <c r="GV14" i="55"/>
  <c r="GV41" i="55" s="1"/>
  <c r="GV10" i="55"/>
  <c r="GV37" i="55" s="1"/>
  <c r="GV9" i="55"/>
  <c r="GV36" i="55" s="1"/>
  <c r="GV11" i="55"/>
  <c r="GV38" i="55" s="1"/>
  <c r="GV13" i="55"/>
  <c r="GV40" i="55" s="1"/>
  <c r="GV6" i="55"/>
  <c r="GV33" i="55" s="1"/>
  <c r="GV12" i="55"/>
  <c r="GV39" i="55" s="1"/>
  <c r="GV8" i="55"/>
  <c r="GV35" i="55" s="1"/>
  <c r="HI5" i="55"/>
  <c r="HQ5" i="55"/>
  <c r="HJ5" i="55"/>
  <c r="HM5" i="55"/>
  <c r="HO5" i="55"/>
  <c r="HK5" i="55"/>
  <c r="HN5" i="55"/>
  <c r="HL5" i="55"/>
  <c r="HP5" i="55"/>
  <c r="Z30" i="14"/>
  <c r="AB29" i="14"/>
  <c r="HU5" i="55" l="1" a="1"/>
  <c r="HH6" i="55" a="1"/>
  <c r="Z31" i="14"/>
  <c r="AB30" i="14"/>
  <c r="HH9" i="55" l="1"/>
  <c r="HH36" i="55" s="1"/>
  <c r="HH7" i="55"/>
  <c r="HH34" i="55" s="1"/>
  <c r="HH6" i="55"/>
  <c r="HH33" i="55" s="1"/>
  <c r="HH13" i="55"/>
  <c r="HH40" i="55" s="1"/>
  <c r="HH12" i="55"/>
  <c r="HH39" i="55" s="1"/>
  <c r="HH14" i="55"/>
  <c r="HH41" i="55" s="1"/>
  <c r="HH10" i="55"/>
  <c r="HH37" i="55" s="1"/>
  <c r="HH8" i="55"/>
  <c r="HH35" i="55" s="1"/>
  <c r="HH11" i="55"/>
  <c r="HH38" i="55" s="1"/>
  <c r="HU5" i="55"/>
  <c r="IC5" i="55"/>
  <c r="HV5" i="55"/>
  <c r="HW5" i="55"/>
  <c r="HY5" i="55"/>
  <c r="HZ5" i="55"/>
  <c r="IA5" i="55"/>
  <c r="HX5" i="55"/>
  <c r="IB5" i="55"/>
  <c r="Z32" i="14"/>
  <c r="AB31" i="14"/>
  <c r="D119" i="14"/>
  <c r="C119" i="14"/>
  <c r="B119" i="14"/>
  <c r="IG5" i="55" l="1" a="1"/>
  <c r="HT6" i="55" a="1"/>
  <c r="Z33" i="14"/>
  <c r="AB32" i="14"/>
  <c r="HT14" i="55" l="1"/>
  <c r="HT41" i="55" s="1"/>
  <c r="HT11" i="55"/>
  <c r="HT38" i="55" s="1"/>
  <c r="HT10" i="55"/>
  <c r="HT37" i="55" s="1"/>
  <c r="HT12" i="55"/>
  <c r="HT39" i="55" s="1"/>
  <c r="HT9" i="55"/>
  <c r="HT36" i="55" s="1"/>
  <c r="HT7" i="55"/>
  <c r="HT34" i="55" s="1"/>
  <c r="HT13" i="55"/>
  <c r="HT40" i="55" s="1"/>
  <c r="HT6" i="55"/>
  <c r="HT33" i="55" s="1"/>
  <c r="HT8" i="55"/>
  <c r="HT35" i="55" s="1"/>
  <c r="IO5" i="55"/>
  <c r="IG5" i="55"/>
  <c r="IK5" i="55"/>
  <c r="IL5" i="55"/>
  <c r="II5" i="55"/>
  <c r="IH5" i="55"/>
  <c r="IM5" i="55"/>
  <c r="IJ5" i="55"/>
  <c r="IN5" i="55"/>
  <c r="Z34" i="14"/>
  <c r="AB33" i="14"/>
  <c r="I91" i="14" a="1"/>
  <c r="IS5" i="55" l="1" a="1"/>
  <c r="IF6" i="55" a="1"/>
  <c r="Z35" i="14"/>
  <c r="AB34" i="14"/>
  <c r="K92" i="14"/>
  <c r="J91" i="14"/>
  <c r="J93" i="14"/>
  <c r="I92" i="14"/>
  <c r="I93" i="14"/>
  <c r="K93" i="14"/>
  <c r="J92" i="14"/>
  <c r="I91" i="14"/>
  <c r="K91" i="14"/>
  <c r="IF9" i="55" l="1"/>
  <c r="IF36" i="55" s="1"/>
  <c r="IF13" i="55"/>
  <c r="IF40" i="55" s="1"/>
  <c r="IF14" i="55"/>
  <c r="IF41" i="55" s="1"/>
  <c r="IF10" i="55"/>
  <c r="IF37" i="55" s="1"/>
  <c r="IF11" i="55"/>
  <c r="IF38" i="55" s="1"/>
  <c r="IF8" i="55"/>
  <c r="IF35" i="55" s="1"/>
  <c r="IF12" i="55"/>
  <c r="IF39" i="55" s="1"/>
  <c r="IF7" i="55"/>
  <c r="IF34" i="55" s="1"/>
  <c r="IF6" i="55"/>
  <c r="IF33" i="55" s="1"/>
  <c r="IS5" i="55"/>
  <c r="JA5" i="55"/>
  <c r="IU5" i="55"/>
  <c r="IT5" i="55"/>
  <c r="IY5" i="55"/>
  <c r="IW5" i="55"/>
  <c r="IX5" i="55"/>
  <c r="IV5" i="55"/>
  <c r="IZ5" i="55"/>
  <c r="Z36" i="14"/>
  <c r="AB35" i="14"/>
  <c r="C83" i="14"/>
  <c r="D83" i="14"/>
  <c r="B83" i="14"/>
  <c r="R16" i="18"/>
  <c r="Q16" i="18"/>
  <c r="V5" i="18"/>
  <c r="S3" i="18"/>
  <c r="H31" i="18"/>
  <c r="G31" i="18"/>
  <c r="I31" i="18" s="1"/>
  <c r="L20" i="18"/>
  <c r="I18" i="18"/>
  <c r="H16" i="18"/>
  <c r="G16" i="18"/>
  <c r="I16" i="18" s="1"/>
  <c r="L5" i="18"/>
  <c r="I3" i="18"/>
  <c r="AJ5" i="15"/>
  <c r="AJ4" i="15"/>
  <c r="AM4" i="15" s="1"/>
  <c r="AJ3" i="15"/>
  <c r="AM7" i="15" l="1"/>
  <c r="JE5" i="55" a="1"/>
  <c r="IR6" i="55" a="1"/>
  <c r="AJ14" i="15"/>
  <c r="M50" i="14" a="1"/>
  <c r="Z37" i="14"/>
  <c r="AB36" i="14"/>
  <c r="H30" i="18"/>
  <c r="L29" i="18" s="1"/>
  <c r="H15" i="18"/>
  <c r="L14" i="18" s="1"/>
  <c r="R15" i="18"/>
  <c r="V14" i="18" s="1"/>
  <c r="S16" i="18"/>
  <c r="AM5" i="15"/>
  <c r="AJ6" i="15"/>
  <c r="AJ7" i="15"/>
  <c r="AJ10" i="15"/>
  <c r="AJ8" i="15"/>
  <c r="AM3" i="15"/>
  <c r="AM6" i="15"/>
  <c r="IR10" i="55" l="1"/>
  <c r="IR37" i="55" s="1"/>
  <c r="IR6" i="55"/>
  <c r="IR33" i="55" s="1"/>
  <c r="IR9" i="55"/>
  <c r="IR36" i="55" s="1"/>
  <c r="IR7" i="55"/>
  <c r="IR34" i="55" s="1"/>
  <c r="IR13" i="55"/>
  <c r="IR40" i="55" s="1"/>
  <c r="IR14" i="55"/>
  <c r="IR41" i="55" s="1"/>
  <c r="IR12" i="55"/>
  <c r="IR39" i="55" s="1"/>
  <c r="IR8" i="55"/>
  <c r="IR35" i="55" s="1"/>
  <c r="IR11" i="55"/>
  <c r="IR38" i="55" s="1"/>
  <c r="JE5" i="55"/>
  <c r="JM5" i="55"/>
  <c r="JF5" i="55"/>
  <c r="JG5" i="55"/>
  <c r="JJ5" i="55"/>
  <c r="JK5" i="55"/>
  <c r="JI5" i="55"/>
  <c r="JL5" i="55"/>
  <c r="JH5" i="55"/>
  <c r="AM8" i="15"/>
  <c r="Z38" i="14"/>
  <c r="AB37" i="14"/>
  <c r="M50" i="14"/>
  <c r="O50" i="14"/>
  <c r="N50" i="14"/>
  <c r="N52" i="14"/>
  <c r="O52" i="14"/>
  <c r="M51" i="14"/>
  <c r="N51" i="14"/>
  <c r="M52" i="14"/>
  <c r="O51" i="14"/>
  <c r="AJ9" i="15"/>
  <c r="I55" i="14" a="1"/>
  <c r="Q10" i="18"/>
  <c r="S10" i="18"/>
  <c r="R10" i="18"/>
  <c r="T10" i="18" a="1"/>
  <c r="T10" i="18" s="1"/>
  <c r="G22" i="18"/>
  <c r="J22" i="18" a="1"/>
  <c r="J22" i="18" s="1"/>
  <c r="I22" i="18"/>
  <c r="H22" i="18"/>
  <c r="H7" i="18"/>
  <c r="I7" i="18"/>
  <c r="G7" i="18"/>
  <c r="J7" i="18" a="1"/>
  <c r="J7" i="18" s="1"/>
  <c r="R9" i="18"/>
  <c r="S9" i="18"/>
  <c r="Q9" i="18"/>
  <c r="T9" i="18" a="1"/>
  <c r="T9" i="18" s="1"/>
  <c r="J23" i="18" a="1"/>
  <c r="J23" i="18" s="1"/>
  <c r="I23" i="18"/>
  <c r="H23" i="18"/>
  <c r="G23" i="18"/>
  <c r="G8" i="18"/>
  <c r="J8" i="18" a="1"/>
  <c r="J8" i="18" s="1"/>
  <c r="I8" i="18"/>
  <c r="H8" i="18"/>
  <c r="T7" i="18" a="1"/>
  <c r="T7" i="18" s="1"/>
  <c r="R7" i="18"/>
  <c r="Q7" i="18"/>
  <c r="S7" i="18"/>
  <c r="H25" i="18"/>
  <c r="I25" i="18"/>
  <c r="G25" i="18"/>
  <c r="J25" i="18" a="1"/>
  <c r="J25" i="18" s="1"/>
  <c r="J9" i="18" a="1"/>
  <c r="J9" i="18" s="1"/>
  <c r="I9" i="18"/>
  <c r="H9" i="18"/>
  <c r="G9" i="18"/>
  <c r="S8" i="18"/>
  <c r="Q8" i="18"/>
  <c r="R8" i="18"/>
  <c r="T8" i="18" a="1"/>
  <c r="T8" i="18" s="1"/>
  <c r="I24" i="18"/>
  <c r="G24" i="18"/>
  <c r="J24" i="18" a="1"/>
  <c r="J24" i="18" s="1"/>
  <c r="H24" i="18"/>
  <c r="I10" i="18"/>
  <c r="J10" i="18" a="1"/>
  <c r="J10" i="18" s="1"/>
  <c r="H10" i="18"/>
  <c r="G10" i="18"/>
  <c r="AM11" i="15"/>
  <c r="AP6" i="15"/>
  <c r="AM12" i="15"/>
  <c r="AJ15" i="15"/>
  <c r="AJ17" i="15" s="1"/>
  <c r="JQ5" i="55" l="1" a="1"/>
  <c r="JD6" i="55" a="1"/>
  <c r="Z39" i="14"/>
  <c r="AB38" i="14"/>
  <c r="K23" i="18"/>
  <c r="K9" i="18"/>
  <c r="K10" i="18"/>
  <c r="I56" i="14"/>
  <c r="K56" i="14"/>
  <c r="I55" i="14"/>
  <c r="J55" i="14"/>
  <c r="J57" i="14"/>
  <c r="I57" i="14"/>
  <c r="K57" i="14"/>
  <c r="K55" i="14"/>
  <c r="J56" i="14"/>
  <c r="U7" i="18"/>
  <c r="K25" i="18"/>
  <c r="U9" i="18"/>
  <c r="K7" i="18"/>
  <c r="K24" i="18"/>
  <c r="U8" i="18"/>
  <c r="K8" i="18"/>
  <c r="K22" i="18"/>
  <c r="U10" i="18"/>
  <c r="AM14" i="15"/>
  <c r="AP5" i="15"/>
  <c r="AP8" i="15" s="1"/>
  <c r="JD14" i="55" l="1"/>
  <c r="JD41" i="55" s="1"/>
  <c r="JD12" i="55"/>
  <c r="JD39" i="55" s="1"/>
  <c r="JD9" i="55"/>
  <c r="JD36" i="55" s="1"/>
  <c r="JD8" i="55"/>
  <c r="JD35" i="55" s="1"/>
  <c r="JD13" i="55"/>
  <c r="JD40" i="55" s="1"/>
  <c r="JD7" i="55"/>
  <c r="JD34" i="55" s="1"/>
  <c r="JD11" i="55"/>
  <c r="JD38" i="55" s="1"/>
  <c r="JD6" i="55"/>
  <c r="JD33" i="55" s="1"/>
  <c r="JD10" i="55"/>
  <c r="JD37" i="55" s="1"/>
  <c r="JY5" i="55"/>
  <c r="JQ5" i="55"/>
  <c r="JW5" i="55"/>
  <c r="JU5" i="55"/>
  <c r="JV5" i="55"/>
  <c r="JS5" i="55"/>
  <c r="JR5" i="55"/>
  <c r="JX5" i="55"/>
  <c r="JT5" i="55"/>
  <c r="Z40" i="14"/>
  <c r="AB39" i="14"/>
  <c r="F87" i="14" a="1"/>
  <c r="F87" i="14" s="1"/>
  <c r="G87" i="14" s="1"/>
  <c r="F112" i="14" a="1"/>
  <c r="F112" i="14" s="1"/>
  <c r="G112" i="14" s="1"/>
  <c r="F107" i="14" a="1"/>
  <c r="F107" i="14" s="1"/>
  <c r="G107" i="14" s="1"/>
  <c r="F105" i="14" a="1"/>
  <c r="F105" i="14" s="1"/>
  <c r="G105" i="14" s="1"/>
  <c r="F102" i="14" a="1"/>
  <c r="F102" i="14" s="1"/>
  <c r="G102" i="14" s="1"/>
  <c r="F96" i="14" a="1"/>
  <c r="F96" i="14" s="1"/>
  <c r="G96" i="14" s="1"/>
  <c r="F90" i="14" a="1"/>
  <c r="F90" i="14" s="1"/>
  <c r="G90" i="14" s="1"/>
  <c r="F113" i="14" a="1"/>
  <c r="F113" i="14" s="1"/>
  <c r="G113" i="14" s="1"/>
  <c r="F104" i="14" a="1"/>
  <c r="F104" i="14" s="1"/>
  <c r="G104" i="14" s="1"/>
  <c r="F97" i="14" a="1"/>
  <c r="F97" i="14" s="1"/>
  <c r="G97" i="14" s="1"/>
  <c r="F91" i="14" a="1"/>
  <c r="F91" i="14" s="1"/>
  <c r="G91" i="14" s="1"/>
  <c r="F86" i="14" a="1"/>
  <c r="F86" i="14" s="1"/>
  <c r="G86" i="14" s="1"/>
  <c r="F114" i="14" a="1"/>
  <c r="F114" i="14" s="1"/>
  <c r="G114" i="14" s="1"/>
  <c r="F108" i="14" a="1"/>
  <c r="F108" i="14" s="1"/>
  <c r="G108" i="14" s="1"/>
  <c r="F101" i="14" a="1"/>
  <c r="F101" i="14" s="1"/>
  <c r="G101" i="14" s="1"/>
  <c r="F116" i="14" a="1"/>
  <c r="F116" i="14" s="1"/>
  <c r="G116" i="14" s="1"/>
  <c r="F111" i="14" a="1"/>
  <c r="F111" i="14" s="1"/>
  <c r="G111" i="14" s="1"/>
  <c r="F109" i="14" a="1"/>
  <c r="F109" i="14" s="1"/>
  <c r="G109" i="14" s="1"/>
  <c r="F106" i="14" a="1"/>
  <c r="F106" i="14" s="1"/>
  <c r="G106" i="14" s="1"/>
  <c r="F100" i="14" a="1"/>
  <c r="F100" i="14" s="1"/>
  <c r="G100" i="14" s="1"/>
  <c r="F95" i="14" a="1"/>
  <c r="F95" i="14" s="1"/>
  <c r="G95" i="14" s="1"/>
  <c r="F93" i="14" a="1"/>
  <c r="F93" i="14" s="1"/>
  <c r="G93" i="14" s="1"/>
  <c r="F89" i="14" a="1"/>
  <c r="F89" i="14" s="1"/>
  <c r="G89" i="14" s="1"/>
  <c r="F115" i="14" a="1"/>
  <c r="F115" i="14" s="1"/>
  <c r="G115" i="14" s="1"/>
  <c r="F110" i="14" a="1"/>
  <c r="F110" i="14" s="1"/>
  <c r="G110" i="14" s="1"/>
  <c r="F99" i="14" a="1"/>
  <c r="F99" i="14" s="1"/>
  <c r="G99" i="14" s="1"/>
  <c r="F94" i="14" a="1"/>
  <c r="F94" i="14" s="1"/>
  <c r="G94" i="14" s="1"/>
  <c r="F88" i="14" a="1"/>
  <c r="F88" i="14" s="1"/>
  <c r="G88" i="14" s="1"/>
  <c r="F117" i="14" a="1"/>
  <c r="F117" i="14" s="1"/>
  <c r="G117" i="14" s="1"/>
  <c r="F103" i="14" a="1"/>
  <c r="F103" i="14" s="1"/>
  <c r="G103" i="14" s="1"/>
  <c r="F98" i="14" a="1"/>
  <c r="F98" i="14" s="1"/>
  <c r="G98" i="14" s="1"/>
  <c r="F92" i="14" a="1"/>
  <c r="F92" i="14" s="1"/>
  <c r="G92" i="14" s="1"/>
  <c r="G30" i="18"/>
  <c r="G29" i="18" s="1"/>
  <c r="I29" i="18" s="1"/>
  <c r="G15" i="18"/>
  <c r="G14" i="18" s="1"/>
  <c r="I14" i="18" s="1"/>
  <c r="F51" i="14" a="1"/>
  <c r="F51" i="14" s="1"/>
  <c r="G51" i="14" s="1"/>
  <c r="F54" i="14" a="1"/>
  <c r="F54" i="14" s="1"/>
  <c r="G54" i="14" s="1"/>
  <c r="F59" i="14" a="1"/>
  <c r="F59" i="14" s="1"/>
  <c r="G59" i="14" s="1"/>
  <c r="F62" i="14" a="1"/>
  <c r="F62" i="14" s="1"/>
  <c r="G62" i="14" s="1"/>
  <c r="F67" i="14" a="1"/>
  <c r="F67" i="14" s="1"/>
  <c r="G67" i="14" s="1"/>
  <c r="F70" i="14" a="1"/>
  <c r="F70" i="14" s="1"/>
  <c r="G70" i="14" s="1"/>
  <c r="F75" i="14" a="1"/>
  <c r="F75" i="14" s="1"/>
  <c r="G75" i="14" s="1"/>
  <c r="F78" i="14" a="1"/>
  <c r="F78" i="14" s="1"/>
  <c r="G78" i="14" s="1"/>
  <c r="F55" i="14" a="1"/>
  <c r="F55" i="14" s="1"/>
  <c r="G55" i="14" s="1"/>
  <c r="F63" i="14" a="1"/>
  <c r="F63" i="14" s="1"/>
  <c r="G63" i="14" s="1"/>
  <c r="F71" i="14" a="1"/>
  <c r="F71" i="14" s="1"/>
  <c r="G71" i="14" s="1"/>
  <c r="F79" i="14" a="1"/>
  <c r="F79" i="14" s="1"/>
  <c r="G79" i="14" s="1"/>
  <c r="F64" i="14" a="1"/>
  <c r="F64" i="14" s="1"/>
  <c r="G64" i="14" s="1"/>
  <c r="F72" i="14" a="1"/>
  <c r="F72" i="14" s="1"/>
  <c r="G72" i="14" s="1"/>
  <c r="F80" i="14" a="1"/>
  <c r="F80" i="14" s="1"/>
  <c r="G80" i="14" s="1"/>
  <c r="F52" i="14" a="1"/>
  <c r="F52" i="14" s="1"/>
  <c r="G52" i="14" s="1"/>
  <c r="F57" i="14" a="1"/>
  <c r="F57" i="14" s="1"/>
  <c r="G57" i="14" s="1"/>
  <c r="F60" i="14" a="1"/>
  <c r="F60" i="14" s="1"/>
  <c r="G60" i="14" s="1"/>
  <c r="F65" i="14" a="1"/>
  <c r="F65" i="14" s="1"/>
  <c r="G65" i="14" s="1"/>
  <c r="F68" i="14" a="1"/>
  <c r="F68" i="14" s="1"/>
  <c r="G68" i="14" s="1"/>
  <c r="F73" i="14" a="1"/>
  <c r="F73" i="14" s="1"/>
  <c r="G73" i="14" s="1"/>
  <c r="F76" i="14" a="1"/>
  <c r="F76" i="14" s="1"/>
  <c r="G76" i="14" s="1"/>
  <c r="F81" i="14" a="1"/>
  <c r="F81" i="14" s="1"/>
  <c r="G81" i="14" s="1"/>
  <c r="F58" i="14" a="1"/>
  <c r="F58" i="14" s="1"/>
  <c r="G58" i="14" s="1"/>
  <c r="F66" i="14" a="1"/>
  <c r="F66" i="14" s="1"/>
  <c r="G66" i="14" s="1"/>
  <c r="F74" i="14" a="1"/>
  <c r="F74" i="14" s="1"/>
  <c r="G74" i="14" s="1"/>
  <c r="F50" i="14" a="1"/>
  <c r="F50" i="14" s="1"/>
  <c r="G50" i="14" s="1"/>
  <c r="F53" i="14" a="1"/>
  <c r="F53" i="14" s="1"/>
  <c r="G53" i="14" s="1"/>
  <c r="F56" i="14" a="1"/>
  <c r="F56" i="14" s="1"/>
  <c r="G56" i="14" s="1"/>
  <c r="F61" i="14" a="1"/>
  <c r="F61" i="14" s="1"/>
  <c r="G61" i="14" s="1"/>
  <c r="F69" i="14" a="1"/>
  <c r="F69" i="14" s="1"/>
  <c r="G69" i="14" s="1"/>
  <c r="F77" i="14" a="1"/>
  <c r="F77" i="14" s="1"/>
  <c r="G77" i="14" s="1"/>
  <c r="Q15" i="18"/>
  <c r="Q14" i="18" s="1"/>
  <c r="S14" i="18" s="1"/>
  <c r="KC5" i="55" l="1" a="1"/>
  <c r="JP6" i="55" a="1"/>
  <c r="Z41" i="14"/>
  <c r="AB41" i="14" s="1"/>
  <c r="AB40" i="14"/>
  <c r="I15" i="18"/>
  <c r="J14" i="18" s="1"/>
  <c r="K14" i="18" s="1"/>
  <c r="I30" i="18"/>
  <c r="L25" i="18" s="1"/>
  <c r="S15" i="18"/>
  <c r="V10" i="18" s="1"/>
  <c r="JP8" i="55" l="1"/>
  <c r="JP35" i="55" s="1"/>
  <c r="JP11" i="55"/>
  <c r="JP38" i="55" s="1"/>
  <c r="JP14" i="55"/>
  <c r="JP41" i="55" s="1"/>
  <c r="JP6" i="55"/>
  <c r="JP33" i="55" s="1"/>
  <c r="JP12" i="55"/>
  <c r="JP39" i="55" s="1"/>
  <c r="JP9" i="55"/>
  <c r="JP36" i="55" s="1"/>
  <c r="JP7" i="55"/>
  <c r="JP34" i="55" s="1"/>
  <c r="JP10" i="55"/>
  <c r="JP37" i="55" s="1"/>
  <c r="JP13" i="55"/>
  <c r="JP40" i="55" s="1"/>
  <c r="KC5" i="55"/>
  <c r="KK5" i="55"/>
  <c r="KE5" i="55"/>
  <c r="KI5" i="55"/>
  <c r="KH5" i="55"/>
  <c r="KD5" i="55"/>
  <c r="KG5" i="55"/>
  <c r="KF5" i="55"/>
  <c r="KJ5" i="55"/>
  <c r="N14" i="18"/>
  <c r="L7" i="18"/>
  <c r="M7" i="18" s="1"/>
  <c r="V8" i="18"/>
  <c r="W8" i="18" s="1"/>
  <c r="M29" i="18"/>
  <c r="L9" i="18"/>
  <c r="M9" i="18" s="1"/>
  <c r="L22" i="18"/>
  <c r="N22" i="18" s="1"/>
  <c r="L10" i="18"/>
  <c r="N10" i="18" s="1"/>
  <c r="L23" i="18"/>
  <c r="M23" i="18" s="1"/>
  <c r="L24" i="18"/>
  <c r="M24" i="18" s="1"/>
  <c r="M14" i="18"/>
  <c r="N29" i="18"/>
  <c r="L8" i="18"/>
  <c r="N8" i="18" s="1"/>
  <c r="J29" i="18"/>
  <c r="K29" i="18" s="1"/>
  <c r="T14" i="18"/>
  <c r="U14" i="18" s="1"/>
  <c r="V9" i="18"/>
  <c r="X9" i="18" s="1"/>
  <c r="V7" i="18"/>
  <c r="W7" i="18" s="1"/>
  <c r="W14" i="18"/>
  <c r="X14" i="18"/>
  <c r="X8" i="18"/>
  <c r="N25" i="18"/>
  <c r="M25" i="18"/>
  <c r="X10" i="18"/>
  <c r="W10" i="18"/>
  <c r="N7" i="18" l="1"/>
  <c r="KO5" i="55" a="1"/>
  <c r="KB6" i="55" a="1"/>
  <c r="N23" i="18"/>
  <c r="M22" i="18"/>
  <c r="M10" i="18"/>
  <c r="M8" i="18"/>
  <c r="N24" i="18"/>
  <c r="N9" i="18"/>
  <c r="W9" i="18"/>
  <c r="X7" i="18"/>
  <c r="KB14" i="55" l="1"/>
  <c r="KB41" i="55" s="1"/>
  <c r="KB9" i="55"/>
  <c r="KB36" i="55" s="1"/>
  <c r="KB13" i="55"/>
  <c r="KB40" i="55" s="1"/>
  <c r="KB10" i="55"/>
  <c r="KB37" i="55" s="1"/>
  <c r="KB8" i="55"/>
  <c r="KB35" i="55" s="1"/>
  <c r="KB11" i="55"/>
  <c r="KB38" i="55" s="1"/>
  <c r="KB7" i="55"/>
  <c r="KB34" i="55" s="1"/>
  <c r="KB6" i="55"/>
  <c r="KB33" i="55" s="1"/>
  <c r="KB12" i="55"/>
  <c r="KB39" i="55" s="1"/>
  <c r="KW5" i="55"/>
  <c r="KO5" i="55"/>
  <c r="KS5" i="55"/>
  <c r="KP5" i="55"/>
  <c r="KU5" i="55"/>
  <c r="KQ5" i="55"/>
  <c r="KT5" i="55"/>
  <c r="KR5" i="55"/>
  <c r="KV5" i="55"/>
  <c r="J15" i="15"/>
  <c r="L35" i="17"/>
  <c r="L20" i="17"/>
  <c r="L5" i="17"/>
  <c r="H46" i="17"/>
  <c r="G46" i="17"/>
  <c r="I46" i="17" s="1"/>
  <c r="I33" i="17"/>
  <c r="H31" i="17"/>
  <c r="G31" i="17"/>
  <c r="I18" i="17"/>
  <c r="H16" i="17"/>
  <c r="G16" i="17"/>
  <c r="I3" i="17"/>
  <c r="G7" i="15"/>
  <c r="H7" i="15"/>
  <c r="I7" i="15"/>
  <c r="G8" i="15"/>
  <c r="H8" i="15"/>
  <c r="I8" i="15"/>
  <c r="G9" i="15"/>
  <c r="H9" i="15"/>
  <c r="I9" i="15"/>
  <c r="H6" i="15"/>
  <c r="I6" i="15"/>
  <c r="G6" i="15"/>
  <c r="I10" i="15"/>
  <c r="H10" i="15"/>
  <c r="G10" i="15"/>
  <c r="G17" i="15" l="1"/>
  <c r="P16" i="15" a="1"/>
  <c r="P17" i="15" s="1"/>
  <c r="I31" i="17"/>
  <c r="H18" i="15"/>
  <c r="I16" i="17"/>
  <c r="G18" i="15"/>
  <c r="LA5" i="55" a="1"/>
  <c r="KN6" i="55" a="1"/>
  <c r="H15" i="15"/>
  <c r="T6" i="15" a="1"/>
  <c r="T8" i="15" s="1"/>
  <c r="T21" i="15" a="1"/>
  <c r="U22" i="15" s="1"/>
  <c r="H15" i="17"/>
  <c r="H30" i="17"/>
  <c r="L29" i="17" s="1"/>
  <c r="H45" i="17"/>
  <c r="L44" i="17" s="1"/>
  <c r="P21" i="15" a="1"/>
  <c r="Q21" i="15" s="1"/>
  <c r="I15" i="15"/>
  <c r="L4" i="15" a="1"/>
  <c r="L5" i="15" s="1"/>
  <c r="I16" i="15"/>
  <c r="I17" i="15"/>
  <c r="H16" i="15"/>
  <c r="H17" i="15"/>
  <c r="G16" i="15"/>
  <c r="G15" i="15"/>
  <c r="T11" i="15" a="1"/>
  <c r="U11" i="15" s="1"/>
  <c r="T16" i="15" a="1"/>
  <c r="U16" i="15" s="1"/>
  <c r="I18" i="15"/>
  <c r="P6" i="15" a="1"/>
  <c r="R8" i="15" s="1"/>
  <c r="P11" i="15" a="1"/>
  <c r="P12" i="15" s="1"/>
  <c r="R18" i="15"/>
  <c r="J16" i="15"/>
  <c r="J17" i="15"/>
  <c r="J18" i="15"/>
  <c r="Q16" i="15" l="1"/>
  <c r="V8" i="15"/>
  <c r="R16" i="15"/>
  <c r="Q18" i="15"/>
  <c r="R21" i="15"/>
  <c r="P18" i="15"/>
  <c r="P16" i="15"/>
  <c r="Q22" i="15"/>
  <c r="Q17" i="15"/>
  <c r="R17" i="15"/>
  <c r="V6" i="15"/>
  <c r="T6" i="15"/>
  <c r="LI5" i="55"/>
  <c r="LA5" i="55"/>
  <c r="LC5" i="55"/>
  <c r="LF5" i="55"/>
  <c r="LB5" i="55"/>
  <c r="LG5" i="55"/>
  <c r="LE5" i="55"/>
  <c r="LD5" i="55"/>
  <c r="LH5" i="55"/>
  <c r="KN9" i="55"/>
  <c r="KN36" i="55" s="1"/>
  <c r="KN7" i="55"/>
  <c r="KN34" i="55" s="1"/>
  <c r="KN10" i="55"/>
  <c r="KN37" i="55" s="1"/>
  <c r="KN13" i="55"/>
  <c r="KN40" i="55" s="1"/>
  <c r="KN6" i="55"/>
  <c r="KN33" i="55" s="1"/>
  <c r="KN14" i="55"/>
  <c r="KN41" i="55" s="1"/>
  <c r="KN12" i="55"/>
  <c r="KN39" i="55" s="1"/>
  <c r="KN8" i="55"/>
  <c r="KN35" i="55" s="1"/>
  <c r="KN11" i="55"/>
  <c r="KN38" i="55" s="1"/>
  <c r="L6" i="15"/>
  <c r="L4" i="15"/>
  <c r="T21" i="15"/>
  <c r="P23" i="15"/>
  <c r="R23" i="15"/>
  <c r="U23" i="15"/>
  <c r="P22" i="15"/>
  <c r="V7" i="15"/>
  <c r="U8" i="15"/>
  <c r="V22" i="15"/>
  <c r="R13" i="15"/>
  <c r="P21" i="15"/>
  <c r="U6" i="15"/>
  <c r="T7" i="15"/>
  <c r="U21" i="15"/>
  <c r="N6" i="15"/>
  <c r="P13" i="15"/>
  <c r="M4" i="15"/>
  <c r="M6" i="15"/>
  <c r="N5" i="15"/>
  <c r="T23" i="15"/>
  <c r="V23" i="15"/>
  <c r="T22" i="15"/>
  <c r="U7" i="15"/>
  <c r="V21" i="15"/>
  <c r="G38" i="17"/>
  <c r="H38" i="17"/>
  <c r="I38" i="17"/>
  <c r="J38" i="17" a="1"/>
  <c r="J38" i="17" s="1"/>
  <c r="I10" i="17"/>
  <c r="J10" i="17" a="1"/>
  <c r="J10" i="17" s="1"/>
  <c r="G10" i="17"/>
  <c r="H10" i="17"/>
  <c r="I25" i="17"/>
  <c r="J25" i="17" a="1"/>
  <c r="J25" i="17" s="1"/>
  <c r="G25" i="17"/>
  <c r="H25" i="17"/>
  <c r="I37" i="17"/>
  <c r="H37" i="17"/>
  <c r="J37" i="17" a="1"/>
  <c r="J37" i="17" s="1"/>
  <c r="G37" i="17"/>
  <c r="J9" i="17" a="1"/>
  <c r="J9" i="17" s="1"/>
  <c r="G9" i="17"/>
  <c r="H9" i="17"/>
  <c r="I9" i="17"/>
  <c r="J24" i="17" a="1"/>
  <c r="J24" i="17" s="1"/>
  <c r="G24" i="17"/>
  <c r="H24" i="17"/>
  <c r="I24" i="17"/>
  <c r="G40" i="17"/>
  <c r="H40" i="17"/>
  <c r="I40" i="17"/>
  <c r="J40" i="17" a="1"/>
  <c r="J40" i="17" s="1"/>
  <c r="L14" i="17"/>
  <c r="J8" i="17" a="1"/>
  <c r="J8" i="17" s="1"/>
  <c r="G8" i="17"/>
  <c r="H8" i="17"/>
  <c r="I8" i="17"/>
  <c r="J23" i="17" a="1"/>
  <c r="J23" i="17" s="1"/>
  <c r="G23" i="17"/>
  <c r="H23" i="17"/>
  <c r="I23" i="17"/>
  <c r="G39" i="17"/>
  <c r="H39" i="17"/>
  <c r="I39" i="17"/>
  <c r="J39" i="17" a="1"/>
  <c r="J39" i="17" s="1"/>
  <c r="I7" i="17"/>
  <c r="H7" i="17"/>
  <c r="G7" i="17"/>
  <c r="J7" i="17" a="1"/>
  <c r="J7" i="17" s="1"/>
  <c r="I22" i="17"/>
  <c r="H22" i="17"/>
  <c r="G22" i="17"/>
  <c r="J22" i="17" a="1"/>
  <c r="J22" i="17" s="1"/>
  <c r="T12" i="15"/>
  <c r="L9" i="15" a="1"/>
  <c r="M9" i="15" s="1"/>
  <c r="M14" i="15" s="1"/>
  <c r="V12" i="15"/>
  <c r="V11" i="15"/>
  <c r="T11" i="15"/>
  <c r="T18" i="15"/>
  <c r="V18" i="15"/>
  <c r="T17" i="15"/>
  <c r="R22" i="15"/>
  <c r="Q23" i="15"/>
  <c r="M5" i="15"/>
  <c r="N4" i="15"/>
  <c r="T13" i="15"/>
  <c r="T16" i="15"/>
  <c r="V13" i="15"/>
  <c r="U12" i="15"/>
  <c r="V16" i="15"/>
  <c r="U17" i="15"/>
  <c r="U13" i="15"/>
  <c r="V17" i="15"/>
  <c r="U18" i="15"/>
  <c r="R7" i="15"/>
  <c r="Q8" i="15"/>
  <c r="Q6" i="15"/>
  <c r="R6" i="15"/>
  <c r="P7" i="15"/>
  <c r="P8" i="15"/>
  <c r="Q7" i="15"/>
  <c r="P6" i="15"/>
  <c r="Q13" i="15"/>
  <c r="Q11" i="15"/>
  <c r="P11" i="15"/>
  <c r="R12" i="15"/>
  <c r="Q12" i="15"/>
  <c r="R11" i="15"/>
  <c r="T26" i="15" l="1" a="1"/>
  <c r="T26" i="15" s="1"/>
  <c r="LM5" i="55" a="1"/>
  <c r="KZ6" i="55" a="1"/>
  <c r="N11" i="15"/>
  <c r="N16" i="15" s="1"/>
  <c r="K38" i="17"/>
  <c r="K22" i="17"/>
  <c r="K7" i="17"/>
  <c r="K39" i="17"/>
  <c r="K40" i="17"/>
  <c r="K23" i="17"/>
  <c r="K8" i="17"/>
  <c r="K24" i="17"/>
  <c r="K9" i="17"/>
  <c r="K25" i="17"/>
  <c r="K10" i="17"/>
  <c r="K37" i="17"/>
  <c r="N10" i="15"/>
  <c r="N15" i="15" s="1"/>
  <c r="L10" i="15"/>
  <c r="L15" i="15" s="1"/>
  <c r="N9" i="15"/>
  <c r="N14" i="15" s="1"/>
  <c r="M11" i="15"/>
  <c r="M16" i="15" s="1"/>
  <c r="M10" i="15"/>
  <c r="M15" i="15" s="1"/>
  <c r="L11" i="15"/>
  <c r="L16" i="15" s="1"/>
  <c r="L9" i="15"/>
  <c r="L14" i="15" s="1"/>
  <c r="P26" i="15" a="1"/>
  <c r="R27" i="15" s="1"/>
  <c r="V26" i="15"/>
  <c r="V27" i="15"/>
  <c r="U27" i="15"/>
  <c r="T27" i="15"/>
  <c r="L33" i="14"/>
  <c r="M33" i="14"/>
  <c r="N33" i="14"/>
  <c r="O33" i="14"/>
  <c r="M19" i="14"/>
  <c r="N19" i="14"/>
  <c r="O19" i="14"/>
  <c r="L19" i="14"/>
  <c r="O5" i="14"/>
  <c r="L5" i="14"/>
  <c r="M5" i="14"/>
  <c r="N5" i="14"/>
  <c r="V28" i="15" l="1"/>
  <c r="P26" i="15"/>
  <c r="T28" i="15"/>
  <c r="U28" i="15"/>
  <c r="U26" i="15"/>
  <c r="KZ6" i="55"/>
  <c r="KZ33" i="55" s="1"/>
  <c r="KZ13" i="55"/>
  <c r="KZ40" i="55" s="1"/>
  <c r="KZ14" i="55"/>
  <c r="KZ41" i="55" s="1"/>
  <c r="KZ9" i="55"/>
  <c r="KZ36" i="55" s="1"/>
  <c r="KZ7" i="55"/>
  <c r="KZ34" i="55" s="1"/>
  <c r="KZ11" i="55"/>
  <c r="KZ38" i="55" s="1"/>
  <c r="KZ8" i="55"/>
  <c r="KZ35" i="55" s="1"/>
  <c r="KZ10" i="55"/>
  <c r="KZ37" i="55" s="1"/>
  <c r="KZ12" i="55"/>
  <c r="KZ39" i="55" s="1"/>
  <c r="LM5" i="55"/>
  <c r="LR5" i="55"/>
  <c r="LO5" i="55"/>
  <c r="LP5" i="55"/>
  <c r="LN5" i="55"/>
  <c r="LQ5" i="55"/>
  <c r="LU5" i="55"/>
  <c r="LT5" i="55"/>
  <c r="LS5" i="55"/>
  <c r="AN4" i="14"/>
  <c r="AN3" i="14"/>
  <c r="AO3" i="14" s="1"/>
  <c r="AN5" i="14"/>
  <c r="G30" i="17"/>
  <c r="I30" i="17" s="1"/>
  <c r="G45" i="17"/>
  <c r="I45" i="17" s="1"/>
  <c r="G15" i="17"/>
  <c r="G14" i="17" s="1"/>
  <c r="I14" i="17" s="1"/>
  <c r="X4" i="15" a="1"/>
  <c r="Y4" i="15" s="1"/>
  <c r="G42" i="14"/>
  <c r="G43" i="14"/>
  <c r="AB4" i="15" a="1"/>
  <c r="AB5" i="15" s="1"/>
  <c r="AG4" i="15"/>
  <c r="AJ11" i="15" s="1"/>
  <c r="AJ12" i="15" s="1"/>
  <c r="AJ13" i="15" s="1"/>
  <c r="AJ18" i="15" s="1"/>
  <c r="R28" i="15"/>
  <c r="P27" i="15"/>
  <c r="R26" i="15"/>
  <c r="Q28" i="15"/>
  <c r="P28" i="15"/>
  <c r="Q27" i="15"/>
  <c r="Q26" i="15"/>
  <c r="O23" i="14"/>
  <c r="O20" i="14"/>
  <c r="O21" i="14" s="1"/>
  <c r="O22" i="14"/>
  <c r="O24" i="14"/>
  <c r="N34" i="14"/>
  <c r="N35" i="14" s="1"/>
  <c r="N38" i="14"/>
  <c r="N37" i="14"/>
  <c r="N36" i="14"/>
  <c r="N20" i="14"/>
  <c r="N21" i="14" s="1"/>
  <c r="N22" i="14"/>
  <c r="N24" i="14"/>
  <c r="N23" i="14"/>
  <c r="M37" i="14"/>
  <c r="M36" i="14"/>
  <c r="M34" i="14"/>
  <c r="M35" i="14" s="1"/>
  <c r="M38" i="14"/>
  <c r="M24" i="14"/>
  <c r="M23" i="14"/>
  <c r="M20" i="14"/>
  <c r="M21" i="14" s="1"/>
  <c r="M22" i="14"/>
  <c r="L36" i="14"/>
  <c r="L38" i="14"/>
  <c r="L34" i="14"/>
  <c r="L35" i="14" s="1"/>
  <c r="L37" i="14"/>
  <c r="L24" i="14"/>
  <c r="L20" i="14"/>
  <c r="L21" i="14" s="1"/>
  <c r="L23" i="14"/>
  <c r="L22" i="14"/>
  <c r="O34" i="14"/>
  <c r="O35" i="14" s="1"/>
  <c r="O38" i="14"/>
  <c r="O37" i="14"/>
  <c r="O36" i="14"/>
  <c r="N8" i="14"/>
  <c r="N10" i="14"/>
  <c r="N6" i="14"/>
  <c r="N7" i="14" s="1"/>
  <c r="N9" i="14"/>
  <c r="M10" i="14"/>
  <c r="M6" i="14"/>
  <c r="M7" i="14" s="1"/>
  <c r="M9" i="14"/>
  <c r="M8" i="14"/>
  <c r="L9" i="14"/>
  <c r="L10" i="14"/>
  <c r="L8" i="14"/>
  <c r="L6" i="14"/>
  <c r="L7" i="14" s="1"/>
  <c r="O8" i="14"/>
  <c r="O10" i="14"/>
  <c r="O6" i="14"/>
  <c r="O7" i="14" s="1"/>
  <c r="O9" i="14"/>
  <c r="AB4" i="15" l="1"/>
  <c r="AC5" i="15"/>
  <c r="LY5" i="55" a="1"/>
  <c r="LL6" i="55" a="1"/>
  <c r="AC6" i="15"/>
  <c r="G29" i="17"/>
  <c r="I29" i="17" s="1"/>
  <c r="J29" i="17" s="1"/>
  <c r="K29" i="17" s="1"/>
  <c r="AP15" i="14"/>
  <c r="AP14" i="14"/>
  <c r="AO8" i="14"/>
  <c r="AO9" i="14"/>
  <c r="AO14" i="14"/>
  <c r="AO12" i="14"/>
  <c r="AO15" i="14"/>
  <c r="AO10" i="14"/>
  <c r="AO13" i="14"/>
  <c r="AO11" i="14"/>
  <c r="AP11" i="14"/>
  <c r="AP9" i="14"/>
  <c r="AP12" i="14"/>
  <c r="AP10" i="14"/>
  <c r="AP8" i="14"/>
  <c r="AP13" i="14"/>
  <c r="AD4" i="15"/>
  <c r="AD5" i="15"/>
  <c r="AD6" i="15"/>
  <c r="AC4" i="15"/>
  <c r="AB6" i="15"/>
  <c r="G44" i="17"/>
  <c r="I44" i="17" s="1"/>
  <c r="J44" i="17" s="1"/>
  <c r="K44" i="17" s="1"/>
  <c r="Z5" i="15"/>
  <c r="X4" i="15"/>
  <c r="I15" i="17"/>
  <c r="L8" i="17" s="1"/>
  <c r="X6" i="15"/>
  <c r="Z4" i="15"/>
  <c r="Y6" i="15"/>
  <c r="Y5" i="15"/>
  <c r="G44" i="14"/>
  <c r="X5" i="15"/>
  <c r="Z6" i="15"/>
  <c r="L25" i="17"/>
  <c r="M29" i="17"/>
  <c r="L22" i="17"/>
  <c r="L23" i="17"/>
  <c r="N29" i="17"/>
  <c r="L24" i="17"/>
  <c r="L40" i="17"/>
  <c r="L37" i="17"/>
  <c r="L39" i="17"/>
  <c r="L38" i="17"/>
  <c r="N44" i="17"/>
  <c r="M44" i="17"/>
  <c r="M38" i="17" l="1"/>
  <c r="N38" i="17"/>
  <c r="M39" i="17"/>
  <c r="N39" i="17"/>
  <c r="M25" i="17"/>
  <c r="N25" i="17"/>
  <c r="M8" i="17"/>
  <c r="N8" i="17"/>
  <c r="M24" i="17"/>
  <c r="N24" i="17"/>
  <c r="N37" i="17"/>
  <c r="M37" i="17"/>
  <c r="M23" i="17"/>
  <c r="N23" i="17"/>
  <c r="M40" i="17"/>
  <c r="N40" i="17"/>
  <c r="N22" i="17"/>
  <c r="M22" i="17"/>
  <c r="LL6" i="55"/>
  <c r="LL33" i="55" s="1"/>
  <c r="LL11" i="55"/>
  <c r="LL38" i="55" s="1"/>
  <c r="LL8" i="55"/>
  <c r="LL35" i="55" s="1"/>
  <c r="LL10" i="55"/>
  <c r="LL37" i="55" s="1"/>
  <c r="LL13" i="55"/>
  <c r="LL40" i="55" s="1"/>
  <c r="LL7" i="55"/>
  <c r="LL34" i="55" s="1"/>
  <c r="LL9" i="55"/>
  <c r="LL36" i="55" s="1"/>
  <c r="LL12" i="55"/>
  <c r="LL39" i="55" s="1"/>
  <c r="LL14" i="55"/>
  <c r="LL41" i="55" s="1"/>
  <c r="LY5" i="55"/>
  <c r="ME5" i="55"/>
  <c r="LZ5" i="55"/>
  <c r="MD5" i="55"/>
  <c r="MA5" i="55"/>
  <c r="MB5" i="55"/>
  <c r="MG5" i="55"/>
  <c r="MC5" i="55"/>
  <c r="MF5" i="55"/>
  <c r="X11" i="15" a="1"/>
  <c r="Y11" i="15" s="1"/>
  <c r="AP3" i="15"/>
  <c r="AP4" i="15" s="1"/>
  <c r="AP9" i="15" s="1"/>
  <c r="N14" i="17"/>
  <c r="L10" i="17"/>
  <c r="J14" i="17"/>
  <c r="K14" i="17" s="1"/>
  <c r="L9" i="17"/>
  <c r="L7" i="17"/>
  <c r="M14" i="17"/>
  <c r="AM9" i="15"/>
  <c r="AM10" i="15" s="1"/>
  <c r="AM15" i="15" s="1"/>
  <c r="X11" i="15" l="1"/>
  <c r="Z13" i="15"/>
  <c r="M10" i="17"/>
  <c r="N10" i="17"/>
  <c r="N7" i="17"/>
  <c r="M7" i="17"/>
  <c r="M9" i="17"/>
  <c r="N9" i="17"/>
  <c r="Y13" i="15"/>
  <c r="X13" i="15"/>
  <c r="X12" i="15"/>
  <c r="Z12" i="15"/>
  <c r="MK5" i="55" a="1"/>
  <c r="LX6" i="55" a="1"/>
  <c r="Y12" i="15"/>
  <c r="Z11" i="15"/>
  <c r="AC13" i="15" l="1" a="1"/>
  <c r="LX7" i="55"/>
  <c r="LX34" i="55" s="1"/>
  <c r="LX11" i="55"/>
  <c r="LX38" i="55" s="1"/>
  <c r="LX10" i="55"/>
  <c r="LX37" i="55" s="1"/>
  <c r="LX13" i="55"/>
  <c r="LX40" i="55" s="1"/>
  <c r="LX6" i="55"/>
  <c r="LX33" i="55" s="1"/>
  <c r="LX8" i="55"/>
  <c r="LX35" i="55" s="1"/>
  <c r="LX14" i="55"/>
  <c r="LX41" i="55" s="1"/>
  <c r="LX9" i="55"/>
  <c r="LX36" i="55" s="1"/>
  <c r="LX12" i="55"/>
  <c r="LX39" i="55" s="1"/>
  <c r="MK5" i="55"/>
  <c r="MN5" i="55"/>
  <c r="MP5" i="55"/>
  <c r="MQ5" i="55"/>
  <c r="MS5" i="55"/>
  <c r="MR5" i="55"/>
  <c r="ML5" i="55"/>
  <c r="MO5" i="55"/>
  <c r="MM5" i="55"/>
  <c r="AC14" i="15" l="1"/>
  <c r="AC13" i="15"/>
  <c r="AC12" i="15"/>
  <c r="AC11" i="15" a="1"/>
  <c r="AC11" i="15" s="1"/>
  <c r="MJ6" i="55" a="1"/>
  <c r="N17" i="7"/>
  <c r="O17" i="7"/>
  <c r="P17" i="7"/>
  <c r="O24" i="7"/>
  <c r="P24" i="7" s="1"/>
  <c r="A15" i="13"/>
  <c r="A9" i="13"/>
  <c r="F5" i="13"/>
  <c r="A3" i="13"/>
  <c r="C25" i="12"/>
  <c r="B25" i="12"/>
  <c r="A25" i="12"/>
  <c r="A24" i="12"/>
  <c r="G23" i="12"/>
  <c r="F23" i="12"/>
  <c r="E23" i="12"/>
  <c r="C23" i="12"/>
  <c r="A23" i="12"/>
  <c r="G22" i="12"/>
  <c r="F22" i="12"/>
  <c r="E22" i="12"/>
  <c r="C22" i="12"/>
  <c r="B22" i="12"/>
  <c r="A22" i="12"/>
  <c r="G21" i="12"/>
  <c r="F21" i="12"/>
  <c r="E21" i="12"/>
  <c r="B21" i="12"/>
  <c r="A21" i="12"/>
  <c r="G20" i="12"/>
  <c r="F20" i="12"/>
  <c r="E20" i="12"/>
  <c r="C20" i="12"/>
  <c r="B20" i="12"/>
  <c r="A20" i="12"/>
  <c r="G19" i="12"/>
  <c r="F19" i="12"/>
  <c r="E19" i="12"/>
  <c r="C19" i="12"/>
  <c r="A19" i="12"/>
  <c r="G18" i="12"/>
  <c r="F18" i="12"/>
  <c r="E18" i="12"/>
  <c r="C18" i="12"/>
  <c r="A18" i="12"/>
  <c r="G17" i="12"/>
  <c r="F17" i="12"/>
  <c r="E17" i="12"/>
  <c r="C17" i="12"/>
  <c r="B17" i="12"/>
  <c r="A17" i="12"/>
  <c r="G16" i="12"/>
  <c r="F16" i="12"/>
  <c r="E16" i="12"/>
  <c r="B16" i="12"/>
  <c r="A16" i="12"/>
  <c r="G15" i="12"/>
  <c r="F15" i="12"/>
  <c r="E15" i="12"/>
  <c r="C15" i="12"/>
  <c r="A15" i="12"/>
  <c r="G14" i="12"/>
  <c r="F14" i="12"/>
  <c r="E14" i="12"/>
  <c r="B14" i="12"/>
  <c r="A14" i="12"/>
  <c r="G13" i="12"/>
  <c r="F13" i="12"/>
  <c r="E13" i="12"/>
  <c r="C13" i="12"/>
  <c r="A13" i="12"/>
  <c r="G12" i="12"/>
  <c r="F12" i="12"/>
  <c r="E12" i="12"/>
  <c r="C12" i="12"/>
  <c r="B12" i="12"/>
  <c r="A12" i="12"/>
  <c r="G11" i="12"/>
  <c r="F11" i="12"/>
  <c r="E11" i="12"/>
  <c r="C11" i="12"/>
  <c r="A11" i="12"/>
  <c r="G10" i="12"/>
  <c r="F10" i="12"/>
  <c r="E10" i="12"/>
  <c r="C10" i="12"/>
  <c r="B10" i="12"/>
  <c r="A10" i="12"/>
  <c r="G9" i="12"/>
  <c r="F9" i="12"/>
  <c r="E9" i="12"/>
  <c r="B9" i="12"/>
  <c r="A9" i="12"/>
  <c r="G8" i="12"/>
  <c r="F8" i="12"/>
  <c r="E8" i="12"/>
  <c r="C8" i="12"/>
  <c r="A8" i="12"/>
  <c r="G7" i="12"/>
  <c r="F7" i="12"/>
  <c r="E7" i="12"/>
  <c r="A7" i="12"/>
  <c r="G6" i="12"/>
  <c r="F6" i="12"/>
  <c r="E6" i="12"/>
  <c r="C6" i="12"/>
  <c r="B6" i="12"/>
  <c r="A6" i="12"/>
  <c r="A15" i="11"/>
  <c r="A9" i="11"/>
  <c r="F5" i="11"/>
  <c r="A3" i="11"/>
  <c r="F5" i="9"/>
  <c r="A15" i="9"/>
  <c r="A9" i="9"/>
  <c r="A3" i="9"/>
  <c r="G28" i="7"/>
  <c r="P28" i="7" s="1"/>
  <c r="F28" i="7"/>
  <c r="O28" i="7" s="1"/>
  <c r="E28" i="7"/>
  <c r="N28" i="7" s="1"/>
  <c r="C28" i="7"/>
  <c r="P27" i="7" s="1"/>
  <c r="B28" i="7"/>
  <c r="O27" i="7" s="1"/>
  <c r="A28" i="7"/>
  <c r="N27" i="7" s="1"/>
  <c r="A27" i="7"/>
  <c r="O43" i="7"/>
  <c r="P43" i="7" s="1"/>
  <c r="P37" i="7"/>
  <c r="O37" i="7"/>
  <c r="N37" i="7"/>
  <c r="G28" i="5"/>
  <c r="P28" i="5" s="1"/>
  <c r="F28" i="5"/>
  <c r="O28" i="5" s="1"/>
  <c r="E28" i="5"/>
  <c r="N28" i="5" s="1"/>
  <c r="B28" i="5"/>
  <c r="O27" i="5" s="1"/>
  <c r="C28" i="5"/>
  <c r="P27" i="5" s="1"/>
  <c r="A28" i="5"/>
  <c r="N27" i="5" s="1"/>
  <c r="A27" i="5"/>
  <c r="O37" i="5"/>
  <c r="P37" i="5"/>
  <c r="N37" i="5"/>
  <c r="O17" i="5"/>
  <c r="P17" i="5"/>
  <c r="N17" i="5"/>
  <c r="O43" i="5"/>
  <c r="O24" i="5"/>
  <c r="P24" i="5" s="1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F6" i="6"/>
  <c r="G6" i="6"/>
  <c r="E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A18" i="6"/>
  <c r="B18" i="6"/>
  <c r="C18" i="6"/>
  <c r="A19" i="6"/>
  <c r="B19" i="6"/>
  <c r="C19" i="6"/>
  <c r="A20" i="6"/>
  <c r="B20" i="6"/>
  <c r="C20" i="6"/>
  <c r="A21" i="6"/>
  <c r="B21" i="6"/>
  <c r="C21" i="6"/>
  <c r="A22" i="6"/>
  <c r="B22" i="6"/>
  <c r="C22" i="6"/>
  <c r="A23" i="6"/>
  <c r="B23" i="6"/>
  <c r="C23" i="6"/>
  <c r="A24" i="6"/>
  <c r="B24" i="6"/>
  <c r="C24" i="6"/>
  <c r="A25" i="6"/>
  <c r="B25" i="6"/>
  <c r="C25" i="6"/>
  <c r="B6" i="6"/>
  <c r="C6" i="6"/>
  <c r="A6" i="6"/>
  <c r="G27" i="7"/>
  <c r="F27" i="7"/>
  <c r="E27" i="7"/>
  <c r="K4" i="7" s="1" a="1"/>
  <c r="K5" i="7" s="1"/>
  <c r="K7" i="7"/>
  <c r="I5" i="9" s="1"/>
  <c r="J5" i="9" s="1"/>
  <c r="K5" i="9" s="1"/>
  <c r="I5" i="11" l="1"/>
  <c r="J5" i="11" s="1"/>
  <c r="K5" i="11" s="1"/>
  <c r="G28" i="6"/>
  <c r="C28" i="6"/>
  <c r="B6" i="38"/>
  <c r="B5" i="38"/>
  <c r="C5" i="38"/>
  <c r="B7" i="38"/>
  <c r="C6" i="38"/>
  <c r="A6" i="38"/>
  <c r="A7" i="38"/>
  <c r="B27" i="12"/>
  <c r="G27" i="12"/>
  <c r="N20" i="7"/>
  <c r="K4" i="7"/>
  <c r="K6" i="7"/>
  <c r="F6" i="38"/>
  <c r="S18" i="7"/>
  <c r="I5" i="13"/>
  <c r="J5" i="13" s="1"/>
  <c r="K5" i="13" s="1"/>
  <c r="MJ10" i="55"/>
  <c r="MJ37" i="55" s="1"/>
  <c r="MJ9" i="55"/>
  <c r="MJ36" i="55" s="1"/>
  <c r="MJ11" i="55"/>
  <c r="MJ38" i="55" s="1"/>
  <c r="MJ6" i="55"/>
  <c r="MJ33" i="55" s="1"/>
  <c r="MJ13" i="55"/>
  <c r="MJ40" i="55" s="1"/>
  <c r="MJ12" i="55"/>
  <c r="MJ39" i="55" s="1"/>
  <c r="MJ14" i="55"/>
  <c r="MJ41" i="55" s="1"/>
  <c r="MJ7" i="55"/>
  <c r="MJ34" i="55" s="1"/>
  <c r="MJ8" i="55"/>
  <c r="MJ35" i="55" s="1"/>
  <c r="C27" i="12"/>
  <c r="J7" i="12"/>
  <c r="A28" i="6"/>
  <c r="F28" i="6"/>
  <c r="K7" i="12"/>
  <c r="C27" i="6"/>
  <c r="E28" i="6"/>
  <c r="A28" i="12"/>
  <c r="F28" i="12"/>
  <c r="C7" i="38"/>
  <c r="A5" i="38"/>
  <c r="C13" i="38"/>
  <c r="B12" i="38"/>
  <c r="A11" i="38"/>
  <c r="E6" i="38" s="1"/>
  <c r="B13" i="38"/>
  <c r="A12" i="38"/>
  <c r="A13" i="38"/>
  <c r="C11" i="38"/>
  <c r="C12" i="38"/>
  <c r="B11" i="38"/>
  <c r="E27" i="12"/>
  <c r="B28" i="12"/>
  <c r="G28" i="12"/>
  <c r="J16" i="12"/>
  <c r="J19" i="12" s="1"/>
  <c r="A27" i="12"/>
  <c r="F27" i="12"/>
  <c r="C28" i="12"/>
  <c r="E28" i="12"/>
  <c r="J16" i="6"/>
  <c r="J19" i="6" s="1"/>
  <c r="F27" i="6"/>
  <c r="B28" i="6"/>
  <c r="E27" i="6"/>
  <c r="K7" i="6"/>
  <c r="B27" i="6"/>
  <c r="J7" i="6"/>
  <c r="G27" i="6"/>
  <c r="P43" i="5"/>
  <c r="A27" i="6"/>
  <c r="B27" i="7"/>
  <c r="J7" i="7"/>
  <c r="C27" i="7"/>
  <c r="J16" i="7"/>
  <c r="A13" i="9"/>
  <c r="C11" i="9"/>
  <c r="C12" i="9"/>
  <c r="B11" i="9"/>
  <c r="A12" i="9"/>
  <c r="C13" i="9"/>
  <c r="B12" i="9"/>
  <c r="A11" i="9"/>
  <c r="B13" i="9"/>
  <c r="C7" i="9"/>
  <c r="B6" i="9"/>
  <c r="B7" i="9"/>
  <c r="A6" i="9"/>
  <c r="C6" i="9"/>
  <c r="B5" i="9"/>
  <c r="A7" i="9"/>
  <c r="C5" i="9"/>
  <c r="J16" i="5"/>
  <c r="N21" i="5" s="1"/>
  <c r="K7" i="5"/>
  <c r="J7" i="5"/>
  <c r="N19" i="5" s="1"/>
  <c r="B27" i="5"/>
  <c r="C27" i="5"/>
  <c r="E27" i="5"/>
  <c r="F27" i="5"/>
  <c r="G27" i="5"/>
  <c r="N7" i="4"/>
  <c r="O7" i="4"/>
  <c r="P7" i="4"/>
  <c r="Q7" i="4"/>
  <c r="R7" i="4"/>
  <c r="N8" i="4"/>
  <c r="O8" i="4"/>
  <c r="P8" i="4"/>
  <c r="Q8" i="4"/>
  <c r="R8" i="4"/>
  <c r="N9" i="4"/>
  <c r="O9" i="4"/>
  <c r="P9" i="4"/>
  <c r="Q9" i="4"/>
  <c r="R9" i="4"/>
  <c r="N10" i="4"/>
  <c r="O10" i="4"/>
  <c r="P10" i="4"/>
  <c r="Q10" i="4"/>
  <c r="R10" i="4"/>
  <c r="N11" i="4"/>
  <c r="O11" i="4"/>
  <c r="P11" i="4"/>
  <c r="Q11" i="4"/>
  <c r="R11" i="4"/>
  <c r="N12" i="4"/>
  <c r="O12" i="4"/>
  <c r="P12" i="4"/>
  <c r="Q12" i="4"/>
  <c r="R12" i="4"/>
  <c r="N13" i="4"/>
  <c r="O13" i="4"/>
  <c r="P13" i="4"/>
  <c r="Q13" i="4"/>
  <c r="R13" i="4"/>
  <c r="N14" i="4"/>
  <c r="O14" i="4"/>
  <c r="P14" i="4"/>
  <c r="Q14" i="4"/>
  <c r="R14" i="4"/>
  <c r="N15" i="4"/>
  <c r="O15" i="4"/>
  <c r="P15" i="4"/>
  <c r="Q15" i="4"/>
  <c r="R15" i="4"/>
  <c r="N16" i="4"/>
  <c r="O16" i="4"/>
  <c r="P16" i="4"/>
  <c r="Q16" i="4"/>
  <c r="R16" i="4"/>
  <c r="N17" i="4"/>
  <c r="O17" i="4"/>
  <c r="P17" i="4"/>
  <c r="Q17" i="4"/>
  <c r="R17" i="4"/>
  <c r="N18" i="4"/>
  <c r="O18" i="4"/>
  <c r="P18" i="4"/>
  <c r="Q18" i="4"/>
  <c r="R18" i="4"/>
  <c r="N19" i="4"/>
  <c r="O19" i="4"/>
  <c r="P19" i="4"/>
  <c r="Q19" i="4"/>
  <c r="R19" i="4"/>
  <c r="N20" i="4"/>
  <c r="O20" i="4"/>
  <c r="P20" i="4"/>
  <c r="Q20" i="4"/>
  <c r="R20" i="4"/>
  <c r="N21" i="4"/>
  <c r="O21" i="4"/>
  <c r="P21" i="4"/>
  <c r="Q21" i="4"/>
  <c r="R21" i="4"/>
  <c r="N22" i="4"/>
  <c r="O22" i="4"/>
  <c r="P22" i="4"/>
  <c r="Q22" i="4"/>
  <c r="R22" i="4"/>
  <c r="N23" i="4"/>
  <c r="O23" i="4"/>
  <c r="P23" i="4"/>
  <c r="Q23" i="4"/>
  <c r="R23" i="4"/>
  <c r="N24" i="4"/>
  <c r="O24" i="4"/>
  <c r="P24" i="4"/>
  <c r="Q24" i="4"/>
  <c r="R24" i="4"/>
  <c r="N25" i="4"/>
  <c r="O25" i="4"/>
  <c r="P25" i="4"/>
  <c r="Q25" i="4"/>
  <c r="R25" i="4"/>
  <c r="N26" i="4"/>
  <c r="O26" i="4"/>
  <c r="P26" i="4"/>
  <c r="Q26" i="4"/>
  <c r="R26" i="4"/>
  <c r="N27" i="4"/>
  <c r="O27" i="4"/>
  <c r="P27" i="4"/>
  <c r="Q27" i="4"/>
  <c r="R27" i="4"/>
  <c r="N28" i="4"/>
  <c r="O28" i="4"/>
  <c r="P28" i="4"/>
  <c r="Q28" i="4"/>
  <c r="R28" i="4"/>
  <c r="N29" i="4"/>
  <c r="O29" i="4"/>
  <c r="P29" i="4"/>
  <c r="Q29" i="4"/>
  <c r="R29" i="4"/>
  <c r="N30" i="4"/>
  <c r="O30" i="4"/>
  <c r="P30" i="4"/>
  <c r="Q30" i="4"/>
  <c r="R30" i="4"/>
  <c r="O6" i="4"/>
  <c r="P6" i="4"/>
  <c r="Q6" i="4"/>
  <c r="R6" i="4"/>
  <c r="N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G29" i="4"/>
  <c r="AH29" i="4" s="1"/>
  <c r="AI29" i="4" s="1"/>
  <c r="AJ29" i="4" s="1"/>
  <c r="AK29" i="4" s="1"/>
  <c r="AH13" i="4"/>
  <c r="AI13" i="4" s="1"/>
  <c r="AK6" i="4"/>
  <c r="AJ6" i="4"/>
  <c r="AJ39" i="4" s="1"/>
  <c r="AI6" i="4"/>
  <c r="AI39" i="4" s="1"/>
  <c r="AH6" i="4"/>
  <c r="AH39" i="4" s="1"/>
  <c r="AG6" i="4"/>
  <c r="I19" i="3"/>
  <c r="I22" i="3" s="1"/>
  <c r="I18" i="3"/>
  <c r="U27" i="3"/>
  <c r="V27" i="3" s="1"/>
  <c r="W27" i="3" s="1"/>
  <c r="X27" i="3" s="1"/>
  <c r="Y27" i="3" s="1"/>
  <c r="V4" i="3"/>
  <c r="V44" i="3" s="1"/>
  <c r="V61" i="3" s="1"/>
  <c r="W4" i="3"/>
  <c r="W44" i="3" s="1"/>
  <c r="W61" i="3" s="1"/>
  <c r="X4" i="3"/>
  <c r="X44" i="3" s="1"/>
  <c r="X61" i="3" s="1"/>
  <c r="Y4" i="3"/>
  <c r="Y21" i="3" s="1"/>
  <c r="Y36" i="3" s="1"/>
  <c r="U4" i="3"/>
  <c r="U44" i="3" s="1"/>
  <c r="U61" i="3" s="1"/>
  <c r="V11" i="3"/>
  <c r="W11" i="3" s="1"/>
  <c r="X11" i="3" s="1"/>
  <c r="Y11" i="3" s="1"/>
  <c r="C30" i="3"/>
  <c r="D30" i="3"/>
  <c r="E30" i="3"/>
  <c r="F30" i="3"/>
  <c r="C31" i="3"/>
  <c r="D31" i="3"/>
  <c r="E31" i="3"/>
  <c r="F31" i="3"/>
  <c r="B31" i="3"/>
  <c r="B30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5" i="3"/>
  <c r="R33" i="4" l="1"/>
  <c r="Q6" i="13"/>
  <c r="I23" i="3"/>
  <c r="K4" i="5" a="1"/>
  <c r="K4" i="5" s="1"/>
  <c r="Y44" i="3"/>
  <c r="Y61" i="3" s="1"/>
  <c r="O32" i="4"/>
  <c r="U25" i="3"/>
  <c r="V25" i="3" s="1"/>
  <c r="W25" i="3" s="1"/>
  <c r="X25" i="3" s="1"/>
  <c r="Y25" i="3" s="1"/>
  <c r="I25" i="3"/>
  <c r="U28" i="3" s="1"/>
  <c r="V28" i="3" s="1"/>
  <c r="W28" i="3" s="1"/>
  <c r="X28" i="3" s="1"/>
  <c r="Y28" i="3" s="1"/>
  <c r="X21" i="3"/>
  <c r="X36" i="3" s="1"/>
  <c r="J15" i="7"/>
  <c r="J20" i="7" s="1"/>
  <c r="F5" i="38"/>
  <c r="S17" i="7"/>
  <c r="I4" i="11"/>
  <c r="I4" i="13"/>
  <c r="I4" i="9"/>
  <c r="N19" i="7"/>
  <c r="N40" i="7"/>
  <c r="O20" i="7"/>
  <c r="U24" i="3"/>
  <c r="W21" i="3"/>
  <c r="W36" i="3" s="1"/>
  <c r="U21" i="3"/>
  <c r="U36" i="3" s="1"/>
  <c r="P33" i="4"/>
  <c r="J4" i="5" a="1"/>
  <c r="J5" i="5" s="1"/>
  <c r="A17" i="38" a="1"/>
  <c r="A19" i="38" s="1"/>
  <c r="V21" i="3"/>
  <c r="V36" i="3" s="1"/>
  <c r="U8" i="3"/>
  <c r="U23" i="3"/>
  <c r="V23" i="3" s="1"/>
  <c r="W23" i="3" s="1"/>
  <c r="J19" i="7"/>
  <c r="N21" i="7"/>
  <c r="J4" i="6" a="1"/>
  <c r="J6" i="6" s="1"/>
  <c r="N39" i="5"/>
  <c r="N29" i="5"/>
  <c r="N30" i="5" s="1"/>
  <c r="N45" i="5" s="1"/>
  <c r="O19" i="5"/>
  <c r="J15" i="5"/>
  <c r="J20" i="5" s="1"/>
  <c r="N20" i="5"/>
  <c r="O21" i="5"/>
  <c r="N41" i="5"/>
  <c r="N22" i="5"/>
  <c r="O22" i="5" s="1"/>
  <c r="P22" i="5" s="1"/>
  <c r="E5" i="38"/>
  <c r="F8" i="38"/>
  <c r="J4" i="12" a="1"/>
  <c r="J6" i="12" s="1"/>
  <c r="J15" i="12"/>
  <c r="K4" i="6" a="1"/>
  <c r="K6" i="6" s="1"/>
  <c r="J15" i="6"/>
  <c r="A11" i="13"/>
  <c r="P6" i="13" s="1"/>
  <c r="B7" i="13"/>
  <c r="A13" i="13"/>
  <c r="B12" i="13"/>
  <c r="A5" i="13"/>
  <c r="C6" i="13"/>
  <c r="C11" i="13"/>
  <c r="B5" i="13"/>
  <c r="L5" i="9"/>
  <c r="M5" i="9" s="1"/>
  <c r="N5" i="9" s="1"/>
  <c r="B11" i="13"/>
  <c r="A12" i="13"/>
  <c r="C13" i="13"/>
  <c r="B6" i="13"/>
  <c r="C5" i="13"/>
  <c r="C12" i="13"/>
  <c r="B13" i="13"/>
  <c r="A6" i="13"/>
  <c r="C7" i="13"/>
  <c r="A7" i="13"/>
  <c r="Q11" i="7" a="1"/>
  <c r="Q11" i="7" s="1"/>
  <c r="A17" i="9" s="1"/>
  <c r="A5" i="9"/>
  <c r="K4" i="12" a="1"/>
  <c r="Q11" i="12" a="1"/>
  <c r="Q11" i="6" a="1"/>
  <c r="Q12" i="6" s="1"/>
  <c r="L6" i="6"/>
  <c r="J4" i="7" a="1"/>
  <c r="J4" i="7" s="1"/>
  <c r="L4" i="7" s="1"/>
  <c r="K6" i="5"/>
  <c r="K5" i="5"/>
  <c r="J19" i="5"/>
  <c r="A12" i="11"/>
  <c r="B13" i="11"/>
  <c r="A11" i="11"/>
  <c r="B12" i="11"/>
  <c r="C13" i="11"/>
  <c r="B11" i="11"/>
  <c r="C12" i="11"/>
  <c r="C11" i="11"/>
  <c r="A13" i="11"/>
  <c r="A6" i="11"/>
  <c r="B7" i="11"/>
  <c r="A5" i="11"/>
  <c r="B6" i="11"/>
  <c r="C7" i="11"/>
  <c r="B5" i="11"/>
  <c r="C6" i="11"/>
  <c r="C5" i="11"/>
  <c r="A7" i="11"/>
  <c r="P32" i="4"/>
  <c r="U21" i="4"/>
  <c r="U24" i="4" s="1"/>
  <c r="AG27" i="4" s="1"/>
  <c r="AH27" i="4" s="1"/>
  <c r="AI27" i="4" s="1"/>
  <c r="AJ27" i="4" s="1"/>
  <c r="AK27" i="4" s="1"/>
  <c r="O33" i="4"/>
  <c r="Q32" i="4"/>
  <c r="Q33" i="4"/>
  <c r="N33" i="4"/>
  <c r="R32" i="4"/>
  <c r="N32" i="4"/>
  <c r="U20" i="4"/>
  <c r="AG10" i="4" s="1"/>
  <c r="AJ13" i="4"/>
  <c r="AG39" i="4"/>
  <c r="AG23" i="4"/>
  <c r="AK39" i="4"/>
  <c r="AK23" i="4"/>
  <c r="AJ23" i="4"/>
  <c r="AH23" i="4"/>
  <c r="AI23" i="4"/>
  <c r="U26" i="3"/>
  <c r="V26" i="3" s="1"/>
  <c r="W26" i="3" s="1"/>
  <c r="X26" i="3" s="1"/>
  <c r="Y26" i="3" s="1"/>
  <c r="J4" i="3" a="1"/>
  <c r="K4" i="3" s="1"/>
  <c r="AG26" i="4" l="1"/>
  <c r="AH26" i="4" s="1"/>
  <c r="AI26" i="4" s="1"/>
  <c r="J6" i="5"/>
  <c r="L6" i="5" s="1"/>
  <c r="J4" i="5"/>
  <c r="L4" i="5" s="1"/>
  <c r="N18" i="5" s="1" a="1"/>
  <c r="N18" i="5" s="1"/>
  <c r="L5" i="5"/>
  <c r="S13" i="7"/>
  <c r="C19" i="9" s="1"/>
  <c r="C17" i="38"/>
  <c r="S12" i="7"/>
  <c r="C18" i="9" s="1"/>
  <c r="Q12" i="7"/>
  <c r="A18" i="9" s="1"/>
  <c r="J5" i="6"/>
  <c r="J5" i="12"/>
  <c r="J4" i="12"/>
  <c r="J4" i="6"/>
  <c r="S11" i="7"/>
  <c r="C17" i="9" s="1"/>
  <c r="R13" i="7"/>
  <c r="B19" i="9" s="1"/>
  <c r="Q13" i="7"/>
  <c r="A19" i="9" s="1"/>
  <c r="R12" i="7"/>
  <c r="B18" i="9" s="1"/>
  <c r="B17" i="38"/>
  <c r="B18" i="38"/>
  <c r="C18" i="38"/>
  <c r="C19" i="38"/>
  <c r="J22" i="7"/>
  <c r="N25" i="7" s="1"/>
  <c r="N23" i="7"/>
  <c r="O23" i="7" s="1"/>
  <c r="P23" i="7" s="1"/>
  <c r="Q13" i="6"/>
  <c r="R12" i="6"/>
  <c r="P5" i="13"/>
  <c r="N22" i="7"/>
  <c r="O22" i="7" s="1"/>
  <c r="P22" i="7" s="1"/>
  <c r="O21" i="7"/>
  <c r="N41" i="7"/>
  <c r="P20" i="7"/>
  <c r="P40" i="7" s="1"/>
  <c r="O40" i="7"/>
  <c r="J4" i="13"/>
  <c r="K4" i="13" s="1"/>
  <c r="Q5" i="13"/>
  <c r="I6" i="13"/>
  <c r="J6" i="13" s="1"/>
  <c r="S13" i="6"/>
  <c r="A18" i="38"/>
  <c r="I6" i="11"/>
  <c r="J6" i="11" s="1"/>
  <c r="J4" i="11"/>
  <c r="K4" i="11" s="1"/>
  <c r="R11" i="6"/>
  <c r="S12" i="6"/>
  <c r="O19" i="7"/>
  <c r="N29" i="7"/>
  <c r="N30" i="7" s="1"/>
  <c r="N45" i="7" s="1"/>
  <c r="N39" i="7"/>
  <c r="N42" i="7" s="1"/>
  <c r="N44" i="7" s="1"/>
  <c r="AG25" i="4"/>
  <c r="AH25" i="4" s="1"/>
  <c r="S11" i="6"/>
  <c r="R13" i="6"/>
  <c r="R11" i="7"/>
  <c r="B17" i="9" s="1"/>
  <c r="A17" i="38"/>
  <c r="B19" i="38"/>
  <c r="U48" i="3"/>
  <c r="V8" i="3"/>
  <c r="U10" i="3"/>
  <c r="V24" i="3"/>
  <c r="W24" i="3" s="1"/>
  <c r="X24" i="3" s="1"/>
  <c r="Y24" i="3" s="1"/>
  <c r="U51" i="3"/>
  <c r="U29" i="3"/>
  <c r="J4" i="9"/>
  <c r="K4" i="9" s="1"/>
  <c r="I6" i="9"/>
  <c r="J6" i="9" s="1"/>
  <c r="P21" i="5"/>
  <c r="P41" i="5" s="1"/>
  <c r="O41" i="5"/>
  <c r="P19" i="5"/>
  <c r="O39" i="5"/>
  <c r="J22" i="5"/>
  <c r="N25" i="5" s="1"/>
  <c r="N23" i="5"/>
  <c r="O23" i="5" s="1"/>
  <c r="P23" i="5" s="1"/>
  <c r="Q11" i="5" a="1"/>
  <c r="S12" i="5" s="1"/>
  <c r="C18" i="11" s="1"/>
  <c r="O20" i="5"/>
  <c r="O29" i="5" s="1"/>
  <c r="O30" i="5" s="1"/>
  <c r="O45" i="5" s="1"/>
  <c r="N40" i="5"/>
  <c r="N42" i="5" s="1"/>
  <c r="N44" i="5" s="1"/>
  <c r="K4" i="6"/>
  <c r="K5" i="6"/>
  <c r="F6" i="13"/>
  <c r="L5" i="13"/>
  <c r="M5" i="13" s="1"/>
  <c r="N5" i="13" s="1"/>
  <c r="L4" i="13"/>
  <c r="M4" i="13" s="1"/>
  <c r="N4" i="13" s="1"/>
  <c r="F6" i="11"/>
  <c r="L4" i="11"/>
  <c r="M4" i="11" s="1"/>
  <c r="N4" i="11" s="1"/>
  <c r="L5" i="11"/>
  <c r="M5" i="11" s="1"/>
  <c r="N5" i="11" s="1"/>
  <c r="L4" i="9"/>
  <c r="M4" i="9" s="1"/>
  <c r="N4" i="9" s="1"/>
  <c r="F6" i="9"/>
  <c r="Q13" i="12"/>
  <c r="S11" i="12"/>
  <c r="S12" i="12"/>
  <c r="R11" i="12"/>
  <c r="S13" i="12"/>
  <c r="R12" i="12"/>
  <c r="Q11" i="12"/>
  <c r="R13" i="12"/>
  <c r="Q12" i="12"/>
  <c r="K6" i="12"/>
  <c r="L6" i="12" s="1"/>
  <c r="K5" i="12"/>
  <c r="K4" i="12"/>
  <c r="L5" i="6"/>
  <c r="Q11" i="6"/>
  <c r="L4" i="6"/>
  <c r="J5" i="7"/>
  <c r="L5" i="7" s="1"/>
  <c r="J6" i="7"/>
  <c r="L6" i="7" s="1"/>
  <c r="AG46" i="4"/>
  <c r="AH46" i="4" s="1"/>
  <c r="U25" i="4"/>
  <c r="AG28" i="4" s="1"/>
  <c r="AH28" i="4" s="1"/>
  <c r="AI28" i="4" s="1"/>
  <c r="AJ28" i="4" s="1"/>
  <c r="AK28" i="4" s="1"/>
  <c r="V6" i="4" a="1"/>
  <c r="V10" i="4" s="1"/>
  <c r="AH10" i="4"/>
  <c r="AG12" i="4"/>
  <c r="AG43" i="4"/>
  <c r="AK13" i="4"/>
  <c r="AJ26" i="4"/>
  <c r="V29" i="3"/>
  <c r="X23" i="3"/>
  <c r="W29" i="3"/>
  <c r="J5" i="3"/>
  <c r="K8" i="3"/>
  <c r="K7" i="3"/>
  <c r="J4" i="3"/>
  <c r="I20" i="3" s="1" a="1"/>
  <c r="I20" i="3" s="1"/>
  <c r="I21" i="3" s="1"/>
  <c r="J7" i="3"/>
  <c r="J6" i="3"/>
  <c r="K6" i="3"/>
  <c r="K5" i="3"/>
  <c r="J8" i="3"/>
  <c r="N18" i="7" l="1" a="1"/>
  <c r="S13" i="5"/>
  <c r="C19" i="11" s="1"/>
  <c r="Q13" i="5"/>
  <c r="A19" i="11" s="1"/>
  <c r="R13" i="5"/>
  <c r="B19" i="11" s="1"/>
  <c r="R11" i="5"/>
  <c r="B17" i="11" s="1"/>
  <c r="R12" i="5"/>
  <c r="B18" i="11" s="1"/>
  <c r="S11" i="5"/>
  <c r="C17" i="11" s="1"/>
  <c r="Q11" i="5"/>
  <c r="A17" i="11" s="1"/>
  <c r="Q12" i="5"/>
  <c r="A18" i="11" s="1"/>
  <c r="O18" i="5"/>
  <c r="O38" i="5" s="1"/>
  <c r="U27" i="4"/>
  <c r="AG30" i="4" s="1"/>
  <c r="AH30" i="4" s="1"/>
  <c r="AI30" i="4" s="1"/>
  <c r="AJ30" i="4" s="1"/>
  <c r="AK30" i="4" s="1"/>
  <c r="L4" i="12"/>
  <c r="I26" i="3"/>
  <c r="I27" i="3" s="1"/>
  <c r="L5" i="12"/>
  <c r="L6" i="9"/>
  <c r="M6" i="9" s="1"/>
  <c r="N6" i="9" s="1"/>
  <c r="N7" i="9" s="1"/>
  <c r="F11" i="9" s="1"/>
  <c r="Q17" i="6" a="1"/>
  <c r="R18" i="6" s="1"/>
  <c r="O18" i="7"/>
  <c r="N18" i="7"/>
  <c r="P18" i="7"/>
  <c r="P21" i="7"/>
  <c r="P41" i="7" s="1"/>
  <c r="O41" i="7"/>
  <c r="K6" i="9"/>
  <c r="J7" i="9"/>
  <c r="F12" i="9" s="1"/>
  <c r="P19" i="7"/>
  <c r="O29" i="7"/>
  <c r="O30" i="7" s="1"/>
  <c r="O45" i="7" s="1"/>
  <c r="O39" i="7"/>
  <c r="O42" i="7" s="1"/>
  <c r="K6" i="11"/>
  <c r="K7" i="11" s="1"/>
  <c r="I11" i="11" s="1"/>
  <c r="J7" i="11"/>
  <c r="F12" i="11" s="1"/>
  <c r="V51" i="3"/>
  <c r="K7" i="9"/>
  <c r="U50" i="3"/>
  <c r="U53" i="3" s="1"/>
  <c r="U13" i="3"/>
  <c r="K6" i="13"/>
  <c r="K7" i="13" s="1"/>
  <c r="I11" i="13" s="1"/>
  <c r="J7" i="13"/>
  <c r="F12" i="13" s="1"/>
  <c r="A17" i="13" a="1"/>
  <c r="V10" i="3"/>
  <c r="W8" i="3"/>
  <c r="V48" i="3"/>
  <c r="N26" i="7"/>
  <c r="O25" i="7"/>
  <c r="N38" i="5"/>
  <c r="O47" i="5"/>
  <c r="O46" i="5"/>
  <c r="P39" i="5"/>
  <c r="P18" i="5"/>
  <c r="P38" i="5" s="1"/>
  <c r="P20" i="5"/>
  <c r="P40" i="5" s="1"/>
  <c r="O40" i="5"/>
  <c r="O42" i="5" s="1"/>
  <c r="O44" i="5" s="1"/>
  <c r="N26" i="5"/>
  <c r="N31" i="5" s="1"/>
  <c r="O25" i="5"/>
  <c r="F14" i="13"/>
  <c r="F17" i="13" s="1"/>
  <c r="F14" i="11"/>
  <c r="F17" i="11" s="1"/>
  <c r="F14" i="9"/>
  <c r="I11" i="9"/>
  <c r="Q17" i="12" a="1"/>
  <c r="J17" i="7" a="1"/>
  <c r="J17" i="7" s="1"/>
  <c r="V9" i="4"/>
  <c r="W6" i="4"/>
  <c r="W9" i="4"/>
  <c r="V6" i="4"/>
  <c r="V7" i="4"/>
  <c r="W10" i="4"/>
  <c r="V8" i="4"/>
  <c r="W8" i="4"/>
  <c r="W7" i="4"/>
  <c r="AK26" i="4"/>
  <c r="AG45" i="4"/>
  <c r="AG48" i="4" s="1"/>
  <c r="AG15" i="4"/>
  <c r="AI46" i="4"/>
  <c r="AI25" i="4"/>
  <c r="AH12" i="4"/>
  <c r="AH43" i="4"/>
  <c r="AI10" i="4"/>
  <c r="U5" i="3" a="1"/>
  <c r="X29" i="3"/>
  <c r="Y23" i="3"/>
  <c r="Y29" i="3" s="1"/>
  <c r="P29" i="5" l="1"/>
  <c r="P30" i="5" s="1"/>
  <c r="P45" i="5" s="1"/>
  <c r="J17" i="5" a="1"/>
  <c r="J17" i="5" s="1"/>
  <c r="J18" i="5" s="1"/>
  <c r="J23" i="5" s="1"/>
  <c r="J24" i="5" s="1"/>
  <c r="L6" i="11"/>
  <c r="M6" i="11" s="1"/>
  <c r="N6" i="11" s="1"/>
  <c r="N7" i="11" s="1"/>
  <c r="F11" i="11" s="1"/>
  <c r="F13" i="11" s="1"/>
  <c r="F15" i="11" s="1"/>
  <c r="F18" i="11" s="1"/>
  <c r="O44" i="7"/>
  <c r="AH31" i="4"/>
  <c r="AG31" i="4"/>
  <c r="Q17" i="6"/>
  <c r="Q18" i="6"/>
  <c r="S19" i="6"/>
  <c r="S17" i="6"/>
  <c r="S18" i="6"/>
  <c r="R19" i="6"/>
  <c r="R17" i="6"/>
  <c r="Q19" i="6"/>
  <c r="X8" i="3"/>
  <c r="W48" i="3"/>
  <c r="W10" i="3"/>
  <c r="O26" i="7"/>
  <c r="O31" i="7" s="1"/>
  <c r="P25" i="7"/>
  <c r="P26" i="7" s="1"/>
  <c r="V50" i="3"/>
  <c r="V53" i="3" s="1"/>
  <c r="V13" i="3"/>
  <c r="W51" i="3"/>
  <c r="A17" i="13"/>
  <c r="C18" i="13"/>
  <c r="A18" i="13"/>
  <c r="A19" i="13"/>
  <c r="C17" i="13"/>
  <c r="B18" i="13"/>
  <c r="B17" i="13"/>
  <c r="C19" i="13"/>
  <c r="B19" i="13"/>
  <c r="N32" i="7"/>
  <c r="N33" i="7" s="1"/>
  <c r="N31" i="7"/>
  <c r="P42" i="5"/>
  <c r="P44" i="5" s="1"/>
  <c r="P29" i="7"/>
  <c r="P30" i="7" s="1"/>
  <c r="P45" i="7" s="1"/>
  <c r="P39" i="7"/>
  <c r="P42" i="7" s="1"/>
  <c r="P44" i="7" s="1"/>
  <c r="P25" i="5"/>
  <c r="P26" i="5" s="1"/>
  <c r="P31" i="5" s="1"/>
  <c r="O26" i="5"/>
  <c r="P47" i="5"/>
  <c r="P46" i="5"/>
  <c r="N32" i="5"/>
  <c r="N33" i="5" s="1"/>
  <c r="O48" i="5"/>
  <c r="N46" i="5"/>
  <c r="N47" i="5"/>
  <c r="J18" i="7"/>
  <c r="J23" i="7" s="1"/>
  <c r="J24" i="7" s="1"/>
  <c r="S19" i="7"/>
  <c r="S20" i="7" s="1"/>
  <c r="I12" i="13"/>
  <c r="I12" i="11"/>
  <c r="F13" i="9"/>
  <c r="F15" i="9" s="1"/>
  <c r="F18" i="9" s="1"/>
  <c r="F17" i="9"/>
  <c r="I12" i="9"/>
  <c r="S19" i="12"/>
  <c r="R18" i="12"/>
  <c r="Q17" i="12"/>
  <c r="R19" i="12"/>
  <c r="Q18" i="12"/>
  <c r="Q19" i="12"/>
  <c r="S17" i="12"/>
  <c r="S18" i="12"/>
  <c r="R17" i="12"/>
  <c r="O38" i="7"/>
  <c r="P38" i="7"/>
  <c r="N38" i="7"/>
  <c r="AG7" i="4" a="1"/>
  <c r="AH9" i="4" s="1"/>
  <c r="U22" i="4" a="1"/>
  <c r="U22" i="4" s="1"/>
  <c r="U23" i="4" s="1"/>
  <c r="U28" i="4" s="1"/>
  <c r="U29" i="4" s="1"/>
  <c r="AI43" i="4"/>
  <c r="AI12" i="4"/>
  <c r="AJ10" i="4"/>
  <c r="AJ25" i="4"/>
  <c r="AI31" i="4"/>
  <c r="AJ46" i="4"/>
  <c r="AH45" i="4"/>
  <c r="AH48" i="4" s="1"/>
  <c r="AH15" i="4"/>
  <c r="U5" i="3"/>
  <c r="X5" i="3"/>
  <c r="W5" i="3"/>
  <c r="V5" i="3"/>
  <c r="Y7" i="3"/>
  <c r="X7" i="3"/>
  <c r="W7" i="3"/>
  <c r="V7" i="3"/>
  <c r="U7" i="3"/>
  <c r="Y6" i="3"/>
  <c r="X6" i="3"/>
  <c r="W6" i="3"/>
  <c r="V6" i="3"/>
  <c r="U6" i="3"/>
  <c r="U46" i="3" s="1"/>
  <c r="Y5" i="3"/>
  <c r="P32" i="5" l="1"/>
  <c r="P31" i="7"/>
  <c r="O32" i="7"/>
  <c r="O33" i="7" s="1"/>
  <c r="J17" i="6" a="1"/>
  <c r="J17" i="6" s="1"/>
  <c r="J18" i="6" s="1"/>
  <c r="L6" i="13"/>
  <c r="M6" i="13" s="1"/>
  <c r="N6" i="13" s="1"/>
  <c r="N7" i="13" s="1"/>
  <c r="F11" i="13" s="1"/>
  <c r="F13" i="13" s="1"/>
  <c r="F15" i="13" s="1"/>
  <c r="F18" i="13" s="1"/>
  <c r="Y37" i="3"/>
  <c r="Y45" i="3"/>
  <c r="Y62" i="3" s="1"/>
  <c r="X46" i="3"/>
  <c r="W9" i="3"/>
  <c r="W47" i="3"/>
  <c r="W37" i="3"/>
  <c r="W45" i="3"/>
  <c r="W62" i="3" s="1"/>
  <c r="P32" i="7"/>
  <c r="W50" i="3"/>
  <c r="W53" i="3" s="1"/>
  <c r="W13" i="3"/>
  <c r="W17" i="3" s="1"/>
  <c r="Y46" i="3"/>
  <c r="X9" i="3"/>
  <c r="X47" i="3"/>
  <c r="X37" i="3"/>
  <c r="X45" i="3"/>
  <c r="X62" i="3" s="1"/>
  <c r="V46" i="3"/>
  <c r="U9" i="3"/>
  <c r="U16" i="3" s="1"/>
  <c r="U47" i="3"/>
  <c r="Y47" i="3"/>
  <c r="U37" i="3"/>
  <c r="U45" i="3"/>
  <c r="U62" i="3" s="1"/>
  <c r="W46" i="3"/>
  <c r="V9" i="3"/>
  <c r="V17" i="3" s="1"/>
  <c r="V47" i="3"/>
  <c r="V37" i="3"/>
  <c r="V45" i="3"/>
  <c r="V62" i="3" s="1"/>
  <c r="N48" i="5"/>
  <c r="X51" i="3"/>
  <c r="X48" i="3"/>
  <c r="Y8" i="3"/>
  <c r="Y9" i="3" s="1"/>
  <c r="X10" i="3"/>
  <c r="P48" i="5"/>
  <c r="O31" i="5"/>
  <c r="O32" i="5"/>
  <c r="P33" i="5"/>
  <c r="I19" i="13"/>
  <c r="I14" i="9"/>
  <c r="I16" i="9" s="1"/>
  <c r="I19" i="11"/>
  <c r="I14" i="13"/>
  <c r="I13" i="13"/>
  <c r="I14" i="11"/>
  <c r="I16" i="11" s="1"/>
  <c r="I13" i="11"/>
  <c r="I15" i="11" s="1"/>
  <c r="I13" i="9"/>
  <c r="I15" i="9" s="1"/>
  <c r="I19" i="9"/>
  <c r="J17" i="12" a="1"/>
  <c r="J17" i="12" s="1"/>
  <c r="P47" i="7"/>
  <c r="P46" i="7"/>
  <c r="N47" i="7"/>
  <c r="N46" i="7"/>
  <c r="O46" i="7"/>
  <c r="O47" i="7"/>
  <c r="AJ8" i="4"/>
  <c r="AJ24" i="4" s="1"/>
  <c r="AK8" i="4"/>
  <c r="AK41" i="4" s="1"/>
  <c r="AI7" i="4"/>
  <c r="AI40" i="4" s="1"/>
  <c r="AI9" i="4"/>
  <c r="AI42" i="4" s="1"/>
  <c r="AJ7" i="4"/>
  <c r="AJ40" i="4" s="1"/>
  <c r="AG7" i="4"/>
  <c r="AG40" i="4" s="1"/>
  <c r="AK9" i="4"/>
  <c r="AK42" i="4" s="1"/>
  <c r="AK7" i="4"/>
  <c r="AJ9" i="4"/>
  <c r="AJ11" i="4" s="1"/>
  <c r="AH8" i="4"/>
  <c r="AH41" i="4" s="1"/>
  <c r="AI8" i="4"/>
  <c r="AI41" i="4" s="1"/>
  <c r="AG8" i="4"/>
  <c r="AH7" i="4"/>
  <c r="AG9" i="4"/>
  <c r="AG11" i="4" s="1"/>
  <c r="AK25" i="4"/>
  <c r="AK31" i="4" s="1"/>
  <c r="AJ31" i="4"/>
  <c r="AH42" i="4"/>
  <c r="AH11" i="4"/>
  <c r="AK10" i="4"/>
  <c r="AJ43" i="4"/>
  <c r="AJ12" i="4"/>
  <c r="AK46" i="4"/>
  <c r="AI45" i="4"/>
  <c r="AI48" i="4" s="1"/>
  <c r="AI15" i="4"/>
  <c r="V12" i="3"/>
  <c r="V14" i="3" s="1"/>
  <c r="V15" i="3" s="1"/>
  <c r="V22" i="3"/>
  <c r="W22" i="3"/>
  <c r="W12" i="3"/>
  <c r="W14" i="3" s="1"/>
  <c r="W15" i="3" s="1"/>
  <c r="X12" i="3"/>
  <c r="X22" i="3"/>
  <c r="U12" i="3"/>
  <c r="U14" i="3" s="1"/>
  <c r="U15" i="3" s="1"/>
  <c r="U22" i="3"/>
  <c r="Y12" i="3"/>
  <c r="Y22" i="3"/>
  <c r="U17" i="3" l="1"/>
  <c r="W16" i="3"/>
  <c r="P33" i="7"/>
  <c r="X14" i="3"/>
  <c r="X15" i="3" s="1"/>
  <c r="U52" i="3"/>
  <c r="U54" i="3" s="1"/>
  <c r="U55" i="3" s="1"/>
  <c r="I17" i="9"/>
  <c r="I18" i="9" s="1"/>
  <c r="I20" i="9" s="1"/>
  <c r="J20" i="6" a="1"/>
  <c r="J20" i="6" s="1"/>
  <c r="J22" i="6" s="1"/>
  <c r="I15" i="13"/>
  <c r="I16" i="13"/>
  <c r="X50" i="3"/>
  <c r="X53" i="3" s="1"/>
  <c r="X13" i="3"/>
  <c r="Y51" i="3"/>
  <c r="Y30" i="3"/>
  <c r="Y31" i="3" s="1"/>
  <c r="Y38" i="3" s="1"/>
  <c r="Y49" i="3"/>
  <c r="I17" i="11"/>
  <c r="I18" i="11" s="1"/>
  <c r="I20" i="11" s="1"/>
  <c r="Y10" i="3"/>
  <c r="Y48" i="3"/>
  <c r="Y52" i="3" s="1"/>
  <c r="V30" i="3"/>
  <c r="V31" i="3" s="1"/>
  <c r="V38" i="3" s="1"/>
  <c r="V49" i="3"/>
  <c r="V57" i="3" s="1"/>
  <c r="V64" i="3" s="1"/>
  <c r="V16" i="3"/>
  <c r="X30" i="3"/>
  <c r="X31" i="3" s="1"/>
  <c r="X38" i="3" s="1"/>
  <c r="X49" i="3"/>
  <c r="W52" i="3"/>
  <c r="W54" i="3" s="1"/>
  <c r="W55" i="3" s="1"/>
  <c r="U30" i="3"/>
  <c r="U32" i="3" s="1"/>
  <c r="U39" i="3" s="1"/>
  <c r="U49" i="3"/>
  <c r="W30" i="3"/>
  <c r="W32" i="3" s="1"/>
  <c r="W39" i="3" s="1"/>
  <c r="W49" i="3"/>
  <c r="W57" i="3" s="1"/>
  <c r="W64" i="3" s="1"/>
  <c r="V52" i="3"/>
  <c r="V54" i="3" s="1"/>
  <c r="V55" i="3" s="1"/>
  <c r="X52" i="3"/>
  <c r="X54" i="3" s="1"/>
  <c r="X55" i="3" s="1"/>
  <c r="O33" i="5"/>
  <c r="P48" i="7"/>
  <c r="N48" i="7"/>
  <c r="J18" i="12"/>
  <c r="J20" i="12" a="1"/>
  <c r="J20" i="12" s="1"/>
  <c r="J22" i="12" s="1"/>
  <c r="O48" i="7"/>
  <c r="AJ41" i="4"/>
  <c r="AI11" i="4"/>
  <c r="AI18" i="4" s="1"/>
  <c r="AK24" i="4"/>
  <c r="AK40" i="4"/>
  <c r="AG42" i="4"/>
  <c r="AI24" i="4"/>
  <c r="AH24" i="4"/>
  <c r="AK11" i="4"/>
  <c r="AK32" i="4" s="1"/>
  <c r="AH18" i="4"/>
  <c r="AJ42" i="4"/>
  <c r="AG14" i="4"/>
  <c r="AG16" i="4" s="1"/>
  <c r="AG17" i="4" s="1"/>
  <c r="AH40" i="4"/>
  <c r="AH14" i="4"/>
  <c r="AH16" i="4" s="1"/>
  <c r="AH17" i="4" s="1"/>
  <c r="AJ14" i="4"/>
  <c r="AJ16" i="4" s="1"/>
  <c r="AJ17" i="4" s="1"/>
  <c r="AG41" i="4"/>
  <c r="AI14" i="4"/>
  <c r="AI16" i="4" s="1"/>
  <c r="AI17" i="4" s="1"/>
  <c r="AG24" i="4"/>
  <c r="AG18" i="4"/>
  <c r="AK14" i="4"/>
  <c r="AH19" i="4"/>
  <c r="AJ32" i="4"/>
  <c r="AJ34" i="4" s="1"/>
  <c r="AJ44" i="4"/>
  <c r="AH44" i="4"/>
  <c r="AH52" i="4" s="1"/>
  <c r="AH32" i="4"/>
  <c r="AI47" i="4"/>
  <c r="AI49" i="4" s="1"/>
  <c r="AI50" i="4" s="1"/>
  <c r="AK12" i="4"/>
  <c r="AK43" i="4"/>
  <c r="AG32" i="4"/>
  <c r="AG44" i="4"/>
  <c r="AJ45" i="4"/>
  <c r="AJ48" i="4" s="1"/>
  <c r="AJ15" i="4"/>
  <c r="AG19" i="4"/>
  <c r="W31" i="3" l="1"/>
  <c r="W38" i="3" s="1"/>
  <c r="Y32" i="3"/>
  <c r="Y39" i="3" s="1"/>
  <c r="V56" i="3"/>
  <c r="V63" i="3" s="1"/>
  <c r="V65" i="3" s="1"/>
  <c r="X56" i="3"/>
  <c r="X63" i="3" s="1"/>
  <c r="X57" i="3"/>
  <c r="X64" i="3" s="1"/>
  <c r="X65" i="3" s="1"/>
  <c r="W56" i="3"/>
  <c r="W63" i="3" s="1"/>
  <c r="U31" i="3"/>
  <c r="U38" i="3" s="1"/>
  <c r="U40" i="3" s="1"/>
  <c r="V32" i="3"/>
  <c r="V39" i="3" s="1"/>
  <c r="V40" i="3" s="1"/>
  <c r="I17" i="13"/>
  <c r="I18" i="13" s="1"/>
  <c r="I20" i="13" s="1"/>
  <c r="J23" i="6"/>
  <c r="J24" i="6" s="1"/>
  <c r="W65" i="3"/>
  <c r="Y50" i="3"/>
  <c r="Y53" i="3" s="1"/>
  <c r="Y13" i="3"/>
  <c r="X16" i="3"/>
  <c r="X17" i="3"/>
  <c r="Y54" i="3"/>
  <c r="Y55" i="3" s="1"/>
  <c r="X32" i="3"/>
  <c r="X39" i="3" s="1"/>
  <c r="X40" i="3" s="1"/>
  <c r="U56" i="3"/>
  <c r="U63" i="3" s="1"/>
  <c r="U57" i="3"/>
  <c r="U64" i="3" s="1"/>
  <c r="U65" i="3" s="1"/>
  <c r="Y14" i="3"/>
  <c r="Y15" i="3" s="1"/>
  <c r="J23" i="12"/>
  <c r="J24" i="12" s="1"/>
  <c r="AG34" i="4"/>
  <c r="AI32" i="4"/>
  <c r="AI34" i="4" s="1"/>
  <c r="AJ47" i="4"/>
  <c r="AJ49" i="4" s="1"/>
  <c r="AJ50" i="4" s="1"/>
  <c r="AI44" i="4"/>
  <c r="AI52" i="4" s="1"/>
  <c r="AI19" i="4"/>
  <c r="AH47" i="4"/>
  <c r="AH49" i="4" s="1"/>
  <c r="AH50" i="4" s="1"/>
  <c r="AG47" i="4"/>
  <c r="AG49" i="4" s="1"/>
  <c r="AG50" i="4" s="1"/>
  <c r="AK47" i="4"/>
  <c r="AK33" i="4"/>
  <c r="AI33" i="4"/>
  <c r="AH33" i="4"/>
  <c r="AK44" i="4"/>
  <c r="AG51" i="4"/>
  <c r="AJ33" i="4"/>
  <c r="AJ35" i="4" s="1"/>
  <c r="AG52" i="4"/>
  <c r="AG53" i="4" s="1"/>
  <c r="AJ52" i="4"/>
  <c r="AK34" i="4"/>
  <c r="AK35" i="4" s="1"/>
  <c r="AJ51" i="4"/>
  <c r="AG33" i="4"/>
  <c r="AK45" i="4"/>
  <c r="AK48" i="4" s="1"/>
  <c r="AK15" i="4"/>
  <c r="AK16" i="4"/>
  <c r="AK17" i="4" s="1"/>
  <c r="AH51" i="4"/>
  <c r="AH53" i="4" s="1"/>
  <c r="AH34" i="4"/>
  <c r="AH35" i="4" s="1"/>
  <c r="AJ19" i="4"/>
  <c r="AJ18" i="4"/>
  <c r="W40" i="3"/>
  <c r="Y40" i="3"/>
  <c r="AI35" i="4" l="1"/>
  <c r="AJ53" i="4"/>
  <c r="Y56" i="3"/>
  <c r="Y63" i="3" s="1"/>
  <c r="Y57" i="3"/>
  <c r="Y64" i="3" s="1"/>
  <c r="AG35" i="4"/>
  <c r="Y17" i="3"/>
  <c r="Y16" i="3"/>
  <c r="AI51" i="4"/>
  <c r="AI53" i="4" s="1"/>
  <c r="AK19" i="4"/>
  <c r="AK18" i="4"/>
  <c r="AK51" i="4"/>
  <c r="AK52" i="4"/>
  <c r="AK49" i="4"/>
  <c r="AK50" i="4" s="1"/>
  <c r="Y65" i="3" l="1"/>
  <c r="AK53" i="4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U17" i="2" l="1"/>
  <c r="Y4" i="2"/>
  <c r="Z4" i="2"/>
  <c r="AA4" i="2"/>
  <c r="AB4" i="2"/>
  <c r="X4" i="2" l="1"/>
  <c r="U3" i="2"/>
  <c r="U5" i="2" s="1"/>
  <c r="AB5" i="2" s="1"/>
  <c r="U12" i="2" l="1"/>
  <c r="U16" i="2" s="1"/>
  <c r="U14" i="2"/>
  <c r="U15" i="2"/>
  <c r="Y5" i="2"/>
  <c r="X5" i="2"/>
  <c r="Z5" i="2"/>
  <c r="AA5" i="2"/>
  <c r="U18" i="2" l="1"/>
  <c r="C42" i="44" l="1"/>
  <c r="C46" i="44" s="1"/>
  <c r="E42" i="44"/>
  <c r="E46" i="44" s="1"/>
  <c r="H42" i="44"/>
  <c r="H46" i="44" s="1"/>
  <c r="I42" i="44"/>
  <c r="I46" i="44" s="1"/>
  <c r="F42" i="44"/>
  <c r="F46" i="44" s="1"/>
  <c r="J42" i="44"/>
  <c r="J46" i="44" s="1"/>
  <c r="B42" i="44"/>
  <c r="B46" i="44" s="1"/>
  <c r="D42" i="44"/>
  <c r="D46" i="44" s="1"/>
  <c r="G42" i="44"/>
  <c r="G46" i="44" s="1"/>
  <c r="K42" i="44" l="1"/>
  <c r="K46" i="44" s="1"/>
  <c r="AA36" i="55" l="1"/>
  <c r="AA39" i="55"/>
  <c r="AA37" i="55"/>
  <c r="AA38" i="55"/>
  <c r="AA33" i="55"/>
  <c r="AA40" i="55"/>
  <c r="AA34" i="55"/>
  <c r="AA35" i="55"/>
  <c r="AA41" i="55"/>
  <c r="AE36" i="55"/>
  <c r="AE37" i="55"/>
  <c r="AE34" i="55"/>
  <c r="AE39" i="55"/>
  <c r="AE41" i="55"/>
  <c r="AE33" i="55"/>
  <c r="AE38" i="55"/>
  <c r="AE35" i="55"/>
  <c r="AE40" i="55"/>
  <c r="AG39" i="55"/>
  <c r="AG38" i="55"/>
  <c r="AG33" i="55"/>
  <c r="AG36" i="55"/>
  <c r="AG37" i="55"/>
  <c r="AG40" i="55"/>
  <c r="AG35" i="55"/>
  <c r="AG34" i="55"/>
  <c r="AG41" i="55"/>
  <c r="Z41" i="55"/>
  <c r="Z34" i="55"/>
  <c r="Z36" i="55"/>
  <c r="Z37" i="55"/>
  <c r="Z40" i="55"/>
  <c r="Z39" i="55"/>
  <c r="Z35" i="55"/>
  <c r="Z33" i="55"/>
  <c r="Z38" i="55"/>
  <c r="AD37" i="55"/>
  <c r="AD35" i="55"/>
  <c r="AD40" i="55"/>
  <c r="AD33" i="55"/>
  <c r="AD36" i="55"/>
  <c r="AD34" i="55"/>
  <c r="AD41" i="55"/>
  <c r="AD38" i="55"/>
  <c r="AD39" i="55"/>
  <c r="AC33" i="55"/>
  <c r="AC34" i="55"/>
  <c r="AC38" i="55"/>
  <c r="AC40" i="55"/>
  <c r="AC41" i="55"/>
  <c r="AC37" i="55"/>
  <c r="AC36" i="55"/>
  <c r="AC39" i="55"/>
  <c r="AC35" i="55"/>
  <c r="Y36" i="55"/>
  <c r="Y34" i="55"/>
  <c r="Y33" i="55"/>
  <c r="Y35" i="55"/>
  <c r="Y37" i="55"/>
  <c r="Y38" i="55"/>
  <c r="Y41" i="55"/>
  <c r="Y40" i="55"/>
  <c r="Y39" i="55"/>
  <c r="AF39" i="55"/>
  <c r="AF35" i="55"/>
  <c r="AF37" i="55"/>
  <c r="AF38" i="55"/>
  <c r="AF33" i="55"/>
  <c r="AF34" i="55"/>
  <c r="AF36" i="55"/>
  <c r="AF41" i="55"/>
  <c r="AF40" i="55"/>
  <c r="AB35" i="55"/>
  <c r="AB33" i="55"/>
  <c r="AB38" i="55"/>
  <c r="AB37" i="55"/>
  <c r="AB34" i="55"/>
  <c r="AB41" i="55"/>
  <c r="AB36" i="55"/>
  <c r="AB40" i="55"/>
  <c r="AB39" i="55"/>
  <c r="AH38" i="55" l="1"/>
  <c r="AH41" i="55"/>
  <c r="AH33" i="55"/>
  <c r="AH34" i="55"/>
  <c r="AH39" i="55"/>
  <c r="AH37" i="55"/>
  <c r="AH36" i="55"/>
  <c r="AH40" i="55"/>
  <c r="AH35" i="55"/>
  <c r="AH43" i="55" l="1"/>
  <c r="AS39" i="55" l="1"/>
  <c r="AQ37" i="55"/>
  <c r="AS33" i="55" l="1"/>
  <c r="AN39" i="55"/>
  <c r="AN36" i="55"/>
  <c r="AO41" i="55"/>
  <c r="AS40" i="55"/>
  <c r="AS35" i="55"/>
  <c r="AK38" i="55"/>
  <c r="AL39" i="55"/>
  <c r="AQ36" i="55"/>
  <c r="AR33" i="55"/>
  <c r="AL36" i="55"/>
  <c r="AL33" i="55"/>
  <c r="AO33" i="55"/>
  <c r="AL41" i="55"/>
  <c r="AL35" i="55"/>
  <c r="AO36" i="55"/>
  <c r="AL38" i="55"/>
  <c r="AR41" i="55"/>
  <c r="AS34" i="55"/>
  <c r="AO37" i="55"/>
  <c r="AN37" i="55"/>
  <c r="AK33" i="55"/>
  <c r="AN40" i="55"/>
  <c r="AO39" i="55"/>
  <c r="AQ39" i="55"/>
  <c r="AQ35" i="55"/>
  <c r="AQ41" i="55"/>
  <c r="AM36" i="55"/>
  <c r="AK41" i="55"/>
  <c r="AQ38" i="55"/>
  <c r="AQ34" i="55"/>
  <c r="AK35" i="55"/>
  <c r="AK36" i="55"/>
  <c r="AQ33" i="55"/>
  <c r="AK39" i="55"/>
  <c r="AK37" i="55"/>
  <c r="AP40" i="55"/>
  <c r="AK34" i="55"/>
  <c r="AQ40" i="55"/>
  <c r="AP36" i="55"/>
  <c r="AK40" i="55"/>
  <c r="AN38" i="55"/>
  <c r="AR36" i="55"/>
  <c r="AN35" i="55"/>
  <c r="AR37" i="55"/>
  <c r="AS36" i="55"/>
  <c r="AM38" i="55"/>
  <c r="AL37" i="55"/>
  <c r="AO40" i="55"/>
  <c r="AN41" i="55"/>
  <c r="AS37" i="55"/>
  <c r="AS38" i="55"/>
  <c r="AP34" i="55"/>
  <c r="AM40" i="55"/>
  <c r="AL40" i="55"/>
  <c r="AO38" i="55"/>
  <c r="AR34" i="55"/>
  <c r="AR35" i="55"/>
  <c r="AP37" i="55"/>
  <c r="AM34" i="55"/>
  <c r="AM41" i="55"/>
  <c r="AR39" i="55"/>
  <c r="AR40" i="55"/>
  <c r="AP35" i="55"/>
  <c r="AP38" i="55"/>
  <c r="AM39" i="55"/>
  <c r="AM37" i="55"/>
  <c r="AN34" i="55"/>
  <c r="AN33" i="55"/>
  <c r="AR38" i="55"/>
  <c r="AS41" i="55"/>
  <c r="AP41" i="55"/>
  <c r="AP33" i="55"/>
  <c r="AP39" i="55"/>
  <c r="AM35" i="55"/>
  <c r="AM33" i="55"/>
  <c r="AL34" i="55"/>
  <c r="AO34" i="55"/>
  <c r="AO35" i="55"/>
  <c r="AT39" i="55" l="1"/>
  <c r="AT38" i="55"/>
  <c r="AT35" i="55"/>
  <c r="AT36" i="55"/>
  <c r="AT34" i="55"/>
  <c r="AT33" i="55"/>
  <c r="AT41" i="55"/>
  <c r="AT37" i="55"/>
  <c r="AT40" i="55"/>
  <c r="AT43" i="55" l="1"/>
  <c r="BE39" i="55" l="1"/>
  <c r="BD36" i="55"/>
  <c r="BC39" i="55"/>
  <c r="AZ36" i="55" l="1"/>
  <c r="BE38" i="55"/>
  <c r="BA35" i="55"/>
  <c r="BA37" i="55"/>
  <c r="BB38" i="55"/>
  <c r="AZ41" i="55"/>
  <c r="BB33" i="55"/>
  <c r="AX38" i="55"/>
  <c r="BC34" i="55"/>
  <c r="BB39" i="55"/>
  <c r="BC40" i="55"/>
  <c r="BC41" i="55"/>
  <c r="BC35" i="55"/>
  <c r="BC38" i="55"/>
  <c r="BE41" i="55"/>
  <c r="AY35" i="55"/>
  <c r="AY33" i="55"/>
  <c r="AY39" i="55"/>
  <c r="AY40" i="55"/>
  <c r="AY38" i="55"/>
  <c r="AW38" i="55"/>
  <c r="AW40" i="55"/>
  <c r="AW34" i="55"/>
  <c r="AW41" i="55"/>
  <c r="AW36" i="55"/>
  <c r="AW33" i="55"/>
  <c r="AW35" i="55"/>
  <c r="BB34" i="55"/>
  <c r="BB36" i="55"/>
  <c r="BB41" i="55"/>
  <c r="BE37" i="55"/>
  <c r="BE40" i="55"/>
  <c r="BE36" i="55"/>
  <c r="BE35" i="55"/>
  <c r="BE34" i="55"/>
  <c r="BA38" i="55"/>
  <c r="BA33" i="55"/>
  <c r="BA39" i="55"/>
  <c r="BA40" i="55"/>
  <c r="BA36" i="55"/>
  <c r="BA34" i="55"/>
  <c r="AY36" i="55"/>
  <c r="BE33" i="55"/>
  <c r="AW37" i="55"/>
  <c r="AY41" i="55"/>
  <c r="BB37" i="55"/>
  <c r="AX39" i="55"/>
  <c r="AX36" i="55"/>
  <c r="AX41" i="55"/>
  <c r="AX37" i="55"/>
  <c r="AX33" i="55"/>
  <c r="AX34" i="55"/>
  <c r="AX40" i="55"/>
  <c r="AX35" i="55"/>
  <c r="BD33" i="55"/>
  <c r="BD41" i="55"/>
  <c r="BD35" i="55"/>
  <c r="BD34" i="55"/>
  <c r="BD37" i="55"/>
  <c r="BD40" i="55"/>
  <c r="BD39" i="55"/>
  <c r="BD38" i="55"/>
  <c r="BB35" i="55"/>
  <c r="AW39" i="55"/>
  <c r="AY34" i="55"/>
  <c r="BB40" i="55"/>
  <c r="AZ39" i="55"/>
  <c r="AZ40" i="55"/>
  <c r="AZ38" i="55"/>
  <c r="AZ34" i="55"/>
  <c r="AZ33" i="55"/>
  <c r="AZ35" i="55"/>
  <c r="AZ37" i="55"/>
  <c r="BA41" i="55"/>
  <c r="AY37" i="55"/>
  <c r="BC33" i="55"/>
  <c r="BC37" i="55"/>
  <c r="BC36" i="55"/>
  <c r="BF38" i="55" l="1"/>
  <c r="BF39" i="55"/>
  <c r="BF36" i="55"/>
  <c r="BF41" i="55"/>
  <c r="BF37" i="55"/>
  <c r="BF33" i="55"/>
  <c r="BF40" i="55"/>
  <c r="BF35" i="55"/>
  <c r="BF34" i="55"/>
  <c r="BF43" i="55" l="1"/>
  <c r="BP38" i="55" l="1"/>
  <c r="BO33" i="55"/>
  <c r="BQ33" i="55"/>
  <c r="BI40" i="55" l="1"/>
  <c r="BM34" i="55"/>
  <c r="BN37" i="55"/>
  <c r="BL35" i="55"/>
  <c r="BM36" i="55"/>
  <c r="BM41" i="55"/>
  <c r="BI35" i="55"/>
  <c r="BI41" i="55"/>
  <c r="BO38" i="55"/>
  <c r="BO37" i="55"/>
  <c r="BO34" i="55"/>
  <c r="BO39" i="55"/>
  <c r="BQ41" i="55"/>
  <c r="BN36" i="55"/>
  <c r="BP33" i="55"/>
  <c r="BI33" i="55"/>
  <c r="BP41" i="55"/>
  <c r="BN33" i="55"/>
  <c r="BN38" i="55"/>
  <c r="BN40" i="55"/>
  <c r="BP37" i="55"/>
  <c r="BK41" i="55"/>
  <c r="BQ38" i="55"/>
  <c r="BK35" i="55"/>
  <c r="BN39" i="55"/>
  <c r="BL39" i="55"/>
  <c r="BQ40" i="55"/>
  <c r="BO41" i="55"/>
  <c r="BM40" i="55"/>
  <c r="BN41" i="55"/>
  <c r="BI39" i="55"/>
  <c r="BO40" i="55"/>
  <c r="BM39" i="55"/>
  <c r="BI34" i="55"/>
  <c r="BI36" i="55"/>
  <c r="BM38" i="55"/>
  <c r="BN35" i="55"/>
  <c r="BQ39" i="55"/>
  <c r="BP35" i="55"/>
  <c r="BJ40" i="55"/>
  <c r="BO35" i="55"/>
  <c r="BI38" i="55"/>
  <c r="BI37" i="55"/>
  <c r="BJ38" i="55"/>
  <c r="BP39" i="55"/>
  <c r="BL40" i="55"/>
  <c r="BJ41" i="55"/>
  <c r="BL36" i="55"/>
  <c r="BP36" i="55"/>
  <c r="BQ34" i="55"/>
  <c r="BP40" i="55"/>
  <c r="BM33" i="55"/>
  <c r="BQ36" i="55"/>
  <c r="BN34" i="55"/>
  <c r="BL33" i="55"/>
  <c r="BM37" i="55"/>
  <c r="BK33" i="55"/>
  <c r="BM35" i="55"/>
  <c r="BL34" i="55"/>
  <c r="BO36" i="55"/>
  <c r="BJ39" i="55"/>
  <c r="BJ36" i="55"/>
  <c r="BL37" i="55"/>
  <c r="BK39" i="55"/>
  <c r="BJ33" i="55"/>
  <c r="BK34" i="55"/>
  <c r="BK37" i="55"/>
  <c r="BK36" i="55"/>
  <c r="BJ37" i="55"/>
  <c r="BJ35" i="55"/>
  <c r="BQ37" i="55"/>
  <c r="BQ35" i="55"/>
  <c r="BL41" i="55"/>
  <c r="BK38" i="55"/>
  <c r="BJ34" i="55"/>
  <c r="BP34" i="55"/>
  <c r="BK40" i="55"/>
  <c r="BL38" i="55"/>
  <c r="BR38" i="55" l="1"/>
  <c r="BR40" i="55"/>
  <c r="BR39" i="55"/>
  <c r="BR41" i="55"/>
  <c r="BR33" i="55"/>
  <c r="BR35" i="55"/>
  <c r="BR37" i="55"/>
  <c r="BR36" i="55"/>
  <c r="BR34" i="55"/>
  <c r="BR43" i="55" l="1"/>
  <c r="CC40" i="55" l="1"/>
  <c r="CB33" i="55"/>
  <c r="BW39" i="55" l="1"/>
  <c r="BX40" i="55"/>
  <c r="BW40" i="55"/>
  <c r="BZ34" i="55"/>
  <c r="BV39" i="55"/>
  <c r="BY37" i="55"/>
  <c r="BV36" i="55"/>
  <c r="CA39" i="55"/>
  <c r="CC34" i="55"/>
  <c r="BZ35" i="55"/>
  <c r="BZ37" i="55"/>
  <c r="BZ33" i="55"/>
  <c r="BZ36" i="55"/>
  <c r="BV34" i="55"/>
  <c r="BV40" i="55"/>
  <c r="CA40" i="55"/>
  <c r="CC38" i="55"/>
  <c r="CA33" i="55"/>
  <c r="CC41" i="55"/>
  <c r="CC39" i="55"/>
  <c r="BV38" i="55"/>
  <c r="CA36" i="55"/>
  <c r="BZ39" i="55"/>
  <c r="BU33" i="55"/>
  <c r="CA34" i="55"/>
  <c r="BV35" i="55"/>
  <c r="BZ40" i="55"/>
  <c r="BY41" i="55"/>
  <c r="BY36" i="55"/>
  <c r="BW34" i="55"/>
  <c r="BZ41" i="55"/>
  <c r="BZ38" i="55"/>
  <c r="CC33" i="55"/>
  <c r="CC37" i="55"/>
  <c r="CC36" i="55"/>
  <c r="BX33" i="55"/>
  <c r="BV37" i="55"/>
  <c r="BX39" i="55"/>
  <c r="BX41" i="55"/>
  <c r="CA37" i="55"/>
  <c r="BY40" i="55"/>
  <c r="BX37" i="55"/>
  <c r="CA38" i="55"/>
  <c r="BX35" i="55"/>
  <c r="BX38" i="55"/>
  <c r="CC35" i="55"/>
  <c r="BV33" i="55"/>
  <c r="CA41" i="55"/>
  <c r="BW38" i="55"/>
  <c r="BX36" i="55"/>
  <c r="CA35" i="55"/>
  <c r="BV41" i="55"/>
  <c r="CB40" i="55"/>
  <c r="CB41" i="55"/>
  <c r="BX34" i="55"/>
  <c r="BY33" i="55"/>
  <c r="BW41" i="55"/>
  <c r="BY38" i="55"/>
  <c r="BY39" i="55"/>
  <c r="BW36" i="55"/>
  <c r="CB39" i="55"/>
  <c r="BU40" i="55"/>
  <c r="BY35" i="55"/>
  <c r="CB34" i="55"/>
  <c r="BW35" i="55"/>
  <c r="CB35" i="55"/>
  <c r="CB37" i="55"/>
  <c r="CB36" i="55"/>
  <c r="BY34" i="55"/>
  <c r="CB38" i="55"/>
  <c r="BW33" i="55"/>
  <c r="BU39" i="55"/>
  <c r="BU37" i="55"/>
  <c r="BU36" i="55"/>
  <c r="BU38" i="55"/>
  <c r="BW37" i="55"/>
  <c r="BU34" i="55"/>
  <c r="BU35" i="55"/>
  <c r="BU41" i="55"/>
  <c r="CD40" i="55" l="1"/>
  <c r="CD36" i="55"/>
  <c r="CD34" i="55"/>
  <c r="CD35" i="55"/>
  <c r="CD33" i="55"/>
  <c r="CD38" i="55"/>
  <c r="CD37" i="55"/>
  <c r="CD39" i="55"/>
  <c r="CD41" i="55"/>
  <c r="CD43" i="55" l="1"/>
  <c r="CO33" i="55" l="1"/>
  <c r="CN37" i="55"/>
  <c r="CI39" i="55" l="1"/>
  <c r="CJ35" i="55"/>
  <c r="CK36" i="55"/>
  <c r="CN33" i="55"/>
  <c r="CN38" i="55"/>
  <c r="CG34" i="55"/>
  <c r="CK33" i="55"/>
  <c r="CK39" i="55"/>
  <c r="CL35" i="55"/>
  <c r="CG41" i="55"/>
  <c r="CG36" i="55"/>
  <c r="CK41" i="55"/>
  <c r="CK40" i="55"/>
  <c r="CK34" i="55"/>
  <c r="CH41" i="55"/>
  <c r="CK37" i="55"/>
  <c r="CL40" i="55"/>
  <c r="CK35" i="55"/>
  <c r="CJ37" i="55"/>
  <c r="CO34" i="55"/>
  <c r="CO40" i="55"/>
  <c r="CJ34" i="55"/>
  <c r="CG37" i="55"/>
  <c r="CK38" i="55"/>
  <c r="CL38" i="55"/>
  <c r="CJ39" i="55"/>
  <c r="CL34" i="55"/>
  <c r="CL41" i="55"/>
  <c r="CM37" i="55"/>
  <c r="CG40" i="55"/>
  <c r="CJ33" i="55"/>
  <c r="CI37" i="55"/>
  <c r="CL36" i="55"/>
  <c r="CI34" i="55"/>
  <c r="CN36" i="55"/>
  <c r="CO36" i="55"/>
  <c r="CO38" i="55"/>
  <c r="CN34" i="55"/>
  <c r="CM41" i="55"/>
  <c r="CO39" i="55"/>
  <c r="CN39" i="55"/>
  <c r="CM40" i="55"/>
  <c r="CH37" i="55"/>
  <c r="CH34" i="55"/>
  <c r="CI40" i="55"/>
  <c r="CI33" i="55"/>
  <c r="CJ41" i="55"/>
  <c r="CH38" i="55"/>
  <c r="CH40" i="55"/>
  <c r="CM34" i="55"/>
  <c r="CM36" i="55"/>
  <c r="CI41" i="55"/>
  <c r="CH36" i="55"/>
  <c r="CH35" i="55"/>
  <c r="CM33" i="55"/>
  <c r="CM39" i="55"/>
  <c r="CM38" i="55"/>
  <c r="CH39" i="55"/>
  <c r="CH33" i="55"/>
  <c r="CM35" i="55"/>
  <c r="CG33" i="55"/>
  <c r="CJ40" i="55"/>
  <c r="CJ38" i="55"/>
  <c r="CO35" i="55"/>
  <c r="CO37" i="55"/>
  <c r="CG35" i="55"/>
  <c r="CG38" i="55"/>
  <c r="CI38" i="55"/>
  <c r="CI36" i="55"/>
  <c r="CN35" i="55"/>
  <c r="CN40" i="55"/>
  <c r="CL37" i="55"/>
  <c r="CL39" i="55"/>
  <c r="CJ36" i="55"/>
  <c r="CO41" i="55"/>
  <c r="CG39" i="55"/>
  <c r="CI35" i="55"/>
  <c r="CN41" i="55"/>
  <c r="CL33" i="55"/>
  <c r="CP36" i="55" l="1"/>
  <c r="CP34" i="55"/>
  <c r="CP35" i="55"/>
  <c r="CP33" i="55"/>
  <c r="CP39" i="55"/>
  <c r="CP37" i="55"/>
  <c r="CP38" i="55"/>
  <c r="CP41" i="55"/>
  <c r="CP40" i="55"/>
  <c r="CP43" i="55" l="1"/>
  <c r="CZ33" i="55" l="1"/>
  <c r="DA35" i="55"/>
  <c r="CX37" i="55" l="1"/>
  <c r="CW34" i="55"/>
  <c r="CS38" i="55"/>
  <c r="CX38" i="55"/>
  <c r="DA34" i="55"/>
  <c r="CW40" i="55"/>
  <c r="CZ40" i="55"/>
  <c r="DA38" i="55"/>
  <c r="CW39" i="55"/>
  <c r="CU33" i="55"/>
  <c r="CS40" i="55"/>
  <c r="CZ34" i="55"/>
  <c r="DA41" i="55"/>
  <c r="CS39" i="55"/>
  <c r="DA37" i="55"/>
  <c r="CV39" i="55"/>
  <c r="CV41" i="55"/>
  <c r="CW35" i="55"/>
  <c r="CW36" i="55"/>
  <c r="CW41" i="55"/>
  <c r="CU39" i="55"/>
  <c r="CW37" i="55"/>
  <c r="CW38" i="55"/>
  <c r="CX41" i="55"/>
  <c r="CV34" i="55"/>
  <c r="CW33" i="55"/>
  <c r="CZ36" i="55"/>
  <c r="CX33" i="55"/>
  <c r="CU40" i="55"/>
  <c r="CV36" i="55"/>
  <c r="CS35" i="55"/>
  <c r="CX40" i="55"/>
  <c r="CS33" i="55"/>
  <c r="DA33" i="55"/>
  <c r="CX35" i="55"/>
  <c r="CT37" i="55"/>
  <c r="CV37" i="55"/>
  <c r="CS41" i="55"/>
  <c r="CY38" i="55"/>
  <c r="CU36" i="55"/>
  <c r="CV33" i="55"/>
  <c r="CU41" i="55"/>
  <c r="CU34" i="55"/>
  <c r="CS37" i="55"/>
  <c r="CZ37" i="55"/>
  <c r="CZ39" i="55"/>
  <c r="CU37" i="55"/>
  <c r="CS34" i="55"/>
  <c r="CU35" i="55"/>
  <c r="CZ38" i="55"/>
  <c r="CZ35" i="55"/>
  <c r="CX34" i="55"/>
  <c r="CV35" i="55"/>
  <c r="CV40" i="55"/>
  <c r="CS36" i="55"/>
  <c r="DA40" i="55"/>
  <c r="CU38" i="55"/>
  <c r="CZ41" i="55"/>
  <c r="CX36" i="55"/>
  <c r="CX39" i="55"/>
  <c r="CV38" i="55"/>
  <c r="DA36" i="55"/>
  <c r="DA39" i="55"/>
  <c r="CY36" i="55"/>
  <c r="CT33" i="55"/>
  <c r="CT40" i="55"/>
  <c r="CT34" i="55"/>
  <c r="CY35" i="55"/>
  <c r="CY39" i="55"/>
  <c r="CT35" i="55"/>
  <c r="CT36" i="55"/>
  <c r="CT39" i="55"/>
  <c r="CY34" i="55"/>
  <c r="CY37" i="55"/>
  <c r="CT38" i="55"/>
  <c r="CY33" i="55"/>
  <c r="CY41" i="55"/>
  <c r="CY40" i="55"/>
  <c r="CT41" i="55"/>
  <c r="DB35" i="55" l="1"/>
  <c r="DB37" i="55"/>
  <c r="DB38" i="55"/>
  <c r="DB39" i="55"/>
  <c r="DB34" i="55"/>
  <c r="DB33" i="55"/>
  <c r="DB40" i="55"/>
  <c r="DB41" i="55"/>
  <c r="DB36" i="55"/>
  <c r="DB43" i="55" l="1"/>
  <c r="DL33" i="55" l="1"/>
  <c r="DM35" i="55"/>
  <c r="DF36" i="55" l="1"/>
  <c r="DK38" i="55"/>
  <c r="DI33" i="55"/>
  <c r="DH37" i="55"/>
  <c r="DF34" i="55"/>
  <c r="DI37" i="55"/>
  <c r="DI41" i="55"/>
  <c r="DH36" i="55"/>
  <c r="DH38" i="55"/>
  <c r="DH41" i="55"/>
  <c r="DH39" i="55"/>
  <c r="DH40" i="55"/>
  <c r="DH35" i="55"/>
  <c r="DF39" i="55"/>
  <c r="DI38" i="55"/>
  <c r="DI40" i="55"/>
  <c r="DE33" i="55"/>
  <c r="DH33" i="55"/>
  <c r="DH34" i="55"/>
  <c r="DL37" i="55"/>
  <c r="DI39" i="55"/>
  <c r="DI34" i="55"/>
  <c r="DI36" i="55"/>
  <c r="DL41" i="55"/>
  <c r="DL40" i="55"/>
  <c r="DM36" i="55"/>
  <c r="DK39" i="55"/>
  <c r="DL34" i="55"/>
  <c r="DM40" i="55"/>
  <c r="DM39" i="55"/>
  <c r="DF40" i="55"/>
  <c r="DJ41" i="55"/>
  <c r="DJ33" i="55"/>
  <c r="DI35" i="55"/>
  <c r="DJ35" i="55"/>
  <c r="DF37" i="55"/>
  <c r="DE37" i="55"/>
  <c r="DK34" i="55"/>
  <c r="DK41" i="55"/>
  <c r="DG41" i="55"/>
  <c r="DG33" i="55"/>
  <c r="DG38" i="55"/>
  <c r="DG35" i="55"/>
  <c r="DG36" i="55"/>
  <c r="DJ39" i="55"/>
  <c r="DF41" i="55"/>
  <c r="DE35" i="55"/>
  <c r="DL35" i="55"/>
  <c r="DE36" i="55"/>
  <c r="DM41" i="55"/>
  <c r="DK33" i="55"/>
  <c r="DJ34" i="55"/>
  <c r="DJ37" i="55"/>
  <c r="DK36" i="55"/>
  <c r="DJ40" i="55"/>
  <c r="DL36" i="55"/>
  <c r="DK35" i="55"/>
  <c r="DM34" i="55"/>
  <c r="DG34" i="55"/>
  <c r="DF33" i="55"/>
  <c r="DG37" i="55"/>
  <c r="DG39" i="55"/>
  <c r="DE41" i="55"/>
  <c r="DE40" i="55"/>
  <c r="DG40" i="55"/>
  <c r="DJ36" i="55"/>
  <c r="DE38" i="55"/>
  <c r="DL38" i="55"/>
  <c r="DL39" i="55"/>
  <c r="DM38" i="55"/>
  <c r="DJ38" i="55"/>
  <c r="DE39" i="55"/>
  <c r="DK40" i="55"/>
  <c r="DM33" i="55"/>
  <c r="DE34" i="55"/>
  <c r="DM37" i="55"/>
  <c r="DK37" i="55"/>
  <c r="DF35" i="55"/>
  <c r="DF38" i="55"/>
  <c r="DN36" i="55" l="1"/>
  <c r="DN39" i="55"/>
  <c r="DN34" i="55"/>
  <c r="DN41" i="55"/>
  <c r="DN40" i="55"/>
  <c r="DN37" i="55"/>
  <c r="DN38" i="55"/>
  <c r="DN33" i="55"/>
  <c r="DN35" i="55"/>
  <c r="DN43" i="55" l="1"/>
  <c r="DX40" i="55" l="1"/>
  <c r="DY35" i="55"/>
  <c r="DR40" i="55" l="1"/>
  <c r="DV33" i="55"/>
  <c r="DY34" i="55"/>
  <c r="DY41" i="55"/>
  <c r="DR35" i="55"/>
  <c r="DT35" i="55"/>
  <c r="DU39" i="55"/>
  <c r="DT38" i="55"/>
  <c r="DT36" i="55"/>
  <c r="DR34" i="55"/>
  <c r="DR33" i="55"/>
  <c r="DU36" i="55"/>
  <c r="DQ40" i="55"/>
  <c r="DS33" i="55"/>
  <c r="DT40" i="55"/>
  <c r="DW37" i="55"/>
  <c r="DR41" i="55"/>
  <c r="DR37" i="55"/>
  <c r="DX39" i="55"/>
  <c r="DR38" i="55"/>
  <c r="DX41" i="55"/>
  <c r="DT33" i="55"/>
  <c r="DU33" i="55"/>
  <c r="DW40" i="55"/>
  <c r="DU40" i="55"/>
  <c r="DW34" i="55"/>
  <c r="DR36" i="55"/>
  <c r="DR39" i="55"/>
  <c r="DS37" i="55"/>
  <c r="DX36" i="55"/>
  <c r="DV39" i="55"/>
  <c r="DY39" i="55"/>
  <c r="DX35" i="55"/>
  <c r="DY37" i="55"/>
  <c r="DS36" i="55"/>
  <c r="DX34" i="55"/>
  <c r="DS40" i="55"/>
  <c r="DS39" i="55"/>
  <c r="DY33" i="55"/>
  <c r="DX37" i="55"/>
  <c r="DS38" i="55"/>
  <c r="DY38" i="55"/>
  <c r="DY36" i="55"/>
  <c r="DV34" i="55"/>
  <c r="DV41" i="55"/>
  <c r="DV38" i="55"/>
  <c r="DV40" i="55"/>
  <c r="DV37" i="55"/>
  <c r="DV35" i="55"/>
  <c r="DV36" i="55"/>
  <c r="DS34" i="55"/>
  <c r="DX38" i="55"/>
  <c r="DX33" i="55"/>
  <c r="DQ34" i="55"/>
  <c r="DQ37" i="55"/>
  <c r="DQ38" i="55"/>
  <c r="DQ39" i="55"/>
  <c r="DQ33" i="55"/>
  <c r="DQ35" i="55"/>
  <c r="DQ41" i="55"/>
  <c r="DQ36" i="55"/>
  <c r="DS41" i="55"/>
  <c r="DS35" i="55"/>
  <c r="DY40" i="55"/>
  <c r="DT41" i="55"/>
  <c r="DT39" i="55"/>
  <c r="DT34" i="55"/>
  <c r="DT37" i="55"/>
  <c r="DW41" i="55"/>
  <c r="DW36" i="55"/>
  <c r="DW38" i="55"/>
  <c r="DW39" i="55"/>
  <c r="DW35" i="55"/>
  <c r="DW33" i="55"/>
  <c r="DU41" i="55"/>
  <c r="DU37" i="55"/>
  <c r="DU38" i="55"/>
  <c r="DU35" i="55"/>
  <c r="DU34" i="55"/>
  <c r="DZ36" i="55" l="1"/>
  <c r="DZ37" i="55"/>
  <c r="DZ35" i="55"/>
  <c r="DZ40" i="55"/>
  <c r="DZ39" i="55"/>
  <c r="DZ41" i="55"/>
  <c r="DZ38" i="55"/>
  <c r="DZ33" i="55"/>
  <c r="DZ34" i="55"/>
  <c r="DZ43" i="55" l="1"/>
  <c r="EC39" i="55" l="1"/>
  <c r="EC33" i="55"/>
  <c r="EC40" i="55"/>
  <c r="EC34" i="55"/>
  <c r="EC35" i="55"/>
  <c r="EC37" i="55"/>
  <c r="EC36" i="55"/>
  <c r="EC41" i="55"/>
  <c r="EC38" i="55"/>
  <c r="ED35" i="55"/>
  <c r="ED33" i="55"/>
  <c r="ED40" i="55"/>
  <c r="ED38" i="55"/>
  <c r="ED39" i="55"/>
  <c r="ED36" i="55"/>
  <c r="ED37" i="55"/>
  <c r="ED41" i="55"/>
  <c r="ED34" i="55"/>
  <c r="EK38" i="55"/>
  <c r="EK34" i="55"/>
  <c r="EK39" i="55"/>
  <c r="EK40" i="55"/>
  <c r="EK35" i="55"/>
  <c r="EK41" i="55"/>
  <c r="EK36" i="55"/>
  <c r="EK33" i="55"/>
  <c r="EK37" i="55"/>
  <c r="EH37" i="55"/>
  <c r="EH41" i="55"/>
  <c r="EH40" i="55"/>
  <c r="EH39" i="55"/>
  <c r="EH36" i="55"/>
  <c r="EH34" i="55"/>
  <c r="EH35" i="55"/>
  <c r="EH38" i="55"/>
  <c r="EH33" i="55"/>
  <c r="EI36" i="55"/>
  <c r="EI33" i="55"/>
  <c r="EI39" i="55"/>
  <c r="EI34" i="55"/>
  <c r="EI41" i="55"/>
  <c r="EI40" i="55"/>
  <c r="EI35" i="55"/>
  <c r="EI38" i="55"/>
  <c r="EI37" i="55"/>
  <c r="EE35" i="55"/>
  <c r="EE37" i="55"/>
  <c r="EE39" i="55"/>
  <c r="EE41" i="55"/>
  <c r="EE40" i="55"/>
  <c r="EE38" i="55"/>
  <c r="EE36" i="55"/>
  <c r="EE34" i="55"/>
  <c r="EE33" i="55"/>
  <c r="EF39" i="55"/>
  <c r="EF37" i="55"/>
  <c r="EF34" i="55"/>
  <c r="EF33" i="55"/>
  <c r="EF40" i="55"/>
  <c r="EF41" i="55"/>
  <c r="EF36" i="55"/>
  <c r="EF35" i="55"/>
  <c r="EF38" i="55"/>
  <c r="EJ33" i="55"/>
  <c r="EJ41" i="55"/>
  <c r="EJ39" i="55"/>
  <c r="EJ34" i="55"/>
  <c r="EJ36" i="55"/>
  <c r="EJ37" i="55"/>
  <c r="EJ38" i="55"/>
  <c r="EJ40" i="55"/>
  <c r="EJ35" i="55"/>
  <c r="EG38" i="55"/>
  <c r="EG35" i="55"/>
  <c r="EG33" i="55"/>
  <c r="EG36" i="55"/>
  <c r="EG34" i="55"/>
  <c r="EG39" i="55"/>
  <c r="EG41" i="55"/>
  <c r="EG40" i="55"/>
  <c r="EG37" i="55"/>
  <c r="EL33" i="55" l="1"/>
  <c r="EL34" i="55"/>
  <c r="EL36" i="55"/>
  <c r="EL40" i="55"/>
  <c r="EL41" i="55"/>
  <c r="EL37" i="55"/>
  <c r="EL38" i="55"/>
  <c r="EL35" i="55"/>
  <c r="EL39" i="55"/>
  <c r="EL43" i="55" l="1"/>
  <c r="EQ35" i="55" l="1"/>
  <c r="EQ39" i="55"/>
  <c r="EQ34" i="55"/>
  <c r="EQ33" i="55"/>
  <c r="EQ38" i="55"/>
  <c r="EQ41" i="55"/>
  <c r="EQ36" i="55"/>
  <c r="EQ40" i="55"/>
  <c r="EQ37" i="55"/>
  <c r="ER33" i="55"/>
  <c r="ER40" i="55"/>
  <c r="ER34" i="55"/>
  <c r="ER39" i="55"/>
  <c r="ER38" i="55"/>
  <c r="ER36" i="55"/>
  <c r="ER37" i="55"/>
  <c r="ER35" i="55"/>
  <c r="ER41" i="55"/>
  <c r="EV37" i="55"/>
  <c r="EV41" i="55"/>
  <c r="EV34" i="55"/>
  <c r="EV39" i="55"/>
  <c r="EV40" i="55"/>
  <c r="EV38" i="55"/>
  <c r="EV35" i="55"/>
  <c r="EV33" i="55"/>
  <c r="EV36" i="55"/>
  <c r="EW35" i="55"/>
  <c r="EW40" i="55"/>
  <c r="EW38" i="55"/>
  <c r="EW33" i="55"/>
  <c r="EW36" i="55"/>
  <c r="EW41" i="55"/>
  <c r="EW37" i="55"/>
  <c r="EW34" i="55"/>
  <c r="EW39" i="55"/>
  <c r="EU36" i="55"/>
  <c r="EU35" i="55"/>
  <c r="EU39" i="55"/>
  <c r="EU33" i="55"/>
  <c r="EU37" i="55"/>
  <c r="EU34" i="55"/>
  <c r="EU40" i="55"/>
  <c r="EU38" i="55"/>
  <c r="EU41" i="55"/>
  <c r="EP40" i="55"/>
  <c r="EP36" i="55"/>
  <c r="EP39" i="55"/>
  <c r="EP38" i="55"/>
  <c r="EP34" i="55"/>
  <c r="EP41" i="55"/>
  <c r="EP35" i="55"/>
  <c r="EP37" i="55"/>
  <c r="EP33" i="55"/>
  <c r="ES36" i="55"/>
  <c r="ES39" i="55"/>
  <c r="ES35" i="55"/>
  <c r="ES37" i="55"/>
  <c r="ES40" i="55"/>
  <c r="ES41" i="55"/>
  <c r="ES34" i="55"/>
  <c r="ES33" i="55"/>
  <c r="ES38" i="55"/>
  <c r="EO40" i="55"/>
  <c r="EO33" i="55"/>
  <c r="EO34" i="55"/>
  <c r="EO36" i="55"/>
  <c r="EO38" i="55"/>
  <c r="EO41" i="55"/>
  <c r="EO37" i="55"/>
  <c r="EO35" i="55"/>
  <c r="EO39" i="55"/>
  <c r="ET41" i="55"/>
  <c r="ET38" i="55"/>
  <c r="ET39" i="55"/>
  <c r="ET35" i="55"/>
  <c r="ET36" i="55"/>
  <c r="ET33" i="55"/>
  <c r="ET34" i="55"/>
  <c r="ET40" i="55"/>
  <c r="ET37" i="55"/>
  <c r="EX40" i="55" l="1"/>
  <c r="EX41" i="55"/>
  <c r="EX35" i="55"/>
  <c r="EX36" i="55"/>
  <c r="EX38" i="55"/>
  <c r="EX37" i="55"/>
  <c r="EX33" i="55"/>
  <c r="EX39" i="55"/>
  <c r="EX34" i="55"/>
  <c r="EX43" i="55" l="1"/>
  <c r="FI39" i="55" l="1"/>
  <c r="FI35" i="55"/>
  <c r="FI38" i="55"/>
  <c r="FI36" i="55"/>
  <c r="FI33" i="55"/>
  <c r="FI37" i="55"/>
  <c r="FI40" i="55"/>
  <c r="FI34" i="55"/>
  <c r="FI41" i="55"/>
  <c r="FE39" i="55"/>
  <c r="FE38" i="55"/>
  <c r="FE37" i="55"/>
  <c r="FE40" i="55"/>
  <c r="FE34" i="55"/>
  <c r="FE33" i="55"/>
  <c r="FE41" i="55"/>
  <c r="FE36" i="55"/>
  <c r="FE35" i="55"/>
  <c r="FC41" i="55"/>
  <c r="FC37" i="55"/>
  <c r="FC34" i="55"/>
  <c r="FC35" i="55"/>
  <c r="FC38" i="55"/>
  <c r="FC36" i="55"/>
  <c r="FC39" i="55"/>
  <c r="FC40" i="55"/>
  <c r="FC33" i="55"/>
  <c r="FF35" i="55"/>
  <c r="FF40" i="55"/>
  <c r="FF39" i="55"/>
  <c r="FF38" i="55"/>
  <c r="FF33" i="55"/>
  <c r="FF36" i="55"/>
  <c r="FF37" i="55"/>
  <c r="FF34" i="55"/>
  <c r="FF41" i="55"/>
  <c r="FB37" i="55"/>
  <c r="FB35" i="55"/>
  <c r="FB36" i="55"/>
  <c r="FB41" i="55"/>
  <c r="FB38" i="55"/>
  <c r="FB40" i="55"/>
  <c r="FB33" i="55"/>
  <c r="FB34" i="55"/>
  <c r="FB39" i="55"/>
  <c r="FD36" i="55"/>
  <c r="FD39" i="55"/>
  <c r="FD34" i="55"/>
  <c r="FD33" i="55"/>
  <c r="FD37" i="55"/>
  <c r="FD35" i="55"/>
  <c r="FD41" i="55"/>
  <c r="FD40" i="55"/>
  <c r="FD38" i="55"/>
  <c r="FG36" i="55"/>
  <c r="FG33" i="55"/>
  <c r="FG41" i="55"/>
  <c r="FG37" i="55"/>
  <c r="FG39" i="55"/>
  <c r="FG35" i="55"/>
  <c r="FG38" i="55"/>
  <c r="FG34" i="55"/>
  <c r="FG40" i="55"/>
  <c r="FA39" i="55"/>
  <c r="FA36" i="55"/>
  <c r="FA41" i="55"/>
  <c r="FA37" i="55"/>
  <c r="FA33" i="55"/>
  <c r="FA40" i="55"/>
  <c r="FA35" i="55"/>
  <c r="FA38" i="55"/>
  <c r="FA34" i="55"/>
  <c r="FH33" i="55"/>
  <c r="FH41" i="55"/>
  <c r="FH37" i="55"/>
  <c r="FH38" i="55"/>
  <c r="FH36" i="55"/>
  <c r="FH35" i="55"/>
  <c r="FH39" i="55"/>
  <c r="FH34" i="55"/>
  <c r="FH40" i="55"/>
  <c r="FJ39" i="55" l="1"/>
  <c r="FJ40" i="55"/>
  <c r="FJ36" i="55"/>
  <c r="FJ34" i="55"/>
  <c r="FJ41" i="55"/>
  <c r="FJ38" i="55"/>
  <c r="FJ37" i="55"/>
  <c r="FJ33" i="55"/>
  <c r="FJ35" i="55"/>
  <c r="FJ43" i="55" l="1"/>
  <c r="FO34" i="55" l="1"/>
  <c r="FO40" i="55"/>
  <c r="FO35" i="55"/>
  <c r="FO33" i="55"/>
  <c r="FO38" i="55"/>
  <c r="FO39" i="55"/>
  <c r="FO37" i="55"/>
  <c r="FO36" i="55"/>
  <c r="FO41" i="55"/>
  <c r="FM39" i="55"/>
  <c r="FM35" i="55"/>
  <c r="FM33" i="55"/>
  <c r="FM34" i="55"/>
  <c r="FM37" i="55"/>
  <c r="FM38" i="55"/>
  <c r="FM40" i="55"/>
  <c r="FM36" i="55"/>
  <c r="FM41" i="55"/>
  <c r="FN35" i="55"/>
  <c r="FN34" i="55"/>
  <c r="FN37" i="55"/>
  <c r="FN40" i="55"/>
  <c r="FN41" i="55"/>
  <c r="FN36" i="55"/>
  <c r="FN39" i="55"/>
  <c r="FN33" i="55"/>
  <c r="FN38" i="55"/>
  <c r="FS35" i="55"/>
  <c r="FS40" i="55"/>
  <c r="FS39" i="55"/>
  <c r="FS38" i="55"/>
  <c r="FS36" i="55"/>
  <c r="FS41" i="55"/>
  <c r="FS37" i="55"/>
  <c r="FS34" i="55"/>
  <c r="FS33" i="55"/>
  <c r="FU41" i="55"/>
  <c r="FU33" i="55"/>
  <c r="FU38" i="55"/>
  <c r="FU40" i="55"/>
  <c r="FU39" i="55"/>
  <c r="FU36" i="55"/>
  <c r="FU34" i="55"/>
  <c r="FU37" i="55"/>
  <c r="FU35" i="55"/>
  <c r="FQ39" i="55"/>
  <c r="FQ37" i="55"/>
  <c r="FQ41" i="55"/>
  <c r="FQ35" i="55"/>
  <c r="FQ34" i="55"/>
  <c r="FQ33" i="55"/>
  <c r="FQ38" i="55"/>
  <c r="FQ40" i="55"/>
  <c r="FQ36" i="55"/>
  <c r="FP33" i="55"/>
  <c r="FP40" i="55"/>
  <c r="FP39" i="55"/>
  <c r="FP35" i="55"/>
  <c r="FP37" i="55"/>
  <c r="FP38" i="55"/>
  <c r="FP41" i="55"/>
  <c r="FP36" i="55"/>
  <c r="FP34" i="55"/>
  <c r="FT33" i="55"/>
  <c r="FT35" i="55"/>
  <c r="FT37" i="55"/>
  <c r="FT41" i="55"/>
  <c r="FT34" i="55"/>
  <c r="FT38" i="55"/>
  <c r="FT40" i="55"/>
  <c r="FT39" i="55"/>
  <c r="FT36" i="55"/>
  <c r="FR39" i="55"/>
  <c r="FR34" i="55"/>
  <c r="FR35" i="55"/>
  <c r="FR41" i="55"/>
  <c r="FR33" i="55"/>
  <c r="FR38" i="55"/>
  <c r="FR37" i="55"/>
  <c r="FR36" i="55"/>
  <c r="FR40" i="55"/>
  <c r="FV33" i="55" l="1"/>
  <c r="FV38" i="55"/>
  <c r="FV35" i="55"/>
  <c r="FV41" i="55"/>
  <c r="FV37" i="55"/>
  <c r="FV39" i="55"/>
  <c r="FV40" i="55"/>
  <c r="FV36" i="55"/>
  <c r="FV34" i="55"/>
  <c r="FV43" i="55" l="1"/>
  <c r="GB41" i="55" l="1"/>
  <c r="GB33" i="55"/>
  <c r="GB36" i="55"/>
  <c r="GB35" i="55"/>
  <c r="GB39" i="55"/>
  <c r="GB38" i="55"/>
  <c r="GB34" i="55"/>
  <c r="GB37" i="55"/>
  <c r="GB40" i="55"/>
  <c r="FY38" i="55"/>
  <c r="FY35" i="55"/>
  <c r="FY36" i="55"/>
  <c r="FY41" i="55"/>
  <c r="FY33" i="55"/>
  <c r="FY34" i="55"/>
  <c r="FY37" i="55"/>
  <c r="FY39" i="55"/>
  <c r="FY40" i="55"/>
  <c r="GA37" i="55"/>
  <c r="GA34" i="55"/>
  <c r="GA38" i="55"/>
  <c r="GA41" i="55"/>
  <c r="GA33" i="55"/>
  <c r="GA39" i="55"/>
  <c r="GA35" i="55"/>
  <c r="GA40" i="55"/>
  <c r="GA36" i="55"/>
  <c r="GF34" i="55"/>
  <c r="GF41" i="55"/>
  <c r="GF37" i="55"/>
  <c r="GF35" i="55"/>
  <c r="GF33" i="55"/>
  <c r="GF38" i="55"/>
  <c r="GF36" i="55"/>
  <c r="GF40" i="55"/>
  <c r="GF39" i="55"/>
  <c r="GG41" i="55"/>
  <c r="GG38" i="55"/>
  <c r="GG34" i="55"/>
  <c r="GG37" i="55"/>
  <c r="GG33" i="55"/>
  <c r="GG35" i="55"/>
  <c r="GG36" i="55"/>
  <c r="GG40" i="55"/>
  <c r="GG39" i="55"/>
  <c r="GC33" i="55"/>
  <c r="GC40" i="55"/>
  <c r="GC34" i="55"/>
  <c r="GC41" i="55"/>
  <c r="GC35" i="55"/>
  <c r="GC36" i="55"/>
  <c r="GC38" i="55"/>
  <c r="GC37" i="55"/>
  <c r="GC39" i="55"/>
  <c r="GE34" i="55"/>
  <c r="GE40" i="55"/>
  <c r="GE39" i="55"/>
  <c r="GE35" i="55"/>
  <c r="GE36" i="55"/>
  <c r="GE33" i="55"/>
  <c r="GE38" i="55"/>
  <c r="GE37" i="55"/>
  <c r="GE41" i="55"/>
  <c r="FZ41" i="55"/>
  <c r="FZ34" i="55"/>
  <c r="FZ36" i="55"/>
  <c r="FZ33" i="55"/>
  <c r="FZ39" i="55"/>
  <c r="FZ38" i="55"/>
  <c r="FZ37" i="55"/>
  <c r="FZ35" i="55"/>
  <c r="FZ40" i="55"/>
  <c r="GD33" i="55"/>
  <c r="GD41" i="55"/>
  <c r="GD34" i="55"/>
  <c r="GD40" i="55"/>
  <c r="GD35" i="55"/>
  <c r="GD38" i="55"/>
  <c r="GD37" i="55"/>
  <c r="GD39" i="55"/>
  <c r="GD36" i="55"/>
  <c r="GH36" i="55" l="1"/>
  <c r="GH34" i="55"/>
  <c r="GH35" i="55"/>
  <c r="GH40" i="55"/>
  <c r="GH33" i="55"/>
  <c r="GH38" i="55"/>
  <c r="GH37" i="55"/>
  <c r="GH39" i="55"/>
  <c r="GH41" i="55"/>
  <c r="GH43" i="55" l="1"/>
  <c r="GL40" i="55" l="1"/>
  <c r="GL35" i="55"/>
  <c r="GL37" i="55"/>
  <c r="GL38" i="55"/>
  <c r="GL34" i="55"/>
  <c r="GL39" i="55"/>
  <c r="GL33" i="55"/>
  <c r="GL41" i="55"/>
  <c r="GL36" i="55"/>
  <c r="GM35" i="55"/>
  <c r="GM33" i="55"/>
  <c r="GM37" i="55"/>
  <c r="GM41" i="55"/>
  <c r="GM40" i="55"/>
  <c r="GM36" i="55"/>
  <c r="GM39" i="55"/>
  <c r="GM34" i="55"/>
  <c r="GM38" i="55"/>
  <c r="GN37" i="55"/>
  <c r="GN39" i="55"/>
  <c r="GN33" i="55"/>
  <c r="GN40" i="55"/>
  <c r="GN36" i="55"/>
  <c r="GN34" i="55"/>
  <c r="GN35" i="55"/>
  <c r="GN38" i="55"/>
  <c r="GN41" i="55"/>
  <c r="GQ37" i="55"/>
  <c r="GQ33" i="55"/>
  <c r="GQ35" i="55"/>
  <c r="GQ39" i="55"/>
  <c r="GQ36" i="55"/>
  <c r="GQ40" i="55"/>
  <c r="GQ38" i="55"/>
  <c r="GQ34" i="55"/>
  <c r="GQ41" i="55"/>
  <c r="GK37" i="55"/>
  <c r="GK33" i="55"/>
  <c r="GK34" i="55"/>
  <c r="GK41" i="55"/>
  <c r="GK36" i="55"/>
  <c r="GK38" i="55"/>
  <c r="GK35" i="55"/>
  <c r="GK40" i="55"/>
  <c r="GK39" i="55"/>
  <c r="GR41" i="55"/>
  <c r="GR38" i="55"/>
  <c r="GR34" i="55"/>
  <c r="GR37" i="55"/>
  <c r="GR36" i="55"/>
  <c r="GR39" i="55"/>
  <c r="GR35" i="55"/>
  <c r="GR33" i="55"/>
  <c r="GR40" i="55"/>
  <c r="GS35" i="55"/>
  <c r="GS39" i="55"/>
  <c r="GS38" i="55"/>
  <c r="GS36" i="55"/>
  <c r="GS41" i="55"/>
  <c r="GS37" i="55"/>
  <c r="GS34" i="55"/>
  <c r="GS40" i="55"/>
  <c r="GS33" i="55"/>
  <c r="GO35" i="55"/>
  <c r="GO40" i="55"/>
  <c r="GO38" i="55"/>
  <c r="GO33" i="55"/>
  <c r="GO36" i="55"/>
  <c r="GO39" i="55"/>
  <c r="GO41" i="55"/>
  <c r="GO34" i="55"/>
  <c r="GO37" i="55"/>
  <c r="GP38" i="55"/>
  <c r="GP34" i="55"/>
  <c r="GP40" i="55"/>
  <c r="GP39" i="55"/>
  <c r="GP33" i="55"/>
  <c r="GP37" i="55"/>
  <c r="GP41" i="55"/>
  <c r="GP35" i="55"/>
  <c r="GP36" i="55"/>
  <c r="GT40" i="55" l="1"/>
  <c r="GT41" i="55"/>
  <c r="GT35" i="55"/>
  <c r="GT34" i="55"/>
  <c r="GT38" i="55"/>
  <c r="GT33" i="55"/>
  <c r="GT39" i="55"/>
  <c r="GT36" i="55"/>
  <c r="GT37" i="55"/>
  <c r="GT43" i="55" l="1"/>
  <c r="GX37" i="55" l="1"/>
  <c r="GX33" i="55"/>
  <c r="GX38" i="55"/>
  <c r="GX40" i="55"/>
  <c r="GX39" i="55"/>
  <c r="GX36" i="55"/>
  <c r="GX41" i="55"/>
  <c r="GX34" i="55"/>
  <c r="GX35" i="55"/>
  <c r="HD37" i="55"/>
  <c r="HD38" i="55"/>
  <c r="HD34" i="55"/>
  <c r="HD36" i="55"/>
  <c r="HD41" i="55"/>
  <c r="HD39" i="55"/>
  <c r="HD35" i="55"/>
  <c r="HD40" i="55"/>
  <c r="HD33" i="55"/>
  <c r="HB36" i="55"/>
  <c r="HB40" i="55"/>
  <c r="HB41" i="55"/>
  <c r="HB35" i="55"/>
  <c r="HB38" i="55"/>
  <c r="HB39" i="55"/>
  <c r="HB33" i="55"/>
  <c r="HB34" i="55"/>
  <c r="HB37" i="55"/>
  <c r="HA33" i="55"/>
  <c r="HA40" i="55"/>
  <c r="HA35" i="55"/>
  <c r="HA41" i="55"/>
  <c r="HA37" i="55"/>
  <c r="HA34" i="55"/>
  <c r="HA36" i="55"/>
  <c r="HA39" i="55"/>
  <c r="HA38" i="55"/>
  <c r="GY36" i="55"/>
  <c r="GY39" i="55"/>
  <c r="GY38" i="55"/>
  <c r="GY34" i="55"/>
  <c r="GY37" i="55"/>
  <c r="GY35" i="55"/>
  <c r="GY33" i="55"/>
  <c r="GY40" i="55"/>
  <c r="GY41" i="55"/>
  <c r="HC40" i="55"/>
  <c r="HC35" i="55"/>
  <c r="HC37" i="55"/>
  <c r="HC38" i="55"/>
  <c r="HC33" i="55"/>
  <c r="HC36" i="55"/>
  <c r="HC39" i="55"/>
  <c r="HC41" i="55"/>
  <c r="HC34" i="55"/>
  <c r="GW40" i="55"/>
  <c r="GW35" i="55"/>
  <c r="GW37" i="55"/>
  <c r="GW33" i="55"/>
  <c r="GW36" i="55"/>
  <c r="GW34" i="55"/>
  <c r="GW38" i="55"/>
  <c r="GW39" i="55"/>
  <c r="GW41" i="55"/>
  <c r="GZ38" i="55"/>
  <c r="GZ37" i="55"/>
  <c r="GZ35" i="55"/>
  <c r="GZ33" i="55"/>
  <c r="GZ40" i="55"/>
  <c r="GZ34" i="55"/>
  <c r="GZ39" i="55"/>
  <c r="GZ36" i="55"/>
  <c r="GZ41" i="55"/>
  <c r="HE37" i="55"/>
  <c r="HE34" i="55"/>
  <c r="HE39" i="55"/>
  <c r="HE41" i="55"/>
  <c r="HE38" i="55"/>
  <c r="HE35" i="55"/>
  <c r="HE33" i="55"/>
  <c r="HE36" i="55"/>
  <c r="HE40" i="55"/>
  <c r="HF34" i="55" l="1"/>
  <c r="HF35" i="55"/>
  <c r="HF41" i="55"/>
  <c r="HF36" i="55"/>
  <c r="HF40" i="55"/>
  <c r="HF39" i="55"/>
  <c r="HF33" i="55"/>
  <c r="HF38" i="55"/>
  <c r="HF37" i="55"/>
  <c r="HF43" i="55" l="1"/>
  <c r="HK38" i="55" l="1"/>
  <c r="HK33" i="55"/>
  <c r="HK36" i="55"/>
  <c r="HK41" i="55"/>
  <c r="HK34" i="55"/>
  <c r="HK35" i="55"/>
  <c r="HK40" i="55"/>
  <c r="HK39" i="55"/>
  <c r="HK37" i="55"/>
  <c r="HP33" i="55"/>
  <c r="HP37" i="55"/>
  <c r="HP39" i="55"/>
  <c r="HP40" i="55"/>
  <c r="HP41" i="55"/>
  <c r="HP35" i="55"/>
  <c r="HP36" i="55"/>
  <c r="HP34" i="55"/>
  <c r="HP38" i="55"/>
  <c r="HQ33" i="55"/>
  <c r="HQ35" i="55"/>
  <c r="HQ34" i="55"/>
  <c r="HQ39" i="55"/>
  <c r="HQ38" i="55"/>
  <c r="HQ40" i="55"/>
  <c r="HQ36" i="55"/>
  <c r="HQ37" i="55"/>
  <c r="HQ41" i="55"/>
  <c r="HI41" i="55"/>
  <c r="HI39" i="55"/>
  <c r="HI35" i="55"/>
  <c r="HI34" i="55"/>
  <c r="HI40" i="55"/>
  <c r="HI36" i="55"/>
  <c r="HI37" i="55"/>
  <c r="HI33" i="55"/>
  <c r="HI38" i="55"/>
  <c r="HO35" i="55"/>
  <c r="HO37" i="55"/>
  <c r="HO41" i="55"/>
  <c r="HO33" i="55"/>
  <c r="HO34" i="55"/>
  <c r="HO40" i="55"/>
  <c r="HO38" i="55"/>
  <c r="HO36" i="55"/>
  <c r="HO39" i="55"/>
  <c r="HM35" i="55"/>
  <c r="HM41" i="55"/>
  <c r="HM40" i="55"/>
  <c r="HM37" i="55"/>
  <c r="HM34" i="55"/>
  <c r="HM39" i="55"/>
  <c r="HM33" i="55"/>
  <c r="HM36" i="55"/>
  <c r="HM38" i="55"/>
  <c r="HJ39" i="55"/>
  <c r="HJ36" i="55"/>
  <c r="HJ38" i="55"/>
  <c r="HJ41" i="55"/>
  <c r="HJ33" i="55"/>
  <c r="HJ34" i="55"/>
  <c r="HJ37" i="55"/>
  <c r="HJ40" i="55"/>
  <c r="HJ35" i="55"/>
  <c r="HL39" i="55"/>
  <c r="HL40" i="55"/>
  <c r="HL34" i="55"/>
  <c r="HL36" i="55"/>
  <c r="HL35" i="55"/>
  <c r="HL38" i="55"/>
  <c r="HL37" i="55"/>
  <c r="HL33" i="55"/>
  <c r="HL41" i="55"/>
  <c r="HN33" i="55"/>
  <c r="HN36" i="55"/>
  <c r="HN37" i="55"/>
  <c r="HN35" i="55"/>
  <c r="HN41" i="55"/>
  <c r="HN34" i="55"/>
  <c r="HN39" i="55"/>
  <c r="HN38" i="55"/>
  <c r="HN40" i="55"/>
  <c r="HR40" i="55" l="1"/>
  <c r="HR41" i="55"/>
  <c r="HR33" i="55"/>
  <c r="HR34" i="55"/>
  <c r="HR37" i="55"/>
  <c r="HR35" i="55"/>
  <c r="HR38" i="55"/>
  <c r="HR36" i="55"/>
  <c r="HR39" i="55"/>
  <c r="HR43" i="55" l="1"/>
  <c r="HX39" i="55" l="1"/>
  <c r="HX40" i="55"/>
  <c r="HX37" i="55"/>
  <c r="HX41" i="55"/>
  <c r="HX33" i="55"/>
  <c r="HX35" i="55"/>
  <c r="HX36" i="55"/>
  <c r="HX38" i="55"/>
  <c r="HX34" i="55"/>
  <c r="HU37" i="55"/>
  <c r="HU40" i="55"/>
  <c r="HU38" i="55"/>
  <c r="HU33" i="55"/>
  <c r="HU35" i="55"/>
  <c r="HU41" i="55"/>
  <c r="HU39" i="55"/>
  <c r="HU36" i="55"/>
  <c r="HU34" i="55"/>
  <c r="HY40" i="55"/>
  <c r="HY36" i="55"/>
  <c r="HY37" i="55"/>
  <c r="HY38" i="55"/>
  <c r="HY35" i="55"/>
  <c r="HY39" i="55"/>
  <c r="HY41" i="55"/>
  <c r="HY34" i="55"/>
  <c r="HY33" i="55"/>
  <c r="HV39" i="55"/>
  <c r="HV36" i="55"/>
  <c r="HV37" i="55"/>
  <c r="HV34" i="55"/>
  <c r="HV35" i="55"/>
  <c r="HV41" i="55"/>
  <c r="HV38" i="55"/>
  <c r="HV33" i="55"/>
  <c r="HV40" i="55"/>
  <c r="IB38" i="55"/>
  <c r="IB35" i="55"/>
  <c r="IB39" i="55"/>
  <c r="IB33" i="55"/>
  <c r="IB37" i="55"/>
  <c r="IB34" i="55"/>
  <c r="IB40" i="55"/>
  <c r="IB41" i="55"/>
  <c r="IB36" i="55"/>
  <c r="IA41" i="55"/>
  <c r="IA40" i="55"/>
  <c r="IA37" i="55"/>
  <c r="IA38" i="55"/>
  <c r="IA36" i="55"/>
  <c r="IA39" i="55"/>
  <c r="IA33" i="55"/>
  <c r="IA34" i="55"/>
  <c r="IA35" i="55"/>
  <c r="HW36" i="55"/>
  <c r="HW35" i="55"/>
  <c r="HW37" i="55"/>
  <c r="HW34" i="55"/>
  <c r="HW38" i="55"/>
  <c r="HW41" i="55"/>
  <c r="HW40" i="55"/>
  <c r="HW33" i="55"/>
  <c r="HW39" i="55"/>
  <c r="IC39" i="55"/>
  <c r="IC33" i="55"/>
  <c r="IC37" i="55"/>
  <c r="IC40" i="55"/>
  <c r="IC35" i="55"/>
  <c r="IC36" i="55"/>
  <c r="IC38" i="55"/>
  <c r="IC41" i="55"/>
  <c r="IC34" i="55"/>
  <c r="HZ41" i="55"/>
  <c r="HZ34" i="55"/>
  <c r="HZ39" i="55"/>
  <c r="HZ36" i="55"/>
  <c r="HZ38" i="55"/>
  <c r="HZ35" i="55"/>
  <c r="HZ33" i="55"/>
  <c r="HZ40" i="55"/>
  <c r="HZ37" i="55"/>
  <c r="ID38" i="55" l="1"/>
  <c r="ID41" i="55"/>
  <c r="ID40" i="55"/>
  <c r="ID39" i="55"/>
  <c r="ID34" i="55"/>
  <c r="ID35" i="55"/>
  <c r="ID37" i="55"/>
  <c r="ID36" i="55"/>
  <c r="ID33" i="55"/>
  <c r="ID43" i="55" l="1"/>
  <c r="IL35" i="55" l="1"/>
  <c r="IL39" i="55"/>
  <c r="IL34" i="55"/>
  <c r="IL33" i="55"/>
  <c r="IL38" i="55"/>
  <c r="IL36" i="55"/>
  <c r="IL37" i="55"/>
  <c r="IL40" i="55"/>
  <c r="IL41" i="55"/>
  <c r="IH34" i="55"/>
  <c r="IH38" i="55"/>
  <c r="IH33" i="55"/>
  <c r="IH41" i="55"/>
  <c r="IH40" i="55"/>
  <c r="IH35" i="55"/>
  <c r="IH39" i="55"/>
  <c r="IH37" i="55"/>
  <c r="IH36" i="55"/>
  <c r="IM33" i="55"/>
  <c r="IM37" i="55"/>
  <c r="IM36" i="55"/>
  <c r="IM38" i="55"/>
  <c r="IM34" i="55"/>
  <c r="IM41" i="55"/>
  <c r="IM39" i="55"/>
  <c r="IM35" i="55"/>
  <c r="IM40" i="55"/>
  <c r="IJ34" i="55"/>
  <c r="IJ33" i="55"/>
  <c r="IJ36" i="55"/>
  <c r="IJ37" i="55"/>
  <c r="IJ38" i="55"/>
  <c r="IJ41" i="55"/>
  <c r="IJ39" i="55"/>
  <c r="IJ40" i="55"/>
  <c r="IJ35" i="55"/>
  <c r="II33" i="55"/>
  <c r="II36" i="55"/>
  <c r="II40" i="55"/>
  <c r="II34" i="55"/>
  <c r="II39" i="55"/>
  <c r="II37" i="55"/>
  <c r="II38" i="55"/>
  <c r="II41" i="55"/>
  <c r="II35" i="55"/>
  <c r="IN40" i="55"/>
  <c r="IN36" i="55"/>
  <c r="IN34" i="55"/>
  <c r="IN38" i="55"/>
  <c r="IN35" i="55"/>
  <c r="IN41" i="55"/>
  <c r="IN39" i="55"/>
  <c r="IN33" i="55"/>
  <c r="IN37" i="55"/>
  <c r="IK38" i="55"/>
  <c r="IK35" i="55"/>
  <c r="IK33" i="55"/>
  <c r="IK34" i="55"/>
  <c r="IK37" i="55"/>
  <c r="IK39" i="55"/>
  <c r="IK36" i="55"/>
  <c r="IK41" i="55"/>
  <c r="IK40" i="55"/>
  <c r="IG39" i="55"/>
  <c r="IG35" i="55"/>
  <c r="IG37" i="55"/>
  <c r="IG41" i="55"/>
  <c r="IG40" i="55"/>
  <c r="IG33" i="55"/>
  <c r="IG36" i="55"/>
  <c r="IG38" i="55"/>
  <c r="IG34" i="55"/>
  <c r="IO41" i="55"/>
  <c r="IO40" i="55"/>
  <c r="IO35" i="55"/>
  <c r="IO39" i="55"/>
  <c r="IO36" i="55"/>
  <c r="IO34" i="55"/>
  <c r="IO33" i="55"/>
  <c r="IO37" i="55"/>
  <c r="IO38" i="55"/>
  <c r="IP40" i="55" l="1"/>
  <c r="IP34" i="55"/>
  <c r="IP39" i="55"/>
  <c r="IP38" i="55"/>
  <c r="IP41" i="55"/>
  <c r="IP36" i="55"/>
  <c r="IP37" i="55"/>
  <c r="IP33" i="55"/>
  <c r="IP35" i="55"/>
  <c r="IP43" i="55" l="1"/>
  <c r="IW40" i="55" l="1"/>
  <c r="IW39" i="55"/>
  <c r="IW35" i="55"/>
  <c r="IW33" i="55"/>
  <c r="IW34" i="55"/>
  <c r="IW36" i="55"/>
  <c r="IW41" i="55"/>
  <c r="IW37" i="55"/>
  <c r="IW38" i="55"/>
  <c r="IZ33" i="55"/>
  <c r="IZ35" i="55"/>
  <c r="IZ38" i="55"/>
  <c r="IZ41" i="55"/>
  <c r="IZ36" i="55"/>
  <c r="IZ39" i="55"/>
  <c r="IZ40" i="55"/>
  <c r="IZ37" i="55"/>
  <c r="IZ34" i="55"/>
  <c r="JA37" i="55"/>
  <c r="JA40" i="55"/>
  <c r="JA39" i="55"/>
  <c r="JA33" i="55"/>
  <c r="JA36" i="55"/>
  <c r="JA41" i="55"/>
  <c r="JA34" i="55"/>
  <c r="JA38" i="55"/>
  <c r="JA35" i="55"/>
  <c r="IS34" i="55"/>
  <c r="IS40" i="55"/>
  <c r="IS36" i="55"/>
  <c r="IS38" i="55"/>
  <c r="IS41" i="55"/>
  <c r="IS33" i="55"/>
  <c r="IS39" i="55"/>
  <c r="IS35" i="55"/>
  <c r="IS37" i="55"/>
  <c r="IU33" i="55"/>
  <c r="IU34" i="55"/>
  <c r="IU35" i="55"/>
  <c r="IU36" i="55"/>
  <c r="IU41" i="55"/>
  <c r="IU37" i="55"/>
  <c r="IU39" i="55"/>
  <c r="IU38" i="55"/>
  <c r="IU40" i="55"/>
  <c r="IT40" i="55"/>
  <c r="IT37" i="55"/>
  <c r="IT36" i="55"/>
  <c r="IT34" i="55"/>
  <c r="IT38" i="55"/>
  <c r="IT35" i="55"/>
  <c r="IT41" i="55"/>
  <c r="IT33" i="55"/>
  <c r="IT39" i="55"/>
  <c r="IX40" i="55"/>
  <c r="IX37" i="55"/>
  <c r="IX35" i="55"/>
  <c r="IX38" i="55"/>
  <c r="IX39" i="55"/>
  <c r="IX33" i="55"/>
  <c r="IX36" i="55"/>
  <c r="IX41" i="55"/>
  <c r="IX34" i="55"/>
  <c r="IV39" i="55"/>
  <c r="IV38" i="55"/>
  <c r="IV36" i="55"/>
  <c r="IV37" i="55"/>
  <c r="IV41" i="55"/>
  <c r="IV33" i="55"/>
  <c r="IV40" i="55"/>
  <c r="IV35" i="55"/>
  <c r="IV34" i="55"/>
  <c r="IY35" i="55"/>
  <c r="IY33" i="55"/>
  <c r="IY40" i="55"/>
  <c r="IY39" i="55"/>
  <c r="IY34" i="55"/>
  <c r="IY36" i="55"/>
  <c r="IY41" i="55"/>
  <c r="IY37" i="55"/>
  <c r="IY38" i="55"/>
  <c r="JB37" i="55" l="1"/>
  <c r="JB34" i="55"/>
  <c r="JB35" i="55"/>
  <c r="JB38" i="55"/>
  <c r="JB39" i="55"/>
  <c r="JB36" i="55"/>
  <c r="JB41" i="55"/>
  <c r="JB33" i="55"/>
  <c r="JB40" i="55"/>
  <c r="JB43" i="55" l="1"/>
  <c r="JG36" i="55" l="1"/>
  <c r="JG38" i="55"/>
  <c r="JG40" i="55"/>
  <c r="JG37" i="55"/>
  <c r="JG34" i="55"/>
  <c r="JG35" i="55"/>
  <c r="JG41" i="55"/>
  <c r="JG33" i="55"/>
  <c r="JG39" i="55"/>
  <c r="JK39" i="55"/>
  <c r="JK38" i="55"/>
  <c r="JK41" i="55"/>
  <c r="JK36" i="55"/>
  <c r="JK40" i="55"/>
  <c r="JK35" i="55"/>
  <c r="JK33" i="55"/>
  <c r="JK37" i="55"/>
  <c r="JK34" i="55"/>
  <c r="JH36" i="55"/>
  <c r="JH41" i="55"/>
  <c r="JH37" i="55"/>
  <c r="JH38" i="55"/>
  <c r="JH35" i="55"/>
  <c r="JH40" i="55"/>
  <c r="JH34" i="55"/>
  <c r="JH39" i="55"/>
  <c r="JH33" i="55"/>
  <c r="JM37" i="55"/>
  <c r="JM36" i="55"/>
  <c r="JM34" i="55"/>
  <c r="JM39" i="55"/>
  <c r="JM41" i="55"/>
  <c r="JM35" i="55"/>
  <c r="JM33" i="55"/>
  <c r="JM38" i="55"/>
  <c r="JM40" i="55"/>
  <c r="JJ37" i="55"/>
  <c r="JJ38" i="55"/>
  <c r="JJ33" i="55"/>
  <c r="JJ34" i="55"/>
  <c r="JJ36" i="55"/>
  <c r="JJ35" i="55"/>
  <c r="JJ40" i="55"/>
  <c r="JJ39" i="55"/>
  <c r="JJ41" i="55"/>
  <c r="JF34" i="55"/>
  <c r="JF39" i="55"/>
  <c r="JF36" i="55"/>
  <c r="JF33" i="55"/>
  <c r="JF41" i="55"/>
  <c r="JF38" i="55"/>
  <c r="JF37" i="55"/>
  <c r="JF40" i="55"/>
  <c r="JF35" i="55"/>
  <c r="JI39" i="55"/>
  <c r="JI41" i="55"/>
  <c r="JI33" i="55"/>
  <c r="JI37" i="55"/>
  <c r="JI34" i="55"/>
  <c r="JI38" i="55"/>
  <c r="JI35" i="55"/>
  <c r="JI40" i="55"/>
  <c r="JI36" i="55"/>
  <c r="JE40" i="55"/>
  <c r="JE38" i="55"/>
  <c r="JE35" i="55"/>
  <c r="JE34" i="55"/>
  <c r="JE37" i="55"/>
  <c r="JE33" i="55"/>
  <c r="JE41" i="55"/>
  <c r="JE39" i="55"/>
  <c r="JE36" i="55"/>
  <c r="JL35" i="55"/>
  <c r="JL34" i="55"/>
  <c r="JL36" i="55"/>
  <c r="JL33" i="55"/>
  <c r="JL40" i="55"/>
  <c r="JL37" i="55"/>
  <c r="JL41" i="55"/>
  <c r="JL39" i="55"/>
  <c r="JL38" i="55"/>
  <c r="JN36" i="55" l="1"/>
  <c r="JN40" i="55"/>
  <c r="JN37" i="55"/>
  <c r="JN34" i="55"/>
  <c r="JN41" i="55"/>
  <c r="JN35" i="55"/>
  <c r="JN39" i="55"/>
  <c r="JN33" i="55"/>
  <c r="JN38" i="55"/>
  <c r="JN43" i="55" l="1"/>
  <c r="JS39" i="55" l="1"/>
  <c r="JS41" i="55"/>
  <c r="JS33" i="55"/>
  <c r="JS40" i="55"/>
  <c r="JS36" i="55"/>
  <c r="JS35" i="55"/>
  <c r="JS38" i="55"/>
  <c r="JS37" i="55"/>
  <c r="JS34" i="55"/>
  <c r="JU38" i="55"/>
  <c r="JU37" i="55"/>
  <c r="JU40" i="55"/>
  <c r="JU33" i="55"/>
  <c r="JU36" i="55"/>
  <c r="JU39" i="55"/>
  <c r="JU35" i="55"/>
  <c r="JU41" i="55"/>
  <c r="JU34" i="55"/>
  <c r="JT34" i="55"/>
  <c r="JT33" i="55"/>
  <c r="JT37" i="55"/>
  <c r="JT40" i="55"/>
  <c r="JT38" i="55"/>
  <c r="JT41" i="55"/>
  <c r="JT39" i="55"/>
  <c r="JT35" i="55"/>
  <c r="JT36" i="55"/>
  <c r="JW36" i="55"/>
  <c r="JW39" i="55"/>
  <c r="JW34" i="55"/>
  <c r="JW37" i="55"/>
  <c r="JW41" i="55"/>
  <c r="JW33" i="55"/>
  <c r="JW40" i="55"/>
  <c r="JW35" i="55"/>
  <c r="JW38" i="55"/>
  <c r="JR38" i="55"/>
  <c r="JR37" i="55"/>
  <c r="JR33" i="55"/>
  <c r="JR35" i="55"/>
  <c r="JR39" i="55"/>
  <c r="JR41" i="55"/>
  <c r="JR34" i="55"/>
  <c r="JR36" i="55"/>
  <c r="JR40" i="55"/>
  <c r="JX38" i="55"/>
  <c r="JX41" i="55"/>
  <c r="JX33" i="55"/>
  <c r="JX39" i="55"/>
  <c r="JX35" i="55"/>
  <c r="JX37" i="55"/>
  <c r="JX40" i="55"/>
  <c r="JX36" i="55"/>
  <c r="JX34" i="55"/>
  <c r="JQ33" i="55"/>
  <c r="JQ40" i="55"/>
  <c r="JQ35" i="55"/>
  <c r="JQ39" i="55"/>
  <c r="JQ34" i="55"/>
  <c r="JQ41" i="55"/>
  <c r="JQ37" i="55"/>
  <c r="JQ36" i="55"/>
  <c r="JQ38" i="55"/>
  <c r="JY39" i="55"/>
  <c r="JY36" i="55"/>
  <c r="JY34" i="55"/>
  <c r="JY41" i="55"/>
  <c r="JY37" i="55"/>
  <c r="JY40" i="55"/>
  <c r="JY38" i="55"/>
  <c r="JY33" i="55"/>
  <c r="JY35" i="55"/>
  <c r="JV40" i="55"/>
  <c r="JV41" i="55"/>
  <c r="JV37" i="55"/>
  <c r="JV33" i="55"/>
  <c r="JV36" i="55"/>
  <c r="JV34" i="55"/>
  <c r="JV39" i="55"/>
  <c r="JV35" i="55"/>
  <c r="JV38" i="55"/>
  <c r="JZ40" i="55" l="1"/>
  <c r="JZ41" i="55"/>
  <c r="JZ38" i="55"/>
  <c r="JZ34" i="55"/>
  <c r="JZ33" i="55"/>
  <c r="JZ36" i="55"/>
  <c r="JZ39" i="55"/>
  <c r="JZ37" i="55"/>
  <c r="JZ35" i="55"/>
  <c r="DF17" i="40" a="1"/>
  <c r="DH20" i="40" s="1"/>
  <c r="JZ43" i="55" l="1"/>
  <c r="DH19" i="40"/>
  <c r="DF17" i="40"/>
  <c r="DI18" i="40"/>
  <c r="DF20" i="40"/>
  <c r="DI20" i="40"/>
  <c r="DG17" i="40"/>
  <c r="DH18" i="40"/>
  <c r="DI17" i="40"/>
  <c r="DG18" i="40"/>
  <c r="DH17" i="40"/>
  <c r="DF19" i="40"/>
  <c r="DI19" i="40"/>
  <c r="DG19" i="40"/>
  <c r="DG20" i="40"/>
  <c r="DF18" i="40"/>
  <c r="DF26" i="40" l="1" a="1"/>
  <c r="DH33" i="40" s="1"/>
  <c r="KK38" i="55"/>
  <c r="KK40" i="55"/>
  <c r="KK35" i="55"/>
  <c r="KK39" i="55"/>
  <c r="KK33" i="55"/>
  <c r="KK37" i="55"/>
  <c r="KK34" i="55"/>
  <c r="KK36" i="55"/>
  <c r="KK41" i="55"/>
  <c r="KE36" i="55"/>
  <c r="KE39" i="55"/>
  <c r="KE37" i="55"/>
  <c r="KE33" i="55"/>
  <c r="KE38" i="55"/>
  <c r="KE40" i="55"/>
  <c r="KE35" i="55"/>
  <c r="KE41" i="55"/>
  <c r="KE34" i="55"/>
  <c r="KF37" i="55"/>
  <c r="KF36" i="55"/>
  <c r="KF38" i="55"/>
  <c r="KF40" i="55"/>
  <c r="KF33" i="55"/>
  <c r="KF39" i="55"/>
  <c r="KF35" i="55"/>
  <c r="KF41" i="55"/>
  <c r="KF34" i="55"/>
  <c r="KC38" i="55"/>
  <c r="KC41" i="55"/>
  <c r="KC35" i="55"/>
  <c r="KC36" i="55"/>
  <c r="KC34" i="55"/>
  <c r="KC37" i="55"/>
  <c r="KC40" i="55"/>
  <c r="KC39" i="55"/>
  <c r="KC33" i="55"/>
  <c r="KH37" i="55"/>
  <c r="KH34" i="55"/>
  <c r="KH39" i="55"/>
  <c r="KH35" i="55"/>
  <c r="KH41" i="55"/>
  <c r="KH38" i="55"/>
  <c r="KH40" i="55"/>
  <c r="KH33" i="55"/>
  <c r="KH36" i="55"/>
  <c r="KD38" i="55"/>
  <c r="KD35" i="55"/>
  <c r="KD37" i="55"/>
  <c r="KD39" i="55"/>
  <c r="KD33" i="55"/>
  <c r="KD40" i="55"/>
  <c r="KD36" i="55"/>
  <c r="KD34" i="55"/>
  <c r="KD41" i="55"/>
  <c r="KG35" i="55"/>
  <c r="KG41" i="55"/>
  <c r="KG39" i="55"/>
  <c r="KG38" i="55"/>
  <c r="KG37" i="55"/>
  <c r="KG40" i="55"/>
  <c r="KG36" i="55"/>
  <c r="KG34" i="55"/>
  <c r="KG33" i="55"/>
  <c r="KJ37" i="55"/>
  <c r="KJ41" i="55"/>
  <c r="KJ36" i="55"/>
  <c r="KJ33" i="55"/>
  <c r="KJ35" i="55"/>
  <c r="KJ39" i="55"/>
  <c r="KJ38" i="55"/>
  <c r="KJ40" i="55"/>
  <c r="KJ34" i="55"/>
  <c r="KI35" i="55"/>
  <c r="KI38" i="55"/>
  <c r="KI36" i="55"/>
  <c r="KI40" i="55"/>
  <c r="KI37" i="55"/>
  <c r="KI33" i="55"/>
  <c r="KI41" i="55"/>
  <c r="KI39" i="55"/>
  <c r="KI34" i="55"/>
  <c r="DH29" i="40" l="1"/>
  <c r="DH26" i="40"/>
  <c r="DG26" i="40"/>
  <c r="DI29" i="40"/>
  <c r="DG33" i="40"/>
  <c r="DG27" i="40"/>
  <c r="DF34" i="40"/>
  <c r="DG32" i="40"/>
  <c r="DF26" i="40"/>
  <c r="DH27" i="40"/>
  <c r="DI31" i="40"/>
  <c r="DI26" i="40"/>
  <c r="DG34" i="40"/>
  <c r="DI34" i="40"/>
  <c r="DH31" i="40"/>
  <c r="DI27" i="40"/>
  <c r="DI33" i="40"/>
  <c r="DH32" i="40"/>
  <c r="DF31" i="40"/>
  <c r="DI32" i="40"/>
  <c r="DF30" i="40"/>
  <c r="DI28" i="40"/>
  <c r="DF29" i="40"/>
  <c r="DG30" i="40"/>
  <c r="DF33" i="40"/>
  <c r="DH30" i="40"/>
  <c r="DG31" i="40"/>
  <c r="DF28" i="40"/>
  <c r="DH28" i="40"/>
  <c r="DG29" i="40"/>
  <c r="DF27" i="40"/>
  <c r="DI30" i="40"/>
  <c r="DG28" i="40"/>
  <c r="DF32" i="40"/>
  <c r="DH34" i="40"/>
  <c r="KL33" i="55"/>
  <c r="KL38" i="55"/>
  <c r="KL39" i="55"/>
  <c r="KL36" i="55"/>
  <c r="KL40" i="55"/>
  <c r="KL35" i="55"/>
  <c r="KL34" i="55"/>
  <c r="KL37" i="55"/>
  <c r="KL41" i="55"/>
  <c r="DR26" i="40" a="1"/>
  <c r="DO26" i="40" l="1" a="1"/>
  <c r="DO29" i="40" s="1"/>
  <c r="KL43" i="55"/>
  <c r="DU112" i="40"/>
  <c r="DT77" i="40"/>
  <c r="DR79" i="40"/>
  <c r="DT84" i="40"/>
  <c r="DS58" i="40"/>
  <c r="DS106" i="40"/>
  <c r="DR76" i="40"/>
  <c r="DS139" i="40"/>
  <c r="DR82" i="40"/>
  <c r="DS103" i="40"/>
  <c r="DR119" i="40"/>
  <c r="DS122" i="40"/>
  <c r="DT66" i="40"/>
  <c r="DR89" i="40"/>
  <c r="DU39" i="40"/>
  <c r="DT54" i="40"/>
  <c r="DU34" i="40"/>
  <c r="DT133" i="40"/>
  <c r="DR41" i="40"/>
  <c r="DR98" i="40"/>
  <c r="DS97" i="40"/>
  <c r="DS71" i="40"/>
  <c r="DT88" i="40"/>
  <c r="DU64" i="40"/>
  <c r="DT59" i="40"/>
  <c r="DU90" i="40"/>
  <c r="DU66" i="40"/>
  <c r="DT100" i="40"/>
  <c r="DU44" i="40"/>
  <c r="DU101" i="40"/>
  <c r="DT134" i="40"/>
  <c r="DS94" i="40"/>
  <c r="DT36" i="40"/>
  <c r="DR70" i="40"/>
  <c r="DU58" i="40"/>
  <c r="DR36" i="40"/>
  <c r="DS133" i="40"/>
  <c r="DR126" i="40"/>
  <c r="DR42" i="40"/>
  <c r="DR110" i="40"/>
  <c r="DS61" i="40"/>
  <c r="DT96" i="40"/>
  <c r="DS105" i="40"/>
  <c r="DS91" i="40"/>
  <c r="DU77" i="40"/>
  <c r="DS135" i="40"/>
  <c r="DU127" i="40"/>
  <c r="DR27" i="40"/>
  <c r="DT118" i="40"/>
  <c r="DR46" i="40"/>
  <c r="DS42" i="40"/>
  <c r="DS36" i="40"/>
  <c r="DT90" i="40"/>
  <c r="DR65" i="40"/>
  <c r="DT30" i="40"/>
  <c r="DU65" i="40"/>
  <c r="DS144" i="40"/>
  <c r="DU108" i="40"/>
  <c r="DS112" i="40"/>
  <c r="DR130" i="40"/>
  <c r="DS35" i="40"/>
  <c r="DU144" i="40"/>
  <c r="DR133" i="40"/>
  <c r="DS138" i="40"/>
  <c r="DR83" i="40"/>
  <c r="DR106" i="40"/>
  <c r="DS88" i="40"/>
  <c r="DT56" i="40"/>
  <c r="DS29" i="40"/>
  <c r="DU67" i="40"/>
  <c r="DT48" i="40"/>
  <c r="DR137" i="40"/>
  <c r="DT115" i="40"/>
  <c r="DS145" i="40"/>
  <c r="DS104" i="40"/>
  <c r="DT67" i="40"/>
  <c r="DU117" i="40"/>
  <c r="DT105" i="40"/>
  <c r="DS118" i="40"/>
  <c r="DT123" i="40"/>
  <c r="DU109" i="40"/>
  <c r="DS92" i="40"/>
  <c r="DS90" i="40"/>
  <c r="DS64" i="40"/>
  <c r="DR29" i="40"/>
  <c r="DS70" i="40"/>
  <c r="DT125" i="40"/>
  <c r="DR94" i="40"/>
  <c r="DS55" i="40"/>
  <c r="DR117" i="40"/>
  <c r="DS115" i="40"/>
  <c r="DT40" i="40"/>
  <c r="DT79" i="40"/>
  <c r="DR58" i="40"/>
  <c r="DT107" i="40"/>
  <c r="DR96" i="40"/>
  <c r="DS28" i="40"/>
  <c r="DU142" i="40"/>
  <c r="DT58" i="40"/>
  <c r="DS89" i="40"/>
  <c r="DT91" i="40"/>
  <c r="DS48" i="40"/>
  <c r="DU27" i="40"/>
  <c r="DR140" i="40"/>
  <c r="DT139" i="40"/>
  <c r="DU63" i="40"/>
  <c r="DR45" i="40"/>
  <c r="DU100" i="40"/>
  <c r="DT68" i="40"/>
  <c r="DR74" i="40"/>
  <c r="DR108" i="40"/>
  <c r="DU56" i="40"/>
  <c r="DT75" i="40"/>
  <c r="DU59" i="40"/>
  <c r="DS143" i="40"/>
  <c r="DT87" i="40"/>
  <c r="DU133" i="40"/>
  <c r="DT121" i="40"/>
  <c r="DR52" i="40"/>
  <c r="DT41" i="40"/>
  <c r="DU129" i="40"/>
  <c r="DS67" i="40"/>
  <c r="DS99" i="40"/>
  <c r="DT80" i="40"/>
  <c r="DS132" i="40"/>
  <c r="DT140" i="40"/>
  <c r="DT28" i="40"/>
  <c r="DS121" i="40"/>
  <c r="DR31" i="40"/>
  <c r="DR75" i="40"/>
  <c r="DR59" i="40"/>
  <c r="DU122" i="40"/>
  <c r="DS124" i="40"/>
  <c r="DT138" i="40"/>
  <c r="DU123" i="40"/>
  <c r="DS119" i="40"/>
  <c r="DR86" i="40"/>
  <c r="DS65" i="40"/>
  <c r="DT60" i="40"/>
  <c r="DT95" i="40"/>
  <c r="DU125" i="40"/>
  <c r="DR30" i="40"/>
  <c r="DS82" i="40"/>
  <c r="DU106" i="40"/>
  <c r="DR103" i="40"/>
  <c r="DS76" i="40"/>
  <c r="DS128" i="40"/>
  <c r="DU51" i="40"/>
  <c r="DR69" i="40"/>
  <c r="DT86" i="40"/>
  <c r="DU55" i="40"/>
  <c r="DS93" i="40"/>
  <c r="DT98" i="40"/>
  <c r="DS44" i="40"/>
  <c r="DS127" i="40"/>
  <c r="DR132" i="40"/>
  <c r="DR60" i="40"/>
  <c r="DS51" i="40"/>
  <c r="DT114" i="40"/>
  <c r="DT38" i="40"/>
  <c r="DR112" i="40"/>
  <c r="DU52" i="40"/>
  <c r="DR72" i="40"/>
  <c r="DR28" i="40"/>
  <c r="DU134" i="40"/>
  <c r="DR56" i="40"/>
  <c r="DT78" i="40"/>
  <c r="DS39" i="40"/>
  <c r="DR38" i="40"/>
  <c r="DR109" i="40"/>
  <c r="DR125" i="40"/>
  <c r="DR127" i="40"/>
  <c r="DU139" i="40"/>
  <c r="DT108" i="40"/>
  <c r="DT53" i="40"/>
  <c r="DU31" i="40"/>
  <c r="DT46" i="40"/>
  <c r="DR141" i="40"/>
  <c r="DR90" i="40"/>
  <c r="DT111" i="40"/>
  <c r="DU93" i="40"/>
  <c r="DS45" i="40"/>
  <c r="DR84" i="40"/>
  <c r="DU130" i="40"/>
  <c r="DS74" i="40"/>
  <c r="DS30" i="40"/>
  <c r="DU118" i="40"/>
  <c r="DT136" i="40"/>
  <c r="DS40" i="40"/>
  <c r="DR95" i="40"/>
  <c r="DR80" i="40"/>
  <c r="DU132" i="40"/>
  <c r="DT137" i="40"/>
  <c r="DT141" i="40"/>
  <c r="DR81" i="40"/>
  <c r="DR91" i="40"/>
  <c r="DS107" i="40"/>
  <c r="DU79" i="40"/>
  <c r="DR53" i="40"/>
  <c r="DU28" i="40"/>
  <c r="DR107" i="40"/>
  <c r="DS95" i="40"/>
  <c r="DR104" i="40"/>
  <c r="DU46" i="40"/>
  <c r="DT49" i="40"/>
  <c r="DS123" i="40"/>
  <c r="DR102" i="40"/>
  <c r="DU110" i="40"/>
  <c r="DR40" i="40"/>
  <c r="DR99" i="40"/>
  <c r="DU62" i="40"/>
  <c r="DT45" i="40"/>
  <c r="DS108" i="40"/>
  <c r="DU68" i="40"/>
  <c r="DR51" i="40"/>
  <c r="DS101" i="40"/>
  <c r="DU41" i="40"/>
  <c r="DR121" i="40"/>
  <c r="DS84" i="40"/>
  <c r="DR57" i="40"/>
  <c r="DS50" i="40"/>
  <c r="DR144" i="40"/>
  <c r="DS47" i="40"/>
  <c r="DU70" i="40"/>
  <c r="DR97" i="40"/>
  <c r="DU135" i="40"/>
  <c r="DS37" i="40"/>
  <c r="DS87" i="40"/>
  <c r="DS73" i="40"/>
  <c r="DS113" i="40"/>
  <c r="DU111" i="40"/>
  <c r="DU97" i="40"/>
  <c r="DT122" i="40"/>
  <c r="DT103" i="40"/>
  <c r="DR101" i="40"/>
  <c r="DS142" i="40"/>
  <c r="DU124" i="40"/>
  <c r="DT109" i="40"/>
  <c r="DS117" i="40"/>
  <c r="DU72" i="40"/>
  <c r="DR49" i="40"/>
  <c r="DS69" i="40"/>
  <c r="DR136" i="40"/>
  <c r="DS62" i="40"/>
  <c r="DT31" i="40"/>
  <c r="DS81" i="40"/>
  <c r="DR142" i="40"/>
  <c r="DU126" i="40"/>
  <c r="DT32" i="40"/>
  <c r="DR64" i="40"/>
  <c r="DU78" i="40"/>
  <c r="DR44" i="40"/>
  <c r="DU92" i="40"/>
  <c r="DS53" i="40"/>
  <c r="DU81" i="40"/>
  <c r="DS136" i="40"/>
  <c r="DR33" i="40"/>
  <c r="DT97" i="40"/>
  <c r="DR123" i="40"/>
  <c r="DS79" i="40"/>
  <c r="DU80" i="40"/>
  <c r="DS49" i="40"/>
  <c r="DT76" i="40"/>
  <c r="DR118" i="40"/>
  <c r="DU140" i="40"/>
  <c r="DT85" i="40"/>
  <c r="DR77" i="40"/>
  <c r="DR71" i="40"/>
  <c r="DS130" i="40"/>
  <c r="DU32" i="40"/>
  <c r="DU54" i="40"/>
  <c r="DR26" i="40"/>
  <c r="DT55" i="40"/>
  <c r="DS66" i="40"/>
  <c r="DS63" i="40"/>
  <c r="DT132" i="40"/>
  <c r="DR128" i="40"/>
  <c r="DT63" i="40"/>
  <c r="DS57" i="40"/>
  <c r="DT106" i="40"/>
  <c r="DR78" i="40"/>
  <c r="DT130" i="40"/>
  <c r="DR32" i="40"/>
  <c r="DR143" i="40"/>
  <c r="DU53" i="40"/>
  <c r="DT44" i="40"/>
  <c r="DU119" i="40"/>
  <c r="DU47" i="40"/>
  <c r="DT120" i="40"/>
  <c r="DU96" i="40"/>
  <c r="DT113" i="40"/>
  <c r="DU107" i="40"/>
  <c r="DU69" i="40"/>
  <c r="DR124" i="40"/>
  <c r="DR68" i="40"/>
  <c r="DR145" i="40"/>
  <c r="DT61" i="40"/>
  <c r="DT50" i="40"/>
  <c r="DT71" i="40"/>
  <c r="DT116" i="40"/>
  <c r="DS100" i="40"/>
  <c r="DS43" i="40"/>
  <c r="DU91" i="40"/>
  <c r="DR115" i="40"/>
  <c r="DT110" i="40"/>
  <c r="DT112" i="40"/>
  <c r="DU102" i="40"/>
  <c r="DT47" i="40"/>
  <c r="DT34" i="40"/>
  <c r="DU76" i="40"/>
  <c r="DT89" i="40"/>
  <c r="DS86" i="40"/>
  <c r="DU30" i="40"/>
  <c r="DU98" i="40"/>
  <c r="DU26" i="40"/>
  <c r="DR135" i="40"/>
  <c r="DT69" i="40"/>
  <c r="DR111" i="40"/>
  <c r="DR62" i="40"/>
  <c r="DR34" i="40"/>
  <c r="DT72" i="40"/>
  <c r="DT143" i="40"/>
  <c r="DS125" i="40"/>
  <c r="DR134" i="40"/>
  <c r="DU73" i="40"/>
  <c r="DT99" i="40"/>
  <c r="DU45" i="40"/>
  <c r="DU38" i="40"/>
  <c r="DR39" i="40"/>
  <c r="DT73" i="40"/>
  <c r="DS72" i="40"/>
  <c r="DR47" i="40"/>
  <c r="DT102" i="40"/>
  <c r="DU75" i="40"/>
  <c r="DS59" i="40"/>
  <c r="DS83" i="40"/>
  <c r="DS129" i="40"/>
  <c r="DS141" i="40"/>
  <c r="DU95" i="40"/>
  <c r="DS32" i="40"/>
  <c r="DT64" i="40"/>
  <c r="DU115" i="40"/>
  <c r="DS96" i="40"/>
  <c r="DT74" i="40"/>
  <c r="DR35" i="40"/>
  <c r="DU89" i="40"/>
  <c r="DS126" i="40"/>
  <c r="DT119" i="40"/>
  <c r="DT43" i="40"/>
  <c r="DU88" i="40"/>
  <c r="DR105" i="40"/>
  <c r="DT93" i="40"/>
  <c r="DS68" i="40"/>
  <c r="DR54" i="40"/>
  <c r="DU105" i="40"/>
  <c r="DU74" i="40"/>
  <c r="DU128" i="40"/>
  <c r="DR100" i="40"/>
  <c r="DR43" i="40"/>
  <c r="DS85" i="40"/>
  <c r="DU37" i="40"/>
  <c r="DT131" i="40"/>
  <c r="DS34" i="40"/>
  <c r="DR73" i="40"/>
  <c r="DU43" i="40"/>
  <c r="DU50" i="40"/>
  <c r="DS78" i="40"/>
  <c r="DT82" i="40"/>
  <c r="DS56" i="40"/>
  <c r="DS137" i="40"/>
  <c r="DR93" i="40"/>
  <c r="DR61" i="40"/>
  <c r="DT81" i="40"/>
  <c r="DU84" i="40"/>
  <c r="DS114" i="40"/>
  <c r="DS26" i="40"/>
  <c r="DU33" i="40"/>
  <c r="DT33" i="40"/>
  <c r="DT129" i="40"/>
  <c r="DT145" i="40"/>
  <c r="DS98" i="40"/>
  <c r="DU40" i="40"/>
  <c r="DS116" i="40"/>
  <c r="DR114" i="40"/>
  <c r="DR138" i="40"/>
  <c r="DT124" i="40"/>
  <c r="DS131" i="40"/>
  <c r="DS102" i="40"/>
  <c r="DR67" i="40"/>
  <c r="DU104" i="40"/>
  <c r="DR92" i="40"/>
  <c r="DT57" i="40"/>
  <c r="DR122" i="40"/>
  <c r="DT27" i="40"/>
  <c r="DR87" i="40"/>
  <c r="DU137" i="40"/>
  <c r="DU86" i="40"/>
  <c r="DT26" i="40"/>
  <c r="DS52" i="40"/>
  <c r="DT70" i="40"/>
  <c r="DS31" i="40"/>
  <c r="DU60" i="40"/>
  <c r="DU29" i="40"/>
  <c r="DS27" i="40"/>
  <c r="DS60" i="40"/>
  <c r="DR120" i="40"/>
  <c r="DT42" i="40"/>
  <c r="DU36" i="40"/>
  <c r="DU138" i="40"/>
  <c r="DU114" i="40"/>
  <c r="DU61" i="40"/>
  <c r="DU99" i="40"/>
  <c r="DS41" i="40"/>
  <c r="DT39" i="40"/>
  <c r="DT101" i="40"/>
  <c r="DU103" i="40"/>
  <c r="DT29" i="40"/>
  <c r="DU113" i="40"/>
  <c r="DR50" i="40"/>
  <c r="DR63" i="40"/>
  <c r="DS109" i="40"/>
  <c r="DR85" i="40"/>
  <c r="DU83" i="40"/>
  <c r="DR139" i="40"/>
  <c r="DT94" i="40"/>
  <c r="DU57" i="40"/>
  <c r="DT135" i="40"/>
  <c r="DT92" i="40"/>
  <c r="DU87" i="40"/>
  <c r="DU116" i="40"/>
  <c r="DU136" i="40"/>
  <c r="DU49" i="40"/>
  <c r="DR48" i="40"/>
  <c r="DT37" i="40"/>
  <c r="DU143" i="40"/>
  <c r="DU42" i="40"/>
  <c r="DT104" i="40"/>
  <c r="DT142" i="40"/>
  <c r="DU131" i="40"/>
  <c r="DU48" i="40"/>
  <c r="DT144" i="40"/>
  <c r="DU94" i="40"/>
  <c r="DS80" i="40"/>
  <c r="DS33" i="40"/>
  <c r="DS77" i="40"/>
  <c r="DT52" i="40"/>
  <c r="DR131" i="40"/>
  <c r="DT117" i="40"/>
  <c r="DR37" i="40"/>
  <c r="DU145" i="40"/>
  <c r="DT83" i="40"/>
  <c r="DS75" i="40"/>
  <c r="DR113" i="40"/>
  <c r="DR55" i="40"/>
  <c r="DU35" i="40"/>
  <c r="DS54" i="40"/>
  <c r="DT126" i="40"/>
  <c r="DT128" i="40"/>
  <c r="DU85" i="40"/>
  <c r="DS120" i="40"/>
  <c r="DT35" i="40"/>
  <c r="DT127" i="40"/>
  <c r="DT65" i="40"/>
  <c r="DU141" i="40"/>
  <c r="DU121" i="40"/>
  <c r="DR116" i="40"/>
  <c r="DS110" i="40"/>
  <c r="DS140" i="40"/>
  <c r="DR66" i="40"/>
  <c r="DR129" i="40"/>
  <c r="DU82" i="40"/>
  <c r="DT62" i="40"/>
  <c r="DU120" i="40"/>
  <c r="DU71" i="40"/>
  <c r="DS111" i="40"/>
  <c r="DS134" i="40"/>
  <c r="DT51" i="40"/>
  <c r="DS38" i="40"/>
  <c r="DR88" i="40"/>
  <c r="DS46" i="40"/>
  <c r="DO26" i="40" l="1"/>
  <c r="DO28" i="40"/>
  <c r="DO27" i="40"/>
  <c r="DS147" i="40" a="1"/>
  <c r="DT147" i="40" a="1"/>
  <c r="DT147" i="40" s="1"/>
  <c r="DS148" i="40"/>
  <c r="DS147" i="40"/>
  <c r="DR147" i="40"/>
  <c r="DR148" i="40"/>
  <c r="ED26" i="40" s="1" a="1"/>
  <c r="DU148" i="40"/>
  <c r="DU147" i="40"/>
  <c r="DT148" i="40"/>
  <c r="EE40" i="40" l="1"/>
  <c r="EE50" i="40"/>
  <c r="EE79" i="40"/>
  <c r="EE51" i="40"/>
  <c r="EE141" i="40"/>
  <c r="EF96" i="40"/>
  <c r="EE120" i="40"/>
  <c r="EE63" i="40"/>
  <c r="EE35" i="40"/>
  <c r="EG49" i="40"/>
  <c r="EE126" i="40"/>
  <c r="EG101" i="40"/>
  <c r="EF68" i="40"/>
  <c r="EF61" i="40"/>
  <c r="EF59" i="40"/>
  <c r="EF49" i="40"/>
  <c r="EG79" i="40"/>
  <c r="EG134" i="40"/>
  <c r="EF115" i="40"/>
  <c r="EF32" i="40"/>
  <c r="ED122" i="40"/>
  <c r="ED30" i="40"/>
  <c r="EG75" i="40"/>
  <c r="EE110" i="40"/>
  <c r="ED35" i="40"/>
  <c r="ED58" i="40"/>
  <c r="EG32" i="40"/>
  <c r="EF66" i="40"/>
  <c r="EF139" i="40"/>
  <c r="ED107" i="40"/>
  <c r="EG69" i="40"/>
  <c r="EF126" i="40"/>
  <c r="EG112" i="40"/>
  <c r="EG117" i="40"/>
  <c r="EG128" i="40"/>
  <c r="EG138" i="40"/>
  <c r="EG121" i="40"/>
  <c r="EG108" i="40"/>
  <c r="EG142" i="40"/>
  <c r="ED99" i="40"/>
  <c r="ED124" i="40"/>
  <c r="ED100" i="40"/>
  <c r="ED76" i="40"/>
  <c r="ED52" i="40"/>
  <c r="ED142" i="40"/>
  <c r="ED54" i="40"/>
  <c r="EG145" i="40"/>
  <c r="ED45" i="40"/>
  <c r="ED101" i="40"/>
  <c r="ED92" i="40"/>
  <c r="EG44" i="40"/>
  <c r="EG129" i="40"/>
  <c r="ED38" i="40"/>
  <c r="EG80" i="40"/>
  <c r="ED82" i="40"/>
  <c r="EG77" i="40"/>
  <c r="ED29" i="40"/>
  <c r="ED86" i="40"/>
  <c r="EG139" i="40"/>
  <c r="EG140" i="40"/>
  <c r="EG30" i="40"/>
  <c r="EG43" i="40"/>
  <c r="EF94" i="40"/>
  <c r="EG120" i="40"/>
  <c r="EG144" i="40"/>
  <c r="ED74" i="40"/>
  <c r="EG52" i="40"/>
  <c r="EG135" i="40"/>
  <c r="EG76" i="40"/>
  <c r="EG115" i="40"/>
  <c r="EG84" i="40"/>
  <c r="EG113" i="40"/>
  <c r="ED119" i="40"/>
  <c r="ED90" i="40"/>
  <c r="ED105" i="40"/>
  <c r="EE39" i="40"/>
  <c r="EG125" i="40"/>
  <c r="EG124" i="40"/>
  <c r="ED78" i="40"/>
  <c r="ED39" i="40"/>
  <c r="EG33" i="40"/>
  <c r="EG87" i="40"/>
  <c r="ED89" i="40"/>
  <c r="ED117" i="40"/>
  <c r="EG59" i="40"/>
  <c r="EF141" i="40"/>
  <c r="ED64" i="40"/>
  <c r="EG98" i="40"/>
  <c r="EG88" i="40"/>
  <c r="EG104" i="40"/>
  <c r="ED85" i="40"/>
  <c r="EG39" i="40"/>
  <c r="ED53" i="40"/>
  <c r="ED93" i="40"/>
  <c r="EE67" i="40"/>
  <c r="EE138" i="40"/>
  <c r="EG34" i="40"/>
  <c r="EE144" i="40"/>
  <c r="EG109" i="40"/>
  <c r="EG133" i="40"/>
  <c r="ED60" i="40"/>
  <c r="EG93" i="40"/>
  <c r="EG41" i="40"/>
  <c r="EG92" i="40"/>
  <c r="EG53" i="40"/>
  <c r="EG73" i="40"/>
  <c r="EG37" i="40"/>
  <c r="EG86" i="40"/>
  <c r="EG90" i="40"/>
  <c r="EG67" i="40"/>
  <c r="EG63" i="40"/>
  <c r="ED75" i="40"/>
  <c r="ED141" i="40"/>
  <c r="EG68" i="40"/>
  <c r="EG96" i="40"/>
  <c r="ED111" i="40"/>
  <c r="EG89" i="40"/>
  <c r="EG50" i="40"/>
  <c r="ED129" i="40"/>
  <c r="EG127" i="40"/>
  <c r="ED81" i="40"/>
  <c r="EG81" i="40"/>
  <c r="EE125" i="40"/>
  <c r="EE131" i="40"/>
  <c r="ED137" i="40"/>
  <c r="EG136" i="40"/>
  <c r="EG57" i="40"/>
  <c r="EG71" i="40"/>
  <c r="EG66" i="40"/>
  <c r="EG111" i="40"/>
  <c r="EG40" i="40"/>
  <c r="EG60" i="40"/>
  <c r="EG94" i="40"/>
  <c r="EG58" i="40"/>
  <c r="EG26" i="40"/>
  <c r="EE94" i="40"/>
  <c r="EE89" i="40"/>
  <c r="EE61" i="40"/>
  <c r="EE55" i="40"/>
  <c r="EE130" i="40"/>
  <c r="EE145" i="40"/>
  <c r="EE88" i="40"/>
  <c r="EE82" i="40"/>
  <c r="EE132" i="40"/>
  <c r="EE74" i="40"/>
  <c r="EE103" i="40"/>
  <c r="EE115" i="40"/>
  <c r="ED125" i="40"/>
  <c r="ED51" i="40"/>
  <c r="EE78" i="40"/>
  <c r="ED50" i="40"/>
  <c r="ED110" i="40"/>
  <c r="ED140" i="40"/>
  <c r="EF79" i="40"/>
  <c r="EF98" i="40"/>
  <c r="EF122" i="40"/>
  <c r="EF144" i="40"/>
  <c r="EF65" i="40"/>
  <c r="EF121" i="40"/>
  <c r="EF104" i="40"/>
  <c r="EF81" i="40"/>
  <c r="EF64" i="40"/>
  <c r="EF34" i="40"/>
  <c r="EF31" i="40"/>
  <c r="EF91" i="40"/>
  <c r="EF90" i="40"/>
  <c r="EF43" i="40"/>
  <c r="EF143" i="40"/>
  <c r="EF112" i="40"/>
  <c r="EF63" i="40"/>
  <c r="EF97" i="40"/>
  <c r="EF86" i="40"/>
  <c r="EF138" i="40"/>
  <c r="EF133" i="40"/>
  <c r="EF77" i="40"/>
  <c r="EF29" i="40"/>
  <c r="EF72" i="40"/>
  <c r="EF110" i="40"/>
  <c r="EF120" i="40"/>
  <c r="EF55" i="40"/>
  <c r="EF137" i="40"/>
  <c r="EF46" i="40"/>
  <c r="EF75" i="40"/>
  <c r="EF118" i="40"/>
  <c r="EF36" i="40"/>
  <c r="EF105" i="40"/>
  <c r="EF51" i="40"/>
  <c r="EF35" i="40"/>
  <c r="EF102" i="40"/>
  <c r="EF69" i="40"/>
  <c r="EE77" i="40"/>
  <c r="EE76" i="40"/>
  <c r="EE45" i="40"/>
  <c r="EE113" i="40"/>
  <c r="EE53" i="40"/>
  <c r="EE43" i="40"/>
  <c r="EE42" i="40"/>
  <c r="EE99" i="40"/>
  <c r="EE128" i="40"/>
  <c r="EE72" i="40"/>
  <c r="EE111" i="40"/>
  <c r="EE101" i="40"/>
  <c r="ED83" i="40"/>
  <c r="EE28" i="40"/>
  <c r="ED31" i="40"/>
  <c r="ED103" i="40"/>
  <c r="ED112" i="40"/>
  <c r="ED40" i="40"/>
  <c r="ED97" i="40"/>
  <c r="ED49" i="40"/>
  <c r="ED33" i="40"/>
  <c r="EE129" i="40"/>
  <c r="EE68" i="40"/>
  <c r="EE56" i="40"/>
  <c r="ED138" i="40"/>
  <c r="EE31" i="40"/>
  <c r="ED48" i="40"/>
  <c r="ED37" i="40"/>
  <c r="ED70" i="40"/>
  <c r="ED46" i="40"/>
  <c r="ED106" i="40"/>
  <c r="EE92" i="40"/>
  <c r="ED56" i="40"/>
  <c r="EE30" i="40"/>
  <c r="EE95" i="40"/>
  <c r="ED121" i="40"/>
  <c r="EE69" i="40"/>
  <c r="ED120" i="40"/>
  <c r="ED55" i="40"/>
  <c r="EE38" i="40"/>
  <c r="ED42" i="40"/>
  <c r="EE112" i="40"/>
  <c r="EE118" i="40"/>
  <c r="ED108" i="40"/>
  <c r="ED59" i="40"/>
  <c r="EE127" i="40"/>
  <c r="ED84" i="40"/>
  <c r="ED104" i="40"/>
  <c r="EE47" i="40"/>
  <c r="EE117" i="40"/>
  <c r="ED123" i="40"/>
  <c r="ED32" i="40"/>
  <c r="EE59" i="40"/>
  <c r="ED43" i="40"/>
  <c r="EE114" i="40"/>
  <c r="ED87" i="40"/>
  <c r="EE80" i="40"/>
  <c r="EE139" i="40"/>
  <c r="EE91" i="40"/>
  <c r="EE64" i="40"/>
  <c r="EE119" i="40"/>
  <c r="EE87" i="40"/>
  <c r="EE100" i="40"/>
  <c r="EE98" i="40"/>
  <c r="EE41" i="40"/>
  <c r="EE135" i="40"/>
  <c r="EE66" i="40"/>
  <c r="EE104" i="40"/>
  <c r="EE84" i="40"/>
  <c r="EE57" i="40"/>
  <c r="EE58" i="40"/>
  <c r="EE97" i="40"/>
  <c r="EE133" i="40"/>
  <c r="EE29" i="40"/>
  <c r="EE124" i="40"/>
  <c r="ED69" i="40"/>
  <c r="EE107" i="40"/>
  <c r="EE108" i="40"/>
  <c r="EE73" i="40"/>
  <c r="ED128" i="40"/>
  <c r="ED67" i="40"/>
  <c r="EE60" i="40"/>
  <c r="EE109" i="40"/>
  <c r="ED113" i="40"/>
  <c r="ED66" i="40"/>
  <c r="EE106" i="40"/>
  <c r="EE71" i="40"/>
  <c r="ED126" i="40"/>
  <c r="ED65" i="40"/>
  <c r="EE70" i="40"/>
  <c r="EE48" i="40"/>
  <c r="EE65" i="40"/>
  <c r="EE44" i="40"/>
  <c r="ED109" i="40"/>
  <c r="ED95" i="40"/>
  <c r="EE123" i="40"/>
  <c r="ED144" i="40"/>
  <c r="EE81" i="40"/>
  <c r="EE49" i="40"/>
  <c r="EE137" i="40"/>
  <c r="EG114" i="40"/>
  <c r="EG116" i="40"/>
  <c r="ED116" i="40"/>
  <c r="ED79" i="40"/>
  <c r="ED41" i="40"/>
  <c r="EE105" i="40"/>
  <c r="ED133" i="40"/>
  <c r="EE90" i="40"/>
  <c r="EE143" i="40"/>
  <c r="EG123" i="40"/>
  <c r="ED72" i="40"/>
  <c r="ED80" i="40"/>
  <c r="ED102" i="40"/>
  <c r="EE37" i="40"/>
  <c r="ED136" i="40"/>
  <c r="ED77" i="40"/>
  <c r="ED68" i="40"/>
  <c r="ED62" i="40"/>
  <c r="EE96" i="40"/>
  <c r="EE34" i="40"/>
  <c r="EE116" i="40"/>
  <c r="EE52" i="40"/>
  <c r="ED131" i="40"/>
  <c r="EE122" i="40"/>
  <c r="EE36" i="40"/>
  <c r="ED94" i="40"/>
  <c r="EE93" i="40"/>
  <c r="EE62" i="40"/>
  <c r="EE83" i="40"/>
  <c r="KT33" i="55"/>
  <c r="KT38" i="55"/>
  <c r="KT39" i="55"/>
  <c r="KT37" i="55"/>
  <c r="KT40" i="55"/>
  <c r="KT35" i="55"/>
  <c r="KT41" i="55"/>
  <c r="KT36" i="55"/>
  <c r="KT34" i="55"/>
  <c r="EF99" i="40"/>
  <c r="EG27" i="40"/>
  <c r="EG118" i="40"/>
  <c r="EG78" i="40"/>
  <c r="EG54" i="40"/>
  <c r="EG119" i="40"/>
  <c r="EG143" i="40"/>
  <c r="EG82" i="40"/>
  <c r="ED98" i="40"/>
  <c r="ED91" i="40"/>
  <c r="KR40" i="55"/>
  <c r="KR37" i="55"/>
  <c r="KR38" i="55"/>
  <c r="KR41" i="55"/>
  <c r="KR34" i="55"/>
  <c r="KR39" i="55"/>
  <c r="KR36" i="55"/>
  <c r="KR33" i="55"/>
  <c r="KR35" i="55"/>
  <c r="EG29" i="40"/>
  <c r="KO40" i="55"/>
  <c r="KO41" i="55"/>
  <c r="KO37" i="55"/>
  <c r="KO36" i="55"/>
  <c r="KO35" i="55"/>
  <c r="KO33" i="55"/>
  <c r="KO38" i="55"/>
  <c r="KO39" i="55"/>
  <c r="KO34" i="55"/>
  <c r="KV40" i="55"/>
  <c r="KV33" i="55"/>
  <c r="KV34" i="55"/>
  <c r="KV41" i="55"/>
  <c r="KV39" i="55"/>
  <c r="KV38" i="55"/>
  <c r="KV37" i="55"/>
  <c r="KV36" i="55"/>
  <c r="KV35" i="55"/>
  <c r="KQ41" i="55"/>
  <c r="KQ40" i="55"/>
  <c r="KQ34" i="55"/>
  <c r="KQ35" i="55"/>
  <c r="KQ37" i="55"/>
  <c r="KQ38" i="55"/>
  <c r="KQ39" i="55"/>
  <c r="KQ33" i="55"/>
  <c r="KQ36" i="55"/>
  <c r="KS34" i="55"/>
  <c r="KS37" i="55"/>
  <c r="KS36" i="55"/>
  <c r="KS41" i="55"/>
  <c r="KS39" i="55"/>
  <c r="KS40" i="55"/>
  <c r="KS33" i="55"/>
  <c r="KS38" i="55"/>
  <c r="KS35" i="55"/>
  <c r="EG55" i="40"/>
  <c r="EG62" i="40"/>
  <c r="EG102" i="40"/>
  <c r="EG95" i="40"/>
  <c r="EG105" i="40"/>
  <c r="ED36" i="40"/>
  <c r="ED28" i="40"/>
  <c r="KU34" i="55"/>
  <c r="KU40" i="55"/>
  <c r="KU35" i="55"/>
  <c r="KU39" i="55"/>
  <c r="KU33" i="55"/>
  <c r="KU38" i="55"/>
  <c r="KU37" i="55"/>
  <c r="KU41" i="55"/>
  <c r="KU36" i="55"/>
  <c r="KW40" i="55"/>
  <c r="KW35" i="55"/>
  <c r="KW34" i="55"/>
  <c r="KW36" i="55"/>
  <c r="KW33" i="55"/>
  <c r="KW41" i="55"/>
  <c r="KW38" i="55"/>
  <c r="KW39" i="55"/>
  <c r="KW37" i="55"/>
  <c r="KP40" i="55"/>
  <c r="KP36" i="55"/>
  <c r="KP34" i="55"/>
  <c r="KP38" i="55"/>
  <c r="KP37" i="55"/>
  <c r="KP33" i="55"/>
  <c r="KP35" i="55"/>
  <c r="KP41" i="55"/>
  <c r="KP39" i="55"/>
  <c r="EF39" i="40"/>
  <c r="EF52" i="40"/>
  <c r="EF127" i="40"/>
  <c r="EF60" i="40"/>
  <c r="EF71" i="40"/>
  <c r="EF83" i="40"/>
  <c r="EG64" i="40"/>
  <c r="EG65" i="40"/>
  <c r="EF41" i="40"/>
  <c r="EG130" i="40"/>
  <c r="EG28" i="40"/>
  <c r="EG97" i="40"/>
  <c r="EG126" i="40"/>
  <c r="ED118" i="40"/>
  <c r="EG47" i="40"/>
  <c r="ED115" i="40"/>
  <c r="ED34" i="40"/>
  <c r="EF93" i="40"/>
  <c r="EF82" i="40"/>
  <c r="EF57" i="40"/>
  <c r="EG36" i="40"/>
  <c r="ED139" i="40"/>
  <c r="EE33" i="40"/>
  <c r="EG141" i="40"/>
  <c r="EE46" i="40"/>
  <c r="EF103" i="40"/>
  <c r="EF85" i="40"/>
  <c r="EF130" i="40"/>
  <c r="EF50" i="40"/>
  <c r="EF73" i="40"/>
  <c r="EF131" i="40"/>
  <c r="EF33" i="40"/>
  <c r="EF27" i="40"/>
  <c r="EF37" i="40"/>
  <c r="EF134" i="40"/>
  <c r="EF107" i="40"/>
  <c r="EF28" i="40"/>
  <c r="EF114" i="40"/>
  <c r="EF53" i="40"/>
  <c r="EG91" i="40"/>
  <c r="EG45" i="40"/>
  <c r="EF42" i="40"/>
  <c r="EG83" i="40"/>
  <c r="EG131" i="40"/>
  <c r="EG35" i="40"/>
  <c r="EF100" i="40"/>
  <c r="ED130" i="40"/>
  <c r="EF67" i="40"/>
  <c r="EF40" i="40"/>
  <c r="EG100" i="40"/>
  <c r="EF80" i="40"/>
  <c r="EF95" i="40"/>
  <c r="ED132" i="40"/>
  <c r="ED127" i="40"/>
  <c r="EF136" i="40"/>
  <c r="EG46" i="40"/>
  <c r="ED57" i="40"/>
  <c r="EE142" i="40"/>
  <c r="ED44" i="40"/>
  <c r="ED71" i="40"/>
  <c r="EF132" i="40"/>
  <c r="EG107" i="40"/>
  <c r="EF47" i="40"/>
  <c r="ED134" i="40"/>
  <c r="EE32" i="40"/>
  <c r="EG74" i="40"/>
  <c r="ED61" i="40"/>
  <c r="EF145" i="40"/>
  <c r="EG137" i="40"/>
  <c r="EG99" i="40"/>
  <c r="EF92" i="40"/>
  <c r="EF117" i="40"/>
  <c r="EE140" i="40"/>
  <c r="EF140" i="40"/>
  <c r="EF108" i="40"/>
  <c r="EF109" i="40"/>
  <c r="EF44" i="40"/>
  <c r="EF26" i="40"/>
  <c r="EF142" i="40"/>
  <c r="EF58" i="40"/>
  <c r="EF113" i="40"/>
  <c r="EF129" i="40"/>
  <c r="EG61" i="40"/>
  <c r="EF135" i="40"/>
  <c r="EG85" i="40"/>
  <c r="ED88" i="40"/>
  <c r="EF54" i="40"/>
  <c r="ED27" i="40"/>
  <c r="EF123" i="40"/>
  <c r="ED96" i="40"/>
  <c r="EG56" i="40"/>
  <c r="EE121" i="40"/>
  <c r="EG106" i="40"/>
  <c r="EF38" i="40"/>
  <c r="EG31" i="40"/>
  <c r="EG132" i="40"/>
  <c r="EG110" i="40"/>
  <c r="EG70" i="40"/>
  <c r="EG72" i="40"/>
  <c r="EE136" i="40"/>
  <c r="ED26" i="40"/>
  <c r="EF106" i="40"/>
  <c r="ED145" i="40"/>
  <c r="EE86" i="40"/>
  <c r="EG38" i="40"/>
  <c r="EF74" i="40"/>
  <c r="EE85" i="40"/>
  <c r="EE26" i="40"/>
  <c r="ED114" i="40"/>
  <c r="EF70" i="40"/>
  <c r="EG103" i="40"/>
  <c r="EG42" i="40"/>
  <c r="EE75" i="40"/>
  <c r="EF62" i="40"/>
  <c r="EF124" i="40"/>
  <c r="EF128" i="40"/>
  <c r="EF88" i="40"/>
  <c r="EF30" i="40"/>
  <c r="EF48" i="40"/>
  <c r="EF125" i="40"/>
  <c r="EF78" i="40"/>
  <c r="EF76" i="40"/>
  <c r="EF89" i="40"/>
  <c r="EF101" i="40"/>
  <c r="EF84" i="40"/>
  <c r="EF56" i="40"/>
  <c r="EF87" i="40"/>
  <c r="EG122" i="40"/>
  <c r="EG51" i="40"/>
  <c r="EF111" i="40"/>
  <c r="EF45" i="40"/>
  <c r="ED143" i="40"/>
  <c r="EF116" i="40"/>
  <c r="ED135" i="40"/>
  <c r="ED47" i="40"/>
  <c r="EF119" i="40"/>
  <c r="ED73" i="40"/>
  <c r="EE102" i="40"/>
  <c r="EE27" i="40"/>
  <c r="ED63" i="40"/>
  <c r="EG48" i="40"/>
  <c r="EE54" i="40"/>
  <c r="EE134" i="40"/>
  <c r="EE147" i="40" l="1" a="1"/>
  <c r="EF147" i="40" a="1"/>
  <c r="KX38" i="55"/>
  <c r="KX33" i="55"/>
  <c r="KX41" i="55"/>
  <c r="KX37" i="55"/>
  <c r="EG147" i="40"/>
  <c r="KX34" i="55"/>
  <c r="KX35" i="55"/>
  <c r="KX40" i="55"/>
  <c r="KX39" i="55"/>
  <c r="KX36" i="55"/>
  <c r="ED148" i="40"/>
  <c r="ED147" i="40"/>
  <c r="EG148" i="40"/>
  <c r="EE148" i="40"/>
  <c r="EE147" i="40"/>
  <c r="EF147" i="40"/>
  <c r="EF148" i="40"/>
  <c r="KX43" i="55" l="1"/>
  <c r="LA35" i="55" l="1"/>
  <c r="LA37" i="55"/>
  <c r="LA41" i="55"/>
  <c r="LA39" i="55"/>
  <c r="LA38" i="55"/>
  <c r="LA34" i="55"/>
  <c r="LA40" i="55"/>
  <c r="LA33" i="55"/>
  <c r="LA36" i="55"/>
  <c r="LH41" i="55"/>
  <c r="LH36" i="55"/>
  <c r="LH37" i="55"/>
  <c r="LH33" i="55"/>
  <c r="LH39" i="55"/>
  <c r="LH35" i="55"/>
  <c r="LH40" i="55"/>
  <c r="LH34" i="55"/>
  <c r="LH38" i="55"/>
  <c r="LI34" i="55"/>
  <c r="LI39" i="55"/>
  <c r="LI36" i="55"/>
  <c r="LI41" i="55"/>
  <c r="LI38" i="55"/>
  <c r="LI35" i="55"/>
  <c r="LI37" i="55"/>
  <c r="LI40" i="55"/>
  <c r="LI33" i="55"/>
  <c r="LC35" i="55"/>
  <c r="LC36" i="55"/>
  <c r="LC37" i="55"/>
  <c r="LC38" i="55"/>
  <c r="LC39" i="55"/>
  <c r="LC40" i="55"/>
  <c r="LC34" i="55"/>
  <c r="LC33" i="55"/>
  <c r="LC41" i="55"/>
  <c r="LE33" i="55"/>
  <c r="LE35" i="55"/>
  <c r="LE37" i="55"/>
  <c r="LE41" i="55"/>
  <c r="LE36" i="55"/>
  <c r="LE39" i="55"/>
  <c r="LE40" i="55"/>
  <c r="LE34" i="55"/>
  <c r="LE38" i="55"/>
  <c r="LF36" i="55"/>
  <c r="LF41" i="55"/>
  <c r="LF33" i="55"/>
  <c r="LF39" i="55"/>
  <c r="LF37" i="55"/>
  <c r="LF34" i="55"/>
  <c r="LF40" i="55"/>
  <c r="LF35" i="55"/>
  <c r="LF38" i="55"/>
  <c r="LB38" i="55"/>
  <c r="LB35" i="55"/>
  <c r="LB37" i="55"/>
  <c r="LB40" i="55"/>
  <c r="LB36" i="55"/>
  <c r="LB34" i="55"/>
  <c r="LB39" i="55"/>
  <c r="LB33" i="55"/>
  <c r="LB41" i="55"/>
  <c r="LD39" i="55"/>
  <c r="LD41" i="55"/>
  <c r="LD36" i="55"/>
  <c r="LD37" i="55"/>
  <c r="LD38" i="55"/>
  <c r="LD40" i="55"/>
  <c r="LD35" i="55"/>
  <c r="LD33" i="55"/>
  <c r="LD34" i="55"/>
  <c r="LG38" i="55"/>
  <c r="LG37" i="55"/>
  <c r="LG39" i="55"/>
  <c r="LG41" i="55"/>
  <c r="LG40" i="55"/>
  <c r="LG35" i="55"/>
  <c r="LG34" i="55"/>
  <c r="LG33" i="55"/>
  <c r="LG36" i="55"/>
  <c r="LJ39" i="55" l="1"/>
  <c r="LJ41" i="55"/>
  <c r="LJ34" i="55"/>
  <c r="LJ37" i="55"/>
  <c r="LJ33" i="55"/>
  <c r="LJ40" i="55"/>
  <c r="LJ36" i="55"/>
  <c r="LJ38" i="55"/>
  <c r="LJ35" i="55"/>
  <c r="LJ43" i="55" l="1"/>
  <c r="LN41" i="55" l="1"/>
  <c r="LN36" i="55"/>
  <c r="LN35" i="55"/>
  <c r="LN37" i="55"/>
  <c r="LN40" i="55"/>
  <c r="LN34" i="55"/>
  <c r="LN33" i="55"/>
  <c r="LN39" i="55"/>
  <c r="LN38" i="55"/>
  <c r="LU40" i="55"/>
  <c r="LU36" i="55"/>
  <c r="LU41" i="55"/>
  <c r="LU34" i="55"/>
  <c r="LU39" i="55"/>
  <c r="LU33" i="55"/>
  <c r="LU35" i="55"/>
  <c r="LU38" i="55"/>
  <c r="LU37" i="55"/>
  <c r="LR40" i="55"/>
  <c r="LR36" i="55"/>
  <c r="LR34" i="55"/>
  <c r="LR38" i="55"/>
  <c r="LR35" i="55"/>
  <c r="LR41" i="55"/>
  <c r="LR37" i="55"/>
  <c r="LR39" i="55"/>
  <c r="LR33" i="55"/>
  <c r="LO37" i="55"/>
  <c r="LO38" i="55"/>
  <c r="LO35" i="55"/>
  <c r="LO39" i="55"/>
  <c r="LO40" i="55"/>
  <c r="LO41" i="55"/>
  <c r="LO36" i="55"/>
  <c r="LO33" i="55"/>
  <c r="LO34" i="55"/>
  <c r="LM38" i="55"/>
  <c r="LM33" i="55"/>
  <c r="LM39" i="55"/>
  <c r="LM41" i="55"/>
  <c r="LM34" i="55"/>
  <c r="LM37" i="55"/>
  <c r="LM36" i="55"/>
  <c r="LM40" i="55"/>
  <c r="LM35" i="55"/>
  <c r="LP38" i="55"/>
  <c r="LP40" i="55"/>
  <c r="LP41" i="55"/>
  <c r="LP33" i="55"/>
  <c r="LP35" i="55"/>
  <c r="LP34" i="55"/>
  <c r="LP37" i="55"/>
  <c r="LP39" i="55"/>
  <c r="LP36" i="55"/>
  <c r="LQ34" i="55"/>
  <c r="LQ40" i="55"/>
  <c r="LQ38" i="55"/>
  <c r="LQ35" i="55"/>
  <c r="LQ33" i="55"/>
  <c r="LQ41" i="55"/>
  <c r="LQ37" i="55"/>
  <c r="LQ36" i="55"/>
  <c r="LQ39" i="55"/>
  <c r="LS35" i="55"/>
  <c r="LS36" i="55"/>
  <c r="LS39" i="55"/>
  <c r="LS41" i="55"/>
  <c r="LS34" i="55"/>
  <c r="LS38" i="55"/>
  <c r="LS40" i="55"/>
  <c r="LS33" i="55"/>
  <c r="LS37" i="55"/>
  <c r="LT35" i="55"/>
  <c r="LT39" i="55"/>
  <c r="LT37" i="55"/>
  <c r="LT40" i="55"/>
  <c r="LT34" i="55"/>
  <c r="LT41" i="55"/>
  <c r="LT36" i="55"/>
  <c r="LT38" i="55"/>
  <c r="LT33" i="55"/>
  <c r="LV40" i="55" l="1"/>
  <c r="LV41" i="55"/>
  <c r="LV36" i="55"/>
  <c r="LV39" i="55"/>
  <c r="LV37" i="55"/>
  <c r="LV33" i="55"/>
  <c r="LV35" i="55"/>
  <c r="LV34" i="55"/>
  <c r="LV38" i="55"/>
  <c r="LV43" i="55" l="1"/>
  <c r="ME35" i="55" l="1"/>
  <c r="ME37" i="55"/>
  <c r="ME38" i="55"/>
  <c r="ME40" i="55"/>
  <c r="ME33" i="55"/>
  <c r="ME41" i="55"/>
  <c r="ME39" i="55"/>
  <c r="ME36" i="55"/>
  <c r="ME34" i="55"/>
  <c r="MC39" i="55"/>
  <c r="MC41" i="55"/>
  <c r="MC37" i="55"/>
  <c r="MC35" i="55"/>
  <c r="MC40" i="55"/>
  <c r="MC36" i="55"/>
  <c r="MC38" i="55"/>
  <c r="MC34" i="55"/>
  <c r="MC33" i="55"/>
  <c r="MD33" i="55"/>
  <c r="MD34" i="55"/>
  <c r="MD40" i="55"/>
  <c r="MD39" i="55"/>
  <c r="MD35" i="55"/>
  <c r="MD41" i="55"/>
  <c r="MD38" i="55"/>
  <c r="MD36" i="55"/>
  <c r="MD37" i="55"/>
  <c r="MB41" i="55"/>
  <c r="MB34" i="55"/>
  <c r="MB40" i="55"/>
  <c r="MB35" i="55"/>
  <c r="MB39" i="55"/>
  <c r="MB37" i="55"/>
  <c r="MB33" i="55"/>
  <c r="MB36" i="55"/>
  <c r="MB38" i="55"/>
  <c r="MF35" i="55"/>
  <c r="MF34" i="55"/>
  <c r="MF36" i="55"/>
  <c r="MF37" i="55"/>
  <c r="MF33" i="55"/>
  <c r="MF38" i="55"/>
  <c r="MF39" i="55"/>
  <c r="MF41" i="55"/>
  <c r="MF40" i="55"/>
  <c r="MA37" i="55"/>
  <c r="MA40" i="55"/>
  <c r="MA41" i="55"/>
  <c r="MA38" i="55"/>
  <c r="MA36" i="55"/>
  <c r="MA34" i="55"/>
  <c r="MA39" i="55"/>
  <c r="MA33" i="55"/>
  <c r="MA35" i="55"/>
  <c r="MG34" i="55"/>
  <c r="MG37" i="55"/>
  <c r="MG36" i="55"/>
  <c r="MG40" i="55"/>
  <c r="MG41" i="55"/>
  <c r="MG35" i="55"/>
  <c r="MG39" i="55"/>
  <c r="MG33" i="55"/>
  <c r="MG38" i="55"/>
  <c r="LZ41" i="55"/>
  <c r="LZ34" i="55"/>
  <c r="LZ33" i="55"/>
  <c r="LZ35" i="55"/>
  <c r="LZ40" i="55"/>
  <c r="LZ39" i="55"/>
  <c r="LZ37" i="55"/>
  <c r="LZ38" i="55"/>
  <c r="LZ36" i="55"/>
  <c r="LY34" i="55"/>
  <c r="LY37" i="55"/>
  <c r="LY33" i="55"/>
  <c r="LY41" i="55"/>
  <c r="LY36" i="55"/>
  <c r="LY39" i="55"/>
  <c r="LY38" i="55"/>
  <c r="LY40" i="55"/>
  <c r="LY35" i="55"/>
  <c r="MH40" i="55" l="1"/>
  <c r="MH41" i="55"/>
  <c r="MH33" i="55"/>
  <c r="MH38" i="55"/>
  <c r="MH39" i="55"/>
  <c r="MH37" i="55"/>
  <c r="MH35" i="55"/>
  <c r="MH36" i="55"/>
  <c r="MH34" i="55"/>
  <c r="MH43" i="55" l="1"/>
  <c r="MM33" i="55" l="1"/>
  <c r="MM40" i="55"/>
  <c r="MM35" i="55"/>
  <c r="MM41" i="55"/>
  <c r="MM34" i="55"/>
  <c r="MM38" i="55"/>
  <c r="MM36" i="55"/>
  <c r="MM37" i="55"/>
  <c r="MM39" i="55"/>
  <c r="MR41" i="55"/>
  <c r="MR35" i="55"/>
  <c r="MR33" i="55"/>
  <c r="MR37" i="55"/>
  <c r="MR40" i="55"/>
  <c r="MR38" i="55"/>
  <c r="MR39" i="55"/>
  <c r="MR34" i="55"/>
  <c r="MR36" i="55"/>
  <c r="MN39" i="55"/>
  <c r="MN38" i="55"/>
  <c r="MN36" i="55"/>
  <c r="MN34" i="55"/>
  <c r="MN33" i="55"/>
  <c r="MN35" i="55"/>
  <c r="MN37" i="55"/>
  <c r="MN41" i="55"/>
  <c r="MN40" i="55"/>
  <c r="MQ39" i="55"/>
  <c r="MQ41" i="55"/>
  <c r="MQ38" i="55"/>
  <c r="MQ37" i="55"/>
  <c r="MQ33" i="55"/>
  <c r="MQ40" i="55"/>
  <c r="MQ34" i="55"/>
  <c r="MQ35" i="55"/>
  <c r="MQ36" i="55"/>
  <c r="MK33" i="55"/>
  <c r="MK37" i="55"/>
  <c r="MK36" i="55"/>
  <c r="MK38" i="55"/>
  <c r="MK39" i="55"/>
  <c r="MK34" i="55"/>
  <c r="MK40" i="55"/>
  <c r="MK41" i="55"/>
  <c r="MK35" i="55"/>
  <c r="MP37" i="55"/>
  <c r="MP33" i="55"/>
  <c r="MP35" i="55"/>
  <c r="MP40" i="55"/>
  <c r="MP41" i="55"/>
  <c r="MP39" i="55"/>
  <c r="MP38" i="55"/>
  <c r="MP34" i="55"/>
  <c r="MP36" i="55"/>
  <c r="MS40" i="55"/>
  <c r="MS39" i="55"/>
  <c r="MS38" i="55"/>
  <c r="MS37" i="55"/>
  <c r="MS33" i="55"/>
  <c r="MS41" i="55"/>
  <c r="MS36" i="55"/>
  <c r="MS34" i="55"/>
  <c r="MS35" i="55"/>
  <c r="MO37" i="55"/>
  <c r="MO36" i="55"/>
  <c r="MO33" i="55"/>
  <c r="MO38" i="55"/>
  <c r="MO34" i="55"/>
  <c r="MO39" i="55"/>
  <c r="MO40" i="55"/>
  <c r="MO41" i="55"/>
  <c r="MO35" i="55"/>
  <c r="ML41" i="55"/>
  <c r="ML37" i="55"/>
  <c r="ML40" i="55"/>
  <c r="ML36" i="55"/>
  <c r="ML35" i="55"/>
  <c r="ML33" i="55"/>
  <c r="ML34" i="55"/>
  <c r="ML39" i="55"/>
  <c r="ML38" i="55"/>
  <c r="MT41" i="55" l="1"/>
  <c r="MT40" i="55"/>
  <c r="MT36" i="55"/>
  <c r="MT38" i="55"/>
  <c r="MT34" i="55"/>
  <c r="MT37" i="55"/>
  <c r="MT35" i="55"/>
  <c r="MT39" i="55"/>
  <c r="MT33" i="55"/>
  <c r="MT43" i="55" l="1"/>
  <c r="AC26" i="90" l="1" a="1"/>
  <c r="AC12" i="90" a="1"/>
  <c r="AC20" i="90" a="1"/>
  <c r="AG23" i="90" l="1"/>
  <c r="AE21" i="90"/>
  <c r="AT26" i="90" s="1"/>
  <c r="AE20" i="90"/>
  <c r="AT25" i="90" s="1"/>
  <c r="AC22" i="90"/>
  <c r="AH23" i="90"/>
  <c r="AH20" i="90"/>
  <c r="AG20" i="90"/>
  <c r="AG22" i="90"/>
  <c r="AH21" i="90"/>
  <c r="AF20" i="90"/>
  <c r="AC20" i="90"/>
  <c r="AD20" i="90"/>
  <c r="AO25" i="90" s="1"/>
  <c r="AE23" i="90"/>
  <c r="AT28" i="90" s="1"/>
  <c r="AF23" i="90"/>
  <c r="AD23" i="90"/>
  <c r="AO28" i="90" s="1"/>
  <c r="AH22" i="90"/>
  <c r="AG21" i="90"/>
  <c r="AE22" i="90"/>
  <c r="AT27" i="90" s="1"/>
  <c r="AD22" i="90"/>
  <c r="AO27" i="90" s="1"/>
  <c r="AC21" i="90"/>
  <c r="AD21" i="90"/>
  <c r="AO26" i="90" s="1"/>
  <c r="AF22" i="90"/>
  <c r="AF21" i="90"/>
  <c r="AC23" i="90"/>
  <c r="AH27" i="90"/>
  <c r="AE31" i="90"/>
  <c r="AC30" i="90"/>
  <c r="AD30" i="90"/>
  <c r="AF30" i="90"/>
  <c r="AC27" i="90"/>
  <c r="AG27" i="90"/>
  <c r="AH28" i="90"/>
  <c r="AE29" i="90"/>
  <c r="AG30" i="90"/>
  <c r="AD28" i="90"/>
  <c r="AH30" i="90"/>
  <c r="AG26" i="90"/>
  <c r="AF28" i="90"/>
  <c r="AC28" i="90"/>
  <c r="AG29" i="90"/>
  <c r="AG31" i="90"/>
  <c r="AD31" i="90"/>
  <c r="AH31" i="90"/>
  <c r="AH29" i="90"/>
  <c r="AE26" i="90"/>
  <c r="AE30" i="90"/>
  <c r="AD26" i="90"/>
  <c r="AD27" i="90"/>
  <c r="AE28" i="90"/>
  <c r="AG28" i="90"/>
  <c r="AH26" i="90"/>
  <c r="AC31" i="90"/>
  <c r="AE27" i="90"/>
  <c r="AF26" i="90"/>
  <c r="AF27" i="90"/>
  <c r="AC29" i="90"/>
  <c r="AD29" i="90"/>
  <c r="AC26" i="90"/>
  <c r="AF31" i="90"/>
  <c r="AF29" i="90"/>
  <c r="AD16" i="90"/>
  <c r="AO18" i="90" s="1"/>
  <c r="AC15" i="90"/>
  <c r="AF15" i="90"/>
  <c r="AF16" i="90"/>
  <c r="AE12" i="90"/>
  <c r="AT14" i="90" s="1"/>
  <c r="AE17" i="90"/>
  <c r="AT19" i="90" s="1"/>
  <c r="AD12" i="90"/>
  <c r="AF14" i="90"/>
  <c r="AE15" i="90"/>
  <c r="AT17" i="90" s="1"/>
  <c r="AC17" i="90"/>
  <c r="AE14" i="90"/>
  <c r="AT16" i="90" s="1"/>
  <c r="AC16" i="90"/>
  <c r="AE16" i="90"/>
  <c r="AT18" i="90" s="1"/>
  <c r="AD15" i="90"/>
  <c r="AO17" i="90" s="1"/>
  <c r="AF17" i="90"/>
  <c r="AD13" i="90"/>
  <c r="AO15" i="90" s="1"/>
  <c r="AE13" i="90"/>
  <c r="AT15" i="90" s="1"/>
  <c r="AC13" i="90"/>
  <c r="AF12" i="90"/>
  <c r="AC14" i="90"/>
  <c r="AC12" i="90"/>
  <c r="AD14" i="90"/>
  <c r="AO16" i="90" s="1"/>
  <c r="AF13" i="90"/>
  <c r="AD17" i="90"/>
  <c r="AO19" i="90" s="1"/>
  <c r="AW19" i="90" l="1"/>
  <c r="AX19" i="90" s="1"/>
  <c r="AR25" i="90"/>
  <c r="AS25" i="90" s="1"/>
  <c r="AP16" i="90"/>
  <c r="BA16" i="90"/>
  <c r="AU19" i="90"/>
  <c r="AV19" i="90" s="1"/>
  <c r="BB19" i="90"/>
  <c r="BB27" i="90"/>
  <c r="AU27" i="90"/>
  <c r="AV27" i="90" s="1"/>
  <c r="BB14" i="90"/>
  <c r="AU14" i="90"/>
  <c r="AV14" i="90" s="1"/>
  <c r="BB16" i="90"/>
  <c r="AU16" i="90"/>
  <c r="AV16" i="90" s="1"/>
  <c r="BA28" i="90"/>
  <c r="AP28" i="90"/>
  <c r="BB15" i="90"/>
  <c r="AU15" i="90"/>
  <c r="AV15" i="90" s="1"/>
  <c r="AU17" i="90"/>
  <c r="AV17" i="90" s="1"/>
  <c r="BB17" i="90"/>
  <c r="BA18" i="90"/>
  <c r="AP18" i="90"/>
  <c r="AP26" i="90"/>
  <c r="BA26" i="90"/>
  <c r="AU28" i="90"/>
  <c r="AV28" i="90" s="1"/>
  <c r="BB28" i="90"/>
  <c r="AP19" i="90"/>
  <c r="BA19" i="90"/>
  <c r="AP15" i="90"/>
  <c r="BA15" i="90"/>
  <c r="BA25" i="90"/>
  <c r="AP25" i="90"/>
  <c r="AP17" i="90"/>
  <c r="BA17" i="90"/>
  <c r="AU26" i="90"/>
  <c r="AV26" i="90" s="1"/>
  <c r="BB26" i="90"/>
  <c r="BB18" i="90"/>
  <c r="AU18" i="90"/>
  <c r="AV18" i="90" s="1"/>
  <c r="AQ58" i="90" a="1"/>
  <c r="AO14" i="90"/>
  <c r="AP27" i="90"/>
  <c r="BA27" i="90"/>
  <c r="AR42" i="90" a="1"/>
  <c r="BB25" i="90"/>
  <c r="AU25" i="90"/>
  <c r="AV25" i="90" s="1"/>
  <c r="AW14" i="90" l="1"/>
  <c r="AX14" i="90" s="1"/>
  <c r="AW25" i="90"/>
  <c r="AX25" i="90" s="1"/>
  <c r="AW27" i="90"/>
  <c r="AX27" i="90" s="1"/>
  <c r="AW28" i="90"/>
  <c r="AX28" i="90" s="1"/>
  <c r="AW26" i="90"/>
  <c r="AX26" i="90" s="1"/>
  <c r="AW17" i="90"/>
  <c r="AX17" i="90" s="1"/>
  <c r="AW16" i="90"/>
  <c r="AX16" i="90" s="1"/>
  <c r="AR15" i="90"/>
  <c r="AS15" i="90" s="1"/>
  <c r="AR27" i="90"/>
  <c r="AS27" i="90" s="1"/>
  <c r="AR28" i="90"/>
  <c r="AS28" i="90" s="1"/>
  <c r="AR16" i="90"/>
  <c r="AS16" i="90" s="1"/>
  <c r="AR18" i="90"/>
  <c r="AS18" i="90" s="1"/>
  <c r="AW63" i="90"/>
  <c r="BB40" i="90"/>
  <c r="BA39" i="90"/>
  <c r="AV62" i="90"/>
  <c r="BB42" i="90"/>
  <c r="AW65" i="90"/>
  <c r="AV65" i="90"/>
  <c r="BA42" i="90"/>
  <c r="BB41" i="90"/>
  <c r="AW64" i="90"/>
  <c r="AD39" i="90"/>
  <c r="AE36" i="90" s="1"/>
  <c r="AF36" i="90" s="1"/>
  <c r="BA47" i="90"/>
  <c r="BA34" i="90"/>
  <c r="AR26" i="90"/>
  <c r="AS26" i="90" s="1"/>
  <c r="BA14" i="90"/>
  <c r="AR14" i="90"/>
  <c r="AS14" i="90" s="1"/>
  <c r="AP14" i="90"/>
  <c r="AR17" i="90"/>
  <c r="AS17" i="90" s="1"/>
  <c r="AK15" i="90"/>
  <c r="AQ15" i="90"/>
  <c r="BA40" i="90"/>
  <c r="AV63" i="90"/>
  <c r="BB48" i="90"/>
  <c r="BB35" i="90"/>
  <c r="BB51" i="90"/>
  <c r="BB38" i="90"/>
  <c r="AS43" i="90"/>
  <c r="AS45" i="90"/>
  <c r="AR44" i="90"/>
  <c r="AU43" i="90"/>
  <c r="AR45" i="90"/>
  <c r="AU42" i="90"/>
  <c r="AR43" i="90"/>
  <c r="AT45" i="90"/>
  <c r="AR42" i="90"/>
  <c r="AT42" i="90"/>
  <c r="AU45" i="90"/>
  <c r="AU44" i="90"/>
  <c r="AS44" i="90"/>
  <c r="AS42" i="90"/>
  <c r="AT43" i="90"/>
  <c r="AT44" i="90"/>
  <c r="AQ28" i="90"/>
  <c r="AK28" i="90"/>
  <c r="AV64" i="90"/>
  <c r="BA41" i="90"/>
  <c r="AQ58" i="90"/>
  <c r="AR58" i="90"/>
  <c r="AS58" i="90"/>
  <c r="BA36" i="90"/>
  <c r="BA49" i="90"/>
  <c r="BA38" i="90"/>
  <c r="BA51" i="90"/>
  <c r="AK26" i="90"/>
  <c r="AQ26" i="90"/>
  <c r="BB34" i="90"/>
  <c r="BB47" i="90"/>
  <c r="AW18" i="90"/>
  <c r="AX18" i="90" s="1"/>
  <c r="AK17" i="90"/>
  <c r="AQ17" i="90"/>
  <c r="AR19" i="90"/>
  <c r="AS19" i="90" s="1"/>
  <c r="AK18" i="90"/>
  <c r="AQ18" i="90"/>
  <c r="AW15" i="90"/>
  <c r="AX15" i="90" s="1"/>
  <c r="BA35" i="90"/>
  <c r="BA48" i="90"/>
  <c r="BB50" i="90"/>
  <c r="BB37" i="90"/>
  <c r="BA37" i="90"/>
  <c r="BA50" i="90"/>
  <c r="AW62" i="90"/>
  <c r="BB39" i="90"/>
  <c r="AQ25" i="90"/>
  <c r="AK25" i="90"/>
  <c r="AQ19" i="90"/>
  <c r="AK19" i="90"/>
  <c r="BB33" i="90"/>
  <c r="BB46" i="90"/>
  <c r="AK16" i="90"/>
  <c r="AQ16" i="90"/>
  <c r="BB49" i="90"/>
  <c r="BB36" i="90"/>
  <c r="AK27" i="90"/>
  <c r="AQ27" i="90"/>
  <c r="AE37" i="90" l="1"/>
  <c r="AF37" i="90" s="1"/>
  <c r="AT36" i="90"/>
  <c r="AU36" i="90" s="1"/>
  <c r="AV36" i="90" s="1"/>
  <c r="BB54" i="90"/>
  <c r="BB55" i="90"/>
  <c r="AT37" i="90"/>
  <c r="AU37" i="90" s="1"/>
  <c r="AV37" i="90" s="1"/>
  <c r="AW66" i="90"/>
  <c r="AP70" i="90"/>
  <c r="AQ70" i="90" s="1"/>
  <c r="AR70" i="90" s="1"/>
  <c r="BB53" i="90"/>
  <c r="AT35" i="90"/>
  <c r="AU35" i="90" s="1"/>
  <c r="AV35" i="90" s="1"/>
  <c r="AK14" i="90"/>
  <c r="AQ14" i="90"/>
  <c r="AV66" i="90"/>
  <c r="AM70" i="90"/>
  <c r="AN70" i="90" s="1"/>
  <c r="AO34" i="90"/>
  <c r="AP34" i="90" s="1"/>
  <c r="BA52" i="90"/>
  <c r="AE38" i="90"/>
  <c r="AO36" i="90"/>
  <c r="AP36" i="90" s="1"/>
  <c r="BA54" i="90"/>
  <c r="BA46" i="90"/>
  <c r="BA33" i="90"/>
  <c r="AT34" i="90"/>
  <c r="AU34" i="90" s="1"/>
  <c r="AV34" i="90" s="1"/>
  <c r="BB52" i="90"/>
  <c r="AO37" i="90"/>
  <c r="AP37" i="90" s="1"/>
  <c r="BA55" i="90"/>
  <c r="AO35" i="90"/>
  <c r="AP35" i="90" s="1"/>
  <c r="BA53" i="90"/>
  <c r="AF38" i="90" l="1"/>
  <c r="AQ35" i="90"/>
  <c r="AK35" i="90"/>
  <c r="AK36" i="90"/>
  <c r="AQ36" i="90"/>
  <c r="AK37" i="90"/>
  <c r="AQ37" i="90"/>
  <c r="AK34" i="90"/>
  <c r="AQ34" i="90"/>
  <c r="AO70" i="90"/>
  <c r="AK70" i="9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<sst xmlns="http://schemas.openxmlformats.org/spreadsheetml/2006/main" count="4225" uniqueCount="883">
  <si>
    <t>Public Debt</t>
  </si>
  <si>
    <t>Deficit</t>
  </si>
  <si>
    <t>Inflation</t>
  </si>
  <si>
    <t>Unemployment</t>
  </si>
  <si>
    <t> Austria</t>
  </si>
  <si>
    <t> Belgium</t>
  </si>
  <si>
    <t> Bulgaria</t>
  </si>
  <si>
    <t> Cyprus</t>
  </si>
  <si>
    <t> Czech Republic</t>
  </si>
  <si>
    <t> Denmark</t>
  </si>
  <si>
    <t> Estonia</t>
  </si>
  <si>
    <t> Finland</t>
  </si>
  <si>
    <t> France</t>
  </si>
  <si>
    <t> Germany</t>
  </si>
  <si>
    <t> Greece</t>
  </si>
  <si>
    <t> Hungary</t>
  </si>
  <si>
    <t> Ireland</t>
  </si>
  <si>
    <t> Italy</t>
  </si>
  <si>
    <t> Latvia</t>
  </si>
  <si>
    <t> Lithuania</t>
  </si>
  <si>
    <t> Luxembourg</t>
  </si>
  <si>
    <t> Malta</t>
  </si>
  <si>
    <t> Netherlands</t>
  </si>
  <si>
    <t> Poland</t>
  </si>
  <si>
    <t> Portugal</t>
  </si>
  <si>
    <t> Romania</t>
  </si>
  <si>
    <t> Slovakia</t>
  </si>
  <si>
    <t> Slovenia</t>
  </si>
  <si>
    <t> Spain</t>
  </si>
  <si>
    <t> Sweden</t>
  </si>
  <si>
    <t> United Kingdom</t>
  </si>
  <si>
    <t>GDP/capita</t>
  </si>
  <si>
    <t>Country</t>
  </si>
  <si>
    <t>European Union Statistics</t>
  </si>
  <si>
    <t>Mean</t>
  </si>
  <si>
    <t>Var</t>
  </si>
  <si>
    <t>Stdev</t>
  </si>
  <si>
    <t>Sample Covariance Matrix</t>
  </si>
  <si>
    <t>Population Covariance Matrix</t>
  </si>
  <si>
    <t>Correlation Matrix</t>
  </si>
  <si>
    <t>Hotelling T-square: One Sample</t>
  </si>
  <si>
    <t>Subject</t>
  </si>
  <si>
    <t>Style</t>
  </si>
  <si>
    <t>Comfort</t>
  </si>
  <si>
    <t>Durability</t>
  </si>
  <si>
    <t>Stability</t>
  </si>
  <si>
    <t>Cushion</t>
  </si>
  <si>
    <t>Goal</t>
  </si>
  <si>
    <t>mean</t>
  </si>
  <si>
    <t>stdev</t>
  </si>
  <si>
    <t>Sample Covariance Matrix (S)</t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</si>
  <si>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</si>
  <si>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n</t>
  </si>
  <si>
    <t>k</t>
  </si>
  <si>
    <t>F</t>
  </si>
  <si>
    <t>df1</t>
  </si>
  <si>
    <t>df2</t>
  </si>
  <si>
    <t>α</t>
  </si>
  <si>
    <t>F-crit</t>
  </si>
  <si>
    <t>P-value</t>
  </si>
  <si>
    <t>sig</t>
  </si>
  <si>
    <t>s</t>
  </si>
  <si>
    <t>df</t>
  </si>
  <si>
    <t>t-crit</t>
  </si>
  <si>
    <t>t</t>
  </si>
  <si>
    <t>p-value</t>
  </si>
  <si>
    <t>lower</t>
  </si>
  <si>
    <t>upper</t>
  </si>
  <si>
    <t>Individual t-tests</t>
  </si>
  <si>
    <t>Simultaneous confidence intervals</t>
  </si>
  <si>
    <t>se</t>
  </si>
  <si>
    <t>goal</t>
  </si>
  <si>
    <t>ok</t>
  </si>
  <si>
    <t>=COUNT(B4:B28)</t>
  </si>
  <si>
    <t>=COUNT(B4:F4)</t>
  </si>
  <si>
    <t>=I18*MMULT(MMULT(TRANSPOSE(J4:J8-I4:I8),MINVERSE(H12:L16)),J4:J8-I4:I8)</t>
  </si>
  <si>
    <t>=I20*(I18-I19)/(I19*(I18-1))</t>
  </si>
  <si>
    <t>=I19</t>
  </si>
  <si>
    <t>=I18-I19</t>
  </si>
  <si>
    <t>=FINV(I24,I22,I23)</t>
  </si>
  <si>
    <t>=FDIST(I21,I22,I23)</t>
  </si>
  <si>
    <t>=IF(I26&lt;= I24,"yes","no")</t>
  </si>
  <si>
    <t>Bonferroni t-tests</t>
  </si>
  <si>
    <t>Comparison with goals (simultaneous confidence intervals)</t>
  </si>
  <si>
    <t>Comparison with goals (Bonferroni confidence intervals)</t>
  </si>
  <si>
    <t>Model 1</t>
  </si>
  <si>
    <t>Model 2</t>
  </si>
  <si>
    <t>Difference</t>
  </si>
  <si>
    <t>Hotelling T-square: Paired Sample</t>
  </si>
  <si>
    <t>Hotelling T-square: Independent Samples</t>
  </si>
  <si>
    <t>Drug</t>
  </si>
  <si>
    <t>Fever</t>
  </si>
  <si>
    <t>Pressure</t>
  </si>
  <si>
    <t>Aches</t>
  </si>
  <si>
    <t>Placebo</t>
  </si>
  <si>
    <t>=T2TEST(B4:F28,I4:I8,0)</t>
  </si>
  <si>
    <t>Diff</t>
  </si>
  <si>
    <t>Covariance - Drug</t>
  </si>
  <si>
    <t>Covariance - Placebo</t>
  </si>
  <si>
    <t>Covariance - Pooled</t>
  </si>
  <si>
    <t>Count</t>
  </si>
  <si>
    <t>Inverse of Pooled Covariance</t>
  </si>
  <si>
    <t>mean diff</t>
  </si>
  <si>
    <t>n1</t>
  </si>
  <si>
    <t>n2</t>
  </si>
  <si>
    <t>var1</t>
  </si>
  <si>
    <t>var2</t>
  </si>
  <si>
    <t>var</t>
  </si>
  <si>
    <t>Box's Test</t>
  </si>
  <si>
    <t>det</t>
  </si>
  <si>
    <t>ln det</t>
  </si>
  <si>
    <t>p</t>
  </si>
  <si>
    <t>Pooled</t>
  </si>
  <si>
    <t>M</t>
  </si>
  <si>
    <t>c</t>
  </si>
  <si>
    <t>χ2</t>
  </si>
  <si>
    <t>a+</t>
  </si>
  <si>
    <t>a-</t>
  </si>
  <si>
    <t>F+</t>
  </si>
  <si>
    <t>F-</t>
  </si>
  <si>
    <t>χ2-crit</t>
  </si>
  <si>
    <t>nn = n-1</t>
  </si>
  <si>
    <t>nn*ln det</t>
  </si>
  <si>
    <t>1/nn</t>
  </si>
  <si>
    <t>1/nn^2</t>
  </si>
  <si>
    <t>Means</t>
  </si>
  <si>
    <t>Supplemental functions</t>
  </si>
  <si>
    <t>Pooled Covariance Matrix</t>
  </si>
  <si>
    <t>Input</t>
  </si>
  <si>
    <t>=A5</t>
  </si>
  <si>
    <t>=A11</t>
  </si>
  <si>
    <t>F value</t>
  </si>
  <si>
    <t xml:space="preserve">Mahalanobis Distance </t>
  </si>
  <si>
    <t>T2</t>
  </si>
  <si>
    <t>D2</t>
  </si>
  <si>
    <t>=HotellingT2(B4:F28,I4:I8,0)</t>
  </si>
  <si>
    <t>=HotellingF(B4:F28,I4:I8,0)</t>
  </si>
  <si>
    <t>=Hotellingdf1(B4:F28,I4:I8,0)</t>
  </si>
  <si>
    <t>=Hotellingdf2(B4:F28,I4:I8,0)</t>
  </si>
  <si>
    <t>Min</t>
  </si>
  <si>
    <t>Q1-Min</t>
  </si>
  <si>
    <t>Med-Q1</t>
  </si>
  <si>
    <t>Q3-Med</t>
  </si>
  <si>
    <t>Max-Q3</t>
  </si>
  <si>
    <t>yield</t>
  </si>
  <si>
    <t>water</t>
  </si>
  <si>
    <t>herbicide</t>
  </si>
  <si>
    <t>MANOVA</t>
  </si>
  <si>
    <t>stat</t>
  </si>
  <si>
    <t>eta-sq</t>
  </si>
  <si>
    <t>Pillai Trace</t>
  </si>
  <si>
    <t>Wilk's Lambda</t>
  </si>
  <si>
    <t>Hotelling Trace</t>
  </si>
  <si>
    <t>Roy's Lg Root</t>
  </si>
  <si>
    <t>T</t>
  </si>
  <si>
    <t>H</t>
  </si>
  <si>
    <t>E</t>
  </si>
  <si>
    <t>Pooled covariance matrix</t>
  </si>
  <si>
    <t>loam</t>
  </si>
  <si>
    <t>sandy</t>
  </si>
  <si>
    <t>clay</t>
  </si>
  <si>
    <t>salty</t>
  </si>
  <si>
    <t>Water</t>
  </si>
  <si>
    <t>Yield</t>
  </si>
  <si>
    <t>Herbicide</t>
  </si>
  <si>
    <t>Total Mean and Group Means</t>
  </si>
  <si>
    <t>Group Means less Total Means</t>
  </si>
  <si>
    <t>count</t>
  </si>
  <si>
    <t>Total</t>
  </si>
  <si>
    <t>Calculation by Definition</t>
  </si>
  <si>
    <t>Using Covariance Matrix</t>
  </si>
  <si>
    <t>MANOVA - Data analysis tool</t>
  </si>
  <si>
    <t>MANOVA - Follow up ANOVA</t>
  </si>
  <si>
    <t>ANOVA: Single Factor</t>
  </si>
  <si>
    <t>DESCRIPTION</t>
  </si>
  <si>
    <t>Alpha</t>
  </si>
  <si>
    <t>Groups</t>
  </si>
  <si>
    <t>Sum</t>
  </si>
  <si>
    <t>Variance</t>
  </si>
  <si>
    <t>SS</t>
  </si>
  <si>
    <t>Std Err</t>
  </si>
  <si>
    <t>Lower</t>
  </si>
  <si>
    <t>Upper</t>
  </si>
  <si>
    <t>ANOVA</t>
  </si>
  <si>
    <t>Sources</t>
  </si>
  <si>
    <t>MS</t>
  </si>
  <si>
    <t>P value</t>
  </si>
  <si>
    <t>F crit</t>
  </si>
  <si>
    <t>RMSSE</t>
  </si>
  <si>
    <t>Omega Sq</t>
  </si>
  <si>
    <t>Between Groups</t>
  </si>
  <si>
    <t>Within Groups</t>
  </si>
  <si>
    <r>
      <t>HE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</si>
  <si>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HT</t>
    </r>
    <r>
      <rPr>
        <vertAlign val="superscript"/>
        <sz val="11"/>
        <color theme="1"/>
        <rFont val="Calibri"/>
        <family val="2"/>
        <scheme val="minor"/>
      </rPr>
      <t>-1</t>
    </r>
  </si>
  <si>
    <t>Wilks</t>
  </si>
  <si>
    <t>Hotel</t>
  </si>
  <si>
    <t>Pillai</t>
  </si>
  <si>
    <t>Roy</t>
  </si>
  <si>
    <t>Calculation of test statistics using eigenvalues</t>
  </si>
  <si>
    <t>Test statistics</t>
  </si>
  <si>
    <t>Hotelling</t>
  </si>
  <si>
    <t>PB Trace</t>
  </si>
  <si>
    <t>V</t>
  </si>
  <si>
    <t>m</t>
  </si>
  <si>
    <t>a</t>
  </si>
  <si>
    <t>b-numer</t>
  </si>
  <si>
    <t>b-denom</t>
  </si>
  <si>
    <t>u</t>
  </si>
  <si>
    <t>b</t>
  </si>
  <si>
    <t>Λ</t>
  </si>
  <si>
    <r>
      <t>Λ</t>
    </r>
    <r>
      <rPr>
        <vertAlign val="superscript"/>
        <sz val="11"/>
        <color theme="1"/>
        <rFont val="Calibri"/>
        <family val="2"/>
        <scheme val="minor"/>
      </rPr>
      <t xml:space="preserve">-1/b </t>
    </r>
    <r>
      <rPr>
        <sz val="11"/>
        <color theme="1"/>
        <rFont val="Calibri"/>
        <family val="2"/>
        <scheme val="minor"/>
      </rPr>
      <t>- 1</t>
    </r>
  </si>
  <si>
    <t>Outliers</t>
  </si>
  <si>
    <r>
      <t>D</t>
    </r>
    <r>
      <rPr>
        <vertAlign val="superscript"/>
        <sz val="11"/>
        <color theme="1"/>
        <rFont val="Calibri"/>
        <family val="2"/>
        <scheme val="minor"/>
      </rPr>
      <t>2</t>
    </r>
  </si>
  <si>
    <t>covariance matrix</t>
  </si>
  <si>
    <t>inverse of covariance matrix</t>
  </si>
  <si>
    <t>z-score</t>
  </si>
  <si>
    <t>total</t>
  </si>
  <si>
    <t>c^2/n</t>
  </si>
  <si>
    <t>H-contrast</t>
  </si>
  <si>
    <t>s.e.</t>
  </si>
  <si>
    <t>alpha</t>
  </si>
  <si>
    <t>Bonferroni confidence intervals</t>
  </si>
  <si>
    <t>Contrast</t>
  </si>
  <si>
    <t># sample</t>
  </si>
  <si>
    <t># dep</t>
  </si>
  <si>
    <t># indep</t>
  </si>
  <si>
    <t>effect</t>
  </si>
  <si>
    <t>Covariance Matrix</t>
  </si>
  <si>
    <t>D-sq</t>
  </si>
  <si>
    <t>Inverse of covariance Matrix</t>
  </si>
  <si>
    <t>Mean vector</t>
  </si>
  <si>
    <t>Correlation matrix</t>
  </si>
  <si>
    <t>SSCP Matrices</t>
  </si>
  <si>
    <t>Group Covariance Matrices</t>
  </si>
  <si>
    <t>Multiple ANOVA</t>
  </si>
  <si>
    <t>Outliers via Mahalanobis D-squared</t>
  </si>
  <si>
    <t>Group Means and Contrasts</t>
  </si>
  <si>
    <t>MANOVA - Extraction</t>
  </si>
  <si>
    <t>Extract group - clay</t>
  </si>
  <si>
    <t>Extract covariance - clay</t>
  </si>
  <si>
    <t>Extract pooled covariance matrix</t>
  </si>
  <si>
    <t>Extract data by group for water</t>
  </si>
  <si>
    <t>QQ Tables</t>
  </si>
  <si>
    <t>Std Dev</t>
  </si>
  <si>
    <t>Interval</t>
  </si>
  <si>
    <t>Data</t>
  </si>
  <si>
    <t>Std Norm</t>
  </si>
  <si>
    <t>Std Data</t>
  </si>
  <si>
    <t>MANOVA - Normality</t>
  </si>
  <si>
    <t>QQ Plot - Yield</t>
  </si>
  <si>
    <t>QQ Tables - Water x Clay</t>
  </si>
  <si>
    <t>Yield-Herbicide before deleting Series 1</t>
  </si>
  <si>
    <t>Manova - univariate outliers</t>
  </si>
  <si>
    <t>Extract herbicide</t>
  </si>
  <si>
    <t>Box Plot</t>
  </si>
  <si>
    <t>Outliers and Missing Data</t>
  </si>
  <si>
    <t># outliers</t>
  </si>
  <si>
    <t># blank</t>
  </si>
  <si>
    <t># non-num</t>
  </si>
  <si>
    <t>MANOVA - Normality (data analysis tool)</t>
  </si>
  <si>
    <t>Extract Data</t>
  </si>
  <si>
    <t>Descriptive Statistics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</si>
  <si>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</si>
  <si>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</si>
  <si>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</si>
  <si>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</si>
  <si>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</si>
  <si>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</si>
  <si>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</si>
  <si>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</si>
  <si>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</si>
  <si>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</si>
  <si>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Geometric Mean</t>
  </si>
  <si>
    <t>Harmonic Mean</t>
  </si>
  <si>
    <t>AAD</t>
  </si>
  <si>
    <t>MAD</t>
  </si>
  <si>
    <t>IQR</t>
  </si>
  <si>
    <t>Shapiro-Wilk Test</t>
  </si>
  <si>
    <t>W</t>
  </si>
  <si>
    <t>normal</t>
  </si>
  <si>
    <t>Manova - multivariate outliers</t>
  </si>
  <si>
    <t>MANOVA - Contrasts</t>
  </si>
  <si>
    <t>MANOVA - All</t>
  </si>
  <si>
    <t>c2</t>
  </si>
  <si>
    <t>Concise Table of Contents</t>
  </si>
  <si>
    <t>Multivariate Real Statistics Using Excel - Examples Workbook</t>
  </si>
  <si>
    <t>Table of Contents</t>
  </si>
  <si>
    <t>Young</t>
  </si>
  <si>
    <t>Old</t>
  </si>
  <si>
    <t>nn = n -1</t>
  </si>
  <si>
    <t>Middle</t>
  </si>
  <si>
    <t>Using supplemental functions</t>
  </si>
  <si>
    <t>cov</t>
  </si>
  <si>
    <t>sample</t>
  </si>
  <si>
    <t>F Test</t>
  </si>
  <si>
    <t>Chi-square Test</t>
  </si>
  <si>
    <t>Manova - Box's Test</t>
  </si>
  <si>
    <t>Descriptive Multivariate Statistics</t>
  </si>
  <si>
    <t>Multivariate sample (Example 1)</t>
  </si>
  <si>
    <t>Covariance and correlation matrices (Example 2)</t>
  </si>
  <si>
    <t>Multivariate Normal Distribution</t>
  </si>
  <si>
    <t>Eigenvalues/eigenvectors for Sample Covariance Matrix</t>
  </si>
  <si>
    <t>Axes Lengths</t>
  </si>
  <si>
    <t>Unemploy</t>
  </si>
  <si>
    <t>λ</t>
  </si>
  <si>
    <t>length</t>
  </si>
  <si>
    <t>Volume of ellipse</t>
  </si>
  <si>
    <r>
      <t>2</t>
    </r>
    <r>
      <rPr>
        <sz val="11"/>
        <color theme="1"/>
        <rFont val="Calibri"/>
        <family val="2"/>
      </rPr>
      <t>π^(k/2)</t>
    </r>
  </si>
  <si>
    <r>
      <t>k</t>
    </r>
    <r>
      <rPr>
        <sz val="11"/>
        <color theme="1"/>
        <rFont val="Calibri"/>
        <family val="2"/>
      </rPr>
      <t>Γ(k/2)</t>
    </r>
  </si>
  <si>
    <t>|S|^(1/2)</t>
  </si>
  <si>
    <t>volume</t>
  </si>
  <si>
    <t>=CHIINV(U11,U10)</t>
  </si>
  <si>
    <t>=2*PI()^(U10/2)</t>
  </si>
  <si>
    <t>=U10*EXP(GAMMALN(U10/2))</t>
  </si>
  <si>
    <t>=COUNTA(B3,F3)</t>
  </si>
  <si>
    <t>χ2-crit^(k/2)</t>
  </si>
  <si>
    <t>=U12^(U10/2)</t>
  </si>
  <si>
    <t>=SQRT(MDETERM(H4:L8))</t>
  </si>
  <si>
    <t>=U14/U15*U16*U17</t>
  </si>
  <si>
    <t>Eigenvalue/vectors of covariance matrix (Figure 1)</t>
  </si>
  <si>
    <t>Confidence hyper-ellipse and eigenvalues</t>
  </si>
  <si>
    <t>Axes lengths (Figure 2)</t>
  </si>
  <si>
    <t>Volume of hyper-ellipe (Figure 3)</t>
  </si>
  <si>
    <t>One sample Hotelling's T-square</t>
  </si>
  <si>
    <t>One sample test (Example 1)</t>
  </si>
  <si>
    <t>Confidence interval (Example 2)</t>
  </si>
  <si>
    <t>Paired sample Hotelling's T-square</t>
  </si>
  <si>
    <t>Hotelling's T-square for two independent samples</t>
  </si>
  <si>
    <t>Paired sample test (Example 1)</t>
  </si>
  <si>
    <t>Two sample test (Example 1)</t>
  </si>
  <si>
    <t>Two sample test (Example 2)</t>
  </si>
  <si>
    <t>Additional information about two sample test</t>
  </si>
  <si>
    <t>Confidence intervals (Example 1)</t>
  </si>
  <si>
    <t>Effect size (Example 1)</t>
  </si>
  <si>
    <t>Box's Test (Figure 3)</t>
  </si>
  <si>
    <t>Two independent samples with unequal covariance matrices</t>
  </si>
  <si>
    <t>Box's Test (Example 1)</t>
  </si>
  <si>
    <t>Using supplemental function</t>
  </si>
  <si>
    <t>Repeat Example 2 of Hotelling's T-square for two independent samples</t>
  </si>
  <si>
    <t>Standard form of data (Figure 1)</t>
  </si>
  <si>
    <t>Chart of group/total means (Figure 3)</t>
  </si>
  <si>
    <t>SSCP matrices (Figure 5)</t>
  </si>
  <si>
    <t>Group/total means (Figure 2 and 4)</t>
  </si>
  <si>
    <t>Test statistics (Figure 6)</t>
  </si>
  <si>
    <t>Test statistics using eigenvalues (Figure 7)</t>
  </si>
  <si>
    <t>Test results (Figure 8)</t>
  </si>
  <si>
    <t>Basic Concepts</t>
  </si>
  <si>
    <t>Real Statistics Support</t>
  </si>
  <si>
    <t>Manova data analysis tool (Figure 2)</t>
  </si>
  <si>
    <t>Row and column extraction functions (Figure 3)</t>
  </si>
  <si>
    <t>Effect size</t>
  </si>
  <si>
    <t>Partial eta squared</t>
  </si>
  <si>
    <t>Manova Assumptions</t>
  </si>
  <si>
    <t>Tests for normality</t>
  </si>
  <si>
    <t>Test for multivariate outliers</t>
  </si>
  <si>
    <t>Test for univariate outliers</t>
  </si>
  <si>
    <t>Data analysis for normality</t>
  </si>
  <si>
    <t>Test for homogeneity of covariance matrices</t>
  </si>
  <si>
    <t>Anova Follow up</t>
  </si>
  <si>
    <t>Contrast Follow up</t>
  </si>
  <si>
    <t>Multivariate and univariate contrasts</t>
  </si>
  <si>
    <t>MANOVA data analysis tool (all features)</t>
  </si>
  <si>
    <t>ANOVA option of MANOVA data analysis tool</t>
  </si>
  <si>
    <t>Multiple Anova tests</t>
  </si>
  <si>
    <t>Detailed version of Box's Test (Example 1)</t>
  </si>
  <si>
    <t>Covariance matrix function (Example 2)</t>
  </si>
  <si>
    <t>Covariance matrix function (Example 1)</t>
  </si>
  <si>
    <t>Standard format MANOVA function (Example 3)</t>
  </si>
  <si>
    <t>Factor Analysis</t>
  </si>
  <si>
    <t>Principal Component Analysis</t>
  </si>
  <si>
    <t>Teacher Evaluation</t>
  </si>
  <si>
    <t>Expect</t>
  </si>
  <si>
    <t>Entertain</t>
  </si>
  <si>
    <t>Comm</t>
  </si>
  <si>
    <t>Expert</t>
  </si>
  <si>
    <t>Motivate</t>
  </si>
  <si>
    <t>Caring</t>
  </si>
  <si>
    <t>Charisma</t>
  </si>
  <si>
    <t>Passion</t>
  </si>
  <si>
    <t>Friendly</t>
  </si>
  <si>
    <t>Eigenvalues and Eigenvectors</t>
  </si>
  <si>
    <t>Reduced Model</t>
  </si>
  <si>
    <t>PC1</t>
  </si>
  <si>
    <t>PC2</t>
  </si>
  <si>
    <t>PC3</t>
  </si>
  <si>
    <t>PC4</t>
  </si>
  <si>
    <t>eValue</t>
  </si>
  <si>
    <t>%</t>
  </si>
  <si>
    <t>% Cum</t>
  </si>
  <si>
    <t>B</t>
  </si>
  <si>
    <t>X</t>
  </si>
  <si>
    <t>X'</t>
  </si>
  <si>
    <t>Y</t>
  </si>
  <si>
    <t>Rotation with original model</t>
  </si>
  <si>
    <t>skew</t>
  </si>
  <si>
    <t>kurt</t>
  </si>
  <si>
    <t>Scree Plot</t>
  </si>
  <si>
    <t>Haitovsky's Chi-square Test</t>
  </si>
  <si>
    <t>Error terms (full model)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</si>
  <si>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(full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</si>
  <si>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 (full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</si>
  <si>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 (reduced model)</t>
    </r>
  </si>
  <si>
    <t>Factor score matrix</t>
  </si>
  <si>
    <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</si>
  <si>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(reduced model)</t>
    </r>
  </si>
  <si>
    <t>=MDETERM(B6:J14)</t>
  </si>
  <si>
    <t>=COUNT(B6:B14)</t>
  </si>
  <si>
    <t xml:space="preserve">df </t>
  </si>
  <si>
    <t>=Y6*(Y6-1)/2</t>
  </si>
  <si>
    <t>=(1+(2*Y6+5)/6-Y7)*LN(1-Y5)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</si>
  <si>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(reduced model)</t>
    </r>
  </si>
  <si>
    <t>recall that 1st column was negated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</si>
  <si>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RV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>-1/2</t>
    </r>
    <r>
      <rPr>
        <sz val="11"/>
        <color theme="1"/>
        <rFont val="Calibri"/>
        <family val="2"/>
        <scheme val="minor"/>
      </rPr>
      <t xml:space="preserve"> (reduced model)</t>
    </r>
  </si>
  <si>
    <t>=CHIDIST(Y9,Y8)</t>
  </si>
  <si>
    <t>H-crit</t>
  </si>
  <si>
    <t>=CHIINV(Y10,Y8)</t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</si>
  <si>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RV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</si>
  <si>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t>Eigenvalues and eigenvectors</t>
  </si>
  <si>
    <t>Error terms (reduced model)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</si>
  <si>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model)</t>
    </r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</si>
  <si>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(full model)</t>
    </r>
  </si>
  <si>
    <t>Revised factor score matrix</t>
  </si>
  <si>
    <t>Factor scores for the sample</t>
  </si>
  <si>
    <r>
      <t>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L (reduced model)</t>
    </r>
  </si>
  <si>
    <t>Factor scores for the sample (Bartlett's method)</t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</si>
  <si>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model) - alt formulation</t>
    </r>
  </si>
  <si>
    <t>1st row now needs to be negated</t>
  </si>
  <si>
    <t xml:space="preserve"> </t>
  </si>
  <si>
    <t>Factor score matrix (Bartlett's method)</t>
  </si>
  <si>
    <t>Factor score matrix (Anderson-Rubin method)</t>
  </si>
  <si>
    <t>Factor scores for the sample (Anderson-Rubin method)</t>
  </si>
  <si>
    <t>Correlation matrix (Anderson-Rubin)</t>
  </si>
  <si>
    <t>Score for sample 1</t>
  </si>
  <si>
    <t>Sample 1</t>
  </si>
  <si>
    <t>X -meanX</t>
  </si>
  <si>
    <t>Loading factors (full model)</t>
  </si>
  <si>
    <t>Error terms (reduced model after rotation)</t>
  </si>
  <si>
    <r>
      <t>LL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(reduced model rotated)</t>
    </r>
  </si>
  <si>
    <r>
      <t>(L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L)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L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(full model) - alternative formulation</t>
    </r>
  </si>
  <si>
    <t>F scores</t>
  </si>
  <si>
    <t>Factor score matrix (alt calculation)</t>
  </si>
  <si>
    <t>Loading factors</t>
  </si>
  <si>
    <t>Varimax</t>
  </si>
  <si>
    <t>Reproduced correlation matrix (i.e. correlation matrix of reduced model)</t>
  </si>
  <si>
    <t>Spec Var</t>
  </si>
  <si>
    <t>Factor score matrix (Varimax)</t>
  </si>
  <si>
    <t>Rotation Matrix by Gaussian Elimination</t>
  </si>
  <si>
    <t>Calculation of V</t>
  </si>
  <si>
    <t>Before rotation</t>
  </si>
  <si>
    <t>ϕ</t>
  </si>
  <si>
    <r>
      <t>b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</rPr>
      <t>ϕ</t>
    </r>
  </si>
  <si>
    <t>sum</t>
  </si>
  <si>
    <t>sumsq</t>
  </si>
  <si>
    <t>diff</t>
  </si>
  <si>
    <t>After rotation</t>
  </si>
  <si>
    <t>Box's Test for Factor Analysis</t>
  </si>
  <si>
    <t>Identity Matrix</t>
  </si>
  <si>
    <t>Pooled Matrix</t>
  </si>
  <si>
    <t>A</t>
  </si>
  <si>
    <t>angle</t>
  </si>
  <si>
    <t>d</t>
  </si>
  <si>
    <t>C</t>
  </si>
  <si>
    <t>D</t>
  </si>
  <si>
    <t>KMO</t>
  </si>
  <si>
    <t>R = Correlation Matrix</t>
  </si>
  <si>
    <r>
      <t>R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= Inverse of Correlation Matrix</t>
    </r>
  </si>
  <si>
    <t>sqrt diag</t>
  </si>
  <si>
    <t>Partial correlation matrix</t>
  </si>
  <si>
    <t>Principal Axis Factoring</t>
  </si>
  <si>
    <t>Revised Correlation Matrix</t>
  </si>
  <si>
    <t>Factor Matrix</t>
  </si>
  <si>
    <t>Q</t>
  </si>
  <si>
    <t>Factor Analysis - Principal Component Extraction</t>
  </si>
  <si>
    <t>Descriptive statistics</t>
  </si>
  <si>
    <t>Std dev</t>
  </si>
  <si>
    <t>Inverse of Correlation Matrix</t>
  </si>
  <si>
    <t>sqrt(diag)</t>
  </si>
  <si>
    <t>Partial Correlation Matrix</t>
  </si>
  <si>
    <t>Full Load Matrix</t>
  </si>
  <si>
    <t>Commun</t>
  </si>
  <si>
    <t>Cum %</t>
  </si>
  <si>
    <t>Factor Matrix (unrotated)</t>
  </si>
  <si>
    <t>Specific</t>
  </si>
  <si>
    <t>Factor Matrix (rotated Varimax)</t>
  </si>
  <si>
    <t>Reproduced Correlation Matrix</t>
  </si>
  <si>
    <t>Error Matrix</t>
  </si>
  <si>
    <t>Factor Scores Matrix - Regression Method</t>
  </si>
  <si>
    <t>Factor Scores Matrix - Bartlett's Method</t>
  </si>
  <si>
    <t>Factor Scores Matrix - Anderson-Rubin's Method</t>
  </si>
  <si>
    <t>Initial Communality Values</t>
  </si>
  <si>
    <t>Revised Communality Values</t>
  </si>
  <si>
    <t>Real Statistics Data Analysis Tool</t>
  </si>
  <si>
    <t>Factor Analysis - Principal Axis Extraction</t>
  </si>
  <si>
    <t>Real Statistics Data Analysis Tool - PCA Extraction</t>
  </si>
  <si>
    <t>Teacher evaluation example (Example 1)</t>
  </si>
  <si>
    <t>Factor Extraction</t>
  </si>
  <si>
    <t>Correlation Matrix (Figure 1)</t>
  </si>
  <si>
    <t>Eigenvalues and eigenvectors (Figure 2)</t>
  </si>
  <si>
    <t>Loading Factors, Full Model (Figure 3)</t>
  </si>
  <si>
    <t>Scree plot (Figure 1)</t>
  </si>
  <si>
    <t>Loading Factors, Reduced Model (Figure 2)</t>
  </si>
  <si>
    <t>Determing the Number of Factors</t>
  </si>
  <si>
    <t>Communalities and Specific Variance (Figure 3)</t>
  </si>
  <si>
    <t>Rotation</t>
  </si>
  <si>
    <t>Loading factors after Varimax rotation (Figure 1)</t>
  </si>
  <si>
    <t>Rotation matrix (Figure 2 and 3)</t>
  </si>
  <si>
    <t>Factor Scores</t>
  </si>
  <si>
    <t>Regression method (Figure 1, 2, 3)</t>
  </si>
  <si>
    <t>Bartlett's (Figure 4, 5)</t>
  </si>
  <si>
    <t>Anderson-Rubin's method (Figure 6, 7, 8)</t>
  </si>
  <si>
    <t>Validity of Correlation Matrix and Sample Size</t>
  </si>
  <si>
    <t>Reproduced Correlation Matrix (Figure 1)</t>
  </si>
  <si>
    <t>Error matrix (Reduced Model) (Figure 2)</t>
  </si>
  <si>
    <t>Bartlett's test (Figure 3)</t>
  </si>
  <si>
    <t>Bartlett's Test</t>
  </si>
  <si>
    <t>Inverse of Correlation Matrix (Figure 4)</t>
  </si>
  <si>
    <t>Partial Correlation Matrix (Figure 5)</t>
  </si>
  <si>
    <t>Haitovsky’s Test (Figure 8)</t>
  </si>
  <si>
    <t>Principal Component Extraction</t>
  </si>
  <si>
    <t>Principal Axis Extraction</t>
  </si>
  <si>
    <t>Real Statistics Data Analysis Tool - PAF Extraction (Communalities)</t>
  </si>
  <si>
    <t>Real Statistics Data Analysis Tool - PAF Extraction</t>
  </si>
  <si>
    <t xml:space="preserve">Iteration </t>
  </si>
  <si>
    <t>Iteration</t>
  </si>
  <si>
    <t>delta</t>
  </si>
  <si>
    <t>Initial</t>
  </si>
  <si>
    <t>Calculating revised communalities</t>
  </si>
  <si>
    <t>Calculating initial communalities</t>
  </si>
  <si>
    <t>=IF(Y9&gt;=Y12,"yes","no")</t>
  </si>
  <si>
    <t>Eigenvalues</t>
  </si>
  <si>
    <t>Rotation matrix is orthogonal</t>
  </si>
  <si>
    <t>Determinant of rotation matrix is +1</t>
  </si>
  <si>
    <t>Kaiser-Meyer-Olkin (KMO) (Figure 6)</t>
  </si>
  <si>
    <t>Real Statistics capabilities</t>
  </si>
  <si>
    <t>Data analysis tool example</t>
  </si>
  <si>
    <t>Real Statistics data analysis tool</t>
  </si>
  <si>
    <t>Hotelling T-square Test</t>
  </si>
  <si>
    <t>Two-samples (equal covariance matrices)</t>
  </si>
  <si>
    <t>Before</t>
  </si>
  <si>
    <t>1 week</t>
  </si>
  <si>
    <t>2 weeks</t>
  </si>
  <si>
    <t>3 weeks</t>
  </si>
  <si>
    <t>Error</t>
  </si>
  <si>
    <t>Subjects</t>
  </si>
  <si>
    <t xml:space="preserve"> F crit</t>
  </si>
  <si>
    <t>Greenhouse and Geisser</t>
  </si>
  <si>
    <t>Huyhn and Feldt</t>
  </si>
  <si>
    <t>Repeated measures design using MANOVA</t>
  </si>
  <si>
    <t>W1-W0</t>
  </si>
  <si>
    <t>W2-W1</t>
  </si>
  <si>
    <t>W3-W2</t>
  </si>
  <si>
    <t>Hyp Mean</t>
  </si>
  <si>
    <t>One-sample test</t>
  </si>
  <si>
    <t>Repeated measures test</t>
  </si>
  <si>
    <t>Age</t>
  </si>
  <si>
    <t>Day 1</t>
  </si>
  <si>
    <t>Day 2</t>
  </si>
  <si>
    <t>Day 3</t>
  </si>
  <si>
    <t>Day 4</t>
  </si>
  <si>
    <t>Day 5</t>
  </si>
  <si>
    <t>Hotelling T-square: Independent Samples Data Analysis Tool</t>
  </si>
  <si>
    <t>Two-samples (unequal covariance matrices)</t>
  </si>
  <si>
    <t>T2-Repeated Measures</t>
  </si>
  <si>
    <t>Function</t>
  </si>
  <si>
    <t>GG epsilon</t>
  </si>
  <si>
    <t>HF epsilon</t>
  </si>
  <si>
    <t>Repeated measures design using Hotelling's T-square</t>
  </si>
  <si>
    <t>Reformatted Data</t>
  </si>
  <si>
    <t>Diff  1</t>
  </si>
  <si>
    <t>Diff  2</t>
  </si>
  <si>
    <t>Diff  3</t>
  </si>
  <si>
    <t>Diff  4</t>
  </si>
  <si>
    <t>Input in Excel Anova format</t>
  </si>
  <si>
    <t>Repeated Measures Design</t>
  </si>
  <si>
    <t>One Factor</t>
  </si>
  <si>
    <t>Using Hotelling's Test (Example 1)</t>
  </si>
  <si>
    <t>Two Factor</t>
  </si>
  <si>
    <t>Using MANOVA (Example 1)</t>
  </si>
  <si>
    <t>Using ANOVA (Example 2)</t>
  </si>
  <si>
    <t>Repeated measures design using MANOVA/ANOVA</t>
  </si>
  <si>
    <t>U of Singular Value Decomposition</t>
  </si>
  <si>
    <t>D of Singular Value Decomposition</t>
  </si>
  <si>
    <t>V of Singular Value Decomposition</t>
  </si>
  <si>
    <t>K-means Algorithm</t>
  </si>
  <si>
    <t>Cluster</t>
  </si>
  <si>
    <t>Centroid</t>
  </si>
  <si>
    <t>Dist-sq</t>
  </si>
  <si>
    <t>SSE</t>
  </si>
  <si>
    <t>Converge</t>
  </si>
  <si>
    <t>Cluster Analysis data analysis tool</t>
  </si>
  <si>
    <t>iter</t>
  </si>
  <si>
    <t>Z</t>
  </si>
  <si>
    <t>K-means++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</si>
  <si>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(x)</t>
    </r>
  </si>
  <si>
    <t>cum</t>
  </si>
  <si>
    <t>dist 3</t>
  </si>
  <si>
    <t>dist 14</t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</si>
  <si>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(x)</t>
    </r>
  </si>
  <si>
    <t>centroid 1</t>
  </si>
  <si>
    <t>random</t>
  </si>
  <si>
    <t xml:space="preserve">centroid </t>
  </si>
  <si>
    <t>centroid</t>
  </si>
  <si>
    <t>Index</t>
  </si>
  <si>
    <t>dist-sq</t>
  </si>
  <si>
    <t>Cluster Analysis</t>
  </si>
  <si>
    <t>K-means Clustering</t>
  </si>
  <si>
    <t>Real Statistics Capabilities</t>
  </si>
  <si>
    <t>K-means clustering (Example 1)</t>
  </si>
  <si>
    <t>K-means clustering (Example 2)</t>
  </si>
  <si>
    <t>Setting initial clusters (Example 3)</t>
  </si>
  <si>
    <t>K-means++ clustering (Example 3)</t>
  </si>
  <si>
    <t>K-means++ clustering using Real Statistics data analysis tool (Example 4)</t>
  </si>
  <si>
    <t>Jenks Natural Breaks Optimization</t>
  </si>
  <si>
    <t>Manual steps (Example 1)</t>
  </si>
  <si>
    <t>Real Statistics function (Example 2)</t>
  </si>
  <si>
    <t>Map coloring</t>
  </si>
  <si>
    <t>Iterative approach and GVF function</t>
  </si>
  <si>
    <t>d*</t>
  </si>
  <si>
    <t>GVF</t>
  </si>
  <si>
    <t>left</t>
  </si>
  <si>
    <t>right</t>
  </si>
  <si>
    <t>devsq</t>
  </si>
  <si>
    <t>class</t>
  </si>
  <si>
    <t>Inverse of Covariance Matrix</t>
  </si>
  <si>
    <t>Bivariate Normal Distribution</t>
  </si>
  <si>
    <t>Generating random numbers</t>
  </si>
  <si>
    <t>Bivariate normal distribution</t>
  </si>
  <si>
    <t>sx</t>
  </si>
  <si>
    <t>sy</t>
  </si>
  <si>
    <t>r</t>
  </si>
  <si>
    <t>x</t>
  </si>
  <si>
    <t>y</t>
  </si>
  <si>
    <t>pdf</t>
  </si>
  <si>
    <t>mx</t>
  </si>
  <si>
    <t>my</t>
  </si>
  <si>
    <t>Cholesky</t>
  </si>
  <si>
    <t>bivar</t>
  </si>
  <si>
    <t>Distribution</t>
  </si>
  <si>
    <t>Mahalanobis Distance</t>
  </si>
  <si>
    <t>Dist</t>
  </si>
  <si>
    <t>Mardia's test</t>
  </si>
  <si>
    <t>Generating random vectors</t>
  </si>
  <si>
    <t>Testing for Multivariate Normality</t>
  </si>
  <si>
    <t>Mardia's Test</t>
  </si>
  <si>
    <t>Discriminant Analysis</t>
  </si>
  <si>
    <t>Linear Discriminant Analysis (LDA)</t>
  </si>
  <si>
    <t>Linear Discriminant Analysis</t>
  </si>
  <si>
    <t>Predictions</t>
  </si>
  <si>
    <t>Classification (Confusion) Table</t>
  </si>
  <si>
    <t>Prior probabilities</t>
  </si>
  <si>
    <t>category</t>
  </si>
  <si>
    <t>π</t>
  </si>
  <si>
    <t>LN(π)</t>
  </si>
  <si>
    <t>Pooled covariance matrix S</t>
  </si>
  <si>
    <t>Misclassification probabilities</t>
  </si>
  <si>
    <t>Discriminant function (coefficients)</t>
  </si>
  <si>
    <t>correct</t>
  </si>
  <si>
    <t>% correct</t>
  </si>
  <si>
    <t>% missed</t>
  </si>
  <si>
    <t>Inverse of S</t>
  </si>
  <si>
    <t>constant</t>
  </si>
  <si>
    <t>Quadratic Discriminant Analysis (QDA)</t>
  </si>
  <si>
    <t>Quadratic Discriminant Analysis</t>
  </si>
  <si>
    <t>Inverses of Cov Matrices</t>
  </si>
  <si>
    <t>Iron</t>
  </si>
  <si>
    <t>Copper</t>
  </si>
  <si>
    <t>Determinants</t>
  </si>
  <si>
    <t>LN|det|</t>
  </si>
  <si>
    <t>Zinc</t>
  </si>
  <si>
    <t>Box Test</t>
  </si>
  <si>
    <t>Nickel</t>
  </si>
  <si>
    <t>Tin</t>
  </si>
  <si>
    <t>Priors</t>
  </si>
  <si>
    <t>Classification Table</t>
  </si>
  <si>
    <t>Categorization of Training Data</t>
  </si>
  <si>
    <t>prob</t>
  </si>
  <si>
    <t>LN(prob)</t>
  </si>
  <si>
    <t>Coefficients</t>
  </si>
  <si>
    <t>Summary Table</t>
  </si>
  <si>
    <t>const</t>
  </si>
  <si>
    <t>Real Statistics support for LDA</t>
  </si>
  <si>
    <t>Real Statistics support for QDA</t>
  </si>
  <si>
    <t>Real Statistics</t>
  </si>
  <si>
    <t>Correspondence Analysis</t>
  </si>
  <si>
    <t>Correspondence Analysis (Example 1)</t>
  </si>
  <si>
    <t>Proportional Matrix</t>
  </si>
  <si>
    <t>Apple</t>
  </si>
  <si>
    <t>Samsung</t>
  </si>
  <si>
    <t>Nokia</t>
  </si>
  <si>
    <t>Huawei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</si>
  <si>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</si>
  <si>
    <t>CARowFactors</t>
  </si>
  <si>
    <t>CAColFactors</t>
  </si>
  <si>
    <t>screen</t>
  </si>
  <si>
    <t>price</t>
  </si>
  <si>
    <t>design</t>
  </si>
  <si>
    <t>battery</t>
  </si>
  <si>
    <t>software</t>
  </si>
  <si>
    <t>camera</t>
  </si>
  <si>
    <r>
      <t>A = 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PD</t>
    </r>
    <r>
      <rPr>
        <vertAlign val="subscript"/>
        <sz val="11"/>
        <color theme="1"/>
        <rFont val="Calibri"/>
        <family val="2"/>
        <scheme val="minor"/>
      </rPr>
      <t>c</t>
    </r>
  </si>
  <si>
    <r>
      <t>Coordinate Matrix F = 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UD</t>
    </r>
  </si>
  <si>
    <t>Plot Details for Rows</t>
  </si>
  <si>
    <t>Expected Values</t>
  </si>
  <si>
    <t>Chi-Square Test</t>
  </si>
  <si>
    <r>
      <t>D</t>
    </r>
    <r>
      <rPr>
        <vertAlign val="subscript"/>
        <sz val="11"/>
        <color theme="1"/>
        <rFont val="Calibri"/>
        <family val="2"/>
        <scheme val="minor"/>
      </rPr>
      <t>c</t>
    </r>
  </si>
  <si>
    <t>Axis 1</t>
  </si>
  <si>
    <t>Axis 2</t>
  </si>
  <si>
    <t>Quality</t>
  </si>
  <si>
    <t>Mass</t>
  </si>
  <si>
    <t>Distance</t>
  </si>
  <si>
    <t>Inertia</t>
  </si>
  <si>
    <t>Factor</t>
  </si>
  <si>
    <t>COR</t>
  </si>
  <si>
    <t>Angle</t>
  </si>
  <si>
    <t>CRT</t>
  </si>
  <si>
    <t>Factor 1</t>
  </si>
  <si>
    <t>Factor 2</t>
  </si>
  <si>
    <t>SUMMARY</t>
  </si>
  <si>
    <t>scr</t>
  </si>
  <si>
    <t>Rows</t>
  </si>
  <si>
    <t>Cols</t>
  </si>
  <si>
    <t>pri</t>
  </si>
  <si>
    <t>des</t>
  </si>
  <si>
    <t>bat</t>
  </si>
  <si>
    <t>CHI-SQUARE</t>
  </si>
  <si>
    <t>sof</t>
  </si>
  <si>
    <t>chi-sq</t>
  </si>
  <si>
    <t>x-crit</t>
  </si>
  <si>
    <t>Cramer V</t>
  </si>
  <si>
    <r>
      <t>Coordinate Matrix G = D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VD</t>
    </r>
    <r>
      <rPr>
        <vertAlign val="superscript"/>
        <sz val="11"/>
        <color theme="1"/>
        <rFont val="Calibri"/>
        <family val="2"/>
        <scheme val="minor"/>
      </rPr>
      <t>T</t>
    </r>
  </si>
  <si>
    <t>cam</t>
  </si>
  <si>
    <t>Pearson's</t>
  </si>
  <si>
    <t>Column distances</t>
  </si>
  <si>
    <t>Max likelihood</t>
  </si>
  <si>
    <t>Plot Details for Columns</t>
  </si>
  <si>
    <t>χ2/n</t>
  </si>
  <si>
    <r>
      <t>DD</t>
    </r>
    <r>
      <rPr>
        <vertAlign val="superscript"/>
        <sz val="11"/>
        <color theme="1"/>
        <rFont val="Calibri"/>
        <family val="2"/>
        <scheme val="minor"/>
      </rPr>
      <t>T</t>
    </r>
  </si>
  <si>
    <t>APP</t>
  </si>
  <si>
    <t>SAM</t>
  </si>
  <si>
    <t>NOK</t>
  </si>
  <si>
    <t>HUA</t>
  </si>
  <si>
    <t>Row distances</t>
  </si>
  <si>
    <t>Plot Details for Supplementary Rows</t>
  </si>
  <si>
    <t>eValues</t>
  </si>
  <si>
    <t>cum %</t>
  </si>
  <si>
    <t>supplement</t>
  </si>
  <si>
    <t>factor cordinates</t>
  </si>
  <si>
    <t>CAEigen</t>
  </si>
  <si>
    <t>app</t>
  </si>
  <si>
    <t>sam</t>
  </si>
  <si>
    <t>nok</t>
  </si>
  <si>
    <t>hua</t>
  </si>
  <si>
    <t>diag(D)</t>
  </si>
  <si>
    <t>distance</t>
  </si>
  <si>
    <t>Supplementary column profile</t>
  </si>
  <si>
    <t>Factor coordinates</t>
  </si>
  <si>
    <t>NEW</t>
  </si>
  <si>
    <t>Std</t>
  </si>
  <si>
    <t>P Matrix</t>
  </si>
  <si>
    <t>Plot Details for Supplementary Column</t>
  </si>
  <si>
    <t>Correspondence Analysis Plots</t>
  </si>
  <si>
    <t>COR 1</t>
  </si>
  <si>
    <t>COR 2</t>
  </si>
  <si>
    <t>CTR 1</t>
  </si>
  <si>
    <t>CTR 2</t>
  </si>
  <si>
    <t>Supplementary Row Profiles</t>
  </si>
  <si>
    <t>Supplementary Row and Column Profiles</t>
  </si>
  <si>
    <t>New</t>
  </si>
  <si>
    <t>Combined Profiles</t>
  </si>
  <si>
    <t>Hotelling's T-square</t>
  </si>
  <si>
    <t>Real Statistics formula</t>
  </si>
  <si>
    <t>cdf</t>
  </si>
  <si>
    <t>Volume</t>
  </si>
  <si>
    <t>Chart of an confidence ellipse</t>
  </si>
  <si>
    <t>Real Statistics confidence ellipse</t>
  </si>
  <si>
    <t>Confidence Ellipse</t>
  </si>
  <si>
    <t>eval</t>
  </si>
  <si>
    <t>X-Xbar</t>
  </si>
  <si>
    <t>Y-Ybar</t>
  </si>
  <si>
    <t>θ (rad)</t>
  </si>
  <si>
    <t>θ (deg)</t>
  </si>
  <si>
    <t>% inside</t>
  </si>
  <si>
    <t>inv cov</t>
  </si>
  <si>
    <t>trace</t>
  </si>
  <si>
    <t>eig1</t>
  </si>
  <si>
    <t>eig2</t>
  </si>
  <si>
    <t>x mean</t>
  </si>
  <si>
    <t>y mean</t>
  </si>
  <si>
    <t>Points on the ellipse</t>
  </si>
  <si>
    <t>Δ</t>
  </si>
  <si>
    <t>β</t>
  </si>
  <si>
    <t>1-β</t>
  </si>
  <si>
    <t>Two-way MANOVA</t>
  </si>
  <si>
    <t>Two-Way MANOVA</t>
  </si>
  <si>
    <t>Group Means and Interaction Contrasts</t>
  </si>
  <si>
    <t>gender</t>
  </si>
  <si>
    <t>economic</t>
  </si>
  <si>
    <t>kindness</t>
  </si>
  <si>
    <t>optimism</t>
  </si>
  <si>
    <t>male</t>
  </si>
  <si>
    <t>wealthy</t>
  </si>
  <si>
    <t>fact A</t>
  </si>
  <si>
    <t>part eta-sq</t>
  </si>
  <si>
    <t>Tot</t>
  </si>
  <si>
    <t>female</t>
  </si>
  <si>
    <t>middle</t>
  </si>
  <si>
    <t>Interaction-contrast</t>
  </si>
  <si>
    <t>poor</t>
  </si>
  <si>
    <t>Row (A)</t>
  </si>
  <si>
    <t>Res</t>
  </si>
  <si>
    <t>fact B</t>
  </si>
  <si>
    <t>Column (B)</t>
  </si>
  <si>
    <t>fact AB</t>
  </si>
  <si>
    <t>Interaction (AB)</t>
  </si>
  <si>
    <t>Two Factor MANOVA</t>
  </si>
  <si>
    <t>Example</t>
  </si>
  <si>
    <t>Power and Sample Size</t>
  </si>
  <si>
    <t>One-way MANOVA</t>
  </si>
  <si>
    <t>Power and sample size for one sample Hotelling's T-square</t>
  </si>
  <si>
    <t>Power and sample size for two sample Hotelling's T-square</t>
  </si>
  <si>
    <t>One-way MANOVA Power and Sample Size</t>
  </si>
  <si>
    <t>ncp</t>
  </si>
  <si>
    <r>
      <t>1-</t>
    </r>
    <r>
      <rPr>
        <sz val="11"/>
        <color theme="1"/>
        <rFont val="Calibri"/>
        <family val="2"/>
      </rPr>
      <t>β</t>
    </r>
  </si>
  <si>
    <t># of grps</t>
  </si>
  <si>
    <t># of dep</t>
  </si>
  <si>
    <t>η-sq</t>
  </si>
  <si>
    <t>part η-sq</t>
  </si>
  <si>
    <t>f-crit</t>
  </si>
  <si>
    <t>act pow</t>
  </si>
  <si>
    <t>Two-way MANOVA Power and Sample Size</t>
  </si>
  <si>
    <t># of A grps</t>
  </si>
  <si>
    <t># of B grps</t>
  </si>
  <si>
    <t>dfh</t>
  </si>
  <si>
    <t>dfe</t>
  </si>
  <si>
    <t xml:space="preserve">Power and sample size for one sample Hotelling's T-square </t>
  </si>
  <si>
    <t>act power</t>
  </si>
  <si>
    <t xml:space="preserve">Power and sample size for two sample Hotelling's T-square </t>
  </si>
  <si>
    <t>ratio</t>
  </si>
  <si>
    <t>Permutational MANOVA</t>
  </si>
  <si>
    <t>ANOVA example</t>
  </si>
  <si>
    <t>Permutational MANOVA for ANOVA</t>
  </si>
  <si>
    <t>Group</t>
  </si>
  <si>
    <t>Permutation MANOVA</t>
  </si>
  <si>
    <t>groups</t>
  </si>
  <si>
    <t>iterations</t>
  </si>
  <si>
    <t>Pseudo F</t>
  </si>
  <si>
    <t>Permutational MANOVA example</t>
  </si>
  <si>
    <t>Real Statistics analysis</t>
  </si>
  <si>
    <t>Σ</t>
  </si>
  <si>
    <t>N</t>
  </si>
  <si>
    <t>Group Means</t>
  </si>
  <si>
    <t>univar</t>
  </si>
  <si>
    <t>Init</t>
  </si>
  <si>
    <t>Dist^p</t>
  </si>
  <si>
    <t>X 1</t>
  </si>
  <si>
    <t>X 2</t>
  </si>
  <si>
    <t>X 3</t>
  </si>
  <si>
    <t>X 4</t>
  </si>
  <si>
    <t># of clusters</t>
  </si>
  <si>
    <t>Minkowski p</t>
  </si>
  <si>
    <t># of runs</t>
  </si>
  <si>
    <t>N/A</t>
  </si>
  <si>
    <t># of iter</t>
  </si>
  <si>
    <t>Weights</t>
  </si>
  <si>
    <t>Centroids</t>
  </si>
  <si>
    <t>K-means++ clustering using Real Statistics data analysis tool</t>
  </si>
  <si>
    <t>K-means Cluster Analysis weighted Minkowski distance</t>
  </si>
  <si>
    <t>Weighted Euclidean distance, no initial clusters</t>
  </si>
  <si>
    <t>Weighted Euclidean distance, initial clusters</t>
  </si>
  <si>
    <t>Taxicab distance distance, p = 1.0</t>
  </si>
  <si>
    <t>Taxicab distance distance, p = 1.0, more iterations</t>
  </si>
  <si>
    <t>Weighted Minkowski distance p = 1.5</t>
  </si>
  <si>
    <t>Copyright © 2013 - 2021 Charles Zaiontz</t>
  </si>
  <si>
    <t>Friedman-Rafsky Test</t>
  </si>
  <si>
    <t>samples</t>
  </si>
  <si>
    <t>node 1</t>
  </si>
  <si>
    <t>node 2</t>
  </si>
  <si>
    <t>cut</t>
  </si>
  <si>
    <t>runs</t>
  </si>
  <si>
    <t>Friedman-Rafsky-Smith-Jain Test</t>
  </si>
  <si>
    <t>FRSJ Test</t>
  </si>
  <si>
    <t>rand</t>
  </si>
  <si>
    <t>Charles Zaiontz, 17 Aug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</si>
</sst>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.5"/>
      <color theme="1"/>
      <name val="Cambria"/>
      <family val="1"/>
    </font>
    <font>
      <sz val="10"/>
      <name val="Arial"/>
      <family val="2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420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3" fillId="0" borderId="3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164" fontId="0" fillId="0" borderId="1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0" fillId="0" borderId="8" xfId="0" applyNumberFormat="1" applyFont="1" applyBorder="1"/>
    <xf numFmtId="165" fontId="3" fillId="0" borderId="1" xfId="0" applyNumberFormat="1" applyFont="1" applyFill="1" applyBorder="1" applyAlignment="1">
      <alignment horizontal="right" vertical="center" wrapText="1"/>
    </xf>
    <xf numFmtId="165" fontId="3" fillId="0" borderId="4" xfId="0" applyNumberFormat="1" applyFont="1" applyFill="1" applyBorder="1" applyAlignment="1">
      <alignment horizontal="right" vertical="center" wrapText="1"/>
    </xf>
    <xf numFmtId="165" fontId="3" fillId="0" borderId="6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0" xfId="0" applyFont="1" applyFill="1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/>
    <xf numFmtId="0" fontId="0" fillId="0" borderId="12" xfId="0" applyBorder="1" applyAlignment="1">
      <alignment horizontal="right"/>
    </xf>
    <xf numFmtId="0" fontId="0" fillId="0" borderId="0" xfId="0" quotePrefix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" xfId="0" quotePrefix="1" applyBorder="1"/>
    <xf numFmtId="0" fontId="0" fillId="0" borderId="6" xfId="0" quotePrefix="1" applyBorder="1"/>
    <xf numFmtId="0" fontId="0" fillId="0" borderId="3" xfId="0" quotePrefix="1" applyBorder="1"/>
    <xf numFmtId="0" fontId="0" fillId="0" borderId="8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0" xfId="0" applyFill="1" applyBorder="1" applyAlignment="1">
      <alignment horizontal="right"/>
    </xf>
    <xf numFmtId="164" fontId="0" fillId="0" borderId="12" xfId="0" applyNumberFormat="1" applyBorder="1"/>
    <xf numFmtId="164" fontId="0" fillId="0" borderId="34" xfId="0" applyNumberFormat="1" applyBorder="1"/>
    <xf numFmtId="164" fontId="0" fillId="0" borderId="35" xfId="0" applyNumberFormat="1" applyBorder="1"/>
    <xf numFmtId="164" fontId="0" fillId="0" borderId="36" xfId="0" applyNumberFormat="1" applyBorder="1"/>
    <xf numFmtId="164" fontId="0" fillId="0" borderId="37" xfId="0" applyNumberFormat="1" applyBorder="1"/>
    <xf numFmtId="164" fontId="0" fillId="0" borderId="38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NumberFormat="1"/>
    <xf numFmtId="0" fontId="0" fillId="0" borderId="23" xfId="0" applyBorder="1"/>
    <xf numFmtId="0" fontId="0" fillId="0" borderId="23" xfId="0" applyFont="1" applyBorder="1"/>
    <xf numFmtId="0" fontId="5" fillId="0" borderId="23" xfId="0" applyFont="1" applyBorder="1"/>
    <xf numFmtId="0" fontId="0" fillId="0" borderId="0" xfId="0" applyNumberFormat="1" applyFill="1" applyBorder="1"/>
    <xf numFmtId="0" fontId="0" fillId="3" borderId="32" xfId="0" applyFill="1" applyBorder="1"/>
    <xf numFmtId="0" fontId="0" fillId="3" borderId="33" xfId="0" applyFill="1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3" borderId="43" xfId="0" applyFill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46" xfId="0" applyNumberFormat="1" applyBorder="1"/>
    <xf numFmtId="0" fontId="0" fillId="0" borderId="47" xfId="0" applyBorder="1"/>
    <xf numFmtId="0" fontId="0" fillId="0" borderId="40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164" fontId="0" fillId="0" borderId="0" xfId="0" applyNumberForma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7" fillId="0" borderId="0" xfId="0" applyFont="1"/>
    <xf numFmtId="0" fontId="8" fillId="0" borderId="0" xfId="1"/>
    <xf numFmtId="0" fontId="0" fillId="0" borderId="40" xfId="0" applyFont="1" applyBorder="1"/>
    <xf numFmtId="0" fontId="0" fillId="0" borderId="48" xfId="0" applyFont="1" applyBorder="1"/>
    <xf numFmtId="0" fontId="0" fillId="0" borderId="49" xfId="0" applyFont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59" xfId="0" applyBorder="1" applyAlignment="1">
      <alignment horizontal="center"/>
    </xf>
    <xf numFmtId="166" fontId="0" fillId="0" borderId="57" xfId="2" applyNumberFormat="1" applyFont="1" applyBorder="1"/>
    <xf numFmtId="166" fontId="0" fillId="0" borderId="58" xfId="0" applyNumberFormat="1" applyBorder="1"/>
    <xf numFmtId="0" fontId="0" fillId="0" borderId="63" xfId="0" applyFill="1" applyBorder="1"/>
    <xf numFmtId="166" fontId="0" fillId="0" borderId="0" xfId="2" applyNumberFormat="1" applyFont="1" applyBorder="1"/>
    <xf numFmtId="166" fontId="0" fillId="0" borderId="24" xfId="0" applyNumberFormat="1" applyBorder="1"/>
    <xf numFmtId="166" fontId="0" fillId="0" borderId="26" xfId="2" applyNumberFormat="1" applyFont="1" applyBorder="1"/>
    <xf numFmtId="166" fontId="0" fillId="0" borderId="27" xfId="0" applyNumberFormat="1" applyBorder="1"/>
    <xf numFmtId="0" fontId="0" fillId="0" borderId="64" xfId="0" applyFill="1" applyBorder="1"/>
    <xf numFmtId="0" fontId="0" fillId="0" borderId="65" xfId="0" applyBorder="1"/>
    <xf numFmtId="0" fontId="0" fillId="0" borderId="63" xfId="0" applyBorder="1"/>
    <xf numFmtId="0" fontId="0" fillId="0" borderId="64" xfId="0" applyBorder="1"/>
    <xf numFmtId="0" fontId="0" fillId="0" borderId="0" xfId="0" applyFont="1" applyAlignment="1">
      <alignment horizontal="center"/>
    </xf>
    <xf numFmtId="0" fontId="0" fillId="0" borderId="56" xfId="0" applyFont="1" applyBorder="1"/>
    <xf numFmtId="0" fontId="0" fillId="0" borderId="57" xfId="0" applyFont="1" applyBorder="1"/>
    <xf numFmtId="0" fontId="0" fillId="0" borderId="58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64" xfId="0" applyBorder="1" applyAlignment="1">
      <alignment horizontal="right"/>
    </xf>
    <xf numFmtId="0" fontId="0" fillId="0" borderId="65" xfId="0" applyFill="1" applyBorder="1"/>
    <xf numFmtId="0" fontId="0" fillId="0" borderId="57" xfId="0" applyFill="1" applyBorder="1"/>
    <xf numFmtId="0" fontId="0" fillId="0" borderId="0" xfId="0" applyFill="1" applyBorder="1" applyAlignment="1">
      <alignment horizontal="center"/>
    </xf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66" xfId="0" applyBorder="1"/>
    <xf numFmtId="10" fontId="0" fillId="0" borderId="68" xfId="0" applyNumberFormat="1" applyBorder="1"/>
    <xf numFmtId="10" fontId="0" fillId="0" borderId="69" xfId="0" applyNumberFormat="1" applyBorder="1"/>
    <xf numFmtId="10" fontId="0" fillId="0" borderId="0" xfId="0" applyNumberFormat="1" applyBorder="1"/>
    <xf numFmtId="10" fontId="0" fillId="0" borderId="17" xfId="0" applyNumberFormat="1" applyBorder="1"/>
    <xf numFmtId="10" fontId="0" fillId="0" borderId="19" xfId="0" applyNumberFormat="1" applyBorder="1"/>
    <xf numFmtId="10" fontId="0" fillId="0" borderId="20" xfId="0" applyNumberFormat="1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Fill="1" applyBorder="1"/>
    <xf numFmtId="0" fontId="0" fillId="0" borderId="10" xfId="0" applyFill="1" applyBorder="1"/>
    <xf numFmtId="0" fontId="0" fillId="0" borderId="74" xfId="0" applyBorder="1"/>
    <xf numFmtId="0" fontId="0" fillId="0" borderId="78" xfId="0" applyBorder="1"/>
    <xf numFmtId="0" fontId="0" fillId="0" borderId="24" xfId="0" applyBorder="1" applyAlignment="1">
      <alignment horizontal="right"/>
    </xf>
    <xf numFmtId="0" fontId="5" fillId="0" borderId="0" xfId="0" applyFont="1" applyAlignment="1">
      <alignment horizontal="center"/>
    </xf>
    <xf numFmtId="0" fontId="0" fillId="0" borderId="79" xfId="0" applyBorder="1"/>
    <xf numFmtId="0" fontId="0" fillId="0" borderId="67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4" borderId="75" xfId="0" applyFill="1" applyBorder="1"/>
    <xf numFmtId="0" fontId="0" fillId="4" borderId="76" xfId="0" applyFill="1" applyBorder="1"/>
    <xf numFmtId="0" fontId="0" fillId="4" borderId="77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70" xfId="0" applyFill="1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1" fillId="0" borderId="0" xfId="0" applyFont="1" applyAlignment="1">
      <alignment horizontal="left"/>
    </xf>
    <xf numFmtId="0" fontId="0" fillId="0" borderId="40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4" xfId="0" applyBorder="1"/>
    <xf numFmtId="0" fontId="0" fillId="0" borderId="25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5" xfId="0" applyBorder="1"/>
    <xf numFmtId="0" fontId="0" fillId="0" borderId="5" xfId="0" applyFill="1" applyBorder="1" applyAlignment="1">
      <alignment horizontal="center"/>
    </xf>
    <xf numFmtId="0" fontId="11" fillId="0" borderId="0" xfId="0" applyFont="1" applyBorder="1"/>
    <xf numFmtId="0" fontId="0" fillId="0" borderId="86" xfId="0" applyBorder="1"/>
    <xf numFmtId="164" fontId="0" fillId="0" borderId="40" xfId="0" applyNumberFormat="1" applyBorder="1"/>
    <xf numFmtId="164" fontId="0" fillId="0" borderId="48" xfId="0" applyNumberFormat="1" applyBorder="1"/>
    <xf numFmtId="164" fontId="0" fillId="0" borderId="49" xfId="0" applyNumberFormat="1" applyBorder="1"/>
    <xf numFmtId="0" fontId="0" fillId="5" borderId="40" xfId="0" applyFill="1" applyBorder="1"/>
    <xf numFmtId="0" fontId="0" fillId="5" borderId="48" xfId="0" applyFill="1" applyBorder="1"/>
    <xf numFmtId="0" fontId="0" fillId="5" borderId="49" xfId="0" applyFill="1" applyBorder="1"/>
    <xf numFmtId="0" fontId="0" fillId="6" borderId="23" xfId="0" applyFill="1" applyBorder="1"/>
    <xf numFmtId="0" fontId="0" fillId="6" borderId="0" xfId="0" applyFill="1" applyBorder="1"/>
    <xf numFmtId="0" fontId="0" fillId="6" borderId="24" xfId="0" applyFill="1" applyBorder="1"/>
    <xf numFmtId="0" fontId="0" fillId="7" borderId="23" xfId="0" applyFill="1" applyBorder="1"/>
    <xf numFmtId="0" fontId="0" fillId="7" borderId="0" xfId="0" applyFill="1" applyBorder="1"/>
    <xf numFmtId="0" fontId="0" fillId="7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0" fillId="0" borderId="2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40" xfId="0" applyNumberFormat="1" applyBorder="1"/>
    <xf numFmtId="0" fontId="0" fillId="0" borderId="48" xfId="0" applyNumberFormat="1" applyBorder="1"/>
    <xf numFmtId="0" fontId="0" fillId="0" borderId="49" xfId="0" applyNumberFormat="1" applyBorder="1"/>
    <xf numFmtId="0" fontId="0" fillId="0" borderId="87" xfId="0" applyBorder="1"/>
    <xf numFmtId="0" fontId="0" fillId="0" borderId="23" xfId="0" applyNumberFormat="1" applyBorder="1"/>
    <xf numFmtId="0" fontId="0" fillId="0" borderId="0" xfId="0" applyNumberFormat="1" applyBorder="1"/>
    <xf numFmtId="0" fontId="0" fillId="0" borderId="24" xfId="0" applyNumberFormat="1" applyBorder="1"/>
    <xf numFmtId="166" fontId="0" fillId="0" borderId="48" xfId="2" applyNumberFormat="1" applyFont="1" applyBorder="1"/>
    <xf numFmtId="166" fontId="0" fillId="0" borderId="49" xfId="2" applyNumberFormat="1" applyFont="1" applyBorder="1"/>
    <xf numFmtId="166" fontId="0" fillId="0" borderId="24" xfId="2" applyNumberFormat="1" applyFont="1" applyBorder="1"/>
    <xf numFmtId="166" fontId="0" fillId="0" borderId="27" xfId="2" applyNumberFormat="1" applyFont="1" applyBorder="1"/>
    <xf numFmtId="166" fontId="0" fillId="0" borderId="0" xfId="2" applyNumberFormat="1" applyFont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164" fontId="0" fillId="0" borderId="52" xfId="0" applyNumberFormat="1" applyBorder="1"/>
    <xf numFmtId="0" fontId="0" fillId="0" borderId="53" xfId="0" applyBorder="1" applyAlignment="1">
      <alignment horizontal="center"/>
    </xf>
    <xf numFmtId="166" fontId="0" fillId="0" borderId="25" xfId="2" applyNumberFormat="1" applyFont="1" applyBorder="1"/>
    <xf numFmtId="166" fontId="0" fillId="0" borderId="0" xfId="0" applyNumberFormat="1"/>
    <xf numFmtId="166" fontId="0" fillId="0" borderId="51" xfId="2" applyNumberFormat="1" applyFont="1" applyFill="1" applyBorder="1" applyAlignment="1">
      <alignment horizontal="center"/>
    </xf>
    <xf numFmtId="166" fontId="0" fillId="0" borderId="63" xfId="2" applyNumberFormat="1" applyFont="1" applyFill="1" applyBorder="1" applyAlignment="1">
      <alignment horizontal="center"/>
    </xf>
    <xf numFmtId="166" fontId="0" fillId="0" borderId="64" xfId="2" applyNumberFormat="1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4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5" xfId="0" applyBorder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82" xfId="0" applyBorder="1" applyAlignment="1">
      <alignment vertical="center"/>
    </xf>
    <xf numFmtId="0" fontId="0" fillId="0" borderId="83" xfId="0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83" xfId="0" applyFont="1" applyBorder="1" applyAlignment="1">
      <alignment vertical="center"/>
    </xf>
    <xf numFmtId="0" fontId="7" fillId="0" borderId="82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88" xfId="0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10" fontId="0" fillId="0" borderId="48" xfId="2" applyNumberFormat="1" applyFont="1" applyBorder="1"/>
    <xf numFmtId="10" fontId="0" fillId="0" borderId="49" xfId="0" applyNumberFormat="1" applyBorder="1"/>
    <xf numFmtId="10" fontId="0" fillId="0" borderId="0" xfId="2" applyNumberFormat="1" applyFont="1" applyBorder="1"/>
    <xf numFmtId="10" fontId="0" fillId="0" borderId="5" xfId="0" applyNumberFormat="1" applyBorder="1"/>
    <xf numFmtId="10" fontId="0" fillId="0" borderId="7" xfId="2" applyNumberFormat="1" applyFont="1" applyBorder="1"/>
    <xf numFmtId="10" fontId="0" fillId="0" borderId="8" xfId="0" applyNumberFormat="1" applyBorder="1"/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52" xfId="0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9" xfId="0" applyBorder="1"/>
    <xf numFmtId="2" fontId="0" fillId="0" borderId="52" xfId="0" applyNumberFormat="1" applyFill="1" applyBorder="1" applyAlignment="1">
      <alignment horizontal="center"/>
    </xf>
    <xf numFmtId="2" fontId="0" fillId="0" borderId="26" xfId="0" applyNumberFormat="1" applyFill="1" applyBorder="1" applyAlignment="1">
      <alignment horizontal="right"/>
    </xf>
    <xf numFmtId="2" fontId="12" fillId="0" borderId="0" xfId="0" applyNumberFormat="1" applyFont="1" applyFill="1" applyBorder="1" applyAlignment="1" applyProtection="1">
      <alignment horizontal="center"/>
      <protection locked="0"/>
    </xf>
    <xf numFmtId="0" fontId="0" fillId="0" borderId="90" xfId="0" applyBorder="1"/>
    <xf numFmtId="0" fontId="0" fillId="0" borderId="91" xfId="0" applyBorder="1"/>
    <xf numFmtId="2" fontId="0" fillId="0" borderId="0" xfId="0" applyNumberFormat="1" applyAlignment="1">
      <alignment horizontal="right"/>
    </xf>
    <xf numFmtId="2" fontId="12" fillId="0" borderId="0" xfId="0" applyNumberFormat="1" applyFont="1" applyFill="1" applyBorder="1" applyAlignment="1" applyProtection="1">
      <alignment horizontal="right"/>
      <protection locked="0"/>
    </xf>
    <xf numFmtId="2" fontId="0" fillId="0" borderId="12" xfId="0" applyNumberFormat="1" applyBorder="1"/>
    <xf numFmtId="2" fontId="0" fillId="0" borderId="53" xfId="0" applyNumberFormat="1" applyBorder="1"/>
    <xf numFmtId="0" fontId="0" fillId="0" borderId="92" xfId="0" applyBorder="1"/>
    <xf numFmtId="166" fontId="0" fillId="0" borderId="11" xfId="2" applyNumberFormat="1" applyFont="1" applyBorder="1"/>
    <xf numFmtId="2" fontId="12" fillId="0" borderId="26" xfId="0" applyNumberFormat="1" applyFont="1" applyFill="1" applyBorder="1" applyAlignment="1" applyProtection="1">
      <alignment horizontal="center"/>
      <protection locked="0"/>
    </xf>
    <xf numFmtId="2" fontId="13" fillId="0" borderId="0" xfId="0" applyNumberFormat="1" applyFont="1" applyFill="1" applyBorder="1" applyProtection="1">
      <protection locked="0"/>
    </xf>
    <xf numFmtId="2" fontId="0" fillId="0" borderId="26" xfId="0" applyNumberFormat="1" applyBorder="1" applyAlignment="1">
      <alignment horizontal="right"/>
    </xf>
    <xf numFmtId="2" fontId="12" fillId="0" borderId="26" xfId="0" applyNumberFormat="1" applyFont="1" applyFill="1" applyBorder="1" applyAlignment="1" applyProtection="1">
      <alignment horizontal="right"/>
      <protection locked="0"/>
    </xf>
    <xf numFmtId="166" fontId="0" fillId="0" borderId="33" xfId="0" applyNumberFormat="1" applyBorder="1"/>
    <xf numFmtId="2" fontId="12" fillId="0" borderId="7" xfId="0" applyNumberFormat="1" applyFont="1" applyFill="1" applyBorder="1" applyAlignment="1" applyProtection="1">
      <alignment horizontal="center"/>
      <protection locked="0"/>
    </xf>
    <xf numFmtId="2" fontId="0" fillId="0" borderId="43" xfId="0" applyNumberFormat="1" applyBorder="1"/>
    <xf numFmtId="2" fontId="0" fillId="0" borderId="33" xfId="0" applyNumberFormat="1" applyBorder="1"/>
    <xf numFmtId="0" fontId="6" fillId="0" borderId="52" xfId="0" applyFont="1" applyBorder="1" applyAlignment="1">
      <alignment horizontal="center"/>
    </xf>
    <xf numFmtId="0" fontId="5" fillId="0" borderId="0" xfId="0" applyFont="1" applyFill="1" applyBorder="1"/>
    <xf numFmtId="0" fontId="5" fillId="0" borderId="63" xfId="0" applyFont="1" applyFill="1" applyBorder="1"/>
    <xf numFmtId="1" fontId="0" fillId="0" borderId="0" xfId="0" applyNumberFormat="1" applyBorder="1" applyAlignment="1">
      <alignment horizontal="center"/>
    </xf>
    <xf numFmtId="1" fontId="0" fillId="0" borderId="44" xfId="0" applyNumberFormat="1" applyBorder="1"/>
    <xf numFmtId="1" fontId="0" fillId="0" borderId="46" xfId="0" applyNumberFormat="1" applyBorder="1"/>
    <xf numFmtId="1" fontId="0" fillId="0" borderId="7" xfId="0" applyNumberFormat="1" applyBorder="1" applyAlignment="1">
      <alignment horizontal="center"/>
    </xf>
    <xf numFmtId="0" fontId="0" fillId="0" borderId="93" xfId="0" applyBorder="1"/>
    <xf numFmtId="0" fontId="0" fillId="0" borderId="94" xfId="0" applyBorder="1"/>
    <xf numFmtId="164" fontId="0" fillId="0" borderId="51" xfId="0" applyNumberFormat="1" applyBorder="1" applyAlignment="1">
      <alignment horizontal="center"/>
    </xf>
    <xf numFmtId="164" fontId="0" fillId="0" borderId="6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64" fontId="0" fillId="0" borderId="48" xfId="0" applyNumberFormat="1" applyBorder="1" applyAlignment="1">
      <alignment horizontal="center"/>
    </xf>
    <xf numFmtId="164" fontId="0" fillId="0" borderId="49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95" xfId="0" applyBorder="1"/>
    <xf numFmtId="0" fontId="0" fillId="0" borderId="96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99" xfId="0" applyBorder="1"/>
    <xf numFmtId="0" fontId="0" fillId="0" borderId="97" xfId="0" applyBorder="1"/>
    <xf numFmtId="0" fontId="0" fillId="0" borderId="98" xfId="0" applyBorder="1"/>
    <xf numFmtId="0" fontId="0" fillId="0" borderId="100" xfId="0" applyBorder="1"/>
    <xf numFmtId="0" fontId="0" fillId="0" borderId="1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1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externalLink" Target="externalLinks/externalLink1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Ellipse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Ellipse!$R$4:$R$24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Ellipse!$S$4:$S$24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8C-4D3F-9473-D36C569E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95480"/>
        <c:axId val="512496656"/>
      </c:scatterChart>
      <c:scatterChart>
        <c:scatterStyle val="lineMarker"/>
        <c:varyColors val="0"/>
        <c:ser>
          <c:idx val="1"/>
          <c:order val="1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Ellipse!$A$4:$A$13</c:f>
              <c:numCache>
                <c:formatCode>0.00</c:formatCode>
                <c:ptCount val="10"/>
                <c:pt idx="0">
                  <c:v>27.11</c:v>
                </c:pt>
                <c:pt idx="1">
                  <c:v>26.77</c:v>
                </c:pt>
                <c:pt idx="2">
                  <c:v>27.35</c:v>
                </c:pt>
                <c:pt idx="3">
                  <c:v>29.2</c:v>
                </c:pt>
                <c:pt idx="4">
                  <c:v>27.44</c:v>
                </c:pt>
                <c:pt idx="5">
                  <c:v>26.16</c:v>
                </c:pt>
                <c:pt idx="6">
                  <c:v>26.25</c:v>
                </c:pt>
                <c:pt idx="7">
                  <c:v>31.21</c:v>
                </c:pt>
                <c:pt idx="8">
                  <c:v>29.34</c:v>
                </c:pt>
                <c:pt idx="9">
                  <c:v>30.06</c:v>
                </c:pt>
              </c:numCache>
            </c:numRef>
          </c:xVal>
          <c:yVal>
            <c:numRef>
              <c:f>Ellipse!$B$4:$B$13</c:f>
              <c:numCache>
                <c:formatCode>0.00</c:formatCode>
                <c:ptCount val="10"/>
                <c:pt idx="0">
                  <c:v>13.8</c:v>
                </c:pt>
                <c:pt idx="1">
                  <c:v>13.42</c:v>
                </c:pt>
                <c:pt idx="2">
                  <c:v>12.76</c:v>
                </c:pt>
                <c:pt idx="3">
                  <c:v>14.88</c:v>
                </c:pt>
                <c:pt idx="4">
                  <c:v>14.56</c:v>
                </c:pt>
                <c:pt idx="5">
                  <c:v>14.35</c:v>
                </c:pt>
                <c:pt idx="6">
                  <c:v>13.86</c:v>
                </c:pt>
                <c:pt idx="7">
                  <c:v>17.61</c:v>
                </c:pt>
                <c:pt idx="8">
                  <c:v>16.559999999999999</c:v>
                </c:pt>
                <c:pt idx="9">
                  <c:v>14.77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8C-4D3F-9473-D36C569E2D10}"/>
            </c:ext>
          </c:extLst>
        </c:ser>
        <c:ser>
          <c:idx val="2"/>
          <c:order val="2"/>
          <c:tx>
            <c:v>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Ellipse!$D$8</c:f>
              <c:numCache>
                <c:formatCode>0.00</c:formatCode>
                <c:ptCount val="1"/>
                <c:pt idx="0">
                  <c:v>28.088999999999999</c:v>
                </c:pt>
              </c:numCache>
            </c:numRef>
          </c:xVal>
          <c:yVal>
            <c:numRef>
              <c:f>Ellipse!$E$8</c:f>
              <c:numCache>
                <c:formatCode>0.00</c:formatCode>
                <c:ptCount val="1"/>
                <c:pt idx="0">
                  <c:v>14.657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8C-4D3F-9473-D36C569E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95480"/>
        <c:axId val="512496656"/>
      </c:scatterChart>
      <c:valAx>
        <c:axId val="512495480"/>
        <c:scaling>
          <c:orientation val="minMax"/>
          <c:max val="32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6656"/>
        <c:crosses val="autoZero"/>
        <c:crossBetween val="midCat"/>
      </c:valAx>
      <c:valAx>
        <c:axId val="512496656"/>
        <c:scaling>
          <c:orientation val="minMax"/>
          <c:max val="18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49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Confidence Ellipse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'Ellipse 2'!$A$4:$A$13</c:f>
              <c:numCache>
                <c:formatCode>0.00</c:formatCode>
                <c:ptCount val="10"/>
                <c:pt idx="0">
                  <c:v>27.11</c:v>
                </c:pt>
                <c:pt idx="1">
                  <c:v>26.77</c:v>
                </c:pt>
                <c:pt idx="2">
                  <c:v>27.35</c:v>
                </c:pt>
                <c:pt idx="3">
                  <c:v>29.2</c:v>
                </c:pt>
                <c:pt idx="4">
                  <c:v>27.44</c:v>
                </c:pt>
                <c:pt idx="5">
                  <c:v>26.16</c:v>
                </c:pt>
                <c:pt idx="6">
                  <c:v>26.25</c:v>
                </c:pt>
                <c:pt idx="7">
                  <c:v>31.21</c:v>
                </c:pt>
                <c:pt idx="8">
                  <c:v>29.34</c:v>
                </c:pt>
                <c:pt idx="9">
                  <c:v>30.06</c:v>
                </c:pt>
              </c:numCache>
            </c:numRef>
          </c:xVal>
          <c:yVal>
            <c:numRef>
              <c:f>'Ellipse 2'!$B$4:$B$13</c:f>
              <c:numCache>
                <c:formatCode>0.00</c:formatCode>
                <c:ptCount val="10"/>
                <c:pt idx="0">
                  <c:v>13.8</c:v>
                </c:pt>
                <c:pt idx="1">
                  <c:v>13.42</c:v>
                </c:pt>
                <c:pt idx="2">
                  <c:v>12.76</c:v>
                </c:pt>
                <c:pt idx="3">
                  <c:v>14.88</c:v>
                </c:pt>
                <c:pt idx="4">
                  <c:v>14.56</c:v>
                </c:pt>
                <c:pt idx="5">
                  <c:v>14.35</c:v>
                </c:pt>
                <c:pt idx="6">
                  <c:v>13.86</c:v>
                </c:pt>
                <c:pt idx="7">
                  <c:v>17.61</c:v>
                </c:pt>
                <c:pt idx="8">
                  <c:v>16.559999999999999</c:v>
                </c:pt>
                <c:pt idx="9">
                  <c:v>14.77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2-4A3F-8DE2-C595CBCBB1A6}"/>
            </c:ext>
          </c:extLst>
        </c:ser>
        <c:ser>
          <c:idx val="2"/>
          <c:order val="2"/>
          <c:tx>
            <c:v>center</c:v>
          </c:tx>
          <c:spPr>
            <a:ln w="19050">
              <a:noFill/>
            </a:ln>
          </c:spPr>
          <c:xVal>
            <c:numRef>
              <c:f>'Ellipse 2'!$E$13</c:f>
              <c:numCache>
                <c:formatCode>0.00</c:formatCode>
                <c:ptCount val="1"/>
                <c:pt idx="0">
                  <c:v>28.088999999999999</c:v>
                </c:pt>
              </c:numCache>
            </c:numRef>
          </c:xVal>
          <c:yVal>
            <c:numRef>
              <c:f>'Ellipse 2'!$E$14</c:f>
              <c:numCache>
                <c:formatCode>0.00</c:formatCode>
                <c:ptCount val="1"/>
                <c:pt idx="0">
                  <c:v>14.657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D2-4A3F-8DE2-C595CBCBB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57344"/>
        <c:axId val="514956952"/>
      </c:scatterChart>
      <c:scatterChart>
        <c:scatterStyle val="smoothMarker"/>
        <c:varyColors val="0"/>
        <c:ser>
          <c:idx val="1"/>
          <c:order val="1"/>
          <c:tx>
            <c:v>ellipse</c:v>
          </c:tx>
          <c:marker>
            <c:symbol val="none"/>
          </c:marker>
          <c:xVal>
            <c:numRef>
              <c:f>'Ellipse 2'!$E$19:$E$39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'Ellipse 2'!$F$19:$F$39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D2-4A3F-8DE2-C595CBCBB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57344"/>
        <c:axId val="514956952"/>
      </c:scatterChart>
      <c:valAx>
        <c:axId val="514957344"/>
        <c:scaling>
          <c:orientation val="minMax"/>
          <c:max val="33"/>
          <c:min val="23"/>
        </c:scaling>
        <c:delete val="0"/>
        <c:axPos val="b"/>
        <c:numFmt formatCode="0.00" sourceLinked="1"/>
        <c:majorTickMark val="out"/>
        <c:minorTickMark val="none"/>
        <c:tickLblPos val="nextTo"/>
        <c:crossAx val="514956952"/>
        <c:crosses val="autoZero"/>
        <c:crossBetween val="midCat"/>
      </c:valAx>
      <c:valAx>
        <c:axId val="514956952"/>
        <c:scaling>
          <c:orientation val="minMax"/>
          <c:max val="19"/>
          <c:min val="1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14957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Network Diagram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379-4C53-8112-432A338AB3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379-4C53-8112-432A338AB36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379-4C53-8112-432A338AB36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379-4C53-8112-432A338AB36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379-4C53-8112-432A338AB36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379-4C53-8112-432A338AB36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379-4C53-8112-432A338AB36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379-4C53-8112-432A338AB36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379-4C53-8112-432A338AB36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6379-4C53-8112-432A338AB36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6379-4C53-8112-432A338AB36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6379-4C53-8112-432A338AB3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12"/>
              <c:pt idx="0">
                <c:v>3</c:v>
              </c:pt>
              <c:pt idx="1">
                <c:v>1</c:v>
              </c:pt>
              <c:pt idx="2">
                <c:v>5</c:v>
              </c:pt>
              <c:pt idx="3">
                <c:v>2.5</c:v>
              </c:pt>
              <c:pt idx="4">
                <c:v>7</c:v>
              </c:pt>
              <c:pt idx="5">
                <c:v>1.5</c:v>
              </c:pt>
              <c:pt idx="6">
                <c:v>4</c:v>
              </c:pt>
              <c:pt idx="7">
                <c:v>2</c:v>
              </c:pt>
              <c:pt idx="8">
                <c:v>8</c:v>
              </c:pt>
              <c:pt idx="9">
                <c:v>3</c:v>
              </c:pt>
              <c:pt idx="10">
                <c:v>4.5</c:v>
              </c:pt>
              <c:pt idx="11">
                <c:v>5</c:v>
              </c:pt>
            </c:numLit>
          </c:xVal>
          <c:yVal>
            <c:numLit>
              <c:formatCode>General</c:formatCode>
              <c:ptCount val="12"/>
              <c:pt idx="0">
                <c:v>4.5</c:v>
              </c:pt>
              <c:pt idx="1">
                <c:v>5</c:v>
              </c:pt>
              <c:pt idx="2">
                <c:v>6.5</c:v>
              </c:pt>
              <c:pt idx="3">
                <c:v>5</c:v>
              </c:pt>
              <c:pt idx="4">
                <c:v>3</c:v>
              </c:pt>
              <c:pt idx="5">
                <c:v>1</c:v>
              </c:pt>
              <c:pt idx="6">
                <c:v>2.5</c:v>
              </c:pt>
              <c:pt idx="7">
                <c:v>2</c:v>
              </c:pt>
              <c:pt idx="8">
                <c:v>4</c:v>
              </c:pt>
              <c:pt idx="9">
                <c:v>9</c:v>
              </c:pt>
              <c:pt idx="10">
                <c:v>0.5</c:v>
              </c:pt>
              <c:pt idx="11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6379-4C53-8112-432A338AB367}"/>
            </c:ext>
          </c:extLst>
        </c:ser>
        <c:ser>
          <c:idx val="1"/>
          <c:order val="1"/>
          <c:marker>
            <c:symbol val="none"/>
          </c:marker>
          <c:xVal>
            <c:numLit>
              <c:formatCode>General</c:formatCode>
              <c:ptCount val="7"/>
              <c:pt idx="0">
                <c:v>1</c:v>
              </c:pt>
              <c:pt idx="1">
                <c:v>2.5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7</c:v>
              </c:pt>
              <c:pt idx="6">
                <c:v>8</c:v>
              </c:pt>
            </c:numLit>
          </c:xVal>
          <c:yVal>
            <c:numLit>
              <c:formatCode>General</c:formatCode>
              <c:ptCount val="7"/>
              <c:pt idx="0">
                <c:v>5</c:v>
              </c:pt>
              <c:pt idx="1">
                <c:v>5</c:v>
              </c:pt>
              <c:pt idx="2">
                <c:v>4.5</c:v>
              </c:pt>
              <c:pt idx="3">
                <c:v>2.5</c:v>
              </c:pt>
              <c:pt idx="4">
                <c:v>2</c:v>
              </c:pt>
              <c:pt idx="5">
                <c:v>3</c:v>
              </c:pt>
              <c:pt idx="6">
                <c:v>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6379-4C53-8112-432A338AB367}"/>
            </c:ext>
          </c:extLst>
        </c:ser>
        <c:ser>
          <c:idx val="2"/>
          <c:order val="2"/>
          <c:marker>
            <c:symbol val="none"/>
          </c:marker>
          <c:xVal>
            <c:numLit>
              <c:formatCode>General</c:formatCode>
              <c:ptCount val="3"/>
              <c:pt idx="0">
                <c:v>1.5</c:v>
              </c:pt>
              <c:pt idx="1">
                <c:v>2</c:v>
              </c:pt>
              <c:pt idx="2">
                <c:v>4</c:v>
              </c:pt>
            </c:numLit>
          </c:xVal>
          <c:y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2.5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6379-4C53-8112-432A338AB367}"/>
            </c:ext>
          </c:extLst>
        </c:ser>
        <c:ser>
          <c:idx val="3"/>
          <c:order val="3"/>
          <c:marker>
            <c:symbol val="none"/>
          </c:marker>
          <c:xVal>
            <c:numLit>
              <c:formatCode>General</c:formatCode>
              <c:ptCount val="2"/>
              <c:pt idx="0">
                <c:v>3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4.5</c:v>
              </c:pt>
              <c:pt idx="1">
                <c:v>6.5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6379-4C53-8112-432A338AB367}"/>
            </c:ext>
          </c:extLst>
        </c:ser>
        <c:ser>
          <c:idx val="4"/>
          <c:order val="4"/>
          <c:marker>
            <c:symbol val="none"/>
          </c:marker>
          <c:xVal>
            <c:numLit>
              <c:formatCode>General</c:formatCode>
              <c:ptCount val="2"/>
              <c:pt idx="0">
                <c:v>3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9</c:v>
              </c:pt>
              <c:pt idx="1">
                <c:v>6.5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6379-4C53-8112-432A338AB367}"/>
            </c:ext>
          </c:extLst>
        </c:ser>
        <c:ser>
          <c:idx val="5"/>
          <c:order val="5"/>
          <c:marker>
            <c:symbol val="none"/>
          </c:marker>
          <c:xVal>
            <c:numLit>
              <c:formatCode>General</c:formatCode>
              <c:ptCount val="2"/>
              <c:pt idx="0">
                <c:v>4.5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0.5</c:v>
              </c:pt>
              <c:pt idx="1">
                <c:v>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6379-4C53-8112-432A338A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521760"/>
        <c:axId val="657517600"/>
      </c:scatterChart>
      <c:valAx>
        <c:axId val="65752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7517600"/>
        <c:crosses val="autoZero"/>
        <c:crossBetween val="midCat"/>
      </c:valAx>
      <c:valAx>
        <c:axId val="65751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521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Group Means less Total Mean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'Manova 1'!$F$15</c:f>
              <c:strCache>
                <c:ptCount val="1"/>
                <c:pt idx="0">
                  <c:v>loam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1'!$G$15:$I$15</c:f>
              <c:numCache>
                <c:formatCode>0.0</c:formatCode>
                <c:ptCount val="3"/>
                <c:pt idx="0">
                  <c:v>8.1031250000000128</c:v>
                </c:pt>
                <c:pt idx="1">
                  <c:v>1.5718749999999986</c:v>
                </c:pt>
                <c:pt idx="2">
                  <c:v>1.7156249999999993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4-4B75-9335-0E7C79380866}"/>
            </c:ext>
          </c:extLst>
        </c:ser>
        <c:ser>
          <c:idx val="1"/>
          <c:order val="1"/>
          <c:tx>
            <c:strRef>
              <c:f>'Manova 1'!$F$16</c:f>
              <c:strCache>
                <c:ptCount val="1"/>
                <c:pt idx="0">
                  <c:v>sandy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1'!$G$16:$I$16</c:f>
              <c:numCache>
                <c:formatCode>0.0</c:formatCode>
                <c:ptCount val="3"/>
                <c:pt idx="0">
                  <c:v>0.96562500000000995</c:v>
                </c:pt>
                <c:pt idx="1">
                  <c:v>-2.9656249999999993</c:v>
                </c:pt>
                <c:pt idx="2">
                  <c:v>-0.32187499999999858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4-4B75-9335-0E7C79380866}"/>
            </c:ext>
          </c:extLst>
        </c:ser>
        <c:ser>
          <c:idx val="2"/>
          <c:order val="2"/>
          <c:tx>
            <c:strRef>
              <c:f>'Manova 1'!$F$17</c:f>
              <c:strCache>
                <c:ptCount val="1"/>
                <c:pt idx="0">
                  <c:v>salty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1'!$G$17:$I$17</c:f>
              <c:numCache>
                <c:formatCode>0.0</c:formatCode>
                <c:ptCount val="3"/>
                <c:pt idx="0">
                  <c:v>-6.2968749999999929</c:v>
                </c:pt>
                <c:pt idx="1">
                  <c:v>-0.52812500000000284</c:v>
                </c:pt>
                <c:pt idx="2">
                  <c:v>-0.80937499999999929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4-4B75-9335-0E7C79380866}"/>
            </c:ext>
          </c:extLst>
        </c:ser>
        <c:ser>
          <c:idx val="3"/>
          <c:order val="3"/>
          <c:tx>
            <c:strRef>
              <c:f>'Manova 1'!$F$18</c:f>
              <c:strCache>
                <c:ptCount val="1"/>
                <c:pt idx="0">
                  <c:v>clay</c:v>
                </c:pt>
              </c:strCache>
            </c:strRef>
          </c:tx>
          <c:cat>
            <c:strRef>
              <c:f>'Manova 1'!$G$14:$I$14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1'!$G$18:$I$18</c:f>
              <c:numCache>
                <c:formatCode>0.0</c:formatCode>
                <c:ptCount val="3"/>
                <c:pt idx="0">
                  <c:v>-2.7718749999999943</c:v>
                </c:pt>
                <c:pt idx="1">
                  <c:v>1.9218750000000071</c:v>
                </c:pt>
                <c:pt idx="2">
                  <c:v>-0.58437499999999876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14-4B75-9335-0E7C7938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127240"/>
        <c:axId val="586127632"/>
      </c:lineChart>
      <c:catAx>
        <c:axId val="586127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6127632"/>
        <c:crosses val="autoZero"/>
        <c:auto val="1"/>
        <c:lblAlgn val="ctr"/>
        <c:lblOffset val="100"/>
        <c:noMultiLvlLbl val="0"/>
      </c:catAx>
      <c:valAx>
        <c:axId val="5861276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86127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Group Means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'Manova 1'!$F$6</c:f>
              <c:strCache>
                <c:ptCount val="1"/>
                <c:pt idx="0">
                  <c:v>loam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1'!$G$6:$I$6</c:f>
              <c:numCache>
                <c:formatCode>General</c:formatCode>
                <c:ptCount val="3"/>
                <c:pt idx="0">
                  <c:v>69.712500000000006</c:v>
                </c:pt>
                <c:pt idx="1">
                  <c:v>32.737499999999997</c:v>
                </c:pt>
                <c:pt idx="2">
                  <c:v>6.3874999999999984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F-425E-A2B3-F52C165BC594}"/>
            </c:ext>
          </c:extLst>
        </c:ser>
        <c:ser>
          <c:idx val="1"/>
          <c:order val="1"/>
          <c:tx>
            <c:strRef>
              <c:f>'Manova 1'!$F$7</c:f>
              <c:strCache>
                <c:ptCount val="1"/>
                <c:pt idx="0">
                  <c:v>sandy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1'!$G$7:$I$7</c:f>
              <c:numCache>
                <c:formatCode>General</c:formatCode>
                <c:ptCount val="3"/>
                <c:pt idx="0">
                  <c:v>62.575000000000003</c:v>
                </c:pt>
                <c:pt idx="1">
                  <c:v>28.2</c:v>
                </c:pt>
                <c:pt idx="2">
                  <c:v>4.3500000000000005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F-425E-A2B3-F52C165BC594}"/>
            </c:ext>
          </c:extLst>
        </c:ser>
        <c:ser>
          <c:idx val="2"/>
          <c:order val="2"/>
          <c:tx>
            <c:strRef>
              <c:f>'Manova 1'!$F$8</c:f>
              <c:strCache>
                <c:ptCount val="1"/>
                <c:pt idx="0">
                  <c:v>salty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1'!$G$8:$I$8</c:f>
              <c:numCache>
                <c:formatCode>General</c:formatCode>
                <c:ptCount val="3"/>
                <c:pt idx="0">
                  <c:v>55.3125</c:v>
                </c:pt>
                <c:pt idx="1">
                  <c:v>30.637499999999996</c:v>
                </c:pt>
                <c:pt idx="2">
                  <c:v>3.8624999999999998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2F-425E-A2B3-F52C165BC594}"/>
            </c:ext>
          </c:extLst>
        </c:ser>
        <c:ser>
          <c:idx val="3"/>
          <c:order val="3"/>
          <c:tx>
            <c:strRef>
              <c:f>'Manova 1'!$F$9</c:f>
              <c:strCache>
                <c:ptCount val="1"/>
                <c:pt idx="0">
                  <c:v>clay</c:v>
                </c:pt>
              </c:strCache>
            </c:strRef>
          </c:tx>
          <c:cat>
            <c:strRef>
              <c:f>'Manova 1'!$G$5:$I$5</c:f>
              <c:strCache>
                <c:ptCount val="3"/>
                <c:pt idx="0">
                  <c:v>yield</c:v>
                </c:pt>
                <c:pt idx="1">
                  <c:v>water</c:v>
                </c:pt>
                <c:pt idx="2">
                  <c:v>herbicide</c:v>
                </c:pt>
              </c:strCache>
            </c:strRef>
          </c:cat>
          <c:val>
            <c:numRef>
              <c:f>'Manova 1'!$G$9:$I$9</c:f>
              <c:numCache>
                <c:formatCode>General</c:formatCode>
                <c:ptCount val="3"/>
                <c:pt idx="0">
                  <c:v>58.837499999999999</c:v>
                </c:pt>
                <c:pt idx="1">
                  <c:v>33.087500000000006</c:v>
                </c:pt>
                <c:pt idx="2">
                  <c:v>4.0875000000000004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2F-425E-A2B3-F52C165BC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748752"/>
        <c:axId val="587387072"/>
      </c:lineChart>
      <c:catAx>
        <c:axId val="513748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7387072"/>
        <c:crosses val="autoZero"/>
        <c:auto val="1"/>
        <c:lblAlgn val="ctr"/>
        <c:lblOffset val="100"/>
        <c:noMultiLvlLbl val="0"/>
      </c:catAx>
      <c:valAx>
        <c:axId val="58738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74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Water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1c'!$L$6:$O$6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3A-4E39-AE14-725CF4527348}"/>
            </c:ext>
          </c:extLst>
        </c:ser>
        <c:ser>
          <c:idx val="1"/>
          <c:order val="1"/>
          <c:tx>
            <c:strRef>
              <c:f>'Manova 1c'!$K$7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1c'!$L$7:$O$7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3A-4E39-AE14-725CF4527348}"/>
            </c:ext>
          </c:extLst>
        </c:ser>
        <c:ser>
          <c:idx val="2"/>
          <c:order val="2"/>
          <c:tx>
            <c:strRef>
              <c:f>'Manova 1c'!$K$8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1c'!$L$8:$O$8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3A-4E39-AE14-725CF4527348}"/>
            </c:ext>
          </c:extLst>
        </c:ser>
        <c:ser>
          <c:idx val="3"/>
          <c:order val="3"/>
          <c:tx>
            <c:strRef>
              <c:f>'Manova 1c'!$K$9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1c'!$L$10:$O$10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1c'!$L$9:$O$9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3A-4E39-AE14-725CF4527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7387856"/>
        <c:axId val="587385504"/>
      </c:barChart>
      <c:catAx>
        <c:axId val="58738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7385504"/>
        <c:crosses val="autoZero"/>
        <c:auto val="1"/>
        <c:lblAlgn val="ctr"/>
        <c:lblOffset val="100"/>
        <c:noMultiLvlLbl val="0"/>
      </c:catAx>
      <c:valAx>
        <c:axId val="5873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387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Yield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1c'!$K$20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1c'!$L$20:$O$20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EC-41C4-AE50-E7DD3C7960B7}"/>
            </c:ext>
          </c:extLst>
        </c:ser>
        <c:ser>
          <c:idx val="1"/>
          <c:order val="1"/>
          <c:tx>
            <c:strRef>
              <c:f>'Manova 1c'!$K$21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1c'!$L$21:$O$21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EC-41C4-AE50-E7DD3C7960B7}"/>
            </c:ext>
          </c:extLst>
        </c:ser>
        <c:ser>
          <c:idx val="2"/>
          <c:order val="2"/>
          <c:tx>
            <c:strRef>
              <c:f>'Manova 1c'!$K$22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1c'!$L$22:$O$22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EC-41C4-AE50-E7DD3C7960B7}"/>
            </c:ext>
          </c:extLst>
        </c:ser>
        <c:ser>
          <c:idx val="3"/>
          <c:order val="3"/>
          <c:tx>
            <c:strRef>
              <c:f>'Manova 1c'!$K$23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1c'!$L$24:$O$24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1c'!$L$19:$O$19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1c'!$L$23:$O$23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EC-41C4-AE50-E7DD3C796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7386680"/>
        <c:axId val="587387464"/>
      </c:barChart>
      <c:catAx>
        <c:axId val="587386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7387464"/>
        <c:crosses val="autoZero"/>
        <c:auto val="1"/>
        <c:lblAlgn val="ctr"/>
        <c:lblOffset val="100"/>
        <c:noMultiLvlLbl val="0"/>
      </c:catAx>
      <c:valAx>
        <c:axId val="587387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38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 Herbicide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1c'!$K$34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1c'!$L$34:$O$34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7-4733-824A-DC2AF13DD558}"/>
            </c:ext>
          </c:extLst>
        </c:ser>
        <c:ser>
          <c:idx val="1"/>
          <c:order val="1"/>
          <c:tx>
            <c:strRef>
              <c:f>'Manova 1c'!$K$35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1c'!$L$35:$O$35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7-4733-824A-DC2AF13DD558}"/>
            </c:ext>
          </c:extLst>
        </c:ser>
        <c:ser>
          <c:idx val="2"/>
          <c:order val="2"/>
          <c:tx>
            <c:strRef>
              <c:f>'Manova 1c'!$K$36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1c'!$L$36:$O$36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7-4733-824A-DC2AF13DD558}"/>
            </c:ext>
          </c:extLst>
        </c:ser>
        <c:ser>
          <c:idx val="3"/>
          <c:order val="3"/>
          <c:tx>
            <c:strRef>
              <c:f>'Manova 1c'!$K$37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1c'!$L$38:$O$38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1c'!$L$33:$O$33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1c'!$L$37:$O$37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D7-4733-824A-DC2AF13DD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7386288"/>
        <c:axId val="592702584"/>
      </c:barChart>
      <c:catAx>
        <c:axId val="58738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92702584"/>
        <c:crosses val="autoZero"/>
        <c:auto val="1"/>
        <c:lblAlgn val="ctr"/>
        <c:lblOffset val="100"/>
        <c:noMultiLvlLbl val="0"/>
      </c:catAx>
      <c:valAx>
        <c:axId val="592702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386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Yield-Water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1c'!$C$4:$C$35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8-40DC-8F81-5C90B7547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02192"/>
        <c:axId val="592703760"/>
      </c:scatterChart>
      <c:valAx>
        <c:axId val="5927021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2703760"/>
        <c:crosses val="autoZero"/>
        <c:crossBetween val="midCat"/>
      </c:valAx>
      <c:valAx>
        <c:axId val="59270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2702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Water-Herbicide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1c'!$C$50:$C$81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xVal>
          <c:yVal>
            <c:numRef>
              <c:f>'Manova 1c'!$D$50:$D$81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F-4ACC-BB60-E63D58C95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02976"/>
        <c:axId val="592701016"/>
      </c:scatterChart>
      <c:valAx>
        <c:axId val="59270297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2701016"/>
        <c:crosses val="autoZero"/>
        <c:crossBetween val="midCat"/>
      </c:valAx>
      <c:valAx>
        <c:axId val="59270101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2702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Yield-Herbicide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'Manova 1c'!$B$50:$B$81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1c'!$D$50:$D$81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1E-4FB3-90EE-C558420C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704544"/>
        <c:axId val="592701408"/>
      </c:scatterChart>
      <c:valAx>
        <c:axId val="59270454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2701408"/>
        <c:crosses val="autoZero"/>
        <c:crossBetween val="midCat"/>
      </c:valAx>
      <c:valAx>
        <c:axId val="5927014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270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'Manova 1c'!$AA$10:$AA$41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'Manova 1c'!$AB$10:$AB$41</c:f>
              <c:numCache>
                <c:formatCode>General</c:formatCode>
                <c:ptCount val="32"/>
                <c:pt idx="0">
                  <c:v>-2.1538746940614555</c:v>
                </c:pt>
                <c:pt idx="1">
                  <c:v>-1.6759397227734436</c:v>
                </c:pt>
                <c:pt idx="2">
                  <c:v>-1.4177971379962682</c:v>
                </c:pt>
                <c:pt idx="3">
                  <c:v>-1.229858759216589</c:v>
                </c:pt>
                <c:pt idx="4">
                  <c:v>-1.0775155670402805</c:v>
                </c:pt>
                <c:pt idx="5">
                  <c:v>-0.94678175630104722</c:v>
                </c:pt>
                <c:pt idx="6">
                  <c:v>-0.83051087820540004</c:v>
                </c:pt>
                <c:pt idx="7">
                  <c:v>-0.72451438349236563</c:v>
                </c:pt>
                <c:pt idx="8">
                  <c:v>-0.62609901234642129</c:v>
                </c:pt>
                <c:pt idx="9">
                  <c:v>-0.5334097062412807</c:v>
                </c:pt>
                <c:pt idx="10">
                  <c:v>-0.44509652498551644</c:v>
                </c:pt>
                <c:pt idx="11">
                  <c:v>-0.36012989178956933</c:v>
                </c:pt>
                <c:pt idx="12">
                  <c:v>-0.27769043982157676</c:v>
                </c:pt>
                <c:pt idx="13">
                  <c:v>-0.19709908429431236</c:v>
                </c:pt>
                <c:pt idx="14">
                  <c:v>-0.11776987457909528</c:v>
                </c:pt>
                <c:pt idx="15">
                  <c:v>-3.9176085503097632E-2</c:v>
                </c:pt>
                <c:pt idx="16">
                  <c:v>3.9176085503097632E-2</c:v>
                </c:pt>
                <c:pt idx="17">
                  <c:v>0.11776987457909528</c:v>
                </c:pt>
                <c:pt idx="18">
                  <c:v>0.19709908429431236</c:v>
                </c:pt>
                <c:pt idx="19">
                  <c:v>0.27769043982157676</c:v>
                </c:pt>
                <c:pt idx="20">
                  <c:v>0.36012989178956933</c:v>
                </c:pt>
                <c:pt idx="21">
                  <c:v>0.44509652498551644</c:v>
                </c:pt>
                <c:pt idx="22">
                  <c:v>0.5334097062412807</c:v>
                </c:pt>
                <c:pt idx="23">
                  <c:v>0.62609901234642129</c:v>
                </c:pt>
                <c:pt idx="24">
                  <c:v>0.72451438349236563</c:v>
                </c:pt>
                <c:pt idx="25">
                  <c:v>0.83051087820540004</c:v>
                </c:pt>
                <c:pt idx="26">
                  <c:v>0.94678175630104722</c:v>
                </c:pt>
                <c:pt idx="27">
                  <c:v>1.0775155670402805</c:v>
                </c:pt>
                <c:pt idx="28">
                  <c:v>1.229858759216589</c:v>
                </c:pt>
                <c:pt idx="29">
                  <c:v>1.4177971379962682</c:v>
                </c:pt>
                <c:pt idx="30">
                  <c:v>1.6759397227734436</c:v>
                </c:pt>
                <c:pt idx="31">
                  <c:v>2.1538746940614555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F0-4B7A-868B-E52FFCC26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64760"/>
        <c:axId val="594162800"/>
      </c:scatterChart>
      <c:valAx>
        <c:axId val="594164760"/>
        <c:scaling>
          <c:orientation val="minMax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2800"/>
        <c:crosses val="autoZero"/>
        <c:crossBetween val="midCat"/>
      </c:valAx>
      <c:valAx>
        <c:axId val="594162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4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Water x Clay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'Manova 1c'!$AN$8:$AN$15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'Manova 1c'!$AO$8:$AO$15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32-4AEF-B8B3-8EA4F36A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63976"/>
        <c:axId val="594164368"/>
      </c:scatterChart>
      <c:valAx>
        <c:axId val="594163976"/>
        <c:scaling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4368"/>
        <c:crosses val="autoZero"/>
        <c:crossBetween val="midCat"/>
      </c:valAx>
      <c:valAx>
        <c:axId val="594164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63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1c'!$C$4:$C$35</c:f>
              <c:numCache>
                <c:formatCode>0.0</c:formatCode>
                <c:ptCount val="32"/>
                <c:pt idx="0">
                  <c:v>29.5</c:v>
                </c:pt>
                <c:pt idx="1">
                  <c:v>32.1</c:v>
                </c:pt>
                <c:pt idx="2">
                  <c:v>40.700000000000003</c:v>
                </c:pt>
                <c:pt idx="3">
                  <c:v>45.1</c:v>
                </c:pt>
                <c:pt idx="4">
                  <c:v>34.1</c:v>
                </c:pt>
                <c:pt idx="5">
                  <c:v>31.1</c:v>
                </c:pt>
                <c:pt idx="6">
                  <c:v>21.6</c:v>
                </c:pt>
                <c:pt idx="7">
                  <c:v>27.7</c:v>
                </c:pt>
                <c:pt idx="8">
                  <c:v>48.3</c:v>
                </c:pt>
                <c:pt idx="9">
                  <c:v>28.9</c:v>
                </c:pt>
                <c:pt idx="10">
                  <c:v>42.5</c:v>
                </c:pt>
                <c:pt idx="11">
                  <c:v>20.399999999999999</c:v>
                </c:pt>
                <c:pt idx="12">
                  <c:v>23.9</c:v>
                </c:pt>
                <c:pt idx="13">
                  <c:v>29.1</c:v>
                </c:pt>
                <c:pt idx="14">
                  <c:v>18</c:v>
                </c:pt>
                <c:pt idx="15">
                  <c:v>14.5</c:v>
                </c:pt>
                <c:pt idx="16">
                  <c:v>25.9</c:v>
                </c:pt>
                <c:pt idx="17">
                  <c:v>15.9</c:v>
                </c:pt>
                <c:pt idx="18">
                  <c:v>36.1</c:v>
                </c:pt>
                <c:pt idx="19">
                  <c:v>27.7</c:v>
                </c:pt>
                <c:pt idx="20">
                  <c:v>46.9</c:v>
                </c:pt>
                <c:pt idx="21">
                  <c:v>29.7</c:v>
                </c:pt>
                <c:pt idx="22">
                  <c:v>27.6</c:v>
                </c:pt>
                <c:pt idx="23">
                  <c:v>35.299999999999997</c:v>
                </c:pt>
                <c:pt idx="24">
                  <c:v>39</c:v>
                </c:pt>
                <c:pt idx="25">
                  <c:v>54.2</c:v>
                </c:pt>
                <c:pt idx="26">
                  <c:v>32.1</c:v>
                </c:pt>
                <c:pt idx="27">
                  <c:v>25.6</c:v>
                </c:pt>
                <c:pt idx="28">
                  <c:v>31.8</c:v>
                </c:pt>
                <c:pt idx="29">
                  <c:v>16.8</c:v>
                </c:pt>
                <c:pt idx="30">
                  <c:v>25.8</c:v>
                </c:pt>
                <c:pt idx="31">
                  <c:v>39.4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E5-4339-A8DB-5A1A526A2A9E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'Manova 1c'!$B$4:$B$35</c:f>
              <c:numCache>
                <c:formatCode>0.0</c:formatCode>
                <c:ptCount val="32"/>
                <c:pt idx="0">
                  <c:v>76.7</c:v>
                </c:pt>
                <c:pt idx="1">
                  <c:v>60.5</c:v>
                </c:pt>
                <c:pt idx="2">
                  <c:v>96.1</c:v>
                </c:pt>
                <c:pt idx="3">
                  <c:v>88.1</c:v>
                </c:pt>
                <c:pt idx="4">
                  <c:v>50.2</c:v>
                </c:pt>
                <c:pt idx="5">
                  <c:v>55</c:v>
                </c:pt>
                <c:pt idx="6">
                  <c:v>65.400000000000006</c:v>
                </c:pt>
                <c:pt idx="7">
                  <c:v>65.7</c:v>
                </c:pt>
                <c:pt idx="8">
                  <c:v>67.3</c:v>
                </c:pt>
                <c:pt idx="9">
                  <c:v>61.3</c:v>
                </c:pt>
                <c:pt idx="10">
                  <c:v>58.2</c:v>
                </c:pt>
                <c:pt idx="11">
                  <c:v>76.900000000000006</c:v>
                </c:pt>
                <c:pt idx="12">
                  <c:v>66.900000000000006</c:v>
                </c:pt>
                <c:pt idx="13">
                  <c:v>55.4</c:v>
                </c:pt>
                <c:pt idx="14">
                  <c:v>50.5</c:v>
                </c:pt>
                <c:pt idx="15">
                  <c:v>64.099999999999994</c:v>
                </c:pt>
                <c:pt idx="16">
                  <c:v>62.8</c:v>
                </c:pt>
                <c:pt idx="17">
                  <c:v>45</c:v>
                </c:pt>
                <c:pt idx="18">
                  <c:v>47.8</c:v>
                </c:pt>
                <c:pt idx="19">
                  <c:v>75.599999999999994</c:v>
                </c:pt>
                <c:pt idx="20">
                  <c:v>46.6</c:v>
                </c:pt>
                <c:pt idx="21">
                  <c:v>50.6</c:v>
                </c:pt>
                <c:pt idx="22">
                  <c:v>45.7</c:v>
                </c:pt>
                <c:pt idx="23">
                  <c:v>68.400000000000006</c:v>
                </c:pt>
                <c:pt idx="24">
                  <c:v>52.5</c:v>
                </c:pt>
                <c:pt idx="25">
                  <c:v>80</c:v>
                </c:pt>
                <c:pt idx="26">
                  <c:v>54.7</c:v>
                </c:pt>
                <c:pt idx="27">
                  <c:v>63.5</c:v>
                </c:pt>
                <c:pt idx="28">
                  <c:v>46.3</c:v>
                </c:pt>
                <c:pt idx="29">
                  <c:v>61.5</c:v>
                </c:pt>
                <c:pt idx="30">
                  <c:v>62.9</c:v>
                </c:pt>
                <c:pt idx="31">
                  <c:v>49.3</c:v>
                </c:pt>
              </c:numCache>
            </c:numRef>
          </c:xVal>
          <c:yVal>
            <c:numRef>
              <c:f>'Manova 1c'!$D$4:$D$35</c:f>
              <c:numCache>
                <c:formatCode>0.0</c:formatCode>
                <c:ptCount val="32"/>
                <c:pt idx="0">
                  <c:v>7.5</c:v>
                </c:pt>
                <c:pt idx="1">
                  <c:v>6.3</c:v>
                </c:pt>
                <c:pt idx="2">
                  <c:v>4.2</c:v>
                </c:pt>
                <c:pt idx="3">
                  <c:v>4.9000000000000004</c:v>
                </c:pt>
                <c:pt idx="4">
                  <c:v>11.7</c:v>
                </c:pt>
                <c:pt idx="5">
                  <c:v>6.9</c:v>
                </c:pt>
                <c:pt idx="6">
                  <c:v>4.3</c:v>
                </c:pt>
                <c:pt idx="7">
                  <c:v>5.3</c:v>
                </c:pt>
                <c:pt idx="8">
                  <c:v>5.5</c:v>
                </c:pt>
                <c:pt idx="9">
                  <c:v>6.9</c:v>
                </c:pt>
                <c:pt idx="10">
                  <c:v>4.8</c:v>
                </c:pt>
                <c:pt idx="11">
                  <c:v>3</c:v>
                </c:pt>
                <c:pt idx="12">
                  <c:v>1.1000000000000001</c:v>
                </c:pt>
                <c:pt idx="13">
                  <c:v>5</c:v>
                </c:pt>
                <c:pt idx="14">
                  <c:v>4.8</c:v>
                </c:pt>
                <c:pt idx="15">
                  <c:v>3.7</c:v>
                </c:pt>
                <c:pt idx="16">
                  <c:v>2.9</c:v>
                </c:pt>
                <c:pt idx="17">
                  <c:v>1.2</c:v>
                </c:pt>
                <c:pt idx="18">
                  <c:v>4.0999999999999996</c:v>
                </c:pt>
                <c:pt idx="19">
                  <c:v>6.3</c:v>
                </c:pt>
                <c:pt idx="20">
                  <c:v>3.6</c:v>
                </c:pt>
                <c:pt idx="21">
                  <c:v>4.7</c:v>
                </c:pt>
                <c:pt idx="22">
                  <c:v>6.2</c:v>
                </c:pt>
                <c:pt idx="23">
                  <c:v>1.9</c:v>
                </c:pt>
                <c:pt idx="24">
                  <c:v>3.1</c:v>
                </c:pt>
                <c:pt idx="25">
                  <c:v>4</c:v>
                </c:pt>
                <c:pt idx="26">
                  <c:v>5.7</c:v>
                </c:pt>
                <c:pt idx="27">
                  <c:v>3</c:v>
                </c:pt>
                <c:pt idx="28">
                  <c:v>7.4</c:v>
                </c:pt>
                <c:pt idx="29">
                  <c:v>1.9</c:v>
                </c:pt>
                <c:pt idx="30">
                  <c:v>2.4</c:v>
                </c:pt>
                <c:pt idx="31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E5-4339-A8DB-5A1A526A2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61624"/>
        <c:axId val="594162016"/>
      </c:scatterChart>
      <c:valAx>
        <c:axId val="59416162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94162016"/>
        <c:crosses val="autoZero"/>
        <c:crossBetween val="midCat"/>
      </c:valAx>
      <c:valAx>
        <c:axId val="59416201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4161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1d'!$R$4:$U$4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0-47E3-AAC4-D5B6B8FC6082}"/>
            </c:ext>
          </c:extLst>
        </c:ser>
        <c:ser>
          <c:idx val="1"/>
          <c:order val="1"/>
          <c:tx>
            <c:strRef>
              <c:f>'Manova 1d'!$Q$5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1d'!$R$5:$U$5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0-47E3-AAC4-D5B6B8FC6082}"/>
            </c:ext>
          </c:extLst>
        </c:ser>
        <c:ser>
          <c:idx val="2"/>
          <c:order val="2"/>
          <c:tx>
            <c:strRef>
              <c:f>'Manova 1d'!$Q$6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1d'!$R$6:$U$6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C0-47E3-AAC4-D5B6B8FC6082}"/>
            </c:ext>
          </c:extLst>
        </c:ser>
        <c:ser>
          <c:idx val="3"/>
          <c:order val="3"/>
          <c:tx>
            <c:strRef>
              <c:f>'Manova 1d'!$Q$7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1d'!$R$8:$U$8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1d'!$R$3:$U$3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1d'!$R$7:$U$7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C0-47E3-AAC4-D5B6B8FC6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163192"/>
        <c:axId val="585042048"/>
      </c:barChart>
      <c:catAx>
        <c:axId val="59416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2048"/>
        <c:crosses val="autoZero"/>
        <c:auto val="1"/>
        <c:lblAlgn val="ctr"/>
        <c:lblOffset val="100"/>
        <c:noMultiLvlLbl val="0"/>
      </c:catAx>
      <c:valAx>
        <c:axId val="58504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4163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1d'!$Q$27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1d'!$R$27:$U$27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3-4D86-80D2-55F11A99BA86}"/>
            </c:ext>
          </c:extLst>
        </c:ser>
        <c:ser>
          <c:idx val="1"/>
          <c:order val="1"/>
          <c:tx>
            <c:strRef>
              <c:f>'Manova 1d'!$Q$28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1d'!$R$28:$U$28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3-4D86-80D2-55F11A99BA86}"/>
            </c:ext>
          </c:extLst>
        </c:ser>
        <c:ser>
          <c:idx val="2"/>
          <c:order val="2"/>
          <c:tx>
            <c:strRef>
              <c:f>'Manova 1d'!$Q$29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1d'!$R$29:$U$29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23-4D86-80D2-55F11A99BA86}"/>
            </c:ext>
          </c:extLst>
        </c:ser>
        <c:ser>
          <c:idx val="3"/>
          <c:order val="3"/>
          <c:tx>
            <c:strRef>
              <c:f>'Manova 1d'!$Q$30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1d'!$R$31:$U$31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1d'!$R$26:$U$26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1d'!$R$30:$U$30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23-4D86-80D2-55F11A99B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041656"/>
        <c:axId val="585043224"/>
      </c:barChart>
      <c:catAx>
        <c:axId val="585041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3224"/>
        <c:crosses val="autoZero"/>
        <c:auto val="1"/>
        <c:lblAlgn val="ctr"/>
        <c:lblOffset val="100"/>
        <c:noMultiLvlLbl val="0"/>
      </c:catAx>
      <c:valAx>
        <c:axId val="585043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041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1d'!$Q$50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1d'!$R$50:$U$50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A-47FE-80AF-31457024718A}"/>
            </c:ext>
          </c:extLst>
        </c:ser>
        <c:ser>
          <c:idx val="1"/>
          <c:order val="1"/>
          <c:tx>
            <c:strRef>
              <c:f>'Manova 1d'!$Q$51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1d'!$R$51:$U$51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A-47FE-80AF-31457024718A}"/>
            </c:ext>
          </c:extLst>
        </c:ser>
        <c:ser>
          <c:idx val="2"/>
          <c:order val="2"/>
          <c:tx>
            <c:strRef>
              <c:f>'Manova 1d'!$Q$52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1d'!$R$52:$U$52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A-47FE-80AF-31457024718A}"/>
            </c:ext>
          </c:extLst>
        </c:ser>
        <c:ser>
          <c:idx val="3"/>
          <c:order val="3"/>
          <c:tx>
            <c:strRef>
              <c:f>'Manova 1d'!$Q$53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1d'!$R$54:$U$54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1d'!$R$49:$U$49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1d'!$R$53:$U$53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A-47FE-80AF-314570247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042832"/>
        <c:axId val="585043616"/>
      </c:barChart>
      <c:catAx>
        <c:axId val="585042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3616"/>
        <c:crosses val="autoZero"/>
        <c:auto val="1"/>
        <c:lblAlgn val="ctr"/>
        <c:lblOffset val="100"/>
        <c:noMultiLvlLbl val="0"/>
      </c:catAx>
      <c:valAx>
        <c:axId val="58504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042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'Manova 1e'!$K$4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1e'!$L$4:$O$4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D-40CE-A290-19839B61C33F}"/>
            </c:ext>
          </c:extLst>
        </c:ser>
        <c:ser>
          <c:idx val="1"/>
          <c:order val="1"/>
          <c:tx>
            <c:strRef>
              <c:f>'Manova 1e'!$K$5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1e'!$L$5:$O$5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D-40CE-A290-19839B61C33F}"/>
            </c:ext>
          </c:extLst>
        </c:ser>
        <c:ser>
          <c:idx val="2"/>
          <c:order val="2"/>
          <c:tx>
            <c:strRef>
              <c:f>'Manova 1e'!$K$6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1e'!$L$6:$O$6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D-40CE-A290-19839B61C33F}"/>
            </c:ext>
          </c:extLst>
        </c:ser>
        <c:ser>
          <c:idx val="3"/>
          <c:order val="3"/>
          <c:tx>
            <c:strRef>
              <c:f>'Manova 1e'!$K$7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'Manova 1e'!$L$8:$O$8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</c:errBars>
          <c:cat>
            <c:numRef>
              <c:f>'Manova 1e'!$L$3:$O$3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cat>
          <c:val>
            <c:numRef>
              <c:f>'Manova 1e'!$L$7:$O$7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9D-40CE-A290-19839B61C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044400"/>
        <c:axId val="585044792"/>
      </c:barChart>
      <c:catAx>
        <c:axId val="585044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5044792"/>
        <c:crosses val="autoZero"/>
        <c:auto val="1"/>
        <c:lblAlgn val="ctr"/>
        <c:lblOffset val="100"/>
        <c:noMultiLvlLbl val="0"/>
      </c:catAx>
      <c:valAx>
        <c:axId val="585044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5044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Lit>
              <c:formatCode>General</c:formatCode>
              <c:ptCount val="9"/>
              <c:pt idx="0">
                <c:v>0.54742723754979927</c:v>
              </c:pt>
              <c:pt idx="1">
                <c:v>0.12801383104328856</c:v>
              </c:pt>
              <c:pt idx="2">
                <c:v>9.9040676914732589E-2</c:v>
              </c:pt>
              <c:pt idx="3">
                <c:v>6.8037077233563392E-2</c:v>
              </c:pt>
              <c:pt idx="4">
                <c:v>5.2694744656061138E-2</c:v>
              </c:pt>
              <c:pt idx="5">
                <c:v>3.9652241571292449E-2</c:v>
              </c:pt>
              <c:pt idx="6">
                <c:v>3.5995045295632043E-2</c:v>
              </c:pt>
              <c:pt idx="7">
                <c:v>2.0830040452000653E-2</c:v>
              </c:pt>
              <c:pt idx="8">
                <c:v>8.3091052836300524E-3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6C2-4FD6-BCBF-6E3FB68C1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18608"/>
        <c:axId val="589620960"/>
      </c:lineChart>
      <c:catAx>
        <c:axId val="58961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589620960"/>
        <c:crosses val="autoZero"/>
        <c:auto val="1"/>
        <c:lblAlgn val="ctr"/>
        <c:lblOffset val="100"/>
        <c:noMultiLvlLbl val="0"/>
      </c:catAx>
      <c:valAx>
        <c:axId val="58962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618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Lit>
              <c:formatCode>General</c:formatCode>
              <c:ptCount val="9"/>
              <c:pt idx="0">
                <c:v>0.32004854511139591</c:v>
              </c:pt>
              <c:pt idx="1">
                <c:v>0.15985048778574817</c:v>
              </c:pt>
              <c:pt idx="2">
                <c:v>0.12932551663773473</c:v>
              </c:pt>
              <c:pt idx="3">
                <c:v>0.11382807902221671</c:v>
              </c:pt>
              <c:pt idx="4">
                <c:v>7.8356518265323929E-2</c:v>
              </c:pt>
              <c:pt idx="5">
                <c:v>7.1958156648054508E-2</c:v>
              </c:pt>
              <c:pt idx="6">
                <c:v>6.2488138758617091E-2</c:v>
              </c:pt>
              <c:pt idx="7">
                <c:v>3.8360933230682889E-2</c:v>
              </c:pt>
              <c:pt idx="8">
                <c:v>2.5783624540226084E-2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A9E-4F8B-9F29-B24C881B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21352"/>
        <c:axId val="589619784"/>
      </c:lineChart>
      <c:catAx>
        <c:axId val="589621352"/>
        <c:scaling>
          <c:orientation val="minMax"/>
        </c:scaling>
        <c:delete val="0"/>
        <c:axPos val="b"/>
        <c:majorTickMark val="out"/>
        <c:minorTickMark val="none"/>
        <c:tickLblPos val="nextTo"/>
        <c:crossAx val="589619784"/>
        <c:crosses val="autoZero"/>
        <c:auto val="1"/>
        <c:lblAlgn val="ctr"/>
        <c:lblOffset val="100"/>
        <c:noMultiLvlLbl val="0"/>
      </c:catAx>
      <c:valAx>
        <c:axId val="58961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9621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Scree Plot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Factor!$N$6:$N$14</c:f>
              <c:numCache>
                <c:formatCode>0.0%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8-4BE5-86B4-1DEB4525B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617824"/>
        <c:axId val="589620568"/>
      </c:lineChart>
      <c:catAx>
        <c:axId val="58961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589620568"/>
        <c:crosses val="autoZero"/>
        <c:auto val="1"/>
        <c:lblAlgn val="ctr"/>
        <c:lblOffset val="100"/>
        <c:noMultiLvlLbl val="0"/>
      </c:catAx>
      <c:valAx>
        <c:axId val="58962056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89617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'Clust 1'!$B$4:$B$13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'Clust 1'!$C$4:$C$13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0-4879-9BEB-B74CC659C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16096"/>
        <c:axId val="703617272"/>
      </c:scatterChart>
      <c:valAx>
        <c:axId val="7036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7272"/>
        <c:crosses val="autoZero"/>
        <c:crossBetween val="midCat"/>
      </c:valAx>
      <c:valAx>
        <c:axId val="7036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ADBCB3C-CDE0-478B-B657-527610AD377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15-4FD3-9DB8-F75C4B9E6F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624A22A-DB32-4248-B836-170756C683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C515-4FD3-9DB8-F75C4B9E6F2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30F1CB0-046F-4799-828F-364949C517D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515-4FD3-9DB8-F75C4B9E6F2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4908BE-9888-4A1A-AAA3-E56C870F6E4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515-4FD3-9DB8-F75C4B9E6F2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7F5FB9F-7148-439F-844D-A1B70440F9D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515-4FD3-9DB8-F75C4B9E6F2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9BEA3E-5331-4352-9DE0-8FCCBCA1AD0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515-4FD3-9DB8-F75C4B9E6F2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3038D46-584D-4126-9135-133A2D07EB4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515-4FD3-9DB8-F75C4B9E6F2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B4E80FB-46DD-458E-82CF-ED4A731C062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C515-4FD3-9DB8-F75C4B9E6F2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DC3CDD7-8B53-46D0-B3E5-AE2C6AC6A8C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C515-4FD3-9DB8-F75C4B9E6F2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13F8726-7E85-4755-924E-9940D67B789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515-4FD3-9DB8-F75C4B9E6F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'Clust 1'!$B$40:$B$49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</c:numCache>
            </c:numRef>
          </c:xVal>
          <c:yVal>
            <c:numRef>
              <c:f>'Clust 1'!$C$40:$C$49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'Clust 1'!$E$40:$E$49</c15:f>
                <c15:dlblRangeCache>
                  <c:ptCount val="10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1</c:v>
                  </c:pt>
                  <c:pt idx="5">
                    <c:v>1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C515-4FD3-9DB8-F75C4B9E6F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3615312"/>
        <c:axId val="703618448"/>
      </c:scatterChart>
      <c:valAx>
        <c:axId val="7036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8448"/>
        <c:crosses val="autoZero"/>
        <c:crossBetween val="midCat"/>
      </c:valAx>
      <c:valAx>
        <c:axId val="7036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- Rows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00C1E88-FFB4-412C-AF40-D496F7DC147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F73-4D54-A94C-F41DED8E93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347086-2459-4DC8-9D52-2DEF504AC3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F73-4D54-A94C-F41DED8E93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DF1664C-6B39-4672-A9AE-00043DEAA4E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F73-4D54-A94C-F41DED8E93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41B5D15-3AB4-4C58-AB5C-F59F232876D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F73-4D54-A94C-F41DED8E93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02CFC88-6901-46E0-8D3B-D74EC9A7F4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F73-4D54-A94C-F41DED8E93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1B698AE-0F3A-42BA-9086-1EEA554528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F73-4D54-A94C-F41DED8E9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1'!$BA$14:$BA$19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'CA 1'!$BB$14:$BB$19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1'!$AZ$14:$AZ$19</c15:f>
                <c15:dlblRangeCache>
                  <c:ptCount val="6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8F73-4D54-A94C-F41DED8E93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3616488"/>
        <c:axId val="703617664"/>
      </c:scatterChart>
      <c:valAx>
        <c:axId val="70361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7664"/>
        <c:crossesAt val="0"/>
        <c:crossBetween val="midCat"/>
      </c:valAx>
      <c:valAx>
        <c:axId val="7036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- Columns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 1'!$BB$24</c:f>
              <c:strCache>
                <c:ptCount val="1"/>
                <c:pt idx="0">
                  <c:v>Factor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5178F5B-58A8-4C3A-B1D6-FA02B80A5F7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E-402A-9285-2E6F2A4FC3E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2D665AA-010B-4F67-BE73-A0E4090932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BE-402A-9285-2E6F2A4FC3E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A7CC47E-A3A3-4716-AAA1-E6942D45FEC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CBE-402A-9285-2E6F2A4FC3E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F87427B-FCF4-4986-AE2E-A7DAACCCE1B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CBE-402A-9285-2E6F2A4FC3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1'!$BA$25:$BA$28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1'!$BB$25:$BB$28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1'!$AZ$25:$AZ$28</c15:f>
                <c15:dlblRangeCache>
                  <c:ptCount val="4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9CBE-402A-9285-2E6F2A4FC3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4921528"/>
        <c:axId val="584918392"/>
      </c:scatterChart>
      <c:valAx>
        <c:axId val="58492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8392"/>
        <c:crosses val="autoZero"/>
        <c:crossBetween val="midCat"/>
      </c:valAx>
      <c:valAx>
        <c:axId val="58491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2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Correspondence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3793A27-2889-4B8D-847D-664053BF22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48-425B-BB79-765B6B1CE0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0BEE0D-FF3E-497F-B4A0-5DF91DA16D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E48-425B-BB79-765B6B1CE0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AC6825-952F-48D8-B778-32834D4CAA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E48-425B-BB79-765B6B1CE0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327189C-0E6A-4376-99EC-AAA070EF71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E48-425B-BB79-765B6B1CE0F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E300922-734B-4BAA-9E36-ADCBE3A6A71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E48-425B-BB79-765B6B1CE0F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4529C4E-50E2-4A3B-83ED-B9D50772415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E48-425B-BB79-765B6B1CE0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1'!$BA$14:$BA$19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'CA 1'!$BB$14:$BB$19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1'!$AZ$14:$AZ$19</c15:f>
                <c15:dlblRangeCache>
                  <c:ptCount val="6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0E48-425B-BB79-765B6B1CE0F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5209003-3FC1-4CEC-ADCE-A5D2FCE059C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E48-425B-BB79-765B6B1CE0F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73E7495-3B07-4EE0-AEE2-D7FC1024FC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E48-425B-BB79-765B6B1CE0F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AB1D7DB-6B4B-40A7-8931-73928370D1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E48-425B-BB79-765B6B1CE0F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83FE189-28F1-461F-B23D-B1A6B4038D1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E48-425B-BB79-765B6B1CE0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1'!$BA$25:$BA$28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1'!$BB$25:$BB$28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1'!$AZ$25:$AZ$28</c15:f>
                <c15:dlblRangeCache>
                  <c:ptCount val="4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0E48-425B-BB79-765B6B1CE0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4919960"/>
        <c:axId val="584919568"/>
      </c:scatterChart>
      <c:valAx>
        <c:axId val="58491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9568"/>
        <c:crosses val="autoZero"/>
        <c:crossBetween val="midCat"/>
      </c:valAx>
      <c:valAx>
        <c:axId val="5849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Rows with Supplementary 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FDA6B35-7772-4DE6-BE33-2BD35B4854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AC9-43E5-AB36-919DC7D240F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230F04A-55B9-487B-99DB-D502E64726B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AC9-43E5-AB36-919DC7D240F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7F5E84-ECE6-4FC6-8F5C-A30E70FA2B7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AC9-43E5-AB36-919DC7D240F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B0C7D95-80CA-49C6-B534-6DE22B0E06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AC9-43E5-AB36-919DC7D240F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DC7232A-D3C5-4EAF-B334-B214534ADD6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AC9-43E5-AB36-919DC7D240F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1C58D7C-6615-43D3-861A-E4B9A8409C9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AC9-43E5-AB36-919DC7D240F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BFA76A2-B102-4EFE-8E53-F63CCBC867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AC9-43E5-AB36-919DC7D240F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51DACD2-84CC-453D-87BE-8235B0EAA24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AC9-43E5-AB36-919DC7D240F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2B5750E-E2D2-40AA-99AD-EF12D78E230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AC9-43E5-AB36-919DC7D240F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209C817-5418-4DEF-B91A-6541829397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AC9-43E5-AB36-919DC7D240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1'!$BA$46:$BA$55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1'!$BB$46:$BB$55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1'!$AZ$46:$AZ$55</c15:f>
                <c15:dlblRangeCache>
                  <c:ptCount val="10"/>
                  <c:pt idx="0">
                    <c:v>scr</c:v>
                  </c:pt>
                  <c:pt idx="1">
                    <c:v>pri</c:v>
                  </c:pt>
                  <c:pt idx="2">
                    <c:v>des</c:v>
                  </c:pt>
                  <c:pt idx="3">
                    <c:v>bat</c:v>
                  </c:pt>
                  <c:pt idx="4">
                    <c:v>sof</c:v>
                  </c:pt>
                  <c:pt idx="5">
                    <c:v>cam</c:v>
                  </c:pt>
                  <c:pt idx="6">
                    <c:v>app</c:v>
                  </c:pt>
                  <c:pt idx="7">
                    <c:v>sam</c:v>
                  </c:pt>
                  <c:pt idx="8">
                    <c:v>nok</c:v>
                  </c:pt>
                  <c:pt idx="9">
                    <c:v>hua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EAC9-43E5-AB36-919DC7D240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4919176"/>
        <c:axId val="584920744"/>
      </c:scatterChart>
      <c:valAx>
        <c:axId val="58491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20744"/>
        <c:crosses val="autoZero"/>
        <c:crossBetween val="midCat"/>
      </c:valAx>
      <c:valAx>
        <c:axId val="58492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1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with NEW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BBDC4E8-489A-48FB-B26B-21F3EE6712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96-43AE-8F66-7868AC42DE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F63CC70-7357-4962-A5DA-6618C66AC8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C96-43AE-8F66-7868AC42DE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6651204-A654-41CC-9BAC-3D071FFA98E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C96-43AE-8F66-7868AC42DE3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B99481-4A4F-45D0-80E3-18BB5C9CD5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C96-43AE-8F66-7868AC42DE3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6355E90-62A8-4DD2-96E5-039B5C534A5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C96-43AE-8F66-7868AC42DE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'CA 1'!$AV$62:$AV$66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1'!$AW$62:$AW$66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'CA 1'!$AU$62:$AU$66</c15:f>
                <c15:dlblRangeCache>
                  <c:ptCount val="5"/>
                  <c:pt idx="0">
                    <c:v>APP</c:v>
                  </c:pt>
                  <c:pt idx="1">
                    <c:v>SAM</c:v>
                  </c:pt>
                  <c:pt idx="2">
                    <c:v>NOK</c:v>
                  </c:pt>
                  <c:pt idx="3">
                    <c:v>HUA</c:v>
                  </c:pt>
                  <c:pt idx="4">
                    <c:v>NEW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8C96-43AE-8F66-7868AC42DE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2121344"/>
        <c:axId val="702119776"/>
      </c:scatterChart>
      <c:valAx>
        <c:axId val="70212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19776"/>
        <c:crosses val="autoZero"/>
        <c:crossBetween val="midCat"/>
      </c:valAx>
      <c:valAx>
        <c:axId val="7021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12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0-25E9-485D-9EF1-2723AF3EBCAA}"/>
              </c:ext>
            </c:extLst>
          </c:dPt>
          <c:dPt>
            <c:idx val="1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1-25E9-485D-9EF1-2723AF3EBCAA}"/>
              </c:ext>
            </c:extLst>
          </c:dPt>
          <c:dPt>
            <c:idx val="2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2-25E9-485D-9EF1-2723AF3EBCAA}"/>
              </c:ext>
            </c:extLst>
          </c:dPt>
          <c:dPt>
            <c:idx val="3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3-25E9-485D-9EF1-2723AF3EBCAA}"/>
              </c:ext>
            </c:extLst>
          </c:dPt>
          <c:dPt>
            <c:idx val="4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4-25E9-485D-9EF1-2723AF3EBCAA}"/>
              </c:ext>
            </c:extLst>
          </c:dPt>
          <c:dPt>
            <c:idx val="5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5-25E9-485D-9EF1-2723AF3EBCAA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25E9-485D-9EF1-2723AF3EBCAA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25E9-485D-9EF1-2723AF3EBCAA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25E9-485D-9EF1-2723AF3EBCAA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25E9-485D-9EF1-2723AF3EBCA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5E9-485D-9EF1-2723AF3EBC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5E9-485D-9EF1-2723AF3EBC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5E9-485D-9EF1-2723AF3EBC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5E9-485D-9EF1-2723AF3EBC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5E9-485D-9EF1-2723AF3EBC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5E9-485D-9EF1-2723AF3EBCA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5E9-485D-9EF1-2723AF3EBCA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5E9-485D-9EF1-2723AF3EBCA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5E9-485D-9EF1-2723AF3EBCA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5E9-485D-9EF1-2723AF3EBCA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2'!$Y$6:$Y$15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2'!$Z$6:$Z$15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5E9-485D-9EF1-2723AF3EB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20168"/>
        <c:axId val="702118992"/>
      </c:scatterChart>
      <c:valAx>
        <c:axId val="702120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118992"/>
        <c:crosses val="autoZero"/>
        <c:crossBetween val="midCat"/>
      </c:valAx>
      <c:valAx>
        <c:axId val="70211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120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0-D9D4-4D24-9C73-0C3021A5C5A2}"/>
              </c:ext>
            </c:extLst>
          </c:dPt>
          <c:dPt>
            <c:idx val="1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1-D9D4-4D24-9C73-0C3021A5C5A2}"/>
              </c:ext>
            </c:extLst>
          </c:dPt>
          <c:dPt>
            <c:idx val="2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2-D9D4-4D24-9C73-0C3021A5C5A2}"/>
              </c:ext>
            </c:extLst>
          </c:dPt>
          <c:dPt>
            <c:idx val="3"/>
            <c:marker>
              <c:symbol val="square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3-D9D4-4D24-9C73-0C3021A5C5A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9D4-4D24-9C73-0C3021A5C5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9D4-4D24-9C73-0C3021A5C5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9D4-4D24-9C73-0C3021A5C5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D9D4-4D24-9C73-0C3021A5C5A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2'!$Y$21:$Y$24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'CA 2'!$Z$21:$Z$24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9D4-4D24-9C73-0C3021A5C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19384"/>
        <c:axId val="702122128"/>
      </c:scatterChart>
      <c:valAx>
        <c:axId val="70211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122128"/>
        <c:crosses val="autoZero"/>
        <c:crossBetween val="midCat"/>
      </c:valAx>
      <c:valAx>
        <c:axId val="70212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119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144-4014-A7DA-5924B86F3E3A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144-4014-A7DA-5924B86F3E3A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144-4014-A7DA-5924B86F3E3A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144-4014-A7DA-5924B86F3E3A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144-4014-A7DA-5924B86F3E3A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144-4014-A7DA-5924B86F3E3A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E144-4014-A7DA-5924B86F3E3A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E144-4014-A7DA-5924B86F3E3A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E144-4014-A7DA-5924B86F3E3A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E144-4014-A7DA-5924B86F3E3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GB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144-4014-A7DA-5924B86F3E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GB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144-4014-A7DA-5924B86F3E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GB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144-4014-A7DA-5924B86F3E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GB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144-4014-A7DA-5924B86F3E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GB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144-4014-A7DA-5924B86F3E3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GB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144-4014-A7DA-5924B86F3E3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GB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144-4014-A7DA-5924B86F3E3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GB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144-4014-A7DA-5924B86F3E3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GB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E144-4014-A7DA-5924B86F3E3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GB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E144-4014-A7DA-5924B86F3E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3'!$AB$6:$AB$15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3'!$AC$6:$AC$15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144-4014-A7DA-5924B86F3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120560"/>
        <c:axId val="702229072"/>
      </c:scatterChart>
      <c:valAx>
        <c:axId val="70212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9072"/>
        <c:crosses val="autoZero"/>
        <c:crossBetween val="midCat"/>
      </c:valAx>
      <c:valAx>
        <c:axId val="70222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120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D43-490E-BBDC-97BB85732026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D43-490E-BBDC-97BB85732026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D43-490E-BBDC-97BB85732026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D43-490E-BBDC-97BB85732026}"/>
              </c:ext>
            </c:extLst>
          </c:dPt>
          <c:dPt>
            <c:idx val="4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4-4D43-490E-BBDC-97BB8573202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GB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4D43-490E-BBDC-97BB857320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GB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D43-490E-BBDC-97BB857320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GB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D43-490E-BBDC-97BB857320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GB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4D43-490E-BBDC-97BB8573202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GB"/>
                      <a:t>NEW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4D43-490E-BBDC-97BB8573202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3'!$AB$21:$AB$25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3'!$AC$21:$AC$25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D43-490E-BBDC-97BB85732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28680"/>
        <c:axId val="702225544"/>
      </c:scatterChart>
      <c:valAx>
        <c:axId val="702228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5544"/>
        <c:crosses val="autoZero"/>
        <c:crossBetween val="midCat"/>
      </c:valAx>
      <c:valAx>
        <c:axId val="702225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28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Rows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74-43ED-A9D1-4D74494B1148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74-43ED-A9D1-4D74494B1148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74-43ED-A9D1-4D74494B1148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74-43ED-A9D1-4D74494B1148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74-43ED-A9D1-4D74494B1148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74-43ED-A9D1-4D74494B1148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3E74-43ED-A9D1-4D74494B1148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3E74-43ED-A9D1-4D74494B1148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3E74-43ED-A9D1-4D74494B1148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3E74-43ED-A9D1-4D74494B114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3E74-43ED-A9D1-4D74494B114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E74-43ED-A9D1-4D74494B114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E74-43ED-A9D1-4D74494B114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E74-43ED-A9D1-4D74494B114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E74-43ED-A9D1-4D74494B114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E74-43ED-A9D1-4D74494B114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3E74-43ED-A9D1-4D74494B114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3E74-43ED-A9D1-4D74494B114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3E74-43ED-A9D1-4D74494B114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3E74-43ED-A9D1-4D74494B11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4'!$AB$6:$AB$15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4'!$AC$6:$AC$15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74-43ED-A9D1-4D74494B1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27896"/>
        <c:axId val="702228288"/>
      </c:scatterChart>
      <c:valAx>
        <c:axId val="70222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8288"/>
        <c:crosses val="autoZero"/>
        <c:crossBetween val="midCat"/>
      </c:valAx>
      <c:valAx>
        <c:axId val="70222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27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 Plot for Columns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93-4D3F-88B8-D971CA5B85CB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93-4D3F-88B8-D971CA5B85CB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93-4D3F-88B8-D971CA5B85CB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93-4D3F-88B8-D971CA5B85CB}"/>
              </c:ext>
            </c:extLst>
          </c:dPt>
          <c:dPt>
            <c:idx val="4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4-FC93-4D3F-88B8-D971CA5B85C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FC93-4D3F-88B8-D971CA5B85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FC93-4D3F-88B8-D971CA5B85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C93-4D3F-88B8-D971CA5B85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C93-4D3F-88B8-D971CA5B85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NEW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C93-4D3F-88B8-D971CA5B85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4'!$AB$21:$AB$25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'CA 4'!$AC$21:$AC$25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93-4D3F-88B8-D971CA5B8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226328"/>
        <c:axId val="702226720"/>
      </c:scatterChart>
      <c:valAx>
        <c:axId val="70222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2226720"/>
        <c:crosses val="autoZero"/>
        <c:crossBetween val="midCat"/>
      </c:valAx>
      <c:valAx>
        <c:axId val="70222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2226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Combined CA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dPt>
            <c:idx val="0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9D4-42DC-AD32-D33B719678FF}"/>
              </c:ext>
            </c:extLst>
          </c:dPt>
          <c:dPt>
            <c:idx val="1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9D4-42DC-AD32-D33B719678FF}"/>
              </c:ext>
            </c:extLst>
          </c:dPt>
          <c:dPt>
            <c:idx val="2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9D4-42DC-AD32-D33B719678FF}"/>
              </c:ext>
            </c:extLst>
          </c:dPt>
          <c:dPt>
            <c:idx val="3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9D4-42DC-AD32-D33B719678FF}"/>
              </c:ext>
            </c:extLst>
          </c:dPt>
          <c:dPt>
            <c:idx val="4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9D4-42DC-AD32-D33B719678FF}"/>
              </c:ext>
            </c:extLst>
          </c:dPt>
          <c:dPt>
            <c:idx val="5"/>
            <c:marker>
              <c:symbol val="square"/>
              <c:size val="6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9D4-42DC-AD32-D33B719678FF}"/>
              </c:ext>
            </c:extLst>
          </c:dPt>
          <c:dPt>
            <c:idx val="6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6-E9D4-42DC-AD32-D33B719678FF}"/>
              </c:ext>
            </c:extLst>
          </c:dPt>
          <c:dPt>
            <c:idx val="7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7-E9D4-42DC-AD32-D33B719678FF}"/>
              </c:ext>
            </c:extLst>
          </c:dPt>
          <c:dPt>
            <c:idx val="8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8-E9D4-42DC-AD32-D33B719678FF}"/>
              </c:ext>
            </c:extLst>
          </c:dPt>
          <c:dPt>
            <c:idx val="9"/>
            <c:marker>
              <c:symbol val="diamond"/>
              <c:size val="6"/>
            </c:marker>
            <c:bubble3D val="0"/>
            <c:extLst>
              <c:ext xmlns:c16="http://schemas.microsoft.com/office/drawing/2014/chart" uri="{C3380CC4-5D6E-409C-BE32-E72D297353CC}">
                <c16:uniqueId val="{00000009-E9D4-42DC-AD32-D33B719678F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screen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E9D4-42DC-AD32-D33B719678F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price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E9D4-42DC-AD32-D33B719678F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design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9D4-42DC-AD32-D33B719678F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battery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9D4-42DC-AD32-D33B719678F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software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9D4-42DC-AD32-D33B719678F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camera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9D4-42DC-AD32-D33B719678F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Apple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9D4-42DC-AD32-D33B719678F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Samsung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9D4-42DC-AD32-D33B719678F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Nokia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E9D4-42DC-AD32-D33B719678F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Huawei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E9D4-42DC-AD32-D33B719678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'CA 4'!$AJ$5:$AJ$14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'CA 4'!$AK$5:$AK$14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9D4-42DC-AD32-D33B7196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02552"/>
        <c:axId val="705500592"/>
      </c:scatterChart>
      <c:valAx>
        <c:axId val="70550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5500592"/>
        <c:crosses val="autoZero"/>
        <c:crossBetween val="midCat"/>
      </c:valAx>
      <c:valAx>
        <c:axId val="70550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5502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Scree Plot</c:v>
          </c:tx>
          <c:val>
            <c:numRef>
              <c:f>'Fact PCA'!$N$86:$N$94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4-4C79-9282-B26BC900F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499416"/>
        <c:axId val="705499808"/>
      </c:lineChart>
      <c:catAx>
        <c:axId val="70549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705499808"/>
        <c:crosses val="autoZero"/>
        <c:auto val="1"/>
        <c:lblAlgn val="ctr"/>
        <c:lblOffset val="100"/>
        <c:noMultiLvlLbl val="0"/>
      </c:catAx>
      <c:valAx>
        <c:axId val="7054998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05499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Scree Plot</c:v>
          </c:tx>
          <c:val>
            <c:numRef>
              <c:f>'Fact PAF'!$N$135:$N$143</c:f>
              <c:numCache>
                <c:formatCode>0.00%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C-407F-9C1E-E6E38BDD2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5501768"/>
        <c:axId val="703618840"/>
      </c:lineChart>
      <c:catAx>
        <c:axId val="705501768"/>
        <c:scaling>
          <c:orientation val="minMax"/>
        </c:scaling>
        <c:delete val="0"/>
        <c:axPos val="b"/>
        <c:majorTickMark val="out"/>
        <c:minorTickMark val="none"/>
        <c:tickLblPos val="nextTo"/>
        <c:crossAx val="703618840"/>
        <c:crosses val="autoZero"/>
        <c:auto val="1"/>
        <c:lblAlgn val="ctr"/>
        <c:lblOffset val="100"/>
        <c:noMultiLvlLbl val="0"/>
      </c:catAx>
      <c:valAx>
        <c:axId val="70361884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05501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14</xdr:row>
      <xdr:rowOff>166687</xdr:rowOff>
    </xdr:from>
    <xdr:to>
      <xdr:col>13</xdr:col>
      <xdr:colOff>333375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42862</xdr:rowOff>
    </xdr:from>
    <xdr:to>
      <xdr:col>12</xdr:col>
      <xdr:colOff>504825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2</xdr:row>
      <xdr:rowOff>28575</xdr:rowOff>
    </xdr:from>
    <xdr:to>
      <xdr:col>19</xdr:col>
      <xdr:colOff>295275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486113-BFDF-4D8E-AE27-168F6F6F4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34</xdr:row>
      <xdr:rowOff>176212</xdr:rowOff>
    </xdr:from>
    <xdr:to>
      <xdr:col>19</xdr:col>
      <xdr:colOff>438150</xdr:colOff>
      <xdr:row>49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34</xdr:row>
      <xdr:rowOff>166687</xdr:rowOff>
    </xdr:from>
    <xdr:to>
      <xdr:col>12</xdr:col>
      <xdr:colOff>85725</xdr:colOff>
      <xdr:row>49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592136</xdr:colOff>
      <xdr:row>0</xdr:row>
      <xdr:rowOff>100012</xdr:rowOff>
    </xdr:from>
    <xdr:to>
      <xdr:col>17</xdr:col>
      <xdr:colOff>9524</xdr:colOff>
      <xdr:row>14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571499</xdr:colOff>
      <xdr:row>14</xdr:row>
      <xdr:rowOff>176212</xdr:rowOff>
    </xdr:from>
    <xdr:to>
      <xdr:col>17</xdr:col>
      <xdr:colOff>28574</xdr:colOff>
      <xdr:row>28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566737</xdr:colOff>
      <xdr:row>29</xdr:row>
      <xdr:rowOff>176211</xdr:rowOff>
    </xdr:from>
    <xdr:to>
      <xdr:col>17</xdr:col>
      <xdr:colOff>47625</xdr:colOff>
      <xdr:row>43</xdr:row>
      <xdr:rowOff>123824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304799</xdr:colOff>
      <xdr:row>0</xdr:row>
      <xdr:rowOff>166687</xdr:rowOff>
    </xdr:from>
    <xdr:to>
      <xdr:col>24</xdr:col>
      <xdr:colOff>180974</xdr:colOff>
      <xdr:row>13</xdr:row>
      <xdr:rowOff>150316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285750</xdr:colOff>
      <xdr:row>14</xdr:row>
      <xdr:rowOff>109537</xdr:rowOff>
    </xdr:from>
    <xdr:to>
      <xdr:col>24</xdr:col>
      <xdr:colOff>190500</xdr:colOff>
      <xdr:row>26</xdr:row>
      <xdr:rowOff>32217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266699</xdr:colOff>
      <xdr:row>26</xdr:row>
      <xdr:rowOff>166687</xdr:rowOff>
    </xdr:from>
    <xdr:to>
      <xdr:col>24</xdr:col>
      <xdr:colOff>180974</xdr:colOff>
      <xdr:row>37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314325</xdr:colOff>
      <xdr:row>0</xdr:row>
      <xdr:rowOff>80962</xdr:rowOff>
    </xdr:from>
    <xdr:to>
      <xdr:col>37</xdr:col>
      <xdr:colOff>9525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285750</xdr:colOff>
      <xdr:row>0</xdr:row>
      <xdr:rowOff>52387</xdr:rowOff>
    </xdr:from>
    <xdr:to>
      <xdr:col>49</xdr:col>
      <xdr:colOff>590550</xdr:colOff>
      <xdr:row>14</xdr:row>
      <xdr:rowOff>128587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304799</xdr:colOff>
      <xdr:row>40</xdr:row>
      <xdr:rowOff>138112</xdr:rowOff>
    </xdr:from>
    <xdr:to>
      <xdr:col>24</xdr:col>
      <xdr:colOff>220662</xdr:colOff>
      <xdr:row>53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342899</xdr:colOff>
      <xdr:row>2</xdr:row>
      <xdr:rowOff>23812</xdr:rowOff>
    </xdr:from>
    <xdr:to>
      <xdr:col>21</xdr:col>
      <xdr:colOff>180974</xdr:colOff>
      <xdr:row>12</xdr:row>
      <xdr:rowOff>56197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300789</xdr:colOff>
      <xdr:row>24</xdr:row>
      <xdr:rowOff>85474</xdr:rowOff>
    </xdr:from>
    <xdr:to>
      <xdr:col>21</xdr:col>
      <xdr:colOff>165934</xdr:colOff>
      <xdr:row>34</xdr:row>
      <xdr:rowOff>133773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238123</xdr:colOff>
      <xdr:row>47</xdr:row>
      <xdr:rowOff>145631</xdr:rowOff>
    </xdr:from>
    <xdr:to>
      <xdr:col>21</xdr:col>
      <xdr:colOff>120315</xdr:colOff>
      <xdr:row>58</xdr:row>
      <xdr:rowOff>16858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493712</xdr:colOff>
      <xdr:row>1</xdr:row>
      <xdr:rowOff>147637</xdr:rowOff>
    </xdr:from>
    <xdr:to>
      <xdr:col>15</xdr:col>
      <xdr:colOff>304800</xdr:colOff>
      <xdr:row>12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57150</xdr:colOff>
      <xdr:row>42</xdr:row>
      <xdr:rowOff>147637</xdr:rowOff>
    </xdr:from>
    <xdr:to>
      <xdr:col>41</xdr:col>
      <xdr:colOff>361950</xdr:colOff>
      <xdr:row>57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41</xdr:row>
      <xdr:rowOff>90487</xdr:rowOff>
    </xdr:from>
    <xdr:to>
      <xdr:col>19</xdr:col>
      <xdr:colOff>333375</xdr:colOff>
      <xdr:row>55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1</xdr:row>
      <xdr:rowOff>176212</xdr:rowOff>
    </xdr:from>
    <xdr:to>
      <xdr:col>22</xdr:col>
      <xdr:colOff>466725</xdr:colOff>
      <xdr:row>15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176212</xdr:rowOff>
    </xdr:from>
    <xdr:to>
      <xdr:col>23</xdr:col>
      <xdr:colOff>180975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342900</xdr:colOff>
      <xdr:row>36</xdr:row>
      <xdr:rowOff>128587</xdr:rowOff>
    </xdr:from>
    <xdr:to>
      <xdr:col>23</xdr:col>
      <xdr:colOff>38100</xdr:colOff>
      <xdr:row>51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285750</xdr:colOff>
      <xdr:row>1</xdr:row>
      <xdr:rowOff>128587</xdr:rowOff>
    </xdr:from>
    <xdr:to>
      <xdr:col>61</xdr:col>
      <xdr:colOff>400050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438150</xdr:colOff>
      <xdr:row>1</xdr:row>
      <xdr:rowOff>109537</xdr:rowOff>
    </xdr:from>
    <xdr:to>
      <xdr:col>69</xdr:col>
      <xdr:colOff>133350</xdr:colOff>
      <xdr:row>16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54</xdr:col>
      <xdr:colOff>266700</xdr:colOff>
      <xdr:row>16</xdr:row>
      <xdr:rowOff>71437</xdr:rowOff>
    </xdr:from>
    <xdr:to>
      <xdr:col>61</xdr:col>
      <xdr:colOff>381000</xdr:colOff>
      <xdr:row>30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461962</xdr:colOff>
      <xdr:row>16</xdr:row>
      <xdr:rowOff>42862</xdr:rowOff>
    </xdr:from>
    <xdr:to>
      <xdr:col>69</xdr:col>
      <xdr:colOff>157162</xdr:colOff>
      <xdr:row>30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504825</xdr:colOff>
      <xdr:row>57</xdr:row>
      <xdr:rowOff>14287</xdr:rowOff>
    </xdr:from>
    <xdr:to>
      <xdr:col>53</xdr:col>
      <xdr:colOff>200025</xdr:colOff>
      <xdr:row>71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26</xdr:row>
      <xdr:rowOff>71437</xdr:rowOff>
    </xdr:from>
    <xdr:to>
      <xdr:col>20</xdr:col>
      <xdr:colOff>514350</xdr:colOff>
      <xdr:row>40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238125</xdr:colOff>
      <xdr:row>26</xdr:row>
      <xdr:rowOff>71437</xdr:rowOff>
    </xdr:from>
    <xdr:to>
      <xdr:col>28</xdr:col>
      <xdr:colOff>542925</xdr:colOff>
      <xdr:row>40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26</xdr:row>
      <xdr:rowOff>4762</xdr:rowOff>
    </xdr:from>
    <xdr:to>
      <xdr:col>24</xdr:col>
      <xdr:colOff>361950</xdr:colOff>
      <xdr:row>40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552450</xdr:colOff>
      <xdr:row>26</xdr:row>
      <xdr:rowOff>14287</xdr:rowOff>
    </xdr:from>
    <xdr:to>
      <xdr:col>32</xdr:col>
      <xdr:colOff>247650</xdr:colOff>
      <xdr:row>40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28</xdr:row>
      <xdr:rowOff>100012</xdr:rowOff>
    </xdr:from>
    <xdr:to>
      <xdr:col>17</xdr:col>
      <xdr:colOff>152400</xdr:colOff>
      <xdr:row>42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133350</xdr:colOff>
      <xdr:row>28</xdr:row>
      <xdr:rowOff>80962</xdr:rowOff>
    </xdr:from>
    <xdr:to>
      <xdr:col>25</xdr:col>
      <xdr:colOff>438150</xdr:colOff>
      <xdr:row>42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71437</xdr:rowOff>
    </xdr:from>
    <xdr:to>
      <xdr:col>33</xdr:col>
      <xdr:colOff>304800</xdr:colOff>
      <xdr:row>42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323850</xdr:colOff>
      <xdr:row>82</xdr:row>
      <xdr:rowOff>61912</xdr:rowOff>
    </xdr:from>
    <xdr:to>
      <xdr:col>23</xdr:col>
      <xdr:colOff>19050</xdr:colOff>
      <xdr:row>96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177800</xdr:colOff>
      <xdr:row>131</xdr:row>
      <xdr:rowOff>71437</xdr:rowOff>
    </xdr:from>
    <xdr:to>
      <xdr:col>23</xdr:col>
      <xdr:colOff>482600</xdr:colOff>
      <xdr:row>145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Documents/A%20Real%20Statistics%202019/Spreadsheets/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A17"/>
  <sheetViews>
    <sheetView workbookViewId="0"/>
  </sheetViews>
  <sheetFormatPr defaultRowHeight="14.5" x14ac:dyDescent="0.35"/>
  <cols>
    <col min="1" max="1" width="50.26953125" customWidth="1"/>
    <col min="8" max="8" width="12" bestFit="1" customWidth="1"/>
  </cols>
  <sheetData>
    <row r="1" spans="1:1" x14ac:dyDescent="0.35">
      <c r="A1" s="42" t="s">
        <v>285</v>
      </c>
    </row>
    <row r="2" spans="1:1" x14ac:dyDescent="0.35">
      <c r="A2" s="42" t="s">
        <v>882</v>
      </c>
    </row>
    <row r="3" spans="1:1" x14ac:dyDescent="0.35">
      <c r="A3" s="42"/>
    </row>
    <row r="4" spans="1:1" x14ac:dyDescent="0.35">
      <c r="A4" s="151" t="s">
        <v>872</v>
      </c>
    </row>
    <row r="6" spans="1:1" x14ac:dyDescent="0.35">
      <c r="A6" s="42" t="s">
        <v>284</v>
      </c>
    </row>
    <row r="8" spans="1:1" x14ac:dyDescent="0.35">
      <c r="A8" s="152" t="s">
        <v>261</v>
      </c>
    </row>
    <row r="9" spans="1:1" x14ac:dyDescent="0.35">
      <c r="A9" s="152" t="s">
        <v>300</v>
      </c>
    </row>
    <row r="10" spans="1:1" x14ac:dyDescent="0.35">
      <c r="A10" s="152" t="s">
        <v>769</v>
      </c>
    </row>
    <row r="11" spans="1:1" x14ac:dyDescent="0.35">
      <c r="A11" s="152" t="s">
        <v>147</v>
      </c>
    </row>
    <row r="12" spans="1:1" x14ac:dyDescent="0.35">
      <c r="A12" s="152" t="s">
        <v>573</v>
      </c>
    </row>
    <row r="13" spans="1:1" x14ac:dyDescent="0.35">
      <c r="A13" s="152" t="s">
        <v>108</v>
      </c>
    </row>
    <row r="14" spans="1:1" x14ac:dyDescent="0.35">
      <c r="A14" s="152" t="s">
        <v>368</v>
      </c>
    </row>
    <row r="15" spans="1:1" x14ac:dyDescent="0.35">
      <c r="A15" s="152" t="s">
        <v>604</v>
      </c>
    </row>
    <row r="16" spans="1:1" x14ac:dyDescent="0.35">
      <c r="A16" s="152" t="s">
        <v>644</v>
      </c>
    </row>
    <row r="17" spans="1:1" x14ac:dyDescent="0.35">
      <c r="A17" s="152" t="s">
        <v>683</v>
      </c>
    </row>
  </sheetData>
  <hyperlinks>
    <hyperlink ref="A8" location="TOC!A8" display="Descriptive Statistics" xr:uid="{00000000-0004-0000-0000-000000000000}"/>
    <hyperlink ref="A9" location="TOC!A12" display="Multivariate Norma Distribution" xr:uid="{00000000-0004-0000-0000-000001000000}"/>
    <hyperlink ref="A10" location="TOC!A33" display="Hotelling's T-square" xr:uid="{00000000-0004-0000-0000-000002000000}"/>
    <hyperlink ref="A11" location="TOC!A62" display="MANOVA" xr:uid="{00000000-0004-0000-0000-000003000000}"/>
    <hyperlink ref="A13" location="TOC!A117" display="Box's Test" xr:uid="{00000000-0004-0000-0000-000004000000}"/>
    <hyperlink ref="A14" location="TOC!A127" display="Factor Analysis" xr:uid="{00000000-0004-0000-0000-000005000000}"/>
    <hyperlink ref="A12" location="TOC!A109" display="Repeated Measures Design" xr:uid="{00000000-0004-0000-0000-000007000000}"/>
    <hyperlink ref="A15" location="TOC!A168" display="Cluster Analysis" xr:uid="{00000000-0004-0000-0000-000008000000}"/>
    <hyperlink ref="A16" location="TOC!A197" display="Discriminant Analysis" xr:uid="{00000000-0004-0000-0000-000009000000}"/>
    <hyperlink ref="A17" location="TOC!A203" display="Correspondence Analysis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09"/>
  <sheetViews>
    <sheetView tabSelected="1" zoomScaleNormal="100" workbookViewId="0">
      <selection activeCell="G10" sqref="G10"/>
    </sheetView>
  </sheetViews>
  <sheetFormatPr defaultRowHeight="14.5" x14ac:dyDescent="0.35"/>
  <cols>
    <col min="1" max="1" width="3.81640625" customWidth="1"/>
    <col min="2" max="2" width="67.1796875" customWidth="1"/>
  </cols>
  <sheetData>
    <row r="1" spans="1:2" x14ac:dyDescent="0.35">
      <c r="A1" s="42" t="s">
        <v>285</v>
      </c>
    </row>
    <row r="2" spans="1:2" x14ac:dyDescent="0.35">
      <c r="A2" s="42" t="s">
        <v>882</v>
      </c>
    </row>
    <row r="3" spans="1:2" x14ac:dyDescent="0.35">
      <c r="A3" s="42"/>
    </row>
    <row r="4" spans="1:2" x14ac:dyDescent="0.35">
      <c r="A4" s="151" t="s">
        <v>872</v>
      </c>
    </row>
    <row r="6" spans="1:2" x14ac:dyDescent="0.35">
      <c r="A6" s="42" t="s">
        <v>286</v>
      </c>
    </row>
    <row r="7" spans="1:2" x14ac:dyDescent="0.35">
      <c r="A7" s="42"/>
    </row>
    <row r="8" spans="1:2" x14ac:dyDescent="0.35">
      <c r="A8" s="42" t="s">
        <v>297</v>
      </c>
    </row>
    <row r="9" spans="1:2" x14ac:dyDescent="0.35">
      <c r="B9" s="152" t="s">
        <v>298</v>
      </c>
    </row>
    <row r="10" spans="1:2" x14ac:dyDescent="0.35">
      <c r="B10" s="152" t="s">
        <v>299</v>
      </c>
    </row>
    <row r="12" spans="1:2" x14ac:dyDescent="0.35">
      <c r="A12" s="42" t="s">
        <v>300</v>
      </c>
    </row>
    <row r="13" spans="1:2" x14ac:dyDescent="0.35">
      <c r="A13" s="42"/>
    </row>
    <row r="14" spans="1:2" s="46" customFormat="1" x14ac:dyDescent="0.35">
      <c r="A14" s="46" t="s">
        <v>346</v>
      </c>
    </row>
    <row r="15" spans="1:2" s="46" customFormat="1" x14ac:dyDescent="0.35">
      <c r="B15" s="152" t="s">
        <v>626</v>
      </c>
    </row>
    <row r="16" spans="1:2" x14ac:dyDescent="0.35">
      <c r="A16" s="42"/>
      <c r="B16" s="152" t="s">
        <v>638</v>
      </c>
    </row>
    <row r="17" spans="1:2" x14ac:dyDescent="0.35">
      <c r="A17" s="42"/>
    </row>
    <row r="18" spans="1:2" x14ac:dyDescent="0.35">
      <c r="A18" s="46" t="s">
        <v>320</v>
      </c>
    </row>
    <row r="19" spans="1:2" x14ac:dyDescent="0.35">
      <c r="B19" s="152" t="s">
        <v>319</v>
      </c>
    </row>
    <row r="20" spans="1:2" x14ac:dyDescent="0.35">
      <c r="B20" s="152" t="s">
        <v>321</v>
      </c>
    </row>
    <row r="21" spans="1:2" ht="14.25" customHeight="1" x14ac:dyDescent="0.35">
      <c r="B21" s="152" t="s">
        <v>322</v>
      </c>
    </row>
    <row r="22" spans="1:2" ht="14.25" customHeight="1" x14ac:dyDescent="0.35">
      <c r="B22" s="152" t="s">
        <v>773</v>
      </c>
    </row>
    <row r="23" spans="1:2" ht="14.25" customHeight="1" x14ac:dyDescent="0.35">
      <c r="B23" s="152" t="s">
        <v>774</v>
      </c>
    </row>
    <row r="24" spans="1:2" ht="14.25" customHeight="1" x14ac:dyDescent="0.35">
      <c r="B24" s="152"/>
    </row>
    <row r="25" spans="1:2" ht="14.25" customHeight="1" x14ac:dyDescent="0.35">
      <c r="A25" t="s">
        <v>641</v>
      </c>
      <c r="B25" s="152"/>
    </row>
    <row r="26" spans="1:2" ht="14.25" customHeight="1" x14ac:dyDescent="0.35">
      <c r="B26" s="152" t="s">
        <v>625</v>
      </c>
    </row>
    <row r="27" spans="1:2" ht="14.25" customHeight="1" x14ac:dyDescent="0.35">
      <c r="B27" s="152"/>
    </row>
    <row r="28" spans="1:2" ht="14.25" customHeight="1" x14ac:dyDescent="0.35">
      <c r="A28" t="s">
        <v>642</v>
      </c>
      <c r="B28" s="152"/>
    </row>
    <row r="29" spans="1:2" ht="14.25" customHeight="1" x14ac:dyDescent="0.35">
      <c r="B29" s="152" t="s">
        <v>643</v>
      </c>
    </row>
    <row r="30" spans="1:2" x14ac:dyDescent="0.35">
      <c r="B30" s="152" t="s">
        <v>873</v>
      </c>
    </row>
    <row r="31" spans="1:2" x14ac:dyDescent="0.35">
      <c r="B31" s="152" t="s">
        <v>879</v>
      </c>
    </row>
    <row r="33" spans="1:2" x14ac:dyDescent="0.35">
      <c r="A33" s="42" t="s">
        <v>769</v>
      </c>
    </row>
    <row r="35" spans="1:2" x14ac:dyDescent="0.35">
      <c r="A35" t="s">
        <v>323</v>
      </c>
    </row>
    <row r="36" spans="1:2" x14ac:dyDescent="0.35">
      <c r="B36" s="152" t="s">
        <v>324</v>
      </c>
    </row>
    <row r="37" spans="1:2" x14ac:dyDescent="0.35">
      <c r="B37" s="152" t="s">
        <v>325</v>
      </c>
    </row>
    <row r="39" spans="1:2" x14ac:dyDescent="0.35">
      <c r="A39" t="s">
        <v>326</v>
      </c>
    </row>
    <row r="40" spans="1:2" x14ac:dyDescent="0.35">
      <c r="B40" s="152" t="s">
        <v>328</v>
      </c>
    </row>
    <row r="41" spans="1:2" x14ac:dyDescent="0.35">
      <c r="B41" s="152" t="s">
        <v>325</v>
      </c>
    </row>
    <row r="43" spans="1:2" x14ac:dyDescent="0.35">
      <c r="A43" t="s">
        <v>327</v>
      </c>
    </row>
    <row r="44" spans="1:2" x14ac:dyDescent="0.35">
      <c r="B44" s="152" t="s">
        <v>329</v>
      </c>
    </row>
    <row r="45" spans="1:2" x14ac:dyDescent="0.35">
      <c r="B45" s="152" t="s">
        <v>330</v>
      </c>
    </row>
    <row r="47" spans="1:2" x14ac:dyDescent="0.35">
      <c r="A47" t="s">
        <v>331</v>
      </c>
    </row>
    <row r="48" spans="1:2" x14ac:dyDescent="0.35">
      <c r="B48" s="152" t="s">
        <v>332</v>
      </c>
    </row>
    <row r="49" spans="1:2" x14ac:dyDescent="0.35">
      <c r="B49" s="152" t="s">
        <v>333</v>
      </c>
    </row>
    <row r="50" spans="1:2" x14ac:dyDescent="0.35">
      <c r="B50" s="152" t="s">
        <v>334</v>
      </c>
    </row>
    <row r="52" spans="1:2" x14ac:dyDescent="0.35">
      <c r="A52" t="s">
        <v>335</v>
      </c>
    </row>
    <row r="53" spans="1:2" x14ac:dyDescent="0.35">
      <c r="B53" s="152" t="s">
        <v>329</v>
      </c>
    </row>
    <row r="54" spans="1:2" x14ac:dyDescent="0.35">
      <c r="B54" s="152" t="s">
        <v>336</v>
      </c>
    </row>
    <row r="55" spans="1:2" x14ac:dyDescent="0.35">
      <c r="B55" s="152" t="s">
        <v>338</v>
      </c>
    </row>
    <row r="56" spans="1:2" x14ac:dyDescent="0.35">
      <c r="B56" s="152"/>
    </row>
    <row r="57" spans="1:2" x14ac:dyDescent="0.35">
      <c r="A57" t="s">
        <v>533</v>
      </c>
      <c r="B57" s="152"/>
    </row>
    <row r="58" spans="1:2" x14ac:dyDescent="0.35">
      <c r="B58" s="152" t="s">
        <v>534</v>
      </c>
    </row>
    <row r="59" spans="1:2" x14ac:dyDescent="0.35">
      <c r="B59" s="152" t="s">
        <v>818</v>
      </c>
    </row>
    <row r="60" spans="1:2" x14ac:dyDescent="0.35">
      <c r="B60" s="152" t="s">
        <v>819</v>
      </c>
    </row>
    <row r="62" spans="1:2" x14ac:dyDescent="0.35">
      <c r="A62" s="42" t="s">
        <v>147</v>
      </c>
    </row>
    <row r="63" spans="1:2" x14ac:dyDescent="0.35">
      <c r="A63" s="42"/>
    </row>
    <row r="64" spans="1:2" x14ac:dyDescent="0.35">
      <c r="A64" s="46" t="s">
        <v>346</v>
      </c>
    </row>
    <row r="65" spans="1:2" x14ac:dyDescent="0.35">
      <c r="B65" s="152" t="s">
        <v>339</v>
      </c>
    </row>
    <row r="66" spans="1:2" x14ac:dyDescent="0.35">
      <c r="B66" s="152" t="s">
        <v>342</v>
      </c>
    </row>
    <row r="67" spans="1:2" x14ac:dyDescent="0.35">
      <c r="B67" s="152" t="s">
        <v>340</v>
      </c>
    </row>
    <row r="68" spans="1:2" x14ac:dyDescent="0.35">
      <c r="B68" s="152" t="s">
        <v>341</v>
      </c>
    </row>
    <row r="69" spans="1:2" x14ac:dyDescent="0.35">
      <c r="B69" s="152" t="s">
        <v>343</v>
      </c>
    </row>
    <row r="70" spans="1:2" x14ac:dyDescent="0.35">
      <c r="B70" s="152" t="s">
        <v>344</v>
      </c>
    </row>
    <row r="71" spans="1:2" x14ac:dyDescent="0.35">
      <c r="B71" s="152" t="s">
        <v>345</v>
      </c>
    </row>
    <row r="73" spans="1:2" x14ac:dyDescent="0.35">
      <c r="A73" t="s">
        <v>347</v>
      </c>
    </row>
    <row r="74" spans="1:2" x14ac:dyDescent="0.35">
      <c r="B74" s="152" t="s">
        <v>348</v>
      </c>
    </row>
    <row r="75" spans="1:2" x14ac:dyDescent="0.35">
      <c r="B75" s="152" t="s">
        <v>349</v>
      </c>
    </row>
    <row r="77" spans="1:2" x14ac:dyDescent="0.35">
      <c r="A77" t="s">
        <v>350</v>
      </c>
    </row>
    <row r="78" spans="1:2" x14ac:dyDescent="0.35">
      <c r="B78" s="152" t="s">
        <v>351</v>
      </c>
    </row>
    <row r="80" spans="1:2" x14ac:dyDescent="0.35">
      <c r="A80" t="s">
        <v>352</v>
      </c>
    </row>
    <row r="81" spans="1:2" x14ac:dyDescent="0.35">
      <c r="B81" s="152" t="s">
        <v>353</v>
      </c>
    </row>
    <row r="82" spans="1:2" x14ac:dyDescent="0.35">
      <c r="B82" s="152" t="s">
        <v>356</v>
      </c>
    </row>
    <row r="83" spans="1:2" x14ac:dyDescent="0.35">
      <c r="B83" s="152" t="s">
        <v>355</v>
      </c>
    </row>
    <row r="84" spans="1:2" x14ac:dyDescent="0.35">
      <c r="B84" s="152" t="s">
        <v>354</v>
      </c>
    </row>
    <row r="85" spans="1:2" x14ac:dyDescent="0.35">
      <c r="B85" s="152" t="s">
        <v>357</v>
      </c>
    </row>
    <row r="87" spans="1:2" x14ac:dyDescent="0.35">
      <c r="A87" t="s">
        <v>358</v>
      </c>
    </row>
    <row r="88" spans="1:2" x14ac:dyDescent="0.35">
      <c r="B88" s="152" t="s">
        <v>363</v>
      </c>
    </row>
    <row r="89" spans="1:2" x14ac:dyDescent="0.35">
      <c r="B89" s="152" t="s">
        <v>362</v>
      </c>
    </row>
    <row r="91" spans="1:2" x14ac:dyDescent="0.35">
      <c r="A91" t="s">
        <v>359</v>
      </c>
    </row>
    <row r="92" spans="1:2" x14ac:dyDescent="0.35">
      <c r="B92" s="152" t="s">
        <v>360</v>
      </c>
    </row>
    <row r="93" spans="1:2" x14ac:dyDescent="0.35">
      <c r="B93" s="152" t="s">
        <v>361</v>
      </c>
    </row>
    <row r="94" spans="1:2" x14ac:dyDescent="0.35">
      <c r="B94" s="152"/>
    </row>
    <row r="95" spans="1:2" x14ac:dyDescent="0.35">
      <c r="A95" t="s">
        <v>814</v>
      </c>
      <c r="B95" s="152"/>
    </row>
    <row r="96" spans="1:2" x14ac:dyDescent="0.35">
      <c r="B96" s="152" t="s">
        <v>815</v>
      </c>
    </row>
    <row r="97" spans="1:2" x14ac:dyDescent="0.35">
      <c r="B97" s="152"/>
    </row>
    <row r="98" spans="1:2" x14ac:dyDescent="0.35">
      <c r="A98" t="s">
        <v>816</v>
      </c>
      <c r="B98" s="152"/>
    </row>
    <row r="99" spans="1:2" x14ac:dyDescent="0.35">
      <c r="B99" s="152" t="s">
        <v>817</v>
      </c>
    </row>
    <row r="100" spans="1:2" x14ac:dyDescent="0.35">
      <c r="B100" s="152" t="s">
        <v>792</v>
      </c>
    </row>
    <row r="101" spans="1:2" x14ac:dyDescent="0.35">
      <c r="B101" s="152"/>
    </row>
    <row r="102" spans="1:2" x14ac:dyDescent="0.35">
      <c r="A102" t="s">
        <v>838</v>
      </c>
      <c r="B102" s="152"/>
    </row>
    <row r="103" spans="1:2" x14ac:dyDescent="0.35">
      <c r="B103" s="152" t="s">
        <v>845</v>
      </c>
    </row>
    <row r="104" spans="1:2" x14ac:dyDescent="0.35">
      <c r="B104" s="152" t="s">
        <v>846</v>
      </c>
    </row>
    <row r="105" spans="1:2" x14ac:dyDescent="0.35">
      <c r="B105" s="152" t="s">
        <v>847</v>
      </c>
    </row>
    <row r="106" spans="1:2" x14ac:dyDescent="0.35">
      <c r="B106" s="152" t="s">
        <v>839</v>
      </c>
    </row>
    <row r="108" spans="1:2" x14ac:dyDescent="0.35">
      <c r="A108" s="42" t="s">
        <v>573</v>
      </c>
    </row>
    <row r="110" spans="1:2" x14ac:dyDescent="0.35">
      <c r="A110" t="s">
        <v>574</v>
      </c>
    </row>
    <row r="111" spans="1:2" x14ac:dyDescent="0.35">
      <c r="B111" s="152" t="s">
        <v>575</v>
      </c>
    </row>
    <row r="113" spans="1:2" x14ac:dyDescent="0.35">
      <c r="A113" t="s">
        <v>576</v>
      </c>
    </row>
    <row r="114" spans="1:2" x14ac:dyDescent="0.35">
      <c r="B114" s="152" t="s">
        <v>577</v>
      </c>
    </row>
    <row r="115" spans="1:2" x14ac:dyDescent="0.35">
      <c r="B115" s="152" t="s">
        <v>578</v>
      </c>
    </row>
    <row r="117" spans="1:2" x14ac:dyDescent="0.35">
      <c r="A117" s="42" t="s">
        <v>108</v>
      </c>
    </row>
    <row r="119" spans="1:2" x14ac:dyDescent="0.35">
      <c r="A119" t="s">
        <v>346</v>
      </c>
    </row>
    <row r="120" spans="1:2" x14ac:dyDescent="0.35">
      <c r="B120" s="152" t="s">
        <v>364</v>
      </c>
    </row>
    <row r="122" spans="1:2" x14ac:dyDescent="0.35">
      <c r="A122" t="s">
        <v>347</v>
      </c>
    </row>
    <row r="123" spans="1:2" x14ac:dyDescent="0.35">
      <c r="B123" s="152" t="s">
        <v>366</v>
      </c>
    </row>
    <row r="124" spans="1:2" x14ac:dyDescent="0.35">
      <c r="B124" s="152" t="s">
        <v>365</v>
      </c>
    </row>
    <row r="125" spans="1:2" x14ac:dyDescent="0.35">
      <c r="B125" s="152" t="s">
        <v>367</v>
      </c>
    </row>
    <row r="127" spans="1:2" x14ac:dyDescent="0.35">
      <c r="A127" s="42" t="s">
        <v>368</v>
      </c>
    </row>
    <row r="129" spans="1:2" x14ac:dyDescent="0.35">
      <c r="A129" t="s">
        <v>369</v>
      </c>
    </row>
    <row r="130" spans="1:2" x14ac:dyDescent="0.35">
      <c r="B130" s="152" t="s">
        <v>494</v>
      </c>
    </row>
    <row r="132" spans="1:2" x14ac:dyDescent="0.35">
      <c r="A132" t="s">
        <v>495</v>
      </c>
    </row>
    <row r="133" spans="1:2" x14ac:dyDescent="0.35">
      <c r="B133" s="152" t="s">
        <v>496</v>
      </c>
    </row>
    <row r="134" spans="1:2" x14ac:dyDescent="0.35">
      <c r="B134" s="152" t="s">
        <v>497</v>
      </c>
    </row>
    <row r="135" spans="1:2" x14ac:dyDescent="0.35">
      <c r="B135" s="152" t="s">
        <v>498</v>
      </c>
    </row>
    <row r="137" spans="1:2" x14ac:dyDescent="0.35">
      <c r="A137" t="s">
        <v>501</v>
      </c>
    </row>
    <row r="138" spans="1:2" x14ac:dyDescent="0.35">
      <c r="B138" s="152" t="s">
        <v>499</v>
      </c>
    </row>
    <row r="139" spans="1:2" x14ac:dyDescent="0.35">
      <c r="B139" s="152" t="s">
        <v>500</v>
      </c>
    </row>
    <row r="140" spans="1:2" x14ac:dyDescent="0.35">
      <c r="B140" s="152" t="s">
        <v>502</v>
      </c>
    </row>
    <row r="142" spans="1:2" x14ac:dyDescent="0.35">
      <c r="A142" t="s">
        <v>503</v>
      </c>
    </row>
    <row r="143" spans="1:2" x14ac:dyDescent="0.35">
      <c r="B143" s="152" t="s">
        <v>504</v>
      </c>
    </row>
    <row r="144" spans="1:2" x14ac:dyDescent="0.35">
      <c r="B144" s="152" t="s">
        <v>505</v>
      </c>
    </row>
    <row r="146" spans="1:2" x14ac:dyDescent="0.35">
      <c r="A146" t="s">
        <v>506</v>
      </c>
    </row>
    <row r="147" spans="1:2" x14ac:dyDescent="0.35">
      <c r="B147" s="152" t="s">
        <v>507</v>
      </c>
    </row>
    <row r="148" spans="1:2" x14ac:dyDescent="0.35">
      <c r="B148" s="152" t="s">
        <v>508</v>
      </c>
    </row>
    <row r="149" spans="1:2" x14ac:dyDescent="0.35">
      <c r="B149" s="152" t="s">
        <v>509</v>
      </c>
    </row>
    <row r="151" spans="1:2" x14ac:dyDescent="0.35">
      <c r="A151" t="s">
        <v>510</v>
      </c>
    </row>
    <row r="152" spans="1:2" x14ac:dyDescent="0.35">
      <c r="B152" s="152" t="s">
        <v>511</v>
      </c>
    </row>
    <row r="153" spans="1:2" x14ac:dyDescent="0.35">
      <c r="B153" s="152" t="s">
        <v>512</v>
      </c>
    </row>
    <row r="154" spans="1:2" x14ac:dyDescent="0.35">
      <c r="B154" s="152" t="s">
        <v>513</v>
      </c>
    </row>
    <row r="155" spans="1:2" x14ac:dyDescent="0.35">
      <c r="B155" s="152" t="s">
        <v>515</v>
      </c>
    </row>
    <row r="156" spans="1:2" x14ac:dyDescent="0.35">
      <c r="B156" s="152" t="s">
        <v>516</v>
      </c>
    </row>
    <row r="157" spans="1:2" x14ac:dyDescent="0.35">
      <c r="B157" s="152" t="s">
        <v>532</v>
      </c>
    </row>
    <row r="158" spans="1:2" x14ac:dyDescent="0.35">
      <c r="B158" s="152" t="s">
        <v>517</v>
      </c>
    </row>
    <row r="160" spans="1:2" x14ac:dyDescent="0.35">
      <c r="A160" t="s">
        <v>468</v>
      </c>
    </row>
    <row r="161" spans="1:2" x14ac:dyDescent="0.35">
      <c r="B161" s="152" t="s">
        <v>527</v>
      </c>
    </row>
    <row r="162" spans="1:2" x14ac:dyDescent="0.35">
      <c r="B162" s="152" t="s">
        <v>526</v>
      </c>
    </row>
    <row r="164" spans="1:2" x14ac:dyDescent="0.35">
      <c r="A164" t="s">
        <v>491</v>
      </c>
    </row>
    <row r="165" spans="1:2" x14ac:dyDescent="0.35">
      <c r="B165" s="152" t="s">
        <v>518</v>
      </c>
    </row>
    <row r="166" spans="1:2" x14ac:dyDescent="0.35">
      <c r="B166" s="152" t="s">
        <v>519</v>
      </c>
    </row>
    <row r="167" spans="1:2" x14ac:dyDescent="0.35">
      <c r="B167" s="152"/>
    </row>
    <row r="168" spans="1:2" x14ac:dyDescent="0.35">
      <c r="A168" s="42" t="s">
        <v>604</v>
      </c>
      <c r="B168" s="152"/>
    </row>
    <row r="169" spans="1:2" x14ac:dyDescent="0.35">
      <c r="B169" s="152"/>
    </row>
    <row r="170" spans="1:2" x14ac:dyDescent="0.35">
      <c r="A170" t="s">
        <v>605</v>
      </c>
      <c r="B170" s="152"/>
    </row>
    <row r="171" spans="1:2" x14ac:dyDescent="0.35">
      <c r="B171" s="152" t="s">
        <v>607</v>
      </c>
    </row>
    <row r="172" spans="1:2" x14ac:dyDescent="0.35">
      <c r="B172" s="152"/>
    </row>
    <row r="173" spans="1:2" x14ac:dyDescent="0.35">
      <c r="A173" t="s">
        <v>606</v>
      </c>
      <c r="B173" s="152"/>
    </row>
    <row r="174" spans="1:2" x14ac:dyDescent="0.35">
      <c r="B174" s="152" t="s">
        <v>607</v>
      </c>
    </row>
    <row r="175" spans="1:2" x14ac:dyDescent="0.35">
      <c r="B175" s="152" t="s">
        <v>608</v>
      </c>
    </row>
    <row r="176" spans="1:2" x14ac:dyDescent="0.35">
      <c r="B176" s="152"/>
    </row>
    <row r="177" spans="1:2" x14ac:dyDescent="0.35">
      <c r="A177" t="s">
        <v>592</v>
      </c>
      <c r="B177" s="152"/>
    </row>
    <row r="178" spans="1:2" x14ac:dyDescent="0.35">
      <c r="B178" s="152" t="s">
        <v>609</v>
      </c>
    </row>
    <row r="179" spans="1:2" x14ac:dyDescent="0.35">
      <c r="B179" s="152" t="s">
        <v>610</v>
      </c>
    </row>
    <row r="180" spans="1:2" x14ac:dyDescent="0.35">
      <c r="B180" s="152" t="s">
        <v>611</v>
      </c>
    </row>
    <row r="181" spans="1:2" x14ac:dyDescent="0.35">
      <c r="B181" s="152" t="s">
        <v>865</v>
      </c>
    </row>
    <row r="182" spans="1:2" x14ac:dyDescent="0.35">
      <c r="B182" s="152"/>
    </row>
    <row r="183" spans="1:2" x14ac:dyDescent="0.35">
      <c r="A183" t="s">
        <v>866</v>
      </c>
      <c r="B183" s="152"/>
    </row>
    <row r="184" spans="1:2" x14ac:dyDescent="0.35">
      <c r="B184" s="152" t="s">
        <v>867</v>
      </c>
    </row>
    <row r="185" spans="1:2" x14ac:dyDescent="0.35">
      <c r="B185" s="152" t="s">
        <v>868</v>
      </c>
    </row>
    <row r="186" spans="1:2" x14ac:dyDescent="0.35">
      <c r="B186" s="152" t="s">
        <v>869</v>
      </c>
    </row>
    <row r="187" spans="1:2" x14ac:dyDescent="0.35">
      <c r="B187" s="152" t="s">
        <v>870</v>
      </c>
    </row>
    <row r="188" spans="1:2" x14ac:dyDescent="0.35">
      <c r="B188" s="152" t="s">
        <v>871</v>
      </c>
    </row>
    <row r="189" spans="1:2" x14ac:dyDescent="0.35">
      <c r="B189" s="152"/>
    </row>
    <row r="190" spans="1:2" x14ac:dyDescent="0.35">
      <c r="A190" t="s">
        <v>612</v>
      </c>
      <c r="B190" s="152"/>
    </row>
    <row r="191" spans="1:2" x14ac:dyDescent="0.35">
      <c r="B191" s="152" t="s">
        <v>613</v>
      </c>
    </row>
    <row r="192" spans="1:2" x14ac:dyDescent="0.35">
      <c r="B192" s="152" t="s">
        <v>614</v>
      </c>
    </row>
    <row r="193" spans="1:2" x14ac:dyDescent="0.35">
      <c r="B193" s="152" t="s">
        <v>615</v>
      </c>
    </row>
    <row r="194" spans="1:2" x14ac:dyDescent="0.35">
      <c r="B194" s="152" t="s">
        <v>616</v>
      </c>
    </row>
    <row r="195" spans="1:2" x14ac:dyDescent="0.35">
      <c r="B195" s="152" t="s">
        <v>535</v>
      </c>
    </row>
    <row r="196" spans="1:2" x14ac:dyDescent="0.35">
      <c r="B196" s="152"/>
    </row>
    <row r="197" spans="1:2" x14ac:dyDescent="0.35">
      <c r="A197" s="42" t="s">
        <v>644</v>
      </c>
      <c r="B197" s="152"/>
    </row>
    <row r="198" spans="1:2" x14ac:dyDescent="0.35">
      <c r="B198" s="152" t="s">
        <v>645</v>
      </c>
    </row>
    <row r="199" spans="1:2" x14ac:dyDescent="0.35">
      <c r="B199" s="152" t="s">
        <v>661</v>
      </c>
    </row>
    <row r="200" spans="1:2" x14ac:dyDescent="0.35">
      <c r="B200" s="152" t="s">
        <v>680</v>
      </c>
    </row>
    <row r="201" spans="1:2" x14ac:dyDescent="0.35">
      <c r="B201" s="152" t="s">
        <v>681</v>
      </c>
    </row>
    <row r="202" spans="1:2" x14ac:dyDescent="0.35">
      <c r="B202" s="152"/>
    </row>
    <row r="203" spans="1:2" x14ac:dyDescent="0.35">
      <c r="A203" s="42" t="s">
        <v>683</v>
      </c>
      <c r="B203" s="152"/>
    </row>
    <row r="204" spans="1:2" x14ac:dyDescent="0.35">
      <c r="B204" s="152" t="s">
        <v>684</v>
      </c>
    </row>
    <row r="205" spans="1:2" x14ac:dyDescent="0.35">
      <c r="B205" s="152" t="s">
        <v>760</v>
      </c>
    </row>
    <row r="206" spans="1:2" x14ac:dyDescent="0.35">
      <c r="B206" s="152" t="s">
        <v>765</v>
      </c>
    </row>
    <row r="207" spans="1:2" x14ac:dyDescent="0.35">
      <c r="B207" s="152" t="s">
        <v>766</v>
      </c>
    </row>
    <row r="208" spans="1:2" x14ac:dyDescent="0.35">
      <c r="B208" s="152" t="s">
        <v>347</v>
      </c>
    </row>
    <row r="209" spans="2:2" x14ac:dyDescent="0.35">
      <c r="B209" s="152"/>
    </row>
  </sheetData>
  <hyperlinks>
    <hyperlink ref="B9" location="Desc!A1" display="Multivariate sample (Example 1)" xr:uid="{00000000-0004-0000-0100-000000000000}"/>
    <hyperlink ref="B10" location="Desc!H1" display="Covariance and correlation matrices (Example 2)" xr:uid="{00000000-0004-0000-0100-000001000000}"/>
    <hyperlink ref="B19" location="Desc!H18" display="Eigenvalue/vectors of covariance matrix (Figure 1)" xr:uid="{00000000-0004-0000-0100-000002000000}"/>
    <hyperlink ref="B20" location="Desc!T1" display="Axes lengths (Figure 2)" xr:uid="{00000000-0004-0000-0100-000003000000}"/>
    <hyperlink ref="B21" location="Desc!T8" display="Volume of hyper-ellipe (Figure 3)" xr:uid="{00000000-0004-0000-0100-000004000000}"/>
    <hyperlink ref="B36" location="'Hotel 1'!A1" display="One sample test (Example 1)" xr:uid="{00000000-0004-0000-0100-000005000000}"/>
    <hyperlink ref="B37" location="'Hotel 1'!T1" display="Confidence interval (Example 2)" xr:uid="{00000000-0004-0000-0100-000006000000}"/>
    <hyperlink ref="B40" location="'Hotel 2P'!A1" display="One sample test (Example 1)" xr:uid="{00000000-0004-0000-0100-000007000000}"/>
    <hyperlink ref="B41" location="'Hotel 2P'!AF1" display="Confidence interval (Example 2)" xr:uid="{00000000-0004-0000-0100-000008000000}"/>
    <hyperlink ref="B44" location="'Hotel 2'!A1" display="Two sample test (Example 1)" xr:uid="{00000000-0004-0000-0100-000009000000}"/>
    <hyperlink ref="B45" location="'Hotel 2a'!A1" display="Two sample test (Example 2)" xr:uid="{00000000-0004-0000-0100-00000A000000}"/>
    <hyperlink ref="B48" location="'Hotel 2a'!M15" display="Confidence intervals (Example 1)" xr:uid="{00000000-0004-0000-0100-00000B000000}"/>
    <hyperlink ref="B49" location="'Hotel 2a'!R15" display="Effect size (Example 1)" xr:uid="{00000000-0004-0000-0100-00000C000000}"/>
    <hyperlink ref="B50" location="'Box 2a'!A1" display="Box's Test (Figure 3)" xr:uid="{00000000-0004-0000-0100-00000D000000}"/>
    <hyperlink ref="B53" location="'Hotel 3a'!A1" display="Two sample test (Example 1)" xr:uid="{00000000-0004-0000-0100-00000E000000}"/>
    <hyperlink ref="B54" location="'Box 3a'!A1" display="Box's Test (Example 1)" xr:uid="{00000000-0004-0000-0100-00000F000000}"/>
    <hyperlink ref="B55" location="'Hotel 3'!A1" display="Repeat Example 2 of Hotelling's T-square for two independent samples" xr:uid="{00000000-0004-0000-0100-000010000000}"/>
    <hyperlink ref="B65" location="'Manova 1'!A1" display="Standard form of data (Figure 1)" xr:uid="{00000000-0004-0000-0100-000011000000}"/>
    <hyperlink ref="B66" location="'Manova 1'!F1" display="Group means, covariance matrices (Example 1)" xr:uid="{00000000-0004-0000-0100-000012000000}"/>
    <hyperlink ref="B67" location="'Manova 1'!F36" display="Chart of group/total means (Figure 3)" xr:uid="{00000000-0004-0000-0100-000013000000}"/>
    <hyperlink ref="B68" location="'Manova 1'!L1" display="SSCP matrices (Figure 5)" xr:uid="{00000000-0004-0000-0100-000014000000}"/>
    <hyperlink ref="B69" location="'Manova 1'!X1" display="Test statistics (Figure 6)" xr:uid="{00000000-0004-0000-0100-000015000000}"/>
    <hyperlink ref="B70" location="'Manova 1'!X10" display="Test statistics using eigenvalues (Figure 7)" xr:uid="{00000000-0004-0000-0100-000016000000}"/>
    <hyperlink ref="B71" location="'Manova 1'!AI1" display="Test results (Figure 8)" xr:uid="{00000000-0004-0000-0100-000017000000}"/>
    <hyperlink ref="B74" location="'Manova 1a'!A1" display="Manova data analysis tool (Figure 2)" xr:uid="{00000000-0004-0000-0100-000018000000}"/>
    <hyperlink ref="B75" location="'Manova 1b'!A1" display="Row and column extraction functions (Figure 3)" xr:uid="{00000000-0004-0000-0100-000019000000}"/>
    <hyperlink ref="B78" location="'Manova 1a'!L3" display="Partial eta squared" xr:uid="{00000000-0004-0000-0100-00001A000000}"/>
    <hyperlink ref="B81" location="'Manova 1c'!A1" display="Tests for normality" xr:uid="{00000000-0004-0000-0100-00001B000000}"/>
    <hyperlink ref="B83" location="'Manova 1e'!A1" display="Test for univariate outliers" xr:uid="{00000000-0004-0000-0100-00001C000000}"/>
    <hyperlink ref="B84" location="'Manova 1f'!A1" display="Test for multivariate outliers" xr:uid="{00000000-0004-0000-0100-00001D000000}"/>
    <hyperlink ref="B82" location="'Manova 1d'!A1" display="Data analysis for normality" xr:uid="{00000000-0004-0000-0100-00001E000000}"/>
    <hyperlink ref="B85" location="'Manova 1g'!A1" display="Test for homogeneity of covariance matrices" xr:uid="{00000000-0004-0000-0100-00001F000000}"/>
    <hyperlink ref="B88" location="'Manova 1h'!A1" display="Multiple Anova tests (Figure 1)" xr:uid="{00000000-0004-0000-0100-000020000000}"/>
    <hyperlink ref="B89" location="'Manova 1i'!A1" display="ANOVA option of MANOVA data analysis tool" xr:uid="{00000000-0004-0000-0100-000021000000}"/>
    <hyperlink ref="B92" location="'Manova 1j'!A1" display="Multivariate and univariate contrasts" xr:uid="{00000000-0004-0000-0100-000022000000}"/>
    <hyperlink ref="B93" location="'Manova 1k'!A1" display="MANOVA data analysis tool (all features)" xr:uid="{00000000-0004-0000-0100-000023000000}"/>
    <hyperlink ref="B120" location="Box!A1" display="Detailed version of Box's Test (Example 1)" xr:uid="{00000000-0004-0000-0100-000024000000}"/>
    <hyperlink ref="B125" location="'Manova 1g'!F1" display="MANOVA example (Example 3)" xr:uid="{00000000-0004-0000-0100-000025000000}"/>
    <hyperlink ref="B123" location="Box!X1" display="Covariance matrix function (Example 1)" xr:uid="{00000000-0004-0000-0100-000026000000}"/>
    <hyperlink ref="B124" location="'Box 3a'!P1" display="Covariance matrix function (Example 2)" xr:uid="{00000000-0004-0000-0100-000027000000}"/>
    <hyperlink ref="B130" location="PCA!A1" display="Teacher evaluation example (Example 1)" xr:uid="{00000000-0004-0000-0100-000028000000}"/>
    <hyperlink ref="B135" location="Factor!A29" display="Loading Factors, Full Model (Example 1)" xr:uid="{00000000-0004-0000-0100-000029000000}"/>
    <hyperlink ref="B133" location="Factor!A1" display="Correlation Matrix (Example 1)" xr:uid="{00000000-0004-0000-0100-00002A000000}"/>
    <hyperlink ref="B134" location="Factor!A16" display="Eigenvalues and eigenvectors (Example 1)" xr:uid="{00000000-0004-0000-0100-00002B000000}"/>
    <hyperlink ref="B138" location="Factor!M1" display="Scree plot (Figure 1)" xr:uid="{00000000-0004-0000-0100-00002C000000}"/>
    <hyperlink ref="B139" location="Factor!A41" display="Loading Factors, Reduced Model (Figure 2)" xr:uid="{00000000-0004-0000-0100-00002D000000}"/>
    <hyperlink ref="B140" location="Factor!O43" display="Communalities and Specific Variance (Figure 3)" xr:uid="{00000000-0004-0000-0100-00002E000000}"/>
    <hyperlink ref="B143" location="Factor!H41" display="Varimax rotation (Figure 1)" xr:uid="{00000000-0004-0000-0100-00002F000000}"/>
    <hyperlink ref="B144" location="Factor!A55" display="Rotation matrix (Figure 2 and 3)" xr:uid="{00000000-0004-0000-0100-000030000000}"/>
    <hyperlink ref="B148" location="Factor!CM16" display="Bartlett's (Figure 4, 5)" xr:uid="{00000000-0004-0000-0100-000031000000}"/>
    <hyperlink ref="B149" location="Factor!DF3" display="Anderson-Rubin's method (Figure 6, 7, 8)" xr:uid="{00000000-0004-0000-0100-000032000000}"/>
    <hyperlink ref="B147" location="Factor!BU3" display="Regression method (Figure 1, 2, 3)" xr:uid="{00000000-0004-0000-0100-000033000000}"/>
    <hyperlink ref="B153" location="Factor!AC16" display="Error matrix after Varimax rotation" xr:uid="{00000000-0004-0000-0100-000034000000}"/>
    <hyperlink ref="B152" location="Factor!AC42" display="Reproduced Correlation Matrix (Figure 2)" xr:uid="{00000000-0004-0000-0100-000035000000}"/>
    <hyperlink ref="B154" location="'Box Factor'!A1" display="Bartlett's test (Figure 3)" xr:uid="{00000000-0004-0000-0100-000036000000}"/>
    <hyperlink ref="B155" location="KMO!A17" display="Inverse of Correlation Matrix (Figure 4)" xr:uid="{00000000-0004-0000-0100-000037000000}"/>
    <hyperlink ref="B156" location="KMO!A30" display="Partial Correlation Matrix (Figure 5)" xr:uid="{00000000-0004-0000-0100-000038000000}"/>
    <hyperlink ref="B157" location="KMO!A44" display="Kaiser-Meyer-Olken (KMO) (Figure 6)" xr:uid="{00000000-0004-0000-0100-000039000000}"/>
    <hyperlink ref="B158" location="Factor!X1" display="Haitovsky’s Test (Figure 8)" xr:uid="{00000000-0004-0000-0100-00003A000000}"/>
    <hyperlink ref="B165" location="'Fact PCA'!A1" display="Principal Component Extraction" xr:uid="{00000000-0004-0000-0100-00003E000000}"/>
    <hyperlink ref="B166" location="'Fact PAF'!A1" display="Principal Axis Extraction" xr:uid="{00000000-0004-0000-0100-00003F000000}"/>
    <hyperlink ref="B162" location="'PAF Comm'!A1" display="Calculating revised communalities" xr:uid="{00000000-0004-0000-0100-000041000000}"/>
    <hyperlink ref="B161" location="'PAF Comm'!T31" display="Calculating initial communalities" xr:uid="{00000000-0004-0000-0100-000042000000}"/>
    <hyperlink ref="B58" location="'Hotel 2'!U1" display="Data analysis tool example" xr:uid="{00000000-0004-0000-0100-00004F000000}"/>
    <hyperlink ref="B111" location="'Rep Measures 1'!A1" display="Using Hotelling's Test (Example 1)" xr:uid="{00000000-0004-0000-0100-000050000000}"/>
    <hyperlink ref="B114" location="'Rep Measures 2'!A1" display="Using MANOVA (Example 1)" xr:uid="{00000000-0004-0000-0100-000051000000}"/>
    <hyperlink ref="B115" location="'Rep Measures 3'!A1" display="Using ANOVA (Example 2)" xr:uid="{00000000-0004-0000-0100-000052000000}"/>
    <hyperlink ref="B171" location="'Clust 1'!A1" display="K-mean clustering (Example 1)" xr:uid="{00000000-0004-0000-0100-000058000000}"/>
    <hyperlink ref="B174" location="'Clust 2'!A1" display="K-means clustering (Example 1)" xr:uid="{00000000-0004-0000-0100-000059000000}"/>
    <hyperlink ref="B175" location="'Clust A'!A1" display="K-means clustering (Example 2)" xr:uid="{00000000-0004-0000-0100-00005A000000}"/>
    <hyperlink ref="B178" location="'Clust 3'!A1" display="Setting initial clusters (Example 3)" xr:uid="{00000000-0004-0000-0100-00005B000000}"/>
    <hyperlink ref="B179" location="'Clust 3'!A1" display="Setting initial clusters (Example 3)" xr:uid="{00000000-0004-0000-0100-00005C000000}"/>
    <hyperlink ref="B180" location="'Clust 3'!A1" display="Setting initial clusters (Example 3)" xr:uid="{00000000-0004-0000-0100-00005D000000}"/>
    <hyperlink ref="B191" location="'Jenks 1'!A1" display="Manual steps (Example 1)" xr:uid="{00000000-0004-0000-0100-00005E000000}"/>
    <hyperlink ref="B192" location="'Jenks 2'!A1" display="Real Statistics function (Example 2)" xr:uid="{00000000-0004-0000-0100-00005F000000}"/>
    <hyperlink ref="B193" location="'Jenks 3'!A1" display="Map coloring" xr:uid="{00000000-0004-0000-0100-000060000000}"/>
    <hyperlink ref="B195" location="'Jenks 4'!A1" display="Real Statistics data analysis tool" xr:uid="{00000000-0004-0000-0100-000061000000}"/>
    <hyperlink ref="B194" location="'Jenks 2'!U1" display="Iterative approach and GVF function" xr:uid="{00000000-0004-0000-0100-000062000000}"/>
    <hyperlink ref="B15" location="Bivar!A1" display="Bivariate normal distribution" xr:uid="{00000000-0004-0000-0100-000063000000}"/>
    <hyperlink ref="B26" location="Bivar!I1" display="Generating random numbers" xr:uid="{00000000-0004-0000-0100-000064000000}"/>
    <hyperlink ref="B16" location="Bivar!Q1" display="Mahalanobis Distance" xr:uid="{00000000-0004-0000-0100-000065000000}"/>
    <hyperlink ref="B29" location="'Bivar 1'!A1" display="Mardia's Test" xr:uid="{00000000-0004-0000-0100-000066000000}"/>
    <hyperlink ref="B198" location="'Discrim 1'!A1" display="Linear Discriminant Analysis (LDA)" xr:uid="{00000000-0004-0000-0100-000067000000}"/>
    <hyperlink ref="B199" location="'Discrim 2'!A1" display="Quadratic Discriminant Analysis (QDA)" xr:uid="{00000000-0004-0000-0100-000068000000}"/>
    <hyperlink ref="B200" location="'Discrim 3'!A1" display="Real Statistics support for LDA" xr:uid="{00000000-0004-0000-0100-000069000000}"/>
    <hyperlink ref="B201" location="'Discrim 4'!A1" display="Real Statistics support for QDA" xr:uid="{00000000-0004-0000-0100-00006A000000}"/>
    <hyperlink ref="B204" location="'CA 1'!A1" display="Correspondence Analysis (Example 1)" xr:uid="{00000000-0004-0000-0100-00006B000000}"/>
    <hyperlink ref="B205" location="'CA 1'!BD1" display="Correspondence Analysis Plots" xr:uid="{00000000-0004-0000-0100-00006C000000}"/>
    <hyperlink ref="B206" location="'CA 2'!A1" display="Supplementary Row Profiles" xr:uid="{00000000-0004-0000-0100-00006D000000}"/>
    <hyperlink ref="B207" location="'CA 3'!A1" display="Supplementary Row and Column Profiles" xr:uid="{00000000-0004-0000-0100-00006E000000}"/>
    <hyperlink ref="B208" location="'CA 4'!A1" display="Real Statistics Support" xr:uid="{00000000-0004-0000-0100-00006F000000}"/>
    <hyperlink ref="B22" location="Ellipse!A1" display="Chart of an confidence ellipse" xr:uid="{00000000-0004-0000-0100-000070000000}"/>
    <hyperlink ref="B23" location="'Ellipse 2'!A1" display="Real Statistics confidence ellipse" xr:uid="{00000000-0004-0000-0100-000071000000}"/>
    <hyperlink ref="B96" location="Manova2!A1" display="Example" xr:uid="{00000000-0004-0000-0100-000072000000}"/>
    <hyperlink ref="B59" location="'Hot1 Power'!A1" display="Power and sample size for one sample Hotelling's T-square" xr:uid="{00000000-0004-0000-0100-000073000000}"/>
    <hyperlink ref="B60" location="'Hot2 Power'!A1" display="Power and sample size for two sample Hotelling's T-square" xr:uid="{00000000-0004-0000-0100-000074000000}"/>
    <hyperlink ref="B99" location="'Man Power'!A1" display="One-way MANOVA" xr:uid="{00000000-0004-0000-0100-000075000000}"/>
    <hyperlink ref="B100" location="'Man2 Power'!A1" display="Two-way MANOVA" xr:uid="{00000000-0004-0000-0100-000076000000}"/>
    <hyperlink ref="B106" location="PANOVA!A1" display="ANOVA example" xr:uid="{00000000-0004-0000-0100-000077000000}"/>
    <hyperlink ref="B103" location="PMANOVA1!A1" display="Pseudo F" xr:uid="{00000000-0004-0000-0100-000078000000}"/>
    <hyperlink ref="B104" location="PMANOVA2!A1" display="Permutational MANOVA example" xr:uid="{00000000-0004-0000-0100-000079000000}"/>
    <hyperlink ref="B105" location="PMANOVA3!A1" display="Real Statistics analysis" xr:uid="{00000000-0004-0000-0100-00007A000000}"/>
    <hyperlink ref="B181" location="'Clust B'!A1" display="K-means++ clustering using Real Statistics data analysis tool (Example 4)" xr:uid="{95389017-38AA-45EF-9782-605318653219}"/>
    <hyperlink ref="B185" location="'Clust D'!A1" display="Weighted Euclidean distance, initial clusters" xr:uid="{3BACB0DF-714E-4E39-A432-D78EB08CB3C7}"/>
    <hyperlink ref="B184" location="'Clust C'!A1" display="Weighted Euclidean distance, no initial clusters" xr:uid="{9F80E32E-91EA-4DAB-B2BF-0C357D02D15C}"/>
    <hyperlink ref="B186" location="'Clust E'!A1" display="Taxicab distance distance, p = 1.0" xr:uid="{4FA10353-CDDC-4AFC-8F3E-764D937677B4}"/>
    <hyperlink ref="B187" location="'Clust E1'!A1" display="Taxicab distance distance, p = 1.0, more iterations" xr:uid="{234748A8-2AF0-4BEE-B205-825C842EAE18}"/>
    <hyperlink ref="B188" location="'Clust F'!A1" display="Weighted Minkowski distance p = 1.5" xr:uid="{5E4489BC-569A-4381-ABFB-10CCFFEDA3D2}"/>
    <hyperlink ref="B30" location="FR!A1" display="Friedman-Rafsky Test" xr:uid="{1752FC02-C384-438A-BB24-70BA628948AB}"/>
    <hyperlink ref="B31" location="FRSJ!A1" display="Friedman-Rafsky-Smith-Jain Test" xr:uid="{0C61E9EE-0C89-45B5-AC7E-467315C851F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C34"/>
  <sheetViews>
    <sheetView workbookViewId="0"/>
  </sheetViews>
  <sheetFormatPr defaultColWidth="9.1796875" defaultRowHeight="14.5" x14ac:dyDescent="0.35"/>
  <cols>
    <col min="1" max="1" width="16" style="3" customWidth="1"/>
    <col min="2" max="6" width="13" style="3" customWidth="1"/>
    <col min="7" max="7" width="9.1796875" style="3" customWidth="1"/>
    <col min="8" max="19" width="9.1796875" style="3"/>
    <col min="20" max="20" width="11.453125" style="3" customWidth="1"/>
    <col min="21" max="21" width="10" style="3" bestFit="1" customWidth="1"/>
    <col min="22" max="22" width="3.7265625" style="3" customWidth="1"/>
    <col min="23" max="23" width="27.54296875" style="3" customWidth="1"/>
    <col min="24" max="28" width="11" style="3" customWidth="1"/>
    <col min="29" max="16384" width="9.1796875" style="3"/>
  </cols>
  <sheetData>
    <row r="1" spans="1:29" x14ac:dyDescent="0.35">
      <c r="A1" s="2" t="s">
        <v>33</v>
      </c>
      <c r="T1" t="s">
        <v>302</v>
      </c>
      <c r="U1"/>
      <c r="V1"/>
      <c r="W1"/>
      <c r="X1"/>
      <c r="Y1"/>
      <c r="Z1"/>
      <c r="AA1"/>
      <c r="AB1"/>
      <c r="AC1"/>
    </row>
    <row r="2" spans="1:29" x14ac:dyDescent="0.35">
      <c r="T2"/>
      <c r="U2"/>
      <c r="V2"/>
      <c r="W2"/>
      <c r="X2"/>
      <c r="Y2"/>
      <c r="Z2"/>
      <c r="AA2"/>
      <c r="AB2"/>
      <c r="AC2"/>
    </row>
    <row r="3" spans="1:29" s="2" customFormat="1" x14ac:dyDescent="0.35">
      <c r="A3" s="7" t="s">
        <v>32</v>
      </c>
      <c r="B3" s="1" t="s">
        <v>31</v>
      </c>
      <c r="C3" s="1" t="s">
        <v>0</v>
      </c>
      <c r="D3" s="1" t="s">
        <v>1</v>
      </c>
      <c r="E3" s="1" t="s">
        <v>2</v>
      </c>
      <c r="F3" s="1" t="s">
        <v>3</v>
      </c>
      <c r="H3" s="3" t="s">
        <v>37</v>
      </c>
      <c r="I3" s="3"/>
      <c r="N3" s="3" t="s">
        <v>39</v>
      </c>
      <c r="T3" t="s">
        <v>53</v>
      </c>
      <c r="U3" s="146">
        <f ca="1">COUNT(H20:L20)</f>
        <v>0</v>
      </c>
      <c r="V3"/>
      <c r="W3"/>
      <c r="X3" s="32" t="s">
        <v>31</v>
      </c>
      <c r="Y3" s="32" t="s">
        <v>0</v>
      </c>
      <c r="Z3" s="32" t="s">
        <v>1</v>
      </c>
      <c r="AA3" s="32" t="s">
        <v>2</v>
      </c>
      <c r="AB3" s="32" t="s">
        <v>303</v>
      </c>
      <c r="AC3"/>
    </row>
    <row r="4" spans="1:29" x14ac:dyDescent="0.35">
      <c r="A4" s="3" t="s">
        <v>4</v>
      </c>
      <c r="B4" s="29">
        <v>39.761000000000003</v>
      </c>
      <c r="C4" s="5">
        <v>72.3</v>
      </c>
      <c r="D4" s="5">
        <v>-4.5999999999999996</v>
      </c>
      <c r="E4" s="5">
        <v>1.7</v>
      </c>
      <c r="F4" s="17">
        <v>3.9</v>
      </c>
      <c r="H4" s="9" t="e">
        <f t="array" aca="1" ref="H4:L8" ca="1">COV(B4:F30)</f>
        <v>#NAME?</v>
      </c>
      <c r="I4" s="10" t="e">
        <f ca="1"/>
        <v>#NAME?</v>
      </c>
      <c r="J4" s="10" t="e">
        <f ca="1"/>
        <v>#NAME?</v>
      </c>
      <c r="K4" s="10" t="e">
        <f ca="1"/>
        <v>#NAME?</v>
      </c>
      <c r="L4" s="11" t="e">
        <f ca="1"/>
        <v>#NAME?</v>
      </c>
      <c r="N4" s="9" t="e">
        <f t="array" aca="1" ref="N4:R8" ca="1">CORR(B4:F30)</f>
        <v>#NAME?</v>
      </c>
      <c r="O4" s="10" t="e">
        <f ca="1"/>
        <v>#NAME?</v>
      </c>
      <c r="P4" s="10" t="e">
        <f ca="1"/>
        <v>#NAME?</v>
      </c>
      <c r="Q4" s="10" t="e">
        <f ca="1"/>
        <v>#NAME?</v>
      </c>
      <c r="R4" s="11" t="e">
        <f ca="1"/>
        <v>#NAME?</v>
      </c>
      <c r="T4" s="71" t="s">
        <v>57</v>
      </c>
      <c r="U4" s="49">
        <v>0.05</v>
      </c>
      <c r="V4"/>
      <c r="W4" s="71" t="s">
        <v>304</v>
      </c>
      <c r="X4" s="138" t="e">
        <f ca="1">H20</f>
        <v>#NAME?</v>
      </c>
      <c r="Y4" s="139" t="e">
        <f ca="1">I20</f>
        <v>#NAME?</v>
      </c>
      <c r="Z4" s="139" t="e">
        <f ca="1">J20</f>
        <v>#NAME?</v>
      </c>
      <c r="AA4" s="139" t="e">
        <f ca="1">K20</f>
        <v>#NAME?</v>
      </c>
      <c r="AB4" s="140" t="e">
        <f ca="1">L20</f>
        <v>#NAME?</v>
      </c>
      <c r="AC4"/>
    </row>
    <row r="5" spans="1:29" x14ac:dyDescent="0.35">
      <c r="A5" s="3" t="s">
        <v>5</v>
      </c>
      <c r="B5" s="30">
        <v>36.274000000000001</v>
      </c>
      <c r="C5" s="4">
        <v>96.8</v>
      </c>
      <c r="D5" s="4">
        <v>-4.0999999999999996</v>
      </c>
      <c r="E5" s="4">
        <v>2.2999999999999998</v>
      </c>
      <c r="F5" s="18">
        <v>6.7</v>
      </c>
      <c r="H5" s="12" t="e">
        <f ca="1"/>
        <v>#NAME?</v>
      </c>
      <c r="I5" s="3" t="e">
        <f ca="1"/>
        <v>#NAME?</v>
      </c>
      <c r="J5" s="3" t="e">
        <f ca="1"/>
        <v>#NAME?</v>
      </c>
      <c r="K5" s="3" t="e">
        <f ca="1"/>
        <v>#NAME?</v>
      </c>
      <c r="L5" s="13" t="e">
        <f ca="1"/>
        <v>#NAME?</v>
      </c>
      <c r="N5" s="12" t="e">
        <f ca="1"/>
        <v>#NAME?</v>
      </c>
      <c r="O5" s="3" t="e">
        <f ca="1"/>
        <v>#NAME?</v>
      </c>
      <c r="P5" s="3" t="e">
        <f ca="1"/>
        <v>#NAME?</v>
      </c>
      <c r="Q5" s="3" t="e">
        <f ca="1"/>
        <v>#NAME?</v>
      </c>
      <c r="R5" s="13" t="e">
        <f ca="1"/>
        <v>#NAME?</v>
      </c>
      <c r="T5" s="71" t="s">
        <v>120</v>
      </c>
      <c r="U5" s="52" t="e">
        <f ca="1">CHIINV(U4,U3)</f>
        <v>#NUM!</v>
      </c>
      <c r="V5"/>
      <c r="W5" t="s">
        <v>305</v>
      </c>
      <c r="X5" s="39" t="e">
        <f ca="1">SQRT(X4*$U$5)</f>
        <v>#NAME?</v>
      </c>
      <c r="Y5" s="40" t="e">
        <f ca="1">SQRT(Y4*$U$5)</f>
        <v>#NAME?</v>
      </c>
      <c r="Z5" s="40" t="e">
        <f ca="1">SQRT(Z4*$U$5)</f>
        <v>#NAME?</v>
      </c>
      <c r="AA5" s="40" t="e">
        <f ca="1">SQRT(AA4*$U$5)</f>
        <v>#NAME?</v>
      </c>
      <c r="AB5" s="41" t="e">
        <f ca="1">SQRT(AB4*$U$5)</f>
        <v>#NAME?</v>
      </c>
      <c r="AC5"/>
    </row>
    <row r="6" spans="1:29" x14ac:dyDescent="0.35">
      <c r="A6" s="3" t="s">
        <v>6</v>
      </c>
      <c r="B6" s="30">
        <v>12.933999999999999</v>
      </c>
      <c r="C6" s="4">
        <v>16.2</v>
      </c>
      <c r="D6" s="4">
        <v>-3.2</v>
      </c>
      <c r="E6" s="4">
        <v>3</v>
      </c>
      <c r="F6" s="18">
        <v>11.9</v>
      </c>
      <c r="H6" s="12" t="e">
        <f ca="1"/>
        <v>#NAME?</v>
      </c>
      <c r="I6" s="3" t="e">
        <f ca="1"/>
        <v>#NAME?</v>
      </c>
      <c r="J6" s="3" t="e">
        <f ca="1"/>
        <v>#NAME?</v>
      </c>
      <c r="K6" s="3" t="e">
        <f ca="1"/>
        <v>#NAME?</v>
      </c>
      <c r="L6" s="13" t="e">
        <f ca="1"/>
        <v>#NAME?</v>
      </c>
      <c r="N6" s="12" t="e">
        <f ca="1"/>
        <v>#NAME?</v>
      </c>
      <c r="O6" s="3" t="e">
        <f ca="1"/>
        <v>#NAME?</v>
      </c>
      <c r="P6" s="3" t="e">
        <f ca="1"/>
        <v>#NAME?</v>
      </c>
      <c r="Q6" s="3" t="e">
        <f ca="1"/>
        <v>#NAME?</v>
      </c>
      <c r="R6" s="13" t="e">
        <f ca="1"/>
        <v>#NAME?</v>
      </c>
      <c r="T6"/>
      <c r="U6"/>
      <c r="V6"/>
      <c r="W6"/>
      <c r="X6"/>
      <c r="Y6"/>
      <c r="Z6"/>
      <c r="AA6"/>
      <c r="AB6"/>
      <c r="AC6"/>
    </row>
    <row r="7" spans="1:29" x14ac:dyDescent="0.35">
      <c r="A7" s="3" t="s">
        <v>7</v>
      </c>
      <c r="B7" s="30">
        <v>28.96</v>
      </c>
      <c r="C7" s="4">
        <v>60.8</v>
      </c>
      <c r="D7" s="4">
        <v>-5.3</v>
      </c>
      <c r="E7" s="4">
        <v>2.6</v>
      </c>
      <c r="F7" s="18">
        <v>7.8</v>
      </c>
      <c r="H7" s="12" t="e">
        <f ca="1"/>
        <v>#NAME?</v>
      </c>
      <c r="I7" s="3" t="e">
        <f ca="1"/>
        <v>#NAME?</v>
      </c>
      <c r="J7" s="3" t="e">
        <f ca="1"/>
        <v>#NAME?</v>
      </c>
      <c r="K7" s="3" t="e">
        <f ca="1"/>
        <v>#NAME?</v>
      </c>
      <c r="L7" s="13" t="e">
        <f ca="1"/>
        <v>#NAME?</v>
      </c>
      <c r="N7" s="12" t="e">
        <f ca="1"/>
        <v>#NAME?</v>
      </c>
      <c r="O7" s="3" t="e">
        <f ca="1"/>
        <v>#NAME?</v>
      </c>
      <c r="P7" s="3" t="e">
        <f ca="1"/>
        <v>#NAME?</v>
      </c>
      <c r="Q7" s="3" t="e">
        <f ca="1"/>
        <v>#NAME?</v>
      </c>
      <c r="R7" s="13" t="e">
        <f ca="1"/>
        <v>#NAME?</v>
      </c>
      <c r="T7"/>
      <c r="U7"/>
      <c r="V7"/>
      <c r="W7"/>
      <c r="X7"/>
      <c r="Y7"/>
      <c r="Z7"/>
      <c r="AA7"/>
      <c r="AB7"/>
      <c r="AC7"/>
    </row>
    <row r="8" spans="1:29" x14ac:dyDescent="0.35">
      <c r="A8" s="3" t="s">
        <v>8</v>
      </c>
      <c r="B8" s="30">
        <v>24.95</v>
      </c>
      <c r="C8" s="4">
        <v>38.5</v>
      </c>
      <c r="D8" s="4">
        <v>-4.7</v>
      </c>
      <c r="E8" s="4">
        <v>1.2</v>
      </c>
      <c r="F8" s="18">
        <v>6.6</v>
      </c>
      <c r="H8" s="14" t="e">
        <f ca="1"/>
        <v>#NAME?</v>
      </c>
      <c r="I8" s="15" t="e">
        <f ca="1"/>
        <v>#NAME?</v>
      </c>
      <c r="J8" s="15" t="e">
        <f ca="1"/>
        <v>#NAME?</v>
      </c>
      <c r="K8" s="15" t="e">
        <f ca="1"/>
        <v>#NAME?</v>
      </c>
      <c r="L8" s="16" t="e">
        <f ca="1"/>
        <v>#NAME?</v>
      </c>
      <c r="N8" s="14" t="e">
        <f ca="1"/>
        <v>#NAME?</v>
      </c>
      <c r="O8" s="15" t="e">
        <f ca="1"/>
        <v>#NAME?</v>
      </c>
      <c r="P8" s="15" t="e">
        <f ca="1"/>
        <v>#NAME?</v>
      </c>
      <c r="Q8" s="15" t="e">
        <f ca="1"/>
        <v>#NAME?</v>
      </c>
      <c r="R8" s="16" t="e">
        <f ca="1"/>
        <v>#NAME?</v>
      </c>
      <c r="T8" t="s">
        <v>306</v>
      </c>
      <c r="U8"/>
      <c r="V8"/>
      <c r="W8"/>
      <c r="X8"/>
      <c r="Y8"/>
      <c r="Z8"/>
      <c r="AA8"/>
      <c r="AB8"/>
      <c r="AC8"/>
    </row>
    <row r="9" spans="1:29" x14ac:dyDescent="0.35">
      <c r="A9" s="3" t="s">
        <v>9</v>
      </c>
      <c r="B9" s="30">
        <v>36.442999999999998</v>
      </c>
      <c r="C9" s="4">
        <v>43.6</v>
      </c>
      <c r="D9" s="4">
        <v>-2.7</v>
      </c>
      <c r="E9" s="4">
        <v>2.2000000000000002</v>
      </c>
      <c r="F9" s="18">
        <v>7.1</v>
      </c>
      <c r="T9"/>
      <c r="U9"/>
      <c r="V9"/>
      <c r="W9"/>
      <c r="X9"/>
      <c r="Y9"/>
      <c r="Z9"/>
      <c r="AA9"/>
      <c r="AB9"/>
      <c r="AC9"/>
    </row>
    <row r="10" spans="1:29" x14ac:dyDescent="0.35">
      <c r="A10" s="3" t="s">
        <v>10</v>
      </c>
      <c r="B10" s="30">
        <v>18.527000000000001</v>
      </c>
      <c r="C10" s="4">
        <v>6.6</v>
      </c>
      <c r="D10" s="4">
        <v>0.1</v>
      </c>
      <c r="E10" s="4">
        <v>2.7</v>
      </c>
      <c r="F10" s="18">
        <v>12.8</v>
      </c>
      <c r="H10" s="3" t="s">
        <v>38</v>
      </c>
      <c r="T10" t="s">
        <v>53</v>
      </c>
      <c r="U10" s="146">
        <f>COUNTA(B3:F3)</f>
        <v>5</v>
      </c>
      <c r="V10"/>
      <c r="W10" s="62" t="s">
        <v>314</v>
      </c>
      <c r="X10"/>
      <c r="Y10" t="str">
        <f t="array" ref="Y10:Y14">TRANSPOSE(X3:AB3)</f>
        <v>GDP/capita</v>
      </c>
      <c r="Z10" s="146" t="e">
        <f t="array" aca="1" ref="Z10:Z14" ca="1">CONF_MNORM(B4:F30)</f>
        <v>#NAME?</v>
      </c>
      <c r="AA10"/>
      <c r="AB10"/>
      <c r="AC10"/>
    </row>
    <row r="11" spans="1:29" x14ac:dyDescent="0.35">
      <c r="A11" s="3" t="s">
        <v>11</v>
      </c>
      <c r="B11" s="30">
        <v>34.917999999999999</v>
      </c>
      <c r="C11" s="4">
        <v>48.4</v>
      </c>
      <c r="D11" s="4">
        <v>-2.5</v>
      </c>
      <c r="E11" s="4">
        <v>1.7</v>
      </c>
      <c r="F11" s="18">
        <v>7.8</v>
      </c>
      <c r="H11" s="9" t="e">
        <f t="array" aca="1" ref="H11:L15" ca="1">COVP(B4:F30)</f>
        <v>#NAME?</v>
      </c>
      <c r="I11" s="10" t="e">
        <f ca="1"/>
        <v>#NAME?</v>
      </c>
      <c r="J11" s="10" t="e">
        <f ca="1"/>
        <v>#NAME?</v>
      </c>
      <c r="K11" s="10" t="e">
        <f ca="1"/>
        <v>#NAME?</v>
      </c>
      <c r="L11" s="11" t="e">
        <f ca="1"/>
        <v>#NAME?</v>
      </c>
      <c r="T11" s="71" t="s">
        <v>57</v>
      </c>
      <c r="U11" s="49">
        <v>0.05</v>
      </c>
      <c r="V11"/>
      <c r="W11"/>
      <c r="X11"/>
      <c r="Y11" t="str">
        <v>Public Debt</v>
      </c>
      <c r="Z11" s="49" t="e">
        <f ca="1"/>
        <v>#NAME?</v>
      </c>
      <c r="AA11"/>
      <c r="AB11"/>
      <c r="AC11"/>
    </row>
    <row r="12" spans="1:29" x14ac:dyDescent="0.35">
      <c r="A12" s="3" t="s">
        <v>12</v>
      </c>
      <c r="B12" s="30">
        <v>33.909999999999997</v>
      </c>
      <c r="C12" s="4">
        <v>81.7</v>
      </c>
      <c r="D12" s="4">
        <v>-7</v>
      </c>
      <c r="E12" s="4">
        <v>1.7</v>
      </c>
      <c r="F12" s="18">
        <v>9.9</v>
      </c>
      <c r="H12" s="12" t="e">
        <f ca="1"/>
        <v>#NAME?</v>
      </c>
      <c r="I12" s="3" t="e">
        <f ca="1"/>
        <v>#NAME?</v>
      </c>
      <c r="J12" s="3" t="e">
        <f ca="1"/>
        <v>#NAME?</v>
      </c>
      <c r="K12" s="3" t="e">
        <f ca="1"/>
        <v>#NAME?</v>
      </c>
      <c r="L12" s="13" t="e">
        <f ca="1"/>
        <v>#NAME?</v>
      </c>
      <c r="T12" s="71" t="s">
        <v>120</v>
      </c>
      <c r="U12" s="52">
        <f>CHIINV(U11,U10)</f>
        <v>11.070497693516353</v>
      </c>
      <c r="V12"/>
      <c r="W12" s="62" t="s">
        <v>311</v>
      </c>
      <c r="X12"/>
      <c r="Y12" t="str">
        <v>Deficit</v>
      </c>
      <c r="Z12" s="49" t="e">
        <f ca="1"/>
        <v>#NAME?</v>
      </c>
      <c r="AA12"/>
      <c r="AB12"/>
      <c r="AC12"/>
    </row>
    <row r="13" spans="1:29" x14ac:dyDescent="0.35">
      <c r="A13" s="3" t="s">
        <v>13</v>
      </c>
      <c r="B13" s="30">
        <v>36.081000000000003</v>
      </c>
      <c r="C13" s="4">
        <v>83.2</v>
      </c>
      <c r="D13" s="4">
        <v>-3.3</v>
      </c>
      <c r="E13" s="4">
        <v>1.2</v>
      </c>
      <c r="F13" s="18">
        <v>5.8</v>
      </c>
      <c r="H13" s="12" t="e">
        <f ca="1"/>
        <v>#NAME?</v>
      </c>
      <c r="I13" s="3" t="e">
        <f ca="1"/>
        <v>#NAME?</v>
      </c>
      <c r="J13" s="3" t="e">
        <f ca="1"/>
        <v>#NAME?</v>
      </c>
      <c r="K13" s="3" t="e">
        <f ca="1"/>
        <v>#NAME?</v>
      </c>
      <c r="L13" s="13" t="e">
        <f ca="1"/>
        <v>#NAME?</v>
      </c>
      <c r="T13"/>
      <c r="U13"/>
      <c r="V13"/>
      <c r="W13"/>
      <c r="X13"/>
      <c r="Y13" t="str">
        <v>Inflation</v>
      </c>
      <c r="Z13" s="49" t="e">
        <f ca="1"/>
        <v>#NAME?</v>
      </c>
      <c r="AA13"/>
      <c r="AB13"/>
      <c r="AC13"/>
    </row>
    <row r="14" spans="1:29" x14ac:dyDescent="0.35">
      <c r="A14" s="3" t="s">
        <v>14</v>
      </c>
      <c r="B14" s="30">
        <v>28.495999999999999</v>
      </c>
      <c r="C14" s="4">
        <v>142.80000000000001</v>
      </c>
      <c r="D14" s="4">
        <v>-10.5</v>
      </c>
      <c r="E14" s="4">
        <v>4.7</v>
      </c>
      <c r="F14" s="18">
        <v>16.7</v>
      </c>
      <c r="H14" s="12" t="e">
        <f ca="1"/>
        <v>#NAME?</v>
      </c>
      <c r="I14" s="3" t="e">
        <f ca="1"/>
        <v>#NAME?</v>
      </c>
      <c r="J14" s="3" t="e">
        <f ca="1"/>
        <v>#NAME?</v>
      </c>
      <c r="K14" s="3" t="e">
        <f ca="1"/>
        <v>#NAME?</v>
      </c>
      <c r="L14" s="13" t="e">
        <f ca="1"/>
        <v>#NAME?</v>
      </c>
      <c r="T14" t="s">
        <v>307</v>
      </c>
      <c r="U14" s="146">
        <f>2*PI()^(U10/2)</f>
        <v>34.986836655249718</v>
      </c>
      <c r="V14"/>
      <c r="W14" s="62" t="s">
        <v>312</v>
      </c>
      <c r="X14"/>
      <c r="Y14" t="str">
        <v>Unemploy</v>
      </c>
      <c r="Z14" s="174" t="e">
        <f ca="1"/>
        <v>#NAME?</v>
      </c>
      <c r="AA14"/>
      <c r="AB14"/>
      <c r="AC14"/>
    </row>
    <row r="15" spans="1:29" x14ac:dyDescent="0.35">
      <c r="A15" s="3" t="s">
        <v>15</v>
      </c>
      <c r="B15" s="30">
        <v>18.841000000000001</v>
      </c>
      <c r="C15" s="4">
        <v>80.2</v>
      </c>
      <c r="D15" s="4">
        <v>-4.2</v>
      </c>
      <c r="E15" s="4">
        <v>4.7</v>
      </c>
      <c r="F15" s="18">
        <v>9.9</v>
      </c>
      <c r="H15" s="14" t="e">
        <f ca="1"/>
        <v>#NAME?</v>
      </c>
      <c r="I15" s="15" t="e">
        <f ca="1"/>
        <v>#NAME?</v>
      </c>
      <c r="J15" s="15" t="e">
        <f ca="1"/>
        <v>#NAME?</v>
      </c>
      <c r="K15" s="15" t="e">
        <f ca="1"/>
        <v>#NAME?</v>
      </c>
      <c r="L15" s="16" t="e">
        <f ca="1"/>
        <v>#NAME?</v>
      </c>
      <c r="T15" t="s">
        <v>308</v>
      </c>
      <c r="U15" s="49">
        <f>U10*EXP(GAMMALN(U10/2))</f>
        <v>6.6467019408956851</v>
      </c>
      <c r="V15"/>
      <c r="W15" s="62" t="s">
        <v>313</v>
      </c>
      <c r="X15"/>
      <c r="Y15"/>
      <c r="Z15"/>
      <c r="AA15"/>
      <c r="AB15"/>
      <c r="AC15"/>
    </row>
    <row r="16" spans="1:29" x14ac:dyDescent="0.35">
      <c r="A16" s="3" t="s">
        <v>16</v>
      </c>
      <c r="B16" s="30">
        <v>39.491999999999997</v>
      </c>
      <c r="C16" s="4">
        <v>96.2</v>
      </c>
      <c r="D16" s="4">
        <v>-32.4</v>
      </c>
      <c r="E16" s="4">
        <v>-1.6</v>
      </c>
      <c r="F16" s="18">
        <v>14.2</v>
      </c>
      <c r="T16" t="s">
        <v>315</v>
      </c>
      <c r="U16" s="49">
        <f>U12^(U10/2)</f>
        <v>407.77243489310132</v>
      </c>
      <c r="V16"/>
      <c r="W16" s="62" t="s">
        <v>316</v>
      </c>
      <c r="X16"/>
      <c r="Y16" t="s">
        <v>772</v>
      </c>
      <c r="Z16" s="365" t="e">
        <f ca="1">CONF_VOLUME(B4:F30)</f>
        <v>#NAME?</v>
      </c>
      <c r="AA16"/>
      <c r="AB16"/>
      <c r="AC16"/>
    </row>
    <row r="17" spans="1:29" x14ac:dyDescent="0.35">
      <c r="A17" s="3" t="s">
        <v>17</v>
      </c>
      <c r="B17" s="30">
        <v>29.48</v>
      </c>
      <c r="C17" s="4">
        <v>119</v>
      </c>
      <c r="D17" s="4">
        <v>-4.5999999999999996</v>
      </c>
      <c r="E17" s="4">
        <v>1.6</v>
      </c>
      <c r="F17" s="18">
        <v>8.3000000000000007</v>
      </c>
      <c r="T17" t="s">
        <v>309</v>
      </c>
      <c r="U17" s="49" t="e">
        <f ca="1">SQRT(MDETERM(H4:L8))</f>
        <v>#NAME?</v>
      </c>
      <c r="V17"/>
      <c r="W17" s="62" t="s">
        <v>317</v>
      </c>
      <c r="X17"/>
      <c r="Y17"/>
      <c r="Z17"/>
      <c r="AA17"/>
      <c r="AB17"/>
      <c r="AC17"/>
    </row>
    <row r="18" spans="1:29" x14ac:dyDescent="0.35">
      <c r="A18" s="3" t="s">
        <v>18</v>
      </c>
      <c r="B18" s="30">
        <v>14.504</v>
      </c>
      <c r="C18" s="4">
        <v>44.7</v>
      </c>
      <c r="D18" s="4">
        <v>-7.7</v>
      </c>
      <c r="E18" s="4">
        <v>-1.2</v>
      </c>
      <c r="F18" s="18">
        <v>16.2</v>
      </c>
      <c r="H18" s="3" t="s">
        <v>301</v>
      </c>
      <c r="T18" t="s">
        <v>310</v>
      </c>
      <c r="U18" s="52" t="e">
        <f ca="1">U14/U15*U16*U17</f>
        <v>#NAME?</v>
      </c>
      <c r="V18"/>
      <c r="W18" s="62" t="s">
        <v>318</v>
      </c>
      <c r="X18"/>
      <c r="Y18"/>
      <c r="Z18"/>
      <c r="AA18"/>
      <c r="AB18"/>
      <c r="AC18"/>
    </row>
    <row r="19" spans="1:29" x14ac:dyDescent="0.35">
      <c r="A19" s="3" t="s">
        <v>19</v>
      </c>
      <c r="B19" s="30">
        <v>17.234999999999999</v>
      </c>
      <c r="C19" s="4">
        <v>33.700000000000003</v>
      </c>
      <c r="D19" s="4">
        <v>-7.1</v>
      </c>
      <c r="E19" s="4">
        <v>1.2</v>
      </c>
      <c r="F19" s="18">
        <v>10.3</v>
      </c>
      <c r="V19"/>
      <c r="W19"/>
      <c r="X19"/>
      <c r="Y19"/>
      <c r="Z19"/>
      <c r="AA19"/>
      <c r="AB19"/>
      <c r="AC19"/>
    </row>
    <row r="20" spans="1:29" x14ac:dyDescent="0.35">
      <c r="A20" s="3" t="s">
        <v>20</v>
      </c>
      <c r="B20" s="30">
        <v>81.465999999999994</v>
      </c>
      <c r="C20" s="4">
        <v>18.399999999999999</v>
      </c>
      <c r="D20" s="4">
        <v>-1.7</v>
      </c>
      <c r="E20" s="4">
        <v>2.8</v>
      </c>
      <c r="F20" s="18">
        <v>4.8</v>
      </c>
      <c r="H20" s="153" t="e">
        <f t="array" aca="1" ref="H20:L25" ca="1">eigVECTSym(Desc!H4:L8)</f>
        <v>#NAME?</v>
      </c>
      <c r="I20" s="154" t="e">
        <f ca="1"/>
        <v>#NAME?</v>
      </c>
      <c r="J20" s="154" t="e">
        <f ca="1"/>
        <v>#NAME?</v>
      </c>
      <c r="K20" s="154" t="e">
        <f ca="1"/>
        <v>#NAME?</v>
      </c>
      <c r="L20" s="155" t="e">
        <f ca="1"/>
        <v>#NAME?</v>
      </c>
    </row>
    <row r="21" spans="1:29" x14ac:dyDescent="0.35">
      <c r="A21" s="3" t="s">
        <v>21</v>
      </c>
      <c r="B21" s="30">
        <v>24.832999999999998</v>
      </c>
      <c r="C21" s="4">
        <v>68</v>
      </c>
      <c r="D21" s="4">
        <v>-3.6</v>
      </c>
      <c r="E21" s="4">
        <v>2</v>
      </c>
      <c r="F21" s="18">
        <v>6.6</v>
      </c>
      <c r="H21" s="153" t="e">
        <f ca="1"/>
        <v>#NAME?</v>
      </c>
      <c r="I21" s="154" t="e">
        <f ca="1"/>
        <v>#NAME?</v>
      </c>
      <c r="J21" s="154" t="e">
        <f ca="1"/>
        <v>#NAME?</v>
      </c>
      <c r="K21" s="154" t="e">
        <f ca="1"/>
        <v>#NAME?</v>
      </c>
      <c r="L21" s="155" t="e">
        <f ca="1"/>
        <v>#NAME?</v>
      </c>
    </row>
    <row r="22" spans="1:29" x14ac:dyDescent="0.35">
      <c r="A22" s="3" t="s">
        <v>22</v>
      </c>
      <c r="B22" s="30">
        <v>40.972999999999999</v>
      </c>
      <c r="C22" s="4">
        <v>62.7</v>
      </c>
      <c r="D22" s="4">
        <v>-5.4</v>
      </c>
      <c r="E22" s="4">
        <v>0.9</v>
      </c>
      <c r="F22" s="18">
        <v>4.5</v>
      </c>
      <c r="H22" s="12" t="e">
        <f ca="1"/>
        <v>#NAME?</v>
      </c>
      <c r="I22" s="3" t="e">
        <f ca="1"/>
        <v>#NAME?</v>
      </c>
      <c r="J22" s="3" t="e">
        <f ca="1"/>
        <v>#NAME?</v>
      </c>
      <c r="K22" s="3" t="e">
        <f ca="1"/>
        <v>#NAME?</v>
      </c>
      <c r="L22" s="13" t="e">
        <f ca="1"/>
        <v>#NAME?</v>
      </c>
    </row>
    <row r="23" spans="1:29" x14ac:dyDescent="0.35">
      <c r="A23" s="3" t="s">
        <v>23</v>
      </c>
      <c r="B23" s="30">
        <v>18.981000000000002</v>
      </c>
      <c r="C23" s="4">
        <v>55</v>
      </c>
      <c r="D23" s="4">
        <v>-7.9</v>
      </c>
      <c r="E23" s="4">
        <v>2.7</v>
      </c>
      <c r="F23" s="18">
        <v>9.4</v>
      </c>
      <c r="H23" s="12" t="e">
        <f ca="1"/>
        <v>#NAME?</v>
      </c>
      <c r="I23" s="3" t="e">
        <f ca="1"/>
        <v>#NAME?</v>
      </c>
      <c r="J23" s="3" t="e">
        <f ca="1"/>
        <v>#NAME?</v>
      </c>
      <c r="K23" s="3" t="e">
        <f ca="1"/>
        <v>#NAME?</v>
      </c>
      <c r="L23" s="13" t="e">
        <f ca="1"/>
        <v>#NAME?</v>
      </c>
    </row>
    <row r="24" spans="1:29" x14ac:dyDescent="0.35">
      <c r="A24" s="3" t="s">
        <v>24</v>
      </c>
      <c r="B24" s="30">
        <v>23.262</v>
      </c>
      <c r="C24" s="4">
        <v>93</v>
      </c>
      <c r="D24" s="4">
        <v>-9.1</v>
      </c>
      <c r="E24" s="4">
        <v>1.4</v>
      </c>
      <c r="F24" s="18">
        <v>12.5</v>
      </c>
      <c r="H24" s="12" t="e">
        <f ca="1"/>
        <v>#NAME?</v>
      </c>
      <c r="I24" s="3" t="e">
        <f ca="1"/>
        <v>#NAME?</v>
      </c>
      <c r="J24" s="3" t="e">
        <f ca="1"/>
        <v>#NAME?</v>
      </c>
      <c r="K24" s="3" t="e">
        <f ca="1"/>
        <v>#NAME?</v>
      </c>
      <c r="L24" s="13" t="e">
        <f ca="1"/>
        <v>#NAME?</v>
      </c>
    </row>
    <row r="25" spans="1:29" x14ac:dyDescent="0.35">
      <c r="A25" s="3" t="s">
        <v>25</v>
      </c>
      <c r="B25" s="30">
        <v>11.895</v>
      </c>
      <c r="C25" s="4">
        <v>30.8</v>
      </c>
      <c r="D25" s="4">
        <v>-6.4</v>
      </c>
      <c r="E25" s="4">
        <v>6.1</v>
      </c>
      <c r="F25" s="18">
        <v>7.5</v>
      </c>
      <c r="H25" s="14" t="e">
        <f ca="1"/>
        <v>#NAME?</v>
      </c>
      <c r="I25" s="15" t="e">
        <f ca="1"/>
        <v>#NAME?</v>
      </c>
      <c r="J25" s="15" t="e">
        <f ca="1"/>
        <v>#NAME?</v>
      </c>
      <c r="K25" s="15" t="e">
        <f ca="1"/>
        <v>#NAME?</v>
      </c>
      <c r="L25" s="16" t="e">
        <f ca="1"/>
        <v>#NAME?</v>
      </c>
    </row>
    <row r="26" spans="1:29" x14ac:dyDescent="0.35">
      <c r="A26" s="3" t="s">
        <v>26</v>
      </c>
      <c r="B26" s="30">
        <v>22.195</v>
      </c>
      <c r="C26" s="4">
        <v>41</v>
      </c>
      <c r="D26" s="4">
        <v>-7.9</v>
      </c>
      <c r="E26" s="4">
        <v>0.7</v>
      </c>
      <c r="F26" s="18">
        <v>13.5</v>
      </c>
    </row>
    <row r="27" spans="1:29" x14ac:dyDescent="0.35">
      <c r="A27" s="3" t="s">
        <v>27</v>
      </c>
      <c r="B27" s="30">
        <v>28.073</v>
      </c>
      <c r="C27" s="4">
        <v>38</v>
      </c>
      <c r="D27" s="4">
        <v>-5.6</v>
      </c>
      <c r="E27" s="4">
        <v>2.1</v>
      </c>
      <c r="F27" s="18">
        <v>8</v>
      </c>
    </row>
    <row r="28" spans="1:29" x14ac:dyDescent="0.35">
      <c r="A28" s="3" t="s">
        <v>28</v>
      </c>
      <c r="B28" s="30">
        <v>29.83</v>
      </c>
      <c r="C28" s="4">
        <v>60.1</v>
      </c>
      <c r="D28" s="4">
        <v>-9.1999999999999993</v>
      </c>
      <c r="E28" s="4">
        <v>2</v>
      </c>
      <c r="F28" s="18">
        <v>22.6</v>
      </c>
    </row>
    <row r="29" spans="1:29" x14ac:dyDescent="0.35">
      <c r="A29" s="3" t="s">
        <v>29</v>
      </c>
      <c r="B29" s="30">
        <v>38.204000000000001</v>
      </c>
      <c r="C29" s="4">
        <v>39.799999999999997</v>
      </c>
      <c r="D29" s="4">
        <v>0</v>
      </c>
      <c r="E29" s="4">
        <v>1.9</v>
      </c>
      <c r="F29" s="18">
        <v>7.2</v>
      </c>
    </row>
    <row r="30" spans="1:29" x14ac:dyDescent="0.35">
      <c r="A30" s="3" t="s">
        <v>30</v>
      </c>
      <c r="B30" s="31">
        <v>35.058999999999997</v>
      </c>
      <c r="C30" s="6">
        <v>80</v>
      </c>
      <c r="D30" s="6">
        <v>-10.4</v>
      </c>
      <c r="E30" s="6">
        <v>3.3</v>
      </c>
      <c r="F30" s="19">
        <v>8</v>
      </c>
    </row>
    <row r="32" spans="1:29" x14ac:dyDescent="0.35">
      <c r="A32" s="8" t="s">
        <v>34</v>
      </c>
      <c r="B32" s="20">
        <f>AVERAGE(B4:B30)</f>
        <v>29.83618518518518</v>
      </c>
      <c r="C32" s="21">
        <f>AVERAGE(C4:C30)</f>
        <v>61.166666666666679</v>
      </c>
      <c r="D32" s="21">
        <f>AVERAGE(D4:D30)</f>
        <v>-6.333333333333333</v>
      </c>
      <c r="E32" s="21">
        <f>AVERAGE(E4:E30)</f>
        <v>2.0592592592592589</v>
      </c>
      <c r="F32" s="22">
        <f>AVERAGE(F4:F30)</f>
        <v>9.6481481481481488</v>
      </c>
    </row>
    <row r="33" spans="1:6" x14ac:dyDescent="0.35">
      <c r="A33" s="8" t="s">
        <v>35</v>
      </c>
      <c r="B33" s="23">
        <f>VAR(B4:B30)</f>
        <v>183.44583154131075</v>
      </c>
      <c r="C33" s="24">
        <f>VAR(C4:C30)</f>
        <v>1019.8830769230749</v>
      </c>
      <c r="D33" s="24">
        <f>VAR(D4:D30)</f>
        <v>35.196153846153869</v>
      </c>
      <c r="E33" s="24">
        <f>VAR(E4:E30)</f>
        <v>2.4971225071225089</v>
      </c>
      <c r="F33" s="25">
        <f>VAR(F4:F30)</f>
        <v>18.30874643874645</v>
      </c>
    </row>
    <row r="34" spans="1:6" x14ac:dyDescent="0.35">
      <c r="A34" s="8" t="s">
        <v>36</v>
      </c>
      <c r="B34" s="26">
        <f>STDEV(B4:B30)</f>
        <v>13.544217642274903</v>
      </c>
      <c r="C34" s="27">
        <f>STDEV(C4:C30)</f>
        <v>31.935608291107826</v>
      </c>
      <c r="D34" s="27">
        <f>STDEV(D4:D30)</f>
        <v>5.9326346462725876</v>
      </c>
      <c r="E34" s="27">
        <f>STDEV(E4:E30)</f>
        <v>1.5802286249535251</v>
      </c>
      <c r="F34" s="28">
        <f>STDEV(F4:F30)</f>
        <v>4.2788720989001821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3"/>
  <dimension ref="A1:V24"/>
  <sheetViews>
    <sheetView workbookViewId="0"/>
  </sheetViews>
  <sheetFormatPr defaultRowHeight="14.5" x14ac:dyDescent="0.35"/>
  <cols>
    <col min="3" max="3" width="3.54296875" customWidth="1"/>
    <col min="6" max="6" width="3.54296875" customWidth="1"/>
    <col min="9" max="9" width="2.26953125" customWidth="1"/>
    <col min="12" max="12" width="3.54296875" customWidth="1"/>
    <col min="13" max="13" width="9.1796875" customWidth="1"/>
  </cols>
  <sheetData>
    <row r="1" spans="1:22" x14ac:dyDescent="0.35">
      <c r="A1" s="42" t="s">
        <v>775</v>
      </c>
    </row>
    <row r="3" spans="1:22" x14ac:dyDescent="0.35">
      <c r="A3" s="366" t="s">
        <v>390</v>
      </c>
      <c r="B3" s="366" t="s">
        <v>392</v>
      </c>
      <c r="D3" t="s">
        <v>292</v>
      </c>
      <c r="G3" t="s">
        <v>776</v>
      </c>
      <c r="M3" s="367" t="s">
        <v>777</v>
      </c>
      <c r="N3" s="367" t="s">
        <v>778</v>
      </c>
      <c r="O3" s="367"/>
      <c r="Q3" s="147"/>
      <c r="R3" s="268" t="s">
        <v>390</v>
      </c>
      <c r="S3" s="268" t="s">
        <v>392</v>
      </c>
    </row>
    <row r="4" spans="1:22" x14ac:dyDescent="0.35">
      <c r="A4" s="368">
        <v>27.11</v>
      </c>
      <c r="B4" s="368">
        <v>13.8</v>
      </c>
      <c r="D4" s="369" t="e">
        <f t="array" aca="1" ref="D4:E5" ca="1">COV(A4:B13)</f>
        <v>#NAME?</v>
      </c>
      <c r="E4" s="370" t="e">
        <f ca="1"/>
        <v>#NAME?</v>
      </c>
      <c r="G4" s="53" t="e">
        <f t="array" aca="1" ref="G4:H5" ca="1">eVALUES(D4:E5)</f>
        <v>#NAME?</v>
      </c>
      <c r="H4" s="148" t="e">
        <f ca="1"/>
        <v>#NAME?</v>
      </c>
      <c r="J4" t="s">
        <v>204</v>
      </c>
      <c r="K4" s="146" t="e">
        <f ca="1">SQRT(G4)*SQRT(H8)</f>
        <v>#NAME?</v>
      </c>
      <c r="M4" s="371">
        <f t="shared" ref="M4:N13" si="0">A4-D$8</f>
        <v>-0.9789999999999992</v>
      </c>
      <c r="N4" s="371">
        <f t="shared" si="0"/>
        <v>-0.85699999999999932</v>
      </c>
      <c r="O4" s="372" t="e">
        <f ca="1">IF((D$11*M4 + E$11*N4)*M4 + (D$12*M4 + E$12*N4)*N4&gt;=H$8,"outside","inside")</f>
        <v>#NAME?</v>
      </c>
      <c r="Q4">
        <v>0</v>
      </c>
      <c r="R4" t="e">
        <f t="shared" ref="R4:R24" ca="1" si="1">(J$11*K$4*COS(Q4)+K$11*K$5*SIN(Q4))+D$8</f>
        <v>#NAME?</v>
      </c>
      <c r="S4" t="e">
        <f t="shared" ref="S4:S24" ca="1" si="2">(J$12*K$4*COS(Q4)+K$12*K$5*SIN(Q4))+E$8</f>
        <v>#NAME?</v>
      </c>
    </row>
    <row r="5" spans="1:22" x14ac:dyDescent="0.35">
      <c r="A5" s="368">
        <v>26.77</v>
      </c>
      <c r="B5" s="368">
        <v>13.42</v>
      </c>
      <c r="D5" s="91" t="e">
        <f ca="1"/>
        <v>#NAME?</v>
      </c>
      <c r="E5" s="93" t="e">
        <f ca="1"/>
        <v>#NAME?</v>
      </c>
      <c r="G5" t="e">
        <f ca="1"/>
        <v>#NAME?</v>
      </c>
      <c r="H5" t="e">
        <f ca="1"/>
        <v>#NAME?</v>
      </c>
      <c r="J5" t="s">
        <v>208</v>
      </c>
      <c r="K5" s="49" t="e">
        <f ca="1">SQRT(H4)*SQRT(H8)</f>
        <v>#NAME?</v>
      </c>
      <c r="M5" s="371">
        <f t="shared" si="0"/>
        <v>-1.3189999999999991</v>
      </c>
      <c r="N5" s="371">
        <f t="shared" si="0"/>
        <v>-1.2370000000000001</v>
      </c>
      <c r="O5" s="372" t="e">
        <f ca="1">IF((D$11*M5 + E$11*N5)*M5 + (D$12*M5 + E$12*N5)*N5&gt;=H$8,"outside","inside")</f>
        <v>#NAME?</v>
      </c>
      <c r="Q5">
        <f>PI()/10</f>
        <v>0.31415926535897931</v>
      </c>
      <c r="R5" t="e">
        <f t="shared" ca="1" si="1"/>
        <v>#NAME?</v>
      </c>
      <c r="S5" t="e">
        <f t="shared" ca="1" si="2"/>
        <v>#NAME?</v>
      </c>
    </row>
    <row r="6" spans="1:22" x14ac:dyDescent="0.35">
      <c r="A6" s="368">
        <v>27.35</v>
      </c>
      <c r="B6" s="368">
        <v>12.76</v>
      </c>
      <c r="J6" t="s">
        <v>779</v>
      </c>
      <c r="K6" s="52" t="e">
        <f ca="1">ATAN2(E4,G4-D4)</f>
        <v>#NAME?</v>
      </c>
      <c r="M6" s="371">
        <f t="shared" si="0"/>
        <v>-0.73899999999999721</v>
      </c>
      <c r="N6" s="371">
        <f t="shared" si="0"/>
        <v>-1.8970000000000002</v>
      </c>
      <c r="O6" s="372" t="e">
        <f t="shared" ref="O6:O12" ca="1" si="3">IF((D$11*M6 + E$11*N6)*M6 + (D$12*M6 + E$12*N6)*N6&gt;=H$8,"outside","inside")</f>
        <v>#NAME?</v>
      </c>
      <c r="Q6">
        <f t="shared" ref="Q6:Q24" si="4">Q5+Q$5</f>
        <v>0.62831853071795862</v>
      </c>
      <c r="R6" t="e">
        <f t="shared" ca="1" si="1"/>
        <v>#NAME?</v>
      </c>
      <c r="S6" t="e">
        <f t="shared" ca="1" si="2"/>
        <v>#NAME?</v>
      </c>
    </row>
    <row r="7" spans="1:22" x14ac:dyDescent="0.35">
      <c r="A7" s="368">
        <v>29.2</v>
      </c>
      <c r="B7" s="368">
        <v>14.88</v>
      </c>
      <c r="D7" t="s">
        <v>48</v>
      </c>
      <c r="G7" t="s">
        <v>52</v>
      </c>
      <c r="H7" s="146">
        <f>COUNT(A4:A13)</f>
        <v>10</v>
      </c>
      <c r="M7" s="371">
        <f t="shared" si="0"/>
        <v>1.1110000000000007</v>
      </c>
      <c r="N7" s="371">
        <f t="shared" si="0"/>
        <v>0.22300000000000075</v>
      </c>
      <c r="O7" s="372" t="e">
        <f t="shared" ca="1" si="3"/>
        <v>#NAME?</v>
      </c>
      <c r="Q7">
        <f t="shared" si="4"/>
        <v>0.94247779607693793</v>
      </c>
      <c r="R7" t="e">
        <f t="shared" ca="1" si="1"/>
        <v>#NAME?</v>
      </c>
      <c r="S7" t="e">
        <f t="shared" ca="1" si="2"/>
        <v>#NAME?</v>
      </c>
      <c r="U7" t="s">
        <v>52</v>
      </c>
      <c r="V7" s="146">
        <f>COUNT(A4:A13)</f>
        <v>10</v>
      </c>
    </row>
    <row r="8" spans="1:22" x14ac:dyDescent="0.35">
      <c r="A8" s="368">
        <v>27.44</v>
      </c>
      <c r="B8" s="368">
        <v>14.56</v>
      </c>
      <c r="D8" s="373">
        <f>AVERAGE(A4:A13)</f>
        <v>28.088999999999999</v>
      </c>
      <c r="E8" s="374">
        <f>AVERAGE(B4:B13)</f>
        <v>14.657</v>
      </c>
      <c r="G8" t="s">
        <v>726</v>
      </c>
      <c r="H8" s="49">
        <v>2.25</v>
      </c>
      <c r="J8" t="s">
        <v>780</v>
      </c>
      <c r="K8" s="375" t="e">
        <f ca="1">K6*180/PI()</f>
        <v>#NAME?</v>
      </c>
      <c r="M8" s="371">
        <f t="shared" si="0"/>
        <v>-0.64899999999999736</v>
      </c>
      <c r="N8" s="371">
        <f t="shared" si="0"/>
        <v>-9.6999999999999531E-2</v>
      </c>
      <c r="O8" s="372" t="e">
        <f t="shared" ca="1" si="3"/>
        <v>#NAME?</v>
      </c>
      <c r="Q8">
        <f>Q7+Q$5</f>
        <v>1.2566370614359172</v>
      </c>
      <c r="R8" t="e">
        <f t="shared" ca="1" si="1"/>
        <v>#NAME?</v>
      </c>
      <c r="S8" t="e">
        <f t="shared" ca="1" si="2"/>
        <v>#NAME?</v>
      </c>
      <c r="U8" t="s">
        <v>726</v>
      </c>
      <c r="V8" s="49">
        <f>CHIINV(1-V9,2)</f>
        <v>5.9914645471079799</v>
      </c>
    </row>
    <row r="9" spans="1:22" x14ac:dyDescent="0.35">
      <c r="A9" s="368">
        <v>26.16</v>
      </c>
      <c r="B9" s="368">
        <v>14.35</v>
      </c>
      <c r="G9" t="s">
        <v>781</v>
      </c>
      <c r="H9" s="376">
        <f>1-CHIDIST(H8,2)</f>
        <v>0.67534753264165026</v>
      </c>
      <c r="M9" s="371">
        <f t="shared" si="0"/>
        <v>-1.9289999999999985</v>
      </c>
      <c r="N9" s="371">
        <f t="shared" si="0"/>
        <v>-0.30700000000000038</v>
      </c>
      <c r="O9" s="372" t="e">
        <f t="shared" ca="1" si="3"/>
        <v>#NAME?</v>
      </c>
      <c r="Q9">
        <f t="shared" si="4"/>
        <v>1.5707963267948966</v>
      </c>
      <c r="R9" t="e">
        <f t="shared" ca="1" si="1"/>
        <v>#NAME?</v>
      </c>
      <c r="S9" t="e">
        <f t="shared" ca="1" si="2"/>
        <v>#NAME?</v>
      </c>
      <c r="U9" t="s">
        <v>781</v>
      </c>
      <c r="V9" s="376">
        <v>0.95</v>
      </c>
    </row>
    <row r="10" spans="1:22" x14ac:dyDescent="0.35">
      <c r="A10" s="368">
        <v>26.25</v>
      </c>
      <c r="B10" s="368">
        <v>13.86</v>
      </c>
      <c r="D10" t="s">
        <v>782</v>
      </c>
      <c r="J10" t="s">
        <v>471</v>
      </c>
      <c r="M10" s="371">
        <f t="shared" si="0"/>
        <v>-1.8389999999999986</v>
      </c>
      <c r="N10" s="371">
        <f t="shared" si="0"/>
        <v>-0.7970000000000006</v>
      </c>
      <c r="O10" s="372" t="e">
        <f t="shared" ca="1" si="3"/>
        <v>#NAME?</v>
      </c>
      <c r="Q10">
        <f t="shared" si="4"/>
        <v>1.8849555921538759</v>
      </c>
      <c r="R10" t="e">
        <f t="shared" ca="1" si="1"/>
        <v>#NAME?</v>
      </c>
      <c r="S10" t="e">
        <f t="shared" ca="1" si="2"/>
        <v>#NAME?</v>
      </c>
    </row>
    <row r="11" spans="1:22" x14ac:dyDescent="0.35">
      <c r="A11" s="368">
        <v>31.21</v>
      </c>
      <c r="B11" s="368">
        <v>17.61</v>
      </c>
      <c r="D11" s="369" t="e">
        <f t="array" aca="1" ref="D11:E12" ca="1">MINVERSE(D4:E5)</f>
        <v>#NAME?</v>
      </c>
      <c r="E11" s="370" t="e">
        <f ca="1"/>
        <v>#NAME?</v>
      </c>
      <c r="G11" t="s">
        <v>783</v>
      </c>
      <c r="H11" s="146" t="e">
        <f ca="1">D4+E5</f>
        <v>#NAME?</v>
      </c>
      <c r="J11" s="369" t="e">
        <f ca="1">COS(K6)</f>
        <v>#NAME?</v>
      </c>
      <c r="K11" s="370" t="e">
        <f ca="1">-J12</f>
        <v>#NAME?</v>
      </c>
      <c r="M11" s="371">
        <f t="shared" si="0"/>
        <v>3.1210000000000022</v>
      </c>
      <c r="N11" s="371">
        <f t="shared" si="0"/>
        <v>2.9529999999999994</v>
      </c>
      <c r="O11" s="372" t="e">
        <f t="shared" ca="1" si="3"/>
        <v>#NAME?</v>
      </c>
      <c r="Q11">
        <f t="shared" si="4"/>
        <v>2.1991148575128552</v>
      </c>
      <c r="R11" t="e">
        <f t="shared" ca="1" si="1"/>
        <v>#NAME?</v>
      </c>
      <c r="S11" t="e">
        <f t="shared" ca="1" si="2"/>
        <v>#NAME?</v>
      </c>
      <c r="U11" t="s">
        <v>726</v>
      </c>
      <c r="V11" s="375">
        <f>_xlfn.CHISQ.INV(V9,2)</f>
        <v>5.9914645471079799</v>
      </c>
    </row>
    <row r="12" spans="1:22" x14ac:dyDescent="0.35">
      <c r="A12" s="368">
        <v>29.34</v>
      </c>
      <c r="B12" s="368">
        <v>16.559999999999999</v>
      </c>
      <c r="D12" s="91" t="e">
        <f ca="1"/>
        <v>#NAME?</v>
      </c>
      <c r="E12" s="93" t="e">
        <f ca="1"/>
        <v>#NAME?</v>
      </c>
      <c r="G12" t="s">
        <v>109</v>
      </c>
      <c r="H12" s="49" t="e">
        <f ca="1">D4*E5-E4^2</f>
        <v>#NAME?</v>
      </c>
      <c r="J12" s="91" t="e">
        <f ca="1">SIN(K6)</f>
        <v>#NAME?</v>
      </c>
      <c r="K12" s="93" t="e">
        <f ca="1">J11</f>
        <v>#NAME?</v>
      </c>
      <c r="M12" s="371">
        <f t="shared" si="0"/>
        <v>1.2510000000000012</v>
      </c>
      <c r="N12" s="371">
        <f t="shared" si="0"/>
        <v>1.9029999999999987</v>
      </c>
      <c r="O12" s="372" t="e">
        <f t="shared" ca="1" si="3"/>
        <v>#NAME?</v>
      </c>
      <c r="Q12">
        <f t="shared" si="4"/>
        <v>2.5132741228718345</v>
      </c>
      <c r="R12" t="e">
        <f t="shared" ca="1" si="1"/>
        <v>#NAME?</v>
      </c>
      <c r="S12" t="e">
        <f t="shared" ca="1" si="2"/>
        <v>#NAME?</v>
      </c>
    </row>
    <row r="13" spans="1:22" x14ac:dyDescent="0.35">
      <c r="A13" s="377">
        <v>30.06</v>
      </c>
      <c r="B13" s="377">
        <v>14.77</v>
      </c>
      <c r="D13" s="378"/>
      <c r="G13" t="s">
        <v>784</v>
      </c>
      <c r="H13" s="49" t="e">
        <f ca="1">(H11+SQRT(H11^2-4*H12))/2</f>
        <v>#NAME?</v>
      </c>
      <c r="M13" s="379">
        <f t="shared" si="0"/>
        <v>1.9710000000000001</v>
      </c>
      <c r="N13" s="379">
        <f t="shared" si="0"/>
        <v>0.11299999999999955</v>
      </c>
      <c r="O13" s="380" t="e">
        <f ca="1">IF((D$11*M13 + E$11*N13)*M13 + (D$12*M13 + E$12*N13)*N13&gt;=H$8,"outside","inside")</f>
        <v>#NAME?</v>
      </c>
      <c r="Q13">
        <f t="shared" si="4"/>
        <v>2.8274333882308138</v>
      </c>
      <c r="R13" t="e">
        <f t="shared" ca="1" si="1"/>
        <v>#NAME?</v>
      </c>
      <c r="S13" t="e">
        <f t="shared" ca="1" si="2"/>
        <v>#NAME?</v>
      </c>
    </row>
    <row r="14" spans="1:22" x14ac:dyDescent="0.35">
      <c r="G14" t="s">
        <v>785</v>
      </c>
      <c r="H14" s="52" t="e">
        <f ca="1">H11-H13</f>
        <v>#NAME?</v>
      </c>
      <c r="Q14">
        <f t="shared" si="4"/>
        <v>3.1415926535897931</v>
      </c>
      <c r="R14" t="e">
        <f t="shared" ca="1" si="1"/>
        <v>#NAME?</v>
      </c>
      <c r="S14" t="e">
        <f t="shared" ca="1" si="2"/>
        <v>#NAME?</v>
      </c>
    </row>
    <row r="15" spans="1:22" x14ac:dyDescent="0.35">
      <c r="Q15">
        <f t="shared" si="4"/>
        <v>3.4557519189487724</v>
      </c>
      <c r="R15" t="e">
        <f t="shared" ca="1" si="1"/>
        <v>#NAME?</v>
      </c>
      <c r="S15" t="e">
        <f t="shared" ca="1" si="2"/>
        <v>#NAME?</v>
      </c>
    </row>
    <row r="16" spans="1:22" x14ac:dyDescent="0.35">
      <c r="Q16">
        <f t="shared" si="4"/>
        <v>3.7699111843077517</v>
      </c>
      <c r="R16" t="e">
        <f t="shared" ca="1" si="1"/>
        <v>#NAME?</v>
      </c>
      <c r="S16" t="e">
        <f t="shared" ca="1" si="2"/>
        <v>#NAME?</v>
      </c>
    </row>
    <row r="17" spans="17:19" x14ac:dyDescent="0.35">
      <c r="Q17">
        <f t="shared" si="4"/>
        <v>4.0840704496667311</v>
      </c>
      <c r="R17" t="e">
        <f t="shared" ca="1" si="1"/>
        <v>#NAME?</v>
      </c>
      <c r="S17" t="e">
        <f t="shared" ca="1" si="2"/>
        <v>#NAME?</v>
      </c>
    </row>
    <row r="18" spans="17:19" x14ac:dyDescent="0.35">
      <c r="Q18">
        <f t="shared" si="4"/>
        <v>4.3982297150257104</v>
      </c>
      <c r="R18" t="e">
        <f t="shared" ca="1" si="1"/>
        <v>#NAME?</v>
      </c>
      <c r="S18" t="e">
        <f t="shared" ca="1" si="2"/>
        <v>#NAME?</v>
      </c>
    </row>
    <row r="19" spans="17:19" x14ac:dyDescent="0.35">
      <c r="Q19">
        <f t="shared" si="4"/>
        <v>4.7123889803846897</v>
      </c>
      <c r="R19" t="e">
        <f t="shared" ca="1" si="1"/>
        <v>#NAME?</v>
      </c>
      <c r="S19" t="e">
        <f t="shared" ca="1" si="2"/>
        <v>#NAME?</v>
      </c>
    </row>
    <row r="20" spans="17:19" x14ac:dyDescent="0.35">
      <c r="Q20">
        <f t="shared" si="4"/>
        <v>5.026548245743669</v>
      </c>
      <c r="R20" t="e">
        <f t="shared" ca="1" si="1"/>
        <v>#NAME?</v>
      </c>
      <c r="S20" t="e">
        <f t="shared" ca="1" si="2"/>
        <v>#NAME?</v>
      </c>
    </row>
    <row r="21" spans="17:19" x14ac:dyDescent="0.35">
      <c r="Q21">
        <f t="shared" si="4"/>
        <v>5.3407075111026483</v>
      </c>
      <c r="R21" t="e">
        <f t="shared" ca="1" si="1"/>
        <v>#NAME?</v>
      </c>
      <c r="S21" t="e">
        <f t="shared" ca="1" si="2"/>
        <v>#NAME?</v>
      </c>
    </row>
    <row r="22" spans="17:19" x14ac:dyDescent="0.35">
      <c r="Q22">
        <f t="shared" si="4"/>
        <v>5.6548667764616276</v>
      </c>
      <c r="R22" t="e">
        <f t="shared" ca="1" si="1"/>
        <v>#NAME?</v>
      </c>
      <c r="S22" t="e">
        <f t="shared" ca="1" si="2"/>
        <v>#NAME?</v>
      </c>
    </row>
    <row r="23" spans="17:19" x14ac:dyDescent="0.35">
      <c r="Q23">
        <f t="shared" si="4"/>
        <v>5.9690260418206069</v>
      </c>
      <c r="R23" t="e">
        <f t="shared" ca="1" si="1"/>
        <v>#NAME?</v>
      </c>
      <c r="S23" t="e">
        <f t="shared" ca="1" si="2"/>
        <v>#NAME?</v>
      </c>
    </row>
    <row r="24" spans="17:19" x14ac:dyDescent="0.35">
      <c r="Q24" s="92">
        <f t="shared" si="4"/>
        <v>6.2831853071795862</v>
      </c>
      <c r="R24" s="92" t="e">
        <f t="shared" ca="1" si="1"/>
        <v>#NAME?</v>
      </c>
      <c r="S24" s="92" t="e">
        <f t="shared" ca="1" si="2"/>
        <v>#NAME?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4"/>
  <dimension ref="A1:F39"/>
  <sheetViews>
    <sheetView workbookViewId="0"/>
  </sheetViews>
  <sheetFormatPr defaultRowHeight="14.5" x14ac:dyDescent="0.35"/>
  <cols>
    <col min="3" max="3" width="3.7265625" customWidth="1"/>
  </cols>
  <sheetData>
    <row r="1" spans="1:5" x14ac:dyDescent="0.35">
      <c r="A1" s="42" t="s">
        <v>775</v>
      </c>
    </row>
    <row r="3" spans="1:5" x14ac:dyDescent="0.35">
      <c r="A3" s="366" t="s">
        <v>390</v>
      </c>
      <c r="B3" s="366" t="s">
        <v>392</v>
      </c>
      <c r="D3" t="s">
        <v>775</v>
      </c>
    </row>
    <row r="4" spans="1:5" x14ac:dyDescent="0.35">
      <c r="A4" s="368">
        <v>27.11</v>
      </c>
      <c r="B4" s="368">
        <v>13.8</v>
      </c>
    </row>
    <row r="5" spans="1:5" x14ac:dyDescent="0.35">
      <c r="A5" s="368">
        <v>26.77</v>
      </c>
      <c r="B5" s="368">
        <v>13.42</v>
      </c>
      <c r="D5" t="s">
        <v>220</v>
      </c>
      <c r="E5" s="137">
        <v>0.05</v>
      </c>
    </row>
    <row r="6" spans="1:5" x14ac:dyDescent="0.35">
      <c r="A6" s="368">
        <v>27.35</v>
      </c>
      <c r="B6" s="368">
        <v>12.76</v>
      </c>
    </row>
    <row r="7" spans="1:5" x14ac:dyDescent="0.35">
      <c r="A7" s="368">
        <v>29.2</v>
      </c>
      <c r="B7" s="368">
        <v>14.88</v>
      </c>
      <c r="D7" t="e">
        <f t="array" aca="1" ref="D7:E11" ca="1">CONF_BNORM(A4:A13,B4:B13,TRUE,E5)</f>
        <v>#NAME?</v>
      </c>
      <c r="E7" s="132" t="e">
        <f ca="1"/>
        <v>#NAME?</v>
      </c>
    </row>
    <row r="8" spans="1:5" x14ac:dyDescent="0.35">
      <c r="A8" s="368">
        <v>27.44</v>
      </c>
      <c r="B8" s="368">
        <v>14.56</v>
      </c>
      <c r="D8" t="e">
        <f ca="1"/>
        <v>#NAME?</v>
      </c>
      <c r="E8" s="98" t="e">
        <f ca="1"/>
        <v>#NAME?</v>
      </c>
    </row>
    <row r="9" spans="1:5" x14ac:dyDescent="0.35">
      <c r="A9" s="368">
        <v>26.16</v>
      </c>
      <c r="B9" s="368">
        <v>14.35</v>
      </c>
      <c r="D9" t="e">
        <f ca="1"/>
        <v>#NAME?</v>
      </c>
      <c r="E9" s="98" t="e">
        <f ca="1"/>
        <v>#NAME?</v>
      </c>
    </row>
    <row r="10" spans="1:5" x14ac:dyDescent="0.35">
      <c r="A10" s="368">
        <v>26.25</v>
      </c>
      <c r="B10" s="368">
        <v>13.86</v>
      </c>
      <c r="D10" t="e">
        <f ca="1"/>
        <v>#NAME?</v>
      </c>
      <c r="E10" s="98" t="e">
        <f ca="1"/>
        <v>#NAME?</v>
      </c>
    </row>
    <row r="11" spans="1:5" x14ac:dyDescent="0.35">
      <c r="A11" s="368">
        <v>31.21</v>
      </c>
      <c r="B11" s="368">
        <v>17.61</v>
      </c>
      <c r="D11" t="e">
        <f ca="1"/>
        <v>#NAME?</v>
      </c>
      <c r="E11" s="381" t="e">
        <f ca="1"/>
        <v>#NAME?</v>
      </c>
    </row>
    <row r="12" spans="1:5" x14ac:dyDescent="0.35">
      <c r="A12" s="368">
        <v>29.34</v>
      </c>
      <c r="B12" s="368">
        <v>16.559999999999999</v>
      </c>
    </row>
    <row r="13" spans="1:5" x14ac:dyDescent="0.35">
      <c r="A13" s="382">
        <v>30.06</v>
      </c>
      <c r="B13" s="382">
        <v>14.77</v>
      </c>
      <c r="D13" t="s">
        <v>786</v>
      </c>
      <c r="E13" s="383">
        <f>AVERAGE(A4:A13)</f>
        <v>28.088999999999999</v>
      </c>
    </row>
    <row r="14" spans="1:5" x14ac:dyDescent="0.35">
      <c r="D14" t="s">
        <v>787</v>
      </c>
      <c r="E14" s="384">
        <f>AVERAGE(B4:B13)</f>
        <v>14.657</v>
      </c>
    </row>
    <row r="16" spans="1:5" x14ac:dyDescent="0.35">
      <c r="D16" t="s">
        <v>788</v>
      </c>
    </row>
    <row r="18" spans="4:6" x14ac:dyDescent="0.35">
      <c r="D18" s="385" t="s">
        <v>459</v>
      </c>
      <c r="E18" s="385" t="s">
        <v>630</v>
      </c>
      <c r="F18" s="385" t="s">
        <v>631</v>
      </c>
    </row>
    <row r="19" spans="4:6" x14ac:dyDescent="0.35">
      <c r="D19">
        <v>0</v>
      </c>
      <c r="E19" t="e">
        <f ca="1">COS($E$9)*$E$7*COS($D19)-SIN($E$9)*$E$8*SIN($D19)+$E$13</f>
        <v>#NAME?</v>
      </c>
      <c r="F19" t="e">
        <f ca="1">COS($E$9)*$E$8*SIN($D19)+SIN($E$9)*$E$7*COS($D19)+$E$14</f>
        <v>#NAME?</v>
      </c>
    </row>
    <row r="20" spans="4:6" x14ac:dyDescent="0.35">
      <c r="D20">
        <f>D19+PI()/10</f>
        <v>0.31415926535897931</v>
      </c>
      <c r="E20" t="e">
        <f t="shared" ref="E20:E39" ca="1" si="0">COS($E$9)*$E$7*COS($D20)-SIN($E$9)*$E$8*SIN($D20)+$E$13</f>
        <v>#NAME?</v>
      </c>
      <c r="F20" t="e">
        <f t="shared" ref="F20:F39" ca="1" si="1">COS($E$9)*$E$8*SIN($D20)+SIN($E$9)*$E$7*COS($D20)+$E$14</f>
        <v>#NAME?</v>
      </c>
    </row>
    <row r="21" spans="4:6" x14ac:dyDescent="0.35">
      <c r="D21">
        <f t="shared" ref="D21:D39" si="2">D20+PI()/10</f>
        <v>0.62831853071795862</v>
      </c>
      <c r="E21" t="e">
        <f t="shared" ca="1" si="0"/>
        <v>#NAME?</v>
      </c>
      <c r="F21" t="e">
        <f t="shared" ca="1" si="1"/>
        <v>#NAME?</v>
      </c>
    </row>
    <row r="22" spans="4:6" x14ac:dyDescent="0.35">
      <c r="D22">
        <f t="shared" si="2"/>
        <v>0.94247779607693793</v>
      </c>
      <c r="E22" t="e">
        <f t="shared" ca="1" si="0"/>
        <v>#NAME?</v>
      </c>
      <c r="F22" t="e">
        <f t="shared" ca="1" si="1"/>
        <v>#NAME?</v>
      </c>
    </row>
    <row r="23" spans="4:6" x14ac:dyDescent="0.35">
      <c r="D23">
        <f t="shared" si="2"/>
        <v>1.2566370614359172</v>
      </c>
      <c r="E23" t="e">
        <f t="shared" ca="1" si="0"/>
        <v>#NAME?</v>
      </c>
      <c r="F23" t="e">
        <f t="shared" ca="1" si="1"/>
        <v>#NAME?</v>
      </c>
    </row>
    <row r="24" spans="4:6" x14ac:dyDescent="0.35">
      <c r="D24">
        <f t="shared" si="2"/>
        <v>1.5707963267948966</v>
      </c>
      <c r="E24" t="e">
        <f t="shared" ca="1" si="0"/>
        <v>#NAME?</v>
      </c>
      <c r="F24" t="e">
        <f t="shared" ca="1" si="1"/>
        <v>#NAME?</v>
      </c>
    </row>
    <row r="25" spans="4:6" x14ac:dyDescent="0.35">
      <c r="D25">
        <f t="shared" si="2"/>
        <v>1.8849555921538759</v>
      </c>
      <c r="E25" t="e">
        <f t="shared" ca="1" si="0"/>
        <v>#NAME?</v>
      </c>
      <c r="F25" t="e">
        <f t="shared" ca="1" si="1"/>
        <v>#NAME?</v>
      </c>
    </row>
    <row r="26" spans="4:6" x14ac:dyDescent="0.35">
      <c r="D26">
        <f t="shared" si="2"/>
        <v>2.1991148575128552</v>
      </c>
      <c r="E26" t="e">
        <f t="shared" ca="1" si="0"/>
        <v>#NAME?</v>
      </c>
      <c r="F26" t="e">
        <f t="shared" ca="1" si="1"/>
        <v>#NAME?</v>
      </c>
    </row>
    <row r="27" spans="4:6" x14ac:dyDescent="0.35">
      <c r="D27">
        <f t="shared" si="2"/>
        <v>2.5132741228718345</v>
      </c>
      <c r="E27" t="e">
        <f t="shared" ca="1" si="0"/>
        <v>#NAME?</v>
      </c>
      <c r="F27" t="e">
        <f t="shared" ca="1" si="1"/>
        <v>#NAME?</v>
      </c>
    </row>
    <row r="28" spans="4:6" x14ac:dyDescent="0.35">
      <c r="D28">
        <f t="shared" si="2"/>
        <v>2.8274333882308138</v>
      </c>
      <c r="E28" t="e">
        <f t="shared" ca="1" si="0"/>
        <v>#NAME?</v>
      </c>
      <c r="F28" t="e">
        <f t="shared" ca="1" si="1"/>
        <v>#NAME?</v>
      </c>
    </row>
    <row r="29" spans="4:6" x14ac:dyDescent="0.35">
      <c r="D29">
        <f t="shared" si="2"/>
        <v>3.1415926535897931</v>
      </c>
      <c r="E29" t="e">
        <f t="shared" ca="1" si="0"/>
        <v>#NAME?</v>
      </c>
      <c r="F29" t="e">
        <f t="shared" ca="1" si="1"/>
        <v>#NAME?</v>
      </c>
    </row>
    <row r="30" spans="4:6" x14ac:dyDescent="0.35">
      <c r="D30">
        <f t="shared" si="2"/>
        <v>3.4557519189487724</v>
      </c>
      <c r="E30" t="e">
        <f t="shared" ca="1" si="0"/>
        <v>#NAME?</v>
      </c>
      <c r="F30" t="e">
        <f t="shared" ca="1" si="1"/>
        <v>#NAME?</v>
      </c>
    </row>
    <row r="31" spans="4:6" x14ac:dyDescent="0.35">
      <c r="D31">
        <f t="shared" si="2"/>
        <v>3.7699111843077517</v>
      </c>
      <c r="E31" t="e">
        <f t="shared" ca="1" si="0"/>
        <v>#NAME?</v>
      </c>
      <c r="F31" t="e">
        <f t="shared" ca="1" si="1"/>
        <v>#NAME?</v>
      </c>
    </row>
    <row r="32" spans="4:6" x14ac:dyDescent="0.35">
      <c r="D32">
        <f t="shared" si="2"/>
        <v>4.0840704496667311</v>
      </c>
      <c r="E32" t="e">
        <f t="shared" ca="1" si="0"/>
        <v>#NAME?</v>
      </c>
      <c r="F32" t="e">
        <f t="shared" ca="1" si="1"/>
        <v>#NAME?</v>
      </c>
    </row>
    <row r="33" spans="4:6" x14ac:dyDescent="0.35">
      <c r="D33">
        <f t="shared" si="2"/>
        <v>4.3982297150257104</v>
      </c>
      <c r="E33" t="e">
        <f t="shared" ca="1" si="0"/>
        <v>#NAME?</v>
      </c>
      <c r="F33" t="e">
        <f t="shared" ca="1" si="1"/>
        <v>#NAME?</v>
      </c>
    </row>
    <row r="34" spans="4:6" x14ac:dyDescent="0.35">
      <c r="D34">
        <f t="shared" si="2"/>
        <v>4.7123889803846897</v>
      </c>
      <c r="E34" t="e">
        <f t="shared" ca="1" si="0"/>
        <v>#NAME?</v>
      </c>
      <c r="F34" t="e">
        <f t="shared" ca="1" si="1"/>
        <v>#NAME?</v>
      </c>
    </row>
    <row r="35" spans="4:6" x14ac:dyDescent="0.35">
      <c r="D35">
        <f t="shared" si="2"/>
        <v>5.026548245743669</v>
      </c>
      <c r="E35" t="e">
        <f t="shared" ca="1" si="0"/>
        <v>#NAME?</v>
      </c>
      <c r="F35" t="e">
        <f t="shared" ca="1" si="1"/>
        <v>#NAME?</v>
      </c>
    </row>
    <row r="36" spans="4:6" x14ac:dyDescent="0.35">
      <c r="D36">
        <f t="shared" si="2"/>
        <v>5.3407075111026483</v>
      </c>
      <c r="E36" t="e">
        <f t="shared" ca="1" si="0"/>
        <v>#NAME?</v>
      </c>
      <c r="F36" t="e">
        <f t="shared" ca="1" si="1"/>
        <v>#NAME?</v>
      </c>
    </row>
    <row r="37" spans="4:6" x14ac:dyDescent="0.35">
      <c r="D37">
        <f t="shared" si="2"/>
        <v>5.6548667764616276</v>
      </c>
      <c r="E37" t="e">
        <f t="shared" ca="1" si="0"/>
        <v>#NAME?</v>
      </c>
      <c r="F37" t="e">
        <f t="shared" ca="1" si="1"/>
        <v>#NAME?</v>
      </c>
    </row>
    <row r="38" spans="4:6" x14ac:dyDescent="0.35">
      <c r="D38">
        <f t="shared" si="2"/>
        <v>5.9690260418206069</v>
      </c>
      <c r="E38" t="e">
        <f t="shared" ca="1" si="0"/>
        <v>#NAME?</v>
      </c>
      <c r="F38" t="e">
        <f t="shared" ca="1" si="1"/>
        <v>#NAME?</v>
      </c>
    </row>
    <row r="39" spans="4:6" x14ac:dyDescent="0.35">
      <c r="D39" s="40">
        <f t="shared" si="2"/>
        <v>6.2831853071795862</v>
      </c>
      <c r="E39" s="40" t="e">
        <f t="shared" ca="1" si="0"/>
        <v>#NAME?</v>
      </c>
      <c r="F39" s="40" t="e">
        <f t="shared" ca="1" si="1"/>
        <v>#NAME?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4"/>
  <dimension ref="A1:Z22"/>
  <sheetViews>
    <sheetView topLeftCell="A3" zoomScaleNormal="100" workbookViewId="0">
      <selection activeCell="O24" sqref="O24"/>
    </sheetView>
  </sheetViews>
  <sheetFormatPr defaultRowHeight="14.5" x14ac:dyDescent="0.35"/>
  <cols>
    <col min="3" max="3" width="4.81640625" customWidth="1"/>
    <col min="6" max="6" width="4" customWidth="1"/>
    <col min="7" max="7" width="44" customWidth="1"/>
    <col min="14" max="14" width="3.1796875" customWidth="1"/>
    <col min="15" max="15" width="43" customWidth="1"/>
    <col min="16" max="16" width="9.1796875" customWidth="1"/>
    <col min="20" max="20" width="3.26953125" customWidth="1"/>
    <col min="21" max="21" width="49.453125" customWidth="1"/>
  </cols>
  <sheetData>
    <row r="1" spans="1:26" x14ac:dyDescent="0.35">
      <c r="A1" s="42" t="s">
        <v>624</v>
      </c>
    </row>
    <row r="2" spans="1:26" x14ac:dyDescent="0.35">
      <c r="Q2" t="s">
        <v>638</v>
      </c>
    </row>
    <row r="3" spans="1:26" x14ac:dyDescent="0.35">
      <c r="A3" s="268" t="s">
        <v>390</v>
      </c>
      <c r="B3" s="268" t="s">
        <v>392</v>
      </c>
      <c r="D3" t="s">
        <v>227</v>
      </c>
      <c r="I3" t="s">
        <v>635</v>
      </c>
    </row>
    <row r="4" spans="1:26" x14ac:dyDescent="0.35">
      <c r="A4" s="32">
        <v>36</v>
      </c>
      <c r="B4" s="32">
        <v>33</v>
      </c>
      <c r="Q4" s="268" t="s">
        <v>390</v>
      </c>
      <c r="R4" s="268" t="s">
        <v>392</v>
      </c>
      <c r="S4" s="268" t="s">
        <v>639</v>
      </c>
    </row>
    <row r="5" spans="1:26" x14ac:dyDescent="0.35">
      <c r="A5" s="32">
        <v>30</v>
      </c>
      <c r="B5" s="32">
        <v>27</v>
      </c>
      <c r="D5" s="138" t="e">
        <f t="array" aca="1" ref="D5:E6" ca="1">COV(A4:B22)</f>
        <v>#NAME?</v>
      </c>
      <c r="E5" s="140" t="e">
        <f ca="1"/>
        <v>#NAME?</v>
      </c>
      <c r="F5" s="37"/>
      <c r="G5" s="37" t="e">
        <f ca="1">FTEXT(E5)</f>
        <v>#NAME?</v>
      </c>
      <c r="I5" s="138" t="e">
        <f t="array" aca="1" ref="I5:J6" ca="1">CHOL(D5:E6)</f>
        <v>#NAME?</v>
      </c>
      <c r="J5" s="140" t="e">
        <f ca="1"/>
        <v>#NAME?</v>
      </c>
      <c r="O5" t="e" cm="1">
        <f t="array" aca="1" ref="O5" ca="1">FTEXT(I5)</f>
        <v>#NAME?</v>
      </c>
      <c r="Q5" s="268">
        <v>30</v>
      </c>
      <c r="R5" s="268">
        <v>15</v>
      </c>
      <c r="S5" s="147" t="e">
        <f ca="1">SQRT(MDistSq(A4:B22,Q5:R5))</f>
        <v>#NAME?</v>
      </c>
      <c r="U5" t="e">
        <f ca="1">FTEXT(S5)</f>
        <v>#NAME?</v>
      </c>
    </row>
    <row r="6" spans="1:26" x14ac:dyDescent="0.35">
      <c r="A6" s="32">
        <v>28</v>
      </c>
      <c r="B6" s="32">
        <v>29</v>
      </c>
      <c r="D6" s="39" t="e">
        <f ca="1"/>
        <v>#NAME?</v>
      </c>
      <c r="E6" s="41" t="e">
        <f ca="1"/>
        <v>#NAME?</v>
      </c>
      <c r="F6" s="37"/>
      <c r="G6" s="37"/>
      <c r="I6" s="39" t="e">
        <f ca="1"/>
        <v>#NAME?</v>
      </c>
      <c r="J6" s="41" t="e">
        <f ca="1"/>
        <v>#NAME?</v>
      </c>
      <c r="Q6" s="32"/>
      <c r="R6" s="32"/>
      <c r="U6" t="e">
        <f ca="1">FTEXT(S6)</f>
        <v>#NAME?</v>
      </c>
    </row>
    <row r="7" spans="1:26" x14ac:dyDescent="0.35">
      <c r="A7" s="32">
        <v>21</v>
      </c>
      <c r="B7" s="32">
        <v>15</v>
      </c>
      <c r="G7" s="37"/>
      <c r="Q7" s="269">
        <v>30</v>
      </c>
      <c r="R7" s="269">
        <v>15</v>
      </c>
      <c r="S7" s="233" t="e">
        <f ca="1">SQRT(MDistSq(A4:B22,Q7:R7,Q8:R8))</f>
        <v>#NAME?</v>
      </c>
      <c r="U7" t="e">
        <f ca="1">FTEXT(S7)</f>
        <v>#NAME?</v>
      </c>
    </row>
    <row r="8" spans="1:26" x14ac:dyDescent="0.35">
      <c r="A8" s="32">
        <v>16</v>
      </c>
      <c r="B8" s="32">
        <v>16</v>
      </c>
      <c r="D8" t="s">
        <v>637</v>
      </c>
      <c r="I8" s="32" t="s">
        <v>851</v>
      </c>
      <c r="Q8" s="74">
        <v>20</v>
      </c>
      <c r="R8" s="74">
        <v>20</v>
      </c>
      <c r="S8" s="40"/>
      <c r="U8" t="e">
        <f ca="1">FTEXT(S8)</f>
        <v>#NAME?</v>
      </c>
    </row>
    <row r="9" spans="1:26" x14ac:dyDescent="0.35">
      <c r="A9" s="32">
        <v>15</v>
      </c>
      <c r="B9" s="32">
        <v>18</v>
      </c>
    </row>
    <row r="10" spans="1:26" x14ac:dyDescent="0.35">
      <c r="A10" s="32">
        <v>20</v>
      </c>
      <c r="B10" s="32">
        <v>20</v>
      </c>
      <c r="D10" t="s">
        <v>633</v>
      </c>
      <c r="E10" s="146">
        <f>AVERAGE(A4:A23)</f>
        <v>25.94736842105263</v>
      </c>
      <c r="F10" s="37"/>
      <c r="G10" s="37" t="e">
        <f ca="1">FTEXT(E10)</f>
        <v>#NAME?</v>
      </c>
      <c r="I10" s="138">
        <f ca="1">NORMSINV(RAND())</f>
        <v>-0.44162737312721856</v>
      </c>
      <c r="J10" s="139">
        <f t="shared" ref="J10:M11" ca="1" si="0">NORMSINV(RAND())</f>
        <v>-0.16989010727877005</v>
      </c>
      <c r="K10" s="139">
        <f t="shared" ca="1" si="0"/>
        <v>0.54024005335931879</v>
      </c>
      <c r="L10" s="139">
        <f t="shared" ca="1" si="0"/>
        <v>0.17770179783073498</v>
      </c>
      <c r="M10" s="140">
        <f t="shared" ca="1" si="0"/>
        <v>0.22087682345912629</v>
      </c>
      <c r="O10" t="e">
        <f ca="1">FTEXT(I10)</f>
        <v>#NAME?</v>
      </c>
      <c r="Z10" t="e">
        <f t="array" aca="1" ref="Z10:Z14" ca="1">CONF_MNORM(B4:F30)</f>
        <v>#NAME?</v>
      </c>
    </row>
    <row r="11" spans="1:26" x14ac:dyDescent="0.35">
      <c r="A11" s="32">
        <v>21</v>
      </c>
      <c r="B11" s="32">
        <v>22</v>
      </c>
      <c r="D11" t="s">
        <v>634</v>
      </c>
      <c r="E11" s="173">
        <f>AVERAGE(B4:B22)</f>
        <v>24</v>
      </c>
      <c r="F11" s="37"/>
      <c r="G11" s="37" t="e">
        <f ca="1">FTEXT(E11)</f>
        <v>#NAME?</v>
      </c>
      <c r="I11" s="39">
        <f ca="1">NORMSINV(RAND())</f>
        <v>-1.506327376998805</v>
      </c>
      <c r="J11" s="92">
        <f t="shared" ca="1" si="0"/>
        <v>1.06478479420886</v>
      </c>
      <c r="K11" s="92">
        <f t="shared" ca="1" si="0"/>
        <v>2.7107425619570127</v>
      </c>
      <c r="L11" s="92">
        <f t="shared" ca="1" si="0"/>
        <v>-1.127538368141334</v>
      </c>
      <c r="M11" s="41">
        <f t="shared" ca="1" si="0"/>
        <v>-0.17010695494267772</v>
      </c>
      <c r="O11" t="e">
        <f ca="1">FTEXT(I11)</f>
        <v>#NAME?</v>
      </c>
      <c r="Q11" s="268">
        <v>30</v>
      </c>
      <c r="R11" s="268">
        <v>15</v>
      </c>
      <c r="S11" s="147" t="e">
        <f ca="1">SQRT(MDistSq(D5:E6,Q11:R11,MEANCOL(A4:B22),FALSE))</f>
        <v>#NAME?</v>
      </c>
      <c r="U11" t="e">
        <f ca="1">FTEXT(S11)</f>
        <v>#NAME?</v>
      </c>
      <c r="Z11" t="e">
        <f ca="1"/>
        <v>#NAME?</v>
      </c>
    </row>
    <row r="12" spans="1:26" x14ac:dyDescent="0.35">
      <c r="A12" s="32">
        <v>19</v>
      </c>
      <c r="B12" s="32">
        <v>20</v>
      </c>
      <c r="D12" t="s">
        <v>627</v>
      </c>
      <c r="E12" s="173" t="e">
        <f ca="1">SQRT(D5)</f>
        <v>#NAME?</v>
      </c>
      <c r="F12" s="37"/>
      <c r="G12" s="37" t="e">
        <f ca="1">FTEXT(E12)</f>
        <v>#NAME?</v>
      </c>
      <c r="Z12" t="e">
        <f ca="1"/>
        <v>#NAME?</v>
      </c>
    </row>
    <row r="13" spans="1:26" x14ac:dyDescent="0.35">
      <c r="A13" s="32">
        <v>17</v>
      </c>
      <c r="B13" s="32">
        <v>15</v>
      </c>
      <c r="D13" t="s">
        <v>628</v>
      </c>
      <c r="E13" s="173" t="e">
        <f ca="1">SQRT(E6)</f>
        <v>#NAME?</v>
      </c>
      <c r="F13" s="37"/>
      <c r="G13" s="37" t="e">
        <f ca="1">FTEXT(E13)</f>
        <v>#NAME?</v>
      </c>
      <c r="I13" s="32" t="s">
        <v>636</v>
      </c>
      <c r="Q13" s="269">
        <v>30</v>
      </c>
      <c r="R13" s="269">
        <v>15</v>
      </c>
      <c r="S13" s="233" t="e">
        <f ca="1">SQRT(MDistSq(D5:E6,Q13:R13,Q14:R14,FALSE))</f>
        <v>#NAME?</v>
      </c>
      <c r="U13" t="e">
        <f ca="1">FTEXT(S13)</f>
        <v>#NAME?</v>
      </c>
      <c r="Z13" t="e">
        <f ca="1"/>
        <v>#NAME?</v>
      </c>
    </row>
    <row r="14" spans="1:26" x14ac:dyDescent="0.35">
      <c r="A14" s="32">
        <v>16</v>
      </c>
      <c r="B14" s="32">
        <v>15</v>
      </c>
      <c r="D14" t="s">
        <v>629</v>
      </c>
      <c r="E14" s="173" t="e">
        <f ca="1">D6/(E12*E13)</f>
        <v>#NAME?</v>
      </c>
      <c r="F14" s="37"/>
      <c r="G14" s="37" t="e">
        <f ca="1">FTEXT(E14)</f>
        <v>#NAME?</v>
      </c>
      <c r="Q14" s="74">
        <v>20</v>
      </c>
      <c r="R14" s="74">
        <v>20</v>
      </c>
      <c r="S14" s="40"/>
      <c r="U14" t="e">
        <f ca="1">FTEXT(S14)</f>
        <v>#NAME?</v>
      </c>
      <c r="Z14" t="e">
        <f ca="1"/>
        <v>#NAME?</v>
      </c>
    </row>
    <row r="15" spans="1:26" x14ac:dyDescent="0.35">
      <c r="A15" s="32">
        <v>32</v>
      </c>
      <c r="B15" s="32">
        <v>23</v>
      </c>
      <c r="D15" t="s">
        <v>630</v>
      </c>
      <c r="E15" s="173">
        <v>30</v>
      </c>
      <c r="F15" s="37"/>
      <c r="G15" s="37"/>
      <c r="I15" s="138" t="e">
        <f t="array" aca="1" ref="I15:I16" ca="1">MMULT($I$5:$J$6,I10:I11)+$E$10:$E$11</f>
        <v>#NAME?</v>
      </c>
      <c r="J15" s="139" t="e">
        <f t="array" aca="1" ref="J15:J16" ca="1">MMULT($I$5:$J$6,J10:J11)+$E$10:$E$11</f>
        <v>#NAME?</v>
      </c>
      <c r="K15" s="139" t="e">
        <f t="array" aca="1" ref="K15:K16" ca="1">MMULT($I$5:$J$6,K10:K11)+$E$10:$E$11</f>
        <v>#NAME?</v>
      </c>
      <c r="L15" s="139" t="e">
        <f t="array" aca="1" ref="L15:L16" ca="1">MMULT($I$5:$J$6,L10:L11)+$E$10:$E$11</f>
        <v>#NAME?</v>
      </c>
      <c r="M15" s="140" t="e">
        <f t="array" aca="1" ref="M15:M16" ca="1">MMULT($I$5:$J$6,M10:M11)+$E$10:$E$11</f>
        <v>#NAME?</v>
      </c>
      <c r="O15" t="e">
        <f ca="1">FTEXT(I15)</f>
        <v>#NAME?</v>
      </c>
    </row>
    <row r="16" spans="1:26" x14ac:dyDescent="0.35">
      <c r="A16" s="32">
        <v>27</v>
      </c>
      <c r="B16" s="32">
        <v>23</v>
      </c>
      <c r="D16" t="s">
        <v>631</v>
      </c>
      <c r="E16" s="173">
        <v>15</v>
      </c>
      <c r="F16" s="37"/>
      <c r="G16" s="37"/>
      <c r="I16" s="39" t="e">
        <f ca="1"/>
        <v>#NAME?</v>
      </c>
      <c r="J16" s="92" t="e">
        <f ca="1"/>
        <v>#NAME?</v>
      </c>
      <c r="K16" s="92" t="e">
        <f ca="1"/>
        <v>#NAME?</v>
      </c>
      <c r="L16" s="92" t="e">
        <f ca="1"/>
        <v>#NAME?</v>
      </c>
      <c r="M16" s="41" t="e">
        <f ca="1"/>
        <v>#NAME?</v>
      </c>
    </row>
    <row r="17" spans="1:15" x14ac:dyDescent="0.35">
      <c r="A17" s="32">
        <v>24</v>
      </c>
      <c r="B17" s="32">
        <v>26</v>
      </c>
      <c r="D17" t="s">
        <v>632</v>
      </c>
      <c r="E17" s="173" t="e">
        <f ca="1">BNORMDIST(E15,E16,E10,E11,E12,E13,E14,FALSE)</f>
        <v>#NAME?</v>
      </c>
      <c r="F17" s="37"/>
      <c r="G17" s="37" t="e">
        <f ca="1">FTEXT(E17)</f>
        <v>#NAME?</v>
      </c>
    </row>
    <row r="18" spans="1:15" x14ac:dyDescent="0.35">
      <c r="A18" s="32">
        <v>28</v>
      </c>
      <c r="B18" s="32">
        <v>34</v>
      </c>
      <c r="D18" t="s">
        <v>771</v>
      </c>
      <c r="E18" s="52" t="e">
        <f ca="1">BNORMDIST(E15,E16,E10,E11,E12,E13,E14,TRUE)</f>
        <v>#NAME?</v>
      </c>
      <c r="G18" s="37" t="e">
        <f ca="1">FTEXT(E18)</f>
        <v>#NAME?</v>
      </c>
    </row>
    <row r="19" spans="1:15" x14ac:dyDescent="0.35">
      <c r="A19" s="32">
        <v>40</v>
      </c>
      <c r="B19" s="32">
        <v>33</v>
      </c>
      <c r="I19" s="138" t="e">
        <f t="array" aca="1" ref="I19:I20" ca="1">BNORMRAND($E$10,$E$11,$E$12,$E$13,$E$14)</f>
        <v>#NAME?</v>
      </c>
      <c r="J19" s="139" t="e">
        <f t="array" aca="1" ref="J19:J20" ca="1">BNORMRAND($E$10,$E$11,$E$12,$E$13,$E$14)</f>
        <v>#NAME?</v>
      </c>
      <c r="K19" s="139" t="e">
        <f t="array" aca="1" ref="K19:K20" ca="1">BNORMRAND($E$10,$E$11,$E$12,$E$13,$E$14)</f>
        <v>#NAME?</v>
      </c>
      <c r="L19" s="139" t="e">
        <f t="array" aca="1" ref="L19:L20" ca="1">BNORMRAND($E$10,$E$11,$E$12,$E$13,$E$14)</f>
        <v>#NAME?</v>
      </c>
      <c r="M19" s="140" t="e">
        <f t="array" aca="1" ref="M19:M20" ca="1">BNORMRAND($E$10,$E$11,$E$12,$E$13,$E$14)</f>
        <v>#NAME?</v>
      </c>
      <c r="O19" t="e">
        <f ca="1">FTEXT(I19)</f>
        <v>#NAME?</v>
      </c>
    </row>
    <row r="20" spans="1:15" x14ac:dyDescent="0.35">
      <c r="A20" s="32">
        <v>41</v>
      </c>
      <c r="B20" s="32">
        <v>40</v>
      </c>
      <c r="I20" s="39" t="e">
        <f ca="1"/>
        <v>#NAME?</v>
      </c>
      <c r="J20" s="92" t="e">
        <f ca="1"/>
        <v>#NAME?</v>
      </c>
      <c r="K20" s="92" t="e">
        <f ca="1"/>
        <v>#NAME?</v>
      </c>
      <c r="L20" s="92" t="e">
        <f ca="1"/>
        <v>#NAME?</v>
      </c>
      <c r="M20" s="41" t="e">
        <f ca="1"/>
        <v>#NAME?</v>
      </c>
    </row>
    <row r="21" spans="1:15" x14ac:dyDescent="0.35">
      <c r="A21" s="32">
        <v>39</v>
      </c>
      <c r="B21" s="32">
        <v>28</v>
      </c>
    </row>
    <row r="22" spans="1:15" x14ac:dyDescent="0.35">
      <c r="A22" s="267">
        <v>23</v>
      </c>
      <c r="B22" s="267">
        <v>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3"/>
  <dimension ref="A1:E22"/>
  <sheetViews>
    <sheetView workbookViewId="0"/>
  </sheetViews>
  <sheetFormatPr defaultRowHeight="14.5" x14ac:dyDescent="0.35"/>
  <sheetData>
    <row r="1" spans="1:5" x14ac:dyDescent="0.35">
      <c r="A1" s="42" t="s">
        <v>640</v>
      </c>
    </row>
    <row r="3" spans="1:5" x14ac:dyDescent="0.35">
      <c r="A3" s="268" t="s">
        <v>390</v>
      </c>
      <c r="B3" s="268" t="s">
        <v>392</v>
      </c>
      <c r="D3" t="e">
        <f t="array" aca="1" ref="D3:E8" ca="1">MSKEWTEST(A4:B22,TRUE)</f>
        <v>#NAME?</v>
      </c>
      <c r="E3" s="146" t="e">
        <f ca="1"/>
        <v>#NAME?</v>
      </c>
    </row>
    <row r="4" spans="1:5" x14ac:dyDescent="0.35">
      <c r="A4" s="32">
        <v>36</v>
      </c>
      <c r="B4" s="32">
        <v>33</v>
      </c>
      <c r="D4" t="e">
        <f ca="1"/>
        <v>#NAME?</v>
      </c>
      <c r="E4" s="173" t="e">
        <f ca="1"/>
        <v>#NAME?</v>
      </c>
    </row>
    <row r="5" spans="1:5" x14ac:dyDescent="0.35">
      <c r="A5" s="32">
        <v>30</v>
      </c>
      <c r="B5" s="32">
        <v>27</v>
      </c>
      <c r="D5" t="e">
        <f ca="1"/>
        <v>#NAME?</v>
      </c>
      <c r="E5" s="173" t="e">
        <f ca="1"/>
        <v>#NAME?</v>
      </c>
    </row>
    <row r="6" spans="1:5" x14ac:dyDescent="0.35">
      <c r="A6" s="32">
        <v>28</v>
      </c>
      <c r="B6" s="32">
        <v>29</v>
      </c>
      <c r="D6" t="e">
        <f ca="1"/>
        <v>#NAME?</v>
      </c>
      <c r="E6" s="173" t="e">
        <f ca="1"/>
        <v>#NAME?</v>
      </c>
    </row>
    <row r="7" spans="1:5" x14ac:dyDescent="0.35">
      <c r="A7" s="32">
        <v>21</v>
      </c>
      <c r="B7" s="32">
        <v>15</v>
      </c>
      <c r="D7" t="e">
        <f ca="1"/>
        <v>#NAME?</v>
      </c>
      <c r="E7" s="173" t="e">
        <f ca="1"/>
        <v>#NAME?</v>
      </c>
    </row>
    <row r="8" spans="1:5" x14ac:dyDescent="0.35">
      <c r="A8" s="32">
        <v>16</v>
      </c>
      <c r="B8" s="32">
        <v>16</v>
      </c>
      <c r="D8" t="e">
        <f ca="1"/>
        <v>#NAME?</v>
      </c>
      <c r="E8" s="52" t="e">
        <f ca="1"/>
        <v>#NAME?</v>
      </c>
    </row>
    <row r="9" spans="1:5" x14ac:dyDescent="0.35">
      <c r="A9" s="32">
        <v>15</v>
      </c>
      <c r="B9" s="32">
        <v>18</v>
      </c>
    </row>
    <row r="10" spans="1:5" x14ac:dyDescent="0.35">
      <c r="A10" s="32">
        <v>20</v>
      </c>
      <c r="B10" s="32">
        <v>20</v>
      </c>
      <c r="D10" t="e">
        <f t="array" aca="1" ref="D10:E12" ca="1">MKURTTEST(A4:B22,TRUE)</f>
        <v>#NAME?</v>
      </c>
      <c r="E10" s="146" t="e">
        <f ca="1"/>
        <v>#NAME?</v>
      </c>
    </row>
    <row r="11" spans="1:5" x14ac:dyDescent="0.35">
      <c r="A11" s="32">
        <v>21</v>
      </c>
      <c r="B11" s="32">
        <v>22</v>
      </c>
      <c r="D11" t="e">
        <f ca="1"/>
        <v>#NAME?</v>
      </c>
      <c r="E11" s="173" t="e">
        <f ca="1"/>
        <v>#NAME?</v>
      </c>
    </row>
    <row r="12" spans="1:5" x14ac:dyDescent="0.35">
      <c r="A12" s="32">
        <v>19</v>
      </c>
      <c r="B12" s="32">
        <v>20</v>
      </c>
      <c r="D12" t="e">
        <f ca="1"/>
        <v>#NAME?</v>
      </c>
      <c r="E12" s="52" t="e">
        <f ca="1"/>
        <v>#NAME?</v>
      </c>
    </row>
    <row r="13" spans="1:5" x14ac:dyDescent="0.35">
      <c r="A13" s="32">
        <v>17</v>
      </c>
      <c r="B13" s="32">
        <v>15</v>
      </c>
    </row>
    <row r="14" spans="1:5" x14ac:dyDescent="0.35">
      <c r="A14" s="32">
        <v>16</v>
      </c>
      <c r="B14" s="32">
        <v>15</v>
      </c>
    </row>
    <row r="15" spans="1:5" x14ac:dyDescent="0.35">
      <c r="A15" s="32">
        <v>32</v>
      </c>
      <c r="B15" s="32">
        <v>23</v>
      </c>
    </row>
    <row r="16" spans="1:5" x14ac:dyDescent="0.35">
      <c r="A16" s="32">
        <v>27</v>
      </c>
      <c r="B16" s="32">
        <v>23</v>
      </c>
    </row>
    <row r="17" spans="1:2" x14ac:dyDescent="0.35">
      <c r="A17" s="32">
        <v>24</v>
      </c>
      <c r="B17" s="32">
        <v>26</v>
      </c>
    </row>
    <row r="18" spans="1:2" x14ac:dyDescent="0.35">
      <c r="A18" s="32">
        <v>28</v>
      </c>
      <c r="B18" s="32">
        <v>34</v>
      </c>
    </row>
    <row r="19" spans="1:2" x14ac:dyDescent="0.35">
      <c r="A19" s="32">
        <v>40</v>
      </c>
      <c r="B19" s="32">
        <v>33</v>
      </c>
    </row>
    <row r="20" spans="1:2" x14ac:dyDescent="0.35">
      <c r="A20" s="32">
        <v>41</v>
      </c>
      <c r="B20" s="32">
        <v>40</v>
      </c>
    </row>
    <row r="21" spans="1:2" x14ac:dyDescent="0.35">
      <c r="A21" s="32">
        <v>39</v>
      </c>
      <c r="B21" s="32">
        <v>28</v>
      </c>
    </row>
    <row r="22" spans="1:2" x14ac:dyDescent="0.35">
      <c r="A22" s="267">
        <v>23</v>
      </c>
      <c r="B22" s="26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6DBF-5B32-4946-9967-039C885679AC}">
  <sheetPr codeName="Sheet30"/>
  <dimension ref="A1:K14"/>
  <sheetViews>
    <sheetView workbookViewId="0"/>
  </sheetViews>
  <sheetFormatPr defaultRowHeight="14.5" x14ac:dyDescent="0.35"/>
  <cols>
    <col min="1" max="3" width="5.7265625" customWidth="1"/>
    <col min="4" max="4" width="4.6328125" customWidth="1"/>
    <col min="5" max="6" width="6.54296875" customWidth="1"/>
    <col min="7" max="7" width="8.453125" customWidth="1"/>
    <col min="8" max="8" width="5.81640625" customWidth="1"/>
    <col min="9" max="9" width="4.6328125" customWidth="1"/>
  </cols>
  <sheetData>
    <row r="1" spans="1:11" x14ac:dyDescent="0.35">
      <c r="A1" s="42" t="s">
        <v>873</v>
      </c>
    </row>
    <row r="2" spans="1:11" x14ac:dyDescent="0.35">
      <c r="A2" t="s">
        <v>874</v>
      </c>
      <c r="E2" s="47" t="s">
        <v>875</v>
      </c>
      <c r="F2" s="47" t="s">
        <v>876</v>
      </c>
      <c r="G2" s="47" t="s">
        <v>753</v>
      </c>
      <c r="H2" s="47" t="s">
        <v>877</v>
      </c>
    </row>
    <row r="3" spans="1:11" x14ac:dyDescent="0.35">
      <c r="A3" s="414">
        <v>1</v>
      </c>
      <c r="B3" s="414">
        <v>3</v>
      </c>
      <c r="C3" s="414">
        <v>4.5</v>
      </c>
      <c r="E3" s="138" t="e" cm="1">
        <f t="array" aca="1" ref="E3" ca="1">MSTVectors(B3:C14)</f>
        <v>#NAME?</v>
      </c>
      <c r="F3" s="414"/>
      <c r="G3" s="415"/>
      <c r="H3" s="146" t="e">
        <f ca="1">IF(E3&lt;=7,IF(F3&gt;7,1,0),IF(F3&lt;=7,1,0))</f>
        <v>#NAME?</v>
      </c>
      <c r="J3" t="e" cm="1">
        <f t="array" aca="1" ref="J3" ca="1">FR_Test(B3:C9,B10:C14,TRUE)</f>
        <v>#NAME?</v>
      </c>
      <c r="K3" s="146"/>
    </row>
    <row r="4" spans="1:11" x14ac:dyDescent="0.35">
      <c r="A4">
        <f>A3+1</f>
        <v>2</v>
      </c>
      <c r="B4">
        <v>1</v>
      </c>
      <c r="C4">
        <v>5</v>
      </c>
      <c r="E4" s="36"/>
      <c r="G4" s="90"/>
      <c r="H4" s="49">
        <f t="shared" ref="H4:H13" si="0">IF(E4&lt;=7,IF(F4&gt;7,1,0),IF(F4&lt;=7,1,0))</f>
        <v>0</v>
      </c>
      <c r="K4" s="49"/>
    </row>
    <row r="5" spans="1:11" x14ac:dyDescent="0.35">
      <c r="A5">
        <f t="shared" ref="A5:A14" si="1">A4+1</f>
        <v>3</v>
      </c>
      <c r="B5">
        <v>5</v>
      </c>
      <c r="C5">
        <v>6.5</v>
      </c>
      <c r="E5" s="36"/>
      <c r="G5" s="90"/>
      <c r="H5" s="49">
        <f t="shared" si="0"/>
        <v>0</v>
      </c>
      <c r="K5" s="49"/>
    </row>
    <row r="6" spans="1:11" x14ac:dyDescent="0.35">
      <c r="A6">
        <f t="shared" si="1"/>
        <v>4</v>
      </c>
      <c r="B6">
        <v>2.5</v>
      </c>
      <c r="C6">
        <v>5</v>
      </c>
      <c r="E6" s="36"/>
      <c r="G6" s="90"/>
      <c r="H6" s="49">
        <f t="shared" si="0"/>
        <v>0</v>
      </c>
      <c r="K6" s="49"/>
    </row>
    <row r="7" spans="1:11" x14ac:dyDescent="0.35">
      <c r="A7">
        <f t="shared" si="1"/>
        <v>5</v>
      </c>
      <c r="B7">
        <v>7</v>
      </c>
      <c r="C7">
        <v>3</v>
      </c>
      <c r="E7" s="36"/>
      <c r="G7" s="90"/>
      <c r="H7" s="49">
        <f t="shared" si="0"/>
        <v>0</v>
      </c>
      <c r="K7" s="49"/>
    </row>
    <row r="8" spans="1:11" x14ac:dyDescent="0.35">
      <c r="A8">
        <f t="shared" si="1"/>
        <v>6</v>
      </c>
      <c r="B8">
        <v>1.5</v>
      </c>
      <c r="C8">
        <v>1</v>
      </c>
      <c r="E8" s="36"/>
      <c r="G8" s="90"/>
      <c r="H8" s="49">
        <f t="shared" si="0"/>
        <v>0</v>
      </c>
      <c r="K8" s="49"/>
    </row>
    <row r="9" spans="1:11" x14ac:dyDescent="0.35">
      <c r="A9" s="92">
        <f t="shared" si="1"/>
        <v>7</v>
      </c>
      <c r="B9" s="92">
        <v>4</v>
      </c>
      <c r="C9" s="92">
        <v>2.5</v>
      </c>
      <c r="E9" s="36"/>
      <c r="G9" s="90"/>
      <c r="H9" s="49">
        <f t="shared" si="0"/>
        <v>0</v>
      </c>
      <c r="K9" s="174"/>
    </row>
    <row r="10" spans="1:11" x14ac:dyDescent="0.35">
      <c r="A10">
        <f t="shared" si="1"/>
        <v>8</v>
      </c>
      <c r="B10">
        <v>2</v>
      </c>
      <c r="C10">
        <v>2</v>
      </c>
      <c r="E10" s="36"/>
      <c r="G10" s="90"/>
      <c r="H10" s="49">
        <f t="shared" si="0"/>
        <v>0</v>
      </c>
    </row>
    <row r="11" spans="1:11" x14ac:dyDescent="0.35">
      <c r="A11">
        <f t="shared" si="1"/>
        <v>9</v>
      </c>
      <c r="B11">
        <v>8</v>
      </c>
      <c r="C11">
        <v>4</v>
      </c>
      <c r="E11" s="36"/>
      <c r="G11" s="90"/>
      <c r="H11" s="49">
        <f t="shared" si="0"/>
        <v>0</v>
      </c>
    </row>
    <row r="12" spans="1:11" x14ac:dyDescent="0.35">
      <c r="A12">
        <f t="shared" si="1"/>
        <v>10</v>
      </c>
      <c r="B12">
        <v>3</v>
      </c>
      <c r="C12">
        <v>9</v>
      </c>
      <c r="E12" s="36"/>
      <c r="G12" s="90"/>
      <c r="H12" s="49">
        <f t="shared" si="0"/>
        <v>0</v>
      </c>
    </row>
    <row r="13" spans="1:11" x14ac:dyDescent="0.35">
      <c r="A13">
        <f t="shared" si="1"/>
        <v>11</v>
      </c>
      <c r="B13">
        <v>4.5</v>
      </c>
      <c r="C13">
        <v>0.5</v>
      </c>
      <c r="E13" s="91"/>
      <c r="F13" s="92"/>
      <c r="G13" s="93"/>
      <c r="H13" s="174">
        <f t="shared" si="0"/>
        <v>0</v>
      </c>
    </row>
    <row r="14" spans="1:11" x14ac:dyDescent="0.35">
      <c r="A14" s="92">
        <f t="shared" si="1"/>
        <v>12</v>
      </c>
      <c r="B14" s="92">
        <v>5</v>
      </c>
      <c r="C14" s="92">
        <v>2</v>
      </c>
      <c r="G14" s="47" t="s">
        <v>878</v>
      </c>
      <c r="H14" t="e">
        <f ca="1">SUM(H3:H13)+1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958B-C0EE-4596-8074-16CAE14D406F}">
  <sheetPr codeName="Sheet31"/>
  <dimension ref="A1:Y22"/>
  <sheetViews>
    <sheetView workbookViewId="0">
      <selection activeCell="E5" sqref="E5"/>
    </sheetView>
  </sheetViews>
  <sheetFormatPr defaultRowHeight="14.5" x14ac:dyDescent="0.35"/>
  <cols>
    <col min="3" max="3" width="3.6328125" customWidth="1"/>
    <col min="4" max="4" width="6.08984375" customWidth="1"/>
    <col min="7" max="7" width="4.6328125" customWidth="1"/>
    <col min="10" max="10" width="3.6328125" customWidth="1"/>
    <col min="16" max="16" width="3.6328125" customWidth="1"/>
    <col min="17" max="17" width="6.08984375" customWidth="1"/>
    <col min="23" max="23" width="3.6328125" customWidth="1"/>
  </cols>
  <sheetData>
    <row r="1" spans="1:25" x14ac:dyDescent="0.35">
      <c r="A1" s="42"/>
      <c r="H1" s="42" t="s">
        <v>880</v>
      </c>
    </row>
    <row r="3" spans="1:25" x14ac:dyDescent="0.35">
      <c r="A3" s="268" t="s">
        <v>390</v>
      </c>
      <c r="B3" s="268" t="s">
        <v>392</v>
      </c>
      <c r="E3" s="268" t="s">
        <v>390</v>
      </c>
      <c r="F3" s="268" t="s">
        <v>392</v>
      </c>
      <c r="H3" s="268" t="s">
        <v>390</v>
      </c>
      <c r="I3" s="268" t="s">
        <v>392</v>
      </c>
      <c r="N3" s="268" t="s">
        <v>390</v>
      </c>
      <c r="O3" s="268" t="s">
        <v>392</v>
      </c>
      <c r="R3" s="268" t="s">
        <v>390</v>
      </c>
      <c r="S3" s="268" t="s">
        <v>392</v>
      </c>
      <c r="U3" s="268" t="s">
        <v>390</v>
      </c>
      <c r="V3" s="268" t="s">
        <v>392</v>
      </c>
    </row>
    <row r="4" spans="1:25" x14ac:dyDescent="0.35">
      <c r="A4" s="32">
        <v>36</v>
      </c>
      <c r="B4" s="32">
        <v>33</v>
      </c>
      <c r="H4" s="32" t="e">
        <f t="array" aca="1" ref="H4:I4" ca="1">TRANSPOSE(MNORMRAND(TRANSPOSE(E$5:F$5),$E$7:$F$8))</f>
        <v>#NAME?</v>
      </c>
      <c r="I4" s="32" t="e">
        <f ca="1"/>
        <v>#NAME?</v>
      </c>
      <c r="K4" t="e">
        <f t="array" aca="1" ref="K4:L10" ca="1">FR_Test(A4:B22,H4:I22,TRUE)</f>
        <v>#NAME?</v>
      </c>
      <c r="L4" s="146" t="e">
        <f ca="1"/>
        <v>#NAME?</v>
      </c>
      <c r="N4" s="32" t="e">
        <f t="array" aca="1" ref="N4:O4" ca="1">TRANSPOSE(MNORMRAND(TRANSPOSE(E$5:F$5),$E$7:$F$8))</f>
        <v>#NAME?</v>
      </c>
      <c r="O4" s="32" t="e">
        <f ca="1"/>
        <v>#NAME?</v>
      </c>
      <c r="U4" s="32" t="e">
        <f t="array" aca="1" ref="U4:V4" ca="1">TRANSPOSE(MNORMRAND(TRANSPOSE(R$5:S$5),$R$7:$S$8))</f>
        <v>#NAME?</v>
      </c>
      <c r="V4" s="32" t="e">
        <f ca="1"/>
        <v>#NAME?</v>
      </c>
      <c r="X4" t="e">
        <f t="array" aca="1" ref="X4:Y10" ca="1">FR_Test(N4:O22,U4:V22,TRUE)</f>
        <v>#NAME?</v>
      </c>
      <c r="Y4" s="146" t="e">
        <f ca="1"/>
        <v>#NAME?</v>
      </c>
    </row>
    <row r="5" spans="1:25" x14ac:dyDescent="0.35">
      <c r="A5" s="32">
        <v>30</v>
      </c>
      <c r="B5" s="32">
        <v>27</v>
      </c>
      <c r="D5" t="s">
        <v>48</v>
      </c>
      <c r="E5" s="53">
        <f>AVERAGE(A4:A22)</f>
        <v>25.94736842105263</v>
      </c>
      <c r="F5" s="148">
        <f>AVERAGE(B4:B22)</f>
        <v>24</v>
      </c>
      <c r="H5" s="32" t="e">
        <f t="array" aca="1" ref="H5:I5" ca="1">TRANSPOSE(MNORMRAND(TRANSPOSE(E$5:F$5),$E$7:$F$8))</f>
        <v>#NAME?</v>
      </c>
      <c r="I5" s="32" t="e">
        <f ca="1"/>
        <v>#NAME?</v>
      </c>
      <c r="K5" t="e">
        <f ca="1"/>
        <v>#NAME?</v>
      </c>
      <c r="L5" s="173" t="e">
        <f ca="1"/>
        <v>#NAME?</v>
      </c>
      <c r="N5" s="32" t="e">
        <f t="array" aca="1" ref="N5:O5" ca="1">TRANSPOSE(MNORMRAND(TRANSPOSE(E$5:F$5),$E$7:$F$8))</f>
        <v>#NAME?</v>
      </c>
      <c r="O5" s="32" t="e">
        <f ca="1"/>
        <v>#NAME?</v>
      </c>
      <c r="Q5" t="s">
        <v>48</v>
      </c>
      <c r="R5" s="53" t="e">
        <f ca="1">AVERAGE(N4:N22)</f>
        <v>#NAME?</v>
      </c>
      <c r="S5" s="148" t="e">
        <f ca="1">AVERAGE(O4:O22)</f>
        <v>#NAME?</v>
      </c>
      <c r="U5" s="32" t="e">
        <f t="array" aca="1" ref="U5:V5" ca="1">TRANSPOSE(MNORMRAND(TRANSPOSE(R$5:S$5),$R$7:$S$8))</f>
        <v>#NAME?</v>
      </c>
      <c r="V5" s="32" t="e">
        <f ca="1"/>
        <v>#NAME?</v>
      </c>
      <c r="X5" t="e">
        <f ca="1"/>
        <v>#NAME?</v>
      </c>
      <c r="Y5" s="173" t="e">
        <f ca="1"/>
        <v>#NAME?</v>
      </c>
    </row>
    <row r="6" spans="1:25" x14ac:dyDescent="0.35">
      <c r="A6" s="32">
        <v>28</v>
      </c>
      <c r="B6" s="32">
        <v>29</v>
      </c>
      <c r="H6" s="32" t="e">
        <f t="array" aca="1" ref="H6:I6" ca="1">TRANSPOSE(MNORMRAND(TRANSPOSE(E$5:F$5),$E$7:$F$8))</f>
        <v>#NAME?</v>
      </c>
      <c r="I6" s="32" t="e">
        <f ca="1"/>
        <v>#NAME?</v>
      </c>
      <c r="K6" t="e">
        <f ca="1"/>
        <v>#NAME?</v>
      </c>
      <c r="L6" s="173" t="e">
        <f ca="1"/>
        <v>#NAME?</v>
      </c>
      <c r="N6" s="32" t="e">
        <f t="array" aca="1" ref="N6:O6" ca="1">TRANSPOSE(MNORMRAND(TRANSPOSE(E$5:F$5),$E$7:$F$8))</f>
        <v>#NAME?</v>
      </c>
      <c r="O6" s="32" t="e">
        <f ca="1"/>
        <v>#NAME?</v>
      </c>
      <c r="U6" s="32" t="e">
        <f t="array" aca="1" ref="U6:V6" ca="1">TRANSPOSE(MNORMRAND(TRANSPOSE(R$5:S$5),$R$7:$S$8))</f>
        <v>#NAME?</v>
      </c>
      <c r="V6" s="32" t="e">
        <f ca="1"/>
        <v>#NAME?</v>
      </c>
      <c r="X6" t="e">
        <f ca="1"/>
        <v>#NAME?</v>
      </c>
      <c r="Y6" s="173" t="e">
        <f ca="1"/>
        <v>#NAME?</v>
      </c>
    </row>
    <row r="7" spans="1:25" x14ac:dyDescent="0.35">
      <c r="A7" s="32">
        <v>21</v>
      </c>
      <c r="B7" s="32">
        <v>15</v>
      </c>
      <c r="D7" t="s">
        <v>292</v>
      </c>
      <c r="E7" s="138" t="e">
        <f t="array" aca="1" ref="E7:F8" ca="1">COV(A4:B22)</f>
        <v>#NAME?</v>
      </c>
      <c r="F7" s="140" t="e">
        <f ca="1"/>
        <v>#NAME?</v>
      </c>
      <c r="H7" s="32" t="e">
        <f t="array" aca="1" ref="H7:I7" ca="1">TRANSPOSE(MNORMRAND(TRANSPOSE(E$5:F$5),$E$7:$F$8))</f>
        <v>#NAME?</v>
      </c>
      <c r="I7" s="32" t="e">
        <f ca="1"/>
        <v>#NAME?</v>
      </c>
      <c r="K7" t="e">
        <f ca="1"/>
        <v>#NAME?</v>
      </c>
      <c r="L7" s="173" t="e">
        <f ca="1"/>
        <v>#NAME?</v>
      </c>
      <c r="N7" s="32" t="e">
        <f t="array" aca="1" ref="N7:O7" ca="1">TRANSPOSE(MNORMRAND(TRANSPOSE(E$5:F$5),$E$7:$F$8))</f>
        <v>#NAME?</v>
      </c>
      <c r="O7" s="32" t="e">
        <f ca="1"/>
        <v>#NAME?</v>
      </c>
      <c r="Q7" t="s">
        <v>292</v>
      </c>
      <c r="R7" s="138" t="e">
        <f t="array" aca="1" ref="R7:S8" ca="1">COV(N4:O22)</f>
        <v>#NAME?</v>
      </c>
      <c r="S7" s="140" t="e">
        <f ca="1"/>
        <v>#NAME?</v>
      </c>
      <c r="U7" s="32" t="e">
        <f t="array" aca="1" ref="U7:V7" ca="1">TRANSPOSE(MNORMRAND(TRANSPOSE(R$5:S$5),$R$7:$S$8))</f>
        <v>#NAME?</v>
      </c>
      <c r="V7" s="32" t="e">
        <f ca="1"/>
        <v>#NAME?</v>
      </c>
      <c r="X7" t="e">
        <f ca="1"/>
        <v>#NAME?</v>
      </c>
      <c r="Y7" s="173" t="e">
        <f ca="1"/>
        <v>#NAME?</v>
      </c>
    </row>
    <row r="8" spans="1:25" x14ac:dyDescent="0.35">
      <c r="A8" s="32">
        <v>16</v>
      </c>
      <c r="B8" s="32">
        <v>16</v>
      </c>
      <c r="E8" s="91" t="e">
        <f ca="1"/>
        <v>#NAME?</v>
      </c>
      <c r="F8" s="93" t="e">
        <f ca="1"/>
        <v>#NAME?</v>
      </c>
      <c r="H8" s="32" t="e">
        <f t="array" aca="1" ref="H8:I8" ca="1">TRANSPOSE(MNORMRAND(TRANSPOSE(E$5:F$5),$E$7:$F$8))</f>
        <v>#NAME?</v>
      </c>
      <c r="I8" s="32" t="e">
        <f ca="1"/>
        <v>#NAME?</v>
      </c>
      <c r="K8" t="e">
        <f ca="1"/>
        <v>#NAME?</v>
      </c>
      <c r="L8" s="173" t="e">
        <f ca="1"/>
        <v>#NAME?</v>
      </c>
      <c r="N8" s="32" t="e">
        <f t="array" aca="1" ref="N8:O8" ca="1">TRANSPOSE(MNORMRAND(TRANSPOSE(E$5:F$5),$E$7:$F$8))</f>
        <v>#NAME?</v>
      </c>
      <c r="O8" s="32" t="e">
        <f ca="1"/>
        <v>#NAME?</v>
      </c>
      <c r="R8" s="91" t="e">
        <f ca="1"/>
        <v>#NAME?</v>
      </c>
      <c r="S8" s="93" t="e">
        <f ca="1"/>
        <v>#NAME?</v>
      </c>
      <c r="U8" s="32" t="e">
        <f t="array" aca="1" ref="U8:V8" ca="1">TRANSPOSE(MNORMRAND(TRANSPOSE(R$5:S$5),$R$7:$S$8))</f>
        <v>#NAME?</v>
      </c>
      <c r="V8" s="32" t="e">
        <f ca="1"/>
        <v>#NAME?</v>
      </c>
      <c r="X8" t="e">
        <f ca="1"/>
        <v>#NAME?</v>
      </c>
      <c r="Y8" s="173" t="e">
        <f ca="1"/>
        <v>#NAME?</v>
      </c>
    </row>
    <row r="9" spans="1:25" x14ac:dyDescent="0.35">
      <c r="A9" s="32">
        <v>15</v>
      </c>
      <c r="B9" s="32">
        <v>18</v>
      </c>
      <c r="H9" s="32" t="e">
        <f t="array" aca="1" ref="H9:I9" ca="1">TRANSPOSE(MNORMRAND(TRANSPOSE(E$5:F$5),$E$7:$F$8))</f>
        <v>#NAME?</v>
      </c>
      <c r="I9" s="32" t="e">
        <f ca="1"/>
        <v>#NAME?</v>
      </c>
      <c r="K9" t="e">
        <f ca="1"/>
        <v>#NAME?</v>
      </c>
      <c r="L9" s="173" t="e">
        <f ca="1"/>
        <v>#NAME?</v>
      </c>
      <c r="N9" s="32" t="e">
        <f t="array" aca="1" ref="N9:O9" ca="1">TRANSPOSE(MNORMRAND(TRANSPOSE(E$5:F$5),$E$7:$F$8))</f>
        <v>#NAME?</v>
      </c>
      <c r="O9" s="32" t="e">
        <f ca="1"/>
        <v>#NAME?</v>
      </c>
      <c r="U9" s="32" t="e">
        <f t="array" aca="1" ref="U9:V9" ca="1">TRANSPOSE(MNORMRAND(TRANSPOSE(R$5:S$5),$R$7:$S$8))</f>
        <v>#NAME?</v>
      </c>
      <c r="V9" s="32" t="e">
        <f ca="1"/>
        <v>#NAME?</v>
      </c>
      <c r="X9" t="e">
        <f ca="1"/>
        <v>#NAME?</v>
      </c>
      <c r="Y9" s="173" t="e">
        <f ca="1"/>
        <v>#NAME?</v>
      </c>
    </row>
    <row r="10" spans="1:25" x14ac:dyDescent="0.35">
      <c r="A10" s="32">
        <v>20</v>
      </c>
      <c r="B10" s="32">
        <v>20</v>
      </c>
      <c r="H10" s="32" t="e">
        <f t="array" aca="1" ref="H10:I10" ca="1">TRANSPOSE(MNORMRAND(TRANSPOSE(E$5:F$5),$E$7:$F$8))</f>
        <v>#NAME?</v>
      </c>
      <c r="I10" s="32" t="e">
        <f ca="1"/>
        <v>#NAME?</v>
      </c>
      <c r="K10" t="e">
        <f ca="1"/>
        <v>#NAME?</v>
      </c>
      <c r="L10" s="52" t="e">
        <f ca="1"/>
        <v>#NAME?</v>
      </c>
      <c r="N10" s="32" t="e">
        <f t="array" aca="1" ref="N10:O10" ca="1">TRANSPOSE(MNORMRAND(TRANSPOSE(E$5:F$5),$E$7:$F$8))</f>
        <v>#NAME?</v>
      </c>
      <c r="O10" s="32" t="e">
        <f ca="1"/>
        <v>#NAME?</v>
      </c>
      <c r="U10" s="32" t="e">
        <f t="array" aca="1" ref="U10:V10" ca="1">TRANSPOSE(MNORMRAND(TRANSPOSE(R$5:S$5),$R$7:$S$8))</f>
        <v>#NAME?</v>
      </c>
      <c r="V10" s="32" t="e">
        <f ca="1"/>
        <v>#NAME?</v>
      </c>
      <c r="X10" t="e">
        <f ca="1"/>
        <v>#NAME?</v>
      </c>
      <c r="Y10" s="52" t="e">
        <f ca="1"/>
        <v>#NAME?</v>
      </c>
    </row>
    <row r="11" spans="1:25" x14ac:dyDescent="0.35">
      <c r="A11" s="32">
        <v>21</v>
      </c>
      <c r="B11" s="32">
        <v>22</v>
      </c>
      <c r="H11" s="32" t="e">
        <f t="array" aca="1" ref="H11:I11" ca="1">TRANSPOSE(MNORMRAND(TRANSPOSE(E$5:F$5),$E$7:$F$8))</f>
        <v>#NAME?</v>
      </c>
      <c r="I11" s="32" t="e">
        <f ca="1"/>
        <v>#NAME?</v>
      </c>
      <c r="N11" s="32" t="e">
        <f t="array" aca="1" ref="N11:O11" ca="1">TRANSPOSE(MNORMRAND(TRANSPOSE(E$5:F$5),$E$7:$F$8))</f>
        <v>#NAME?</v>
      </c>
      <c r="O11" s="32" t="e">
        <f ca="1"/>
        <v>#NAME?</v>
      </c>
      <c r="Q11" t="s">
        <v>881</v>
      </c>
      <c r="R11" s="53" t="e">
        <f t="array" aca="1" ref="R11:S11" ca="1">MNORMRAND(R5:S5,_xlfn.ANCHORARRAY(R7))</f>
        <v>#NAME?</v>
      </c>
      <c r="S11" s="148" t="e">
        <f ca="1"/>
        <v>#NAME?</v>
      </c>
      <c r="U11" s="32" t="e">
        <f t="array" aca="1" ref="U11:V11" ca="1">TRANSPOSE(MNORMRAND(TRANSPOSE(R$5:S$5),$R$7:$S$8))</f>
        <v>#NAME?</v>
      </c>
      <c r="V11" s="32" t="e">
        <f ca="1"/>
        <v>#NAME?</v>
      </c>
    </row>
    <row r="12" spans="1:25" x14ac:dyDescent="0.35">
      <c r="A12" s="32">
        <v>19</v>
      </c>
      <c r="B12" s="32">
        <v>20</v>
      </c>
      <c r="H12" s="32" t="e">
        <f t="array" aca="1" ref="H12:I12" ca="1">TRANSPOSE(MNORMRAND(TRANSPOSE(E$5:F$5),$E$7:$F$8))</f>
        <v>#NAME?</v>
      </c>
      <c r="I12" s="32" t="e">
        <f ca="1"/>
        <v>#NAME?</v>
      </c>
      <c r="K12" t="s">
        <v>65</v>
      </c>
      <c r="L12" s="416" t="e" cm="1">
        <f t="array" aca="1" ref="L12" ca="1">MNORMTEST(A4:B22)</f>
        <v>#NAME?</v>
      </c>
      <c r="N12" s="32" t="e">
        <f t="array" aca="1" ref="N12:O12" ca="1">TRANSPOSE(MNORMRAND(TRANSPOSE(E$5:F$5),$E$7:$F$8))</f>
        <v>#NAME?</v>
      </c>
      <c r="O12" s="32" t="e">
        <f ca="1"/>
        <v>#NAME?</v>
      </c>
      <c r="U12" s="32" t="e">
        <f t="array" aca="1" ref="U12:V12" ca="1">TRANSPOSE(MNORMRAND(TRANSPOSE(R$5:S$5),$R$7:$S$8))</f>
        <v>#NAME?</v>
      </c>
      <c r="V12" s="32" t="e">
        <f ca="1"/>
        <v>#NAME?</v>
      </c>
    </row>
    <row r="13" spans="1:25" x14ac:dyDescent="0.35">
      <c r="A13" s="32">
        <v>17</v>
      </c>
      <c r="B13" s="32">
        <v>15</v>
      </c>
      <c r="H13" s="32" t="e">
        <f t="array" aca="1" ref="H13:I13" ca="1">TRANSPOSE(MNORMRAND(TRANSPOSE(E$5:F$5),$E$7:$F$8))</f>
        <v>#NAME?</v>
      </c>
      <c r="I13" s="32" t="e">
        <f ca="1"/>
        <v>#NAME?</v>
      </c>
      <c r="N13" s="32" t="e">
        <f t="array" aca="1" ref="N13:O13" ca="1">TRANSPOSE(MNORMRAND(TRANSPOSE(E$5:F$5),$E$7:$F$8))</f>
        <v>#NAME?</v>
      </c>
      <c r="O13" s="32" t="e">
        <f ca="1"/>
        <v>#NAME?</v>
      </c>
      <c r="U13" s="32" t="e">
        <f t="array" aca="1" ref="U13:V13" ca="1">TRANSPOSE(MNORMRAND(TRANSPOSE(R$5:S$5),$R$7:$S$8))</f>
        <v>#NAME?</v>
      </c>
      <c r="V13" s="32" t="e">
        <f ca="1"/>
        <v>#NAME?</v>
      </c>
    </row>
    <row r="14" spans="1:25" x14ac:dyDescent="0.35">
      <c r="A14" s="32">
        <v>16</v>
      </c>
      <c r="B14" s="32">
        <v>15</v>
      </c>
      <c r="H14" s="32" t="e">
        <f t="array" aca="1" ref="H14:I14" ca="1">TRANSPOSE(MNORMRAND(TRANSPOSE(E$5:F$5),$E$7:$F$8))</f>
        <v>#NAME?</v>
      </c>
      <c r="I14" s="32" t="e">
        <f ca="1"/>
        <v>#NAME?</v>
      </c>
      <c r="K14" t="s">
        <v>590</v>
      </c>
      <c r="L14">
        <v>2000</v>
      </c>
      <c r="N14" s="32" t="e">
        <f t="array" aca="1" ref="N14:O14" ca="1">TRANSPOSE(MNORMRAND(TRANSPOSE(E$5:F$5),$E$7:$F$8))</f>
        <v>#NAME?</v>
      </c>
      <c r="O14" s="32" t="e">
        <f ca="1"/>
        <v>#NAME?</v>
      </c>
      <c r="U14" s="32" t="e">
        <f t="array" aca="1" ref="U14:V14" ca="1">TRANSPOSE(MNORMRAND(TRANSPOSE(R$5:S$5),$R$7:$S$8))</f>
        <v>#NAME?</v>
      </c>
      <c r="V14" s="32" t="e">
        <f ca="1"/>
        <v>#NAME?</v>
      </c>
    </row>
    <row r="15" spans="1:25" x14ac:dyDescent="0.35">
      <c r="A15" s="32">
        <v>32</v>
      </c>
      <c r="B15" s="32">
        <v>23</v>
      </c>
      <c r="H15" s="32" t="e">
        <f t="array" aca="1" ref="H15:I15" ca="1">TRANSPOSE(MNORMRAND(TRANSPOSE(E$5:F$5),$E$7:$F$8))</f>
        <v>#NAME?</v>
      </c>
      <c r="I15" s="32" t="e">
        <f ca="1"/>
        <v>#NAME?</v>
      </c>
      <c r="K15" t="s">
        <v>65</v>
      </c>
      <c r="L15" s="416" t="e" cm="1">
        <f t="array" aca="1" ref="L15" ca="1">MNORMTEST(A4:B22,L14)</f>
        <v>#NAME?</v>
      </c>
      <c r="N15" s="32" t="e">
        <f t="array" aca="1" ref="N15:O15" ca="1">TRANSPOSE(MNORMRAND(TRANSPOSE(E$5:F$5),$E$7:$F$8))</f>
        <v>#NAME?</v>
      </c>
      <c r="O15" s="32" t="e">
        <f ca="1"/>
        <v>#NAME?</v>
      </c>
      <c r="U15" s="32" t="e">
        <f t="array" aca="1" ref="U15:V15" ca="1">TRANSPOSE(MNORMRAND(TRANSPOSE(R$5:S$5),$R$7:$S$8))</f>
        <v>#NAME?</v>
      </c>
      <c r="V15" s="32" t="e">
        <f ca="1"/>
        <v>#NAME?</v>
      </c>
    </row>
    <row r="16" spans="1:25" x14ac:dyDescent="0.35">
      <c r="A16" s="32">
        <v>27</v>
      </c>
      <c r="B16" s="32">
        <v>23</v>
      </c>
      <c r="H16" s="32" t="e">
        <f t="array" aca="1" ref="H16:I16" ca="1">TRANSPOSE(MNORMRAND(TRANSPOSE(E$5:F$5),$E$7:$F$8))</f>
        <v>#NAME?</v>
      </c>
      <c r="I16" s="32" t="e">
        <f ca="1"/>
        <v>#NAME?</v>
      </c>
      <c r="N16" s="32" t="e">
        <f t="array" aca="1" ref="N16:O16" ca="1">TRANSPOSE(MNORMRAND(TRANSPOSE(E$5:F$5),$E$7:$F$8))</f>
        <v>#NAME?</v>
      </c>
      <c r="O16" s="32" t="e">
        <f ca="1"/>
        <v>#NAME?</v>
      </c>
      <c r="U16" s="32" t="e">
        <f t="array" aca="1" ref="U16:V16" ca="1">TRANSPOSE(MNORMRAND(TRANSPOSE(R$5:S$5),$R$7:$S$8))</f>
        <v>#NAME?</v>
      </c>
      <c r="V16" s="32" t="e">
        <f ca="1"/>
        <v>#NAME?</v>
      </c>
    </row>
    <row r="17" spans="1:22" x14ac:dyDescent="0.35">
      <c r="A17" s="32">
        <v>24</v>
      </c>
      <c r="B17" s="32">
        <v>26</v>
      </c>
      <c r="H17" s="32" t="e">
        <f t="array" aca="1" ref="H17:I17" ca="1">TRANSPOSE(MNORMRAND(TRANSPOSE(E$5:F$5),$E$7:$F$8))</f>
        <v>#NAME?</v>
      </c>
      <c r="I17" s="32" t="e">
        <f ca="1"/>
        <v>#NAME?</v>
      </c>
      <c r="N17" s="32" t="e">
        <f t="array" aca="1" ref="N17:O17" ca="1">TRANSPOSE(MNORMRAND(TRANSPOSE(E$5:F$5),$E$7:$F$8))</f>
        <v>#NAME?</v>
      </c>
      <c r="O17" s="32" t="e">
        <f ca="1"/>
        <v>#NAME?</v>
      </c>
      <c r="U17" s="32" t="e">
        <f t="array" aca="1" ref="U17:V17" ca="1">TRANSPOSE(MNORMRAND(TRANSPOSE(R$5:S$5),$R$7:$S$8))</f>
        <v>#NAME?</v>
      </c>
      <c r="V17" s="32" t="e">
        <f ca="1"/>
        <v>#NAME?</v>
      </c>
    </row>
    <row r="18" spans="1:22" x14ac:dyDescent="0.35">
      <c r="A18" s="32">
        <v>28</v>
      </c>
      <c r="B18" s="32">
        <v>34</v>
      </c>
      <c r="H18" s="32" t="e">
        <f t="array" aca="1" ref="H18:I18" ca="1">TRANSPOSE(MNORMRAND(TRANSPOSE(E$5:F$5),$E$7:$F$8))</f>
        <v>#NAME?</v>
      </c>
      <c r="I18" s="32" t="e">
        <f ca="1"/>
        <v>#NAME?</v>
      </c>
      <c r="N18" s="32" t="e">
        <f t="array" aca="1" ref="N18:O18" ca="1">TRANSPOSE(MNORMRAND(TRANSPOSE(E$5:F$5),$E$7:$F$8))</f>
        <v>#NAME?</v>
      </c>
      <c r="O18" s="32" t="e">
        <f ca="1"/>
        <v>#NAME?</v>
      </c>
      <c r="U18" s="32" t="e">
        <f t="array" aca="1" ref="U18:V18" ca="1">TRANSPOSE(MNORMRAND(TRANSPOSE(R$5:S$5),$R$7:$S$8))</f>
        <v>#NAME?</v>
      </c>
      <c r="V18" s="32" t="e">
        <f ca="1"/>
        <v>#NAME?</v>
      </c>
    </row>
    <row r="19" spans="1:22" x14ac:dyDescent="0.35">
      <c r="A19" s="32">
        <v>40</v>
      </c>
      <c r="B19" s="32">
        <v>33</v>
      </c>
      <c r="H19" s="32" t="e">
        <f t="array" aca="1" ref="H19:I19" ca="1">TRANSPOSE(MNORMRAND(TRANSPOSE(E$5:F$5),$E$7:$F$8))</f>
        <v>#NAME?</v>
      </c>
      <c r="I19" s="32" t="e">
        <f ca="1"/>
        <v>#NAME?</v>
      </c>
      <c r="N19" s="32" t="e">
        <f t="array" aca="1" ref="N19:O19" ca="1">TRANSPOSE(MNORMRAND(TRANSPOSE(E$5:F$5),$E$7:$F$8))</f>
        <v>#NAME?</v>
      </c>
      <c r="O19" s="32" t="e">
        <f ca="1"/>
        <v>#NAME?</v>
      </c>
      <c r="U19" s="32" t="e">
        <f t="array" aca="1" ref="U19:V19" ca="1">TRANSPOSE(MNORMRAND(TRANSPOSE(R$5:S$5),$R$7:$S$8))</f>
        <v>#NAME?</v>
      </c>
      <c r="V19" s="32" t="e">
        <f ca="1"/>
        <v>#NAME?</v>
      </c>
    </row>
    <row r="20" spans="1:22" x14ac:dyDescent="0.35">
      <c r="A20" s="32">
        <v>41</v>
      </c>
      <c r="B20" s="32">
        <v>40</v>
      </c>
      <c r="H20" s="32" t="e">
        <f t="array" aca="1" ref="H20:I20" ca="1">TRANSPOSE(MNORMRAND(TRANSPOSE(E$5:F$5),$E$7:$F$8))</f>
        <v>#NAME?</v>
      </c>
      <c r="I20" s="32" t="e">
        <f ca="1"/>
        <v>#NAME?</v>
      </c>
      <c r="N20" s="32" t="e">
        <f t="array" aca="1" ref="N20:O20" ca="1">TRANSPOSE(MNORMRAND(TRANSPOSE(E$5:F$5),$E$7:$F$8))</f>
        <v>#NAME?</v>
      </c>
      <c r="O20" s="32" t="e">
        <f ca="1"/>
        <v>#NAME?</v>
      </c>
      <c r="U20" s="32" t="e">
        <f t="array" aca="1" ref="U20:V20" ca="1">TRANSPOSE(MNORMRAND(TRANSPOSE(R$5:S$5),$R$7:$S$8))</f>
        <v>#NAME?</v>
      </c>
      <c r="V20" s="32" t="e">
        <f ca="1"/>
        <v>#NAME?</v>
      </c>
    </row>
    <row r="21" spans="1:22" x14ac:dyDescent="0.35">
      <c r="A21" s="32">
        <v>39</v>
      </c>
      <c r="B21" s="32">
        <v>28</v>
      </c>
      <c r="H21" s="32" t="e">
        <f t="array" aca="1" ref="H21:I21" ca="1">TRANSPOSE(MNORMRAND(TRANSPOSE(E$5:F$5),$E$7:$F$8))</f>
        <v>#NAME?</v>
      </c>
      <c r="I21" s="32" t="e">
        <f ca="1"/>
        <v>#NAME?</v>
      </c>
      <c r="N21" s="32" t="e">
        <f t="array" aca="1" ref="N21:O21" ca="1">TRANSPOSE(MNORMRAND(TRANSPOSE(E$5:F$5),$E$7:$F$8))</f>
        <v>#NAME?</v>
      </c>
      <c r="O21" s="32" t="e">
        <f ca="1"/>
        <v>#NAME?</v>
      </c>
      <c r="U21" s="32" t="e">
        <f t="array" aca="1" ref="U21:V21" ca="1">TRANSPOSE(MNORMRAND(TRANSPOSE(R$5:S$5),$R$7:$S$8))</f>
        <v>#NAME?</v>
      </c>
      <c r="V21" s="32" t="e">
        <f ca="1"/>
        <v>#NAME?</v>
      </c>
    </row>
    <row r="22" spans="1:22" x14ac:dyDescent="0.35">
      <c r="A22" s="267">
        <v>23</v>
      </c>
      <c r="B22" s="267">
        <v>19</v>
      </c>
      <c r="H22" s="267" t="e">
        <f t="array" aca="1" ref="H22:I22" ca="1">TRANSPOSE(MNORMRAND(TRANSPOSE(E$5:F$5),$E$7:$F$8))</f>
        <v>#NAME?</v>
      </c>
      <c r="I22" s="267" t="e">
        <f ca="1"/>
        <v>#NAME?</v>
      </c>
      <c r="N22" s="32" t="e">
        <f t="array" aca="1" ref="N22:O22" ca="1">TRANSPOSE(MNORMRAND(TRANSPOSE(E$5:F$5),$E$7:$F$8))</f>
        <v>#NAME?</v>
      </c>
      <c r="O22" s="32" t="e">
        <f ca="1"/>
        <v>#NAME?</v>
      </c>
      <c r="U22" s="32" t="e">
        <f t="array" aca="1" ref="U22:V22" ca="1">TRANSPOSE(MNORMRAND(TRANSPOSE(R$5:S$5),$R$7:$S$8))</f>
        <v>#NAME?</v>
      </c>
      <c r="V22" s="32" t="e">
        <f ca="1"/>
        <v>#NAME?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Y65"/>
  <sheetViews>
    <sheetView zoomScaleNormal="100" workbookViewId="0"/>
  </sheetViews>
  <sheetFormatPr defaultRowHeight="14.5" x14ac:dyDescent="0.35"/>
  <cols>
    <col min="8" max="8" width="10.26953125" customWidth="1"/>
    <col min="9" max="11" width="9.1796875" customWidth="1"/>
    <col min="20" max="20" width="11.26953125" customWidth="1"/>
  </cols>
  <sheetData>
    <row r="1" spans="1:25" x14ac:dyDescent="0.35">
      <c r="A1" s="42" t="s">
        <v>40</v>
      </c>
    </row>
    <row r="2" spans="1:25" x14ac:dyDescent="0.35">
      <c r="T2" t="s">
        <v>68</v>
      </c>
    </row>
    <row r="3" spans="1:25" x14ac:dyDescent="0.35">
      <c r="A3" s="32" t="s">
        <v>41</v>
      </c>
      <c r="B3" s="32" t="s">
        <v>42</v>
      </c>
      <c r="C3" s="32" t="s">
        <v>43</v>
      </c>
      <c r="D3" s="32" t="s">
        <v>45</v>
      </c>
      <c r="E3" s="32" t="s">
        <v>46</v>
      </c>
      <c r="F3" s="32" t="s">
        <v>44</v>
      </c>
      <c r="I3" s="32" t="s">
        <v>47</v>
      </c>
      <c r="J3" s="32" t="s">
        <v>34</v>
      </c>
      <c r="K3" s="32" t="s">
        <v>36</v>
      </c>
    </row>
    <row r="4" spans="1:25" x14ac:dyDescent="0.35">
      <c r="A4">
        <v>1</v>
      </c>
      <c r="B4" s="33">
        <v>6</v>
      </c>
      <c r="C4" s="34">
        <v>8</v>
      </c>
      <c r="D4" s="34">
        <v>3</v>
      </c>
      <c r="E4" s="34">
        <v>5</v>
      </c>
      <c r="F4" s="35">
        <v>19</v>
      </c>
      <c r="H4" t="s">
        <v>42</v>
      </c>
      <c r="I4" s="43">
        <v>7</v>
      </c>
      <c r="J4" s="34">
        <f t="array" ref="J4:K8">TRANSPOSE(B30:F31)</f>
        <v>5.6</v>
      </c>
      <c r="K4" s="35">
        <v>2.0816659994661326</v>
      </c>
      <c r="U4" s="47" t="str">
        <f>B3</f>
        <v>Style</v>
      </c>
      <c r="V4" s="47" t="str">
        <f>C3</f>
        <v>Comfort</v>
      </c>
      <c r="W4" s="47" t="str">
        <f>D3</f>
        <v>Stability</v>
      </c>
      <c r="X4" s="47" t="str">
        <f>E3</f>
        <v>Cushion</v>
      </c>
      <c r="Y4" s="47" t="str">
        <f>F3</f>
        <v>Durability</v>
      </c>
    </row>
    <row r="5" spans="1:25" x14ac:dyDescent="0.35">
      <c r="A5">
        <f>A4+1</f>
        <v>2</v>
      </c>
      <c r="B5" s="36">
        <v>6</v>
      </c>
      <c r="C5" s="37">
        <v>7</v>
      </c>
      <c r="D5" s="37">
        <v>3</v>
      </c>
      <c r="E5" s="37">
        <v>4</v>
      </c>
      <c r="F5" s="38">
        <v>9</v>
      </c>
      <c r="H5" t="s">
        <v>43</v>
      </c>
      <c r="I5" s="44">
        <v>8</v>
      </c>
      <c r="J5" s="37">
        <v>7.4</v>
      </c>
      <c r="K5" s="38">
        <v>1.707825127659933</v>
      </c>
      <c r="T5" t="s">
        <v>71</v>
      </c>
      <c r="U5" s="33">
        <f t="array" ref="U5:Y7">TRANSPOSE(I4:K8)</f>
        <v>7</v>
      </c>
      <c r="V5" s="34">
        <v>8</v>
      </c>
      <c r="W5" s="34">
        <v>5</v>
      </c>
      <c r="X5" s="34">
        <v>7</v>
      </c>
      <c r="Y5" s="35">
        <v>9</v>
      </c>
    </row>
    <row r="6" spans="1:25" x14ac:dyDescent="0.35">
      <c r="A6">
        <f t="shared" ref="A6:A28" si="0">A5+1</f>
        <v>3</v>
      </c>
      <c r="B6" s="36">
        <v>5</v>
      </c>
      <c r="C6" s="37">
        <v>7</v>
      </c>
      <c r="D6" s="37">
        <v>1</v>
      </c>
      <c r="E6" s="37">
        <v>4</v>
      </c>
      <c r="F6" s="38">
        <v>16</v>
      </c>
      <c r="H6" t="s">
        <v>45</v>
      </c>
      <c r="I6" s="44">
        <v>5</v>
      </c>
      <c r="J6" s="37">
        <v>5.08</v>
      </c>
      <c r="K6" s="38">
        <v>2.7221315177632399</v>
      </c>
      <c r="T6" t="s">
        <v>48</v>
      </c>
      <c r="U6" s="36">
        <v>5.6</v>
      </c>
      <c r="V6" s="37">
        <v>7.4</v>
      </c>
      <c r="W6" s="37">
        <v>5.08</v>
      </c>
      <c r="X6" s="37">
        <v>5.04</v>
      </c>
      <c r="Y6" s="38">
        <v>12.88</v>
      </c>
    </row>
    <row r="7" spans="1:25" x14ac:dyDescent="0.35">
      <c r="A7">
        <f t="shared" si="0"/>
        <v>4</v>
      </c>
      <c r="B7" s="36">
        <v>10</v>
      </c>
      <c r="C7" s="37">
        <v>9</v>
      </c>
      <c r="D7" s="37">
        <v>8</v>
      </c>
      <c r="E7" s="37">
        <v>4</v>
      </c>
      <c r="F7" s="38">
        <v>4</v>
      </c>
      <c r="H7" t="s">
        <v>46</v>
      </c>
      <c r="I7" s="44">
        <v>7</v>
      </c>
      <c r="J7" s="37">
        <v>5.04</v>
      </c>
      <c r="K7" s="38">
        <v>2.1694853460363976</v>
      </c>
      <c r="T7" t="s">
        <v>61</v>
      </c>
      <c r="U7" s="36">
        <v>2.0816659994661326</v>
      </c>
      <c r="V7" s="37">
        <v>1.707825127659933</v>
      </c>
      <c r="W7" s="37">
        <v>2.7221315177632399</v>
      </c>
      <c r="X7" s="37">
        <v>2.1694853460363976</v>
      </c>
      <c r="Y7" s="38">
        <v>4.5672748986676961</v>
      </c>
    </row>
    <row r="8" spans="1:25" x14ac:dyDescent="0.35">
      <c r="A8">
        <f t="shared" si="0"/>
        <v>5</v>
      </c>
      <c r="B8" s="36">
        <v>7</v>
      </c>
      <c r="C8" s="37">
        <v>9</v>
      </c>
      <c r="D8" s="37">
        <v>7</v>
      </c>
      <c r="E8" s="37">
        <v>6</v>
      </c>
      <c r="F8" s="38">
        <v>9</v>
      </c>
      <c r="H8" t="s">
        <v>44</v>
      </c>
      <c r="I8" s="45">
        <v>9</v>
      </c>
      <c r="J8" s="40">
        <v>12.88</v>
      </c>
      <c r="K8" s="41">
        <v>4.5672748986676961</v>
      </c>
      <c r="T8" t="s">
        <v>52</v>
      </c>
      <c r="U8" s="36">
        <f>I18</f>
        <v>25</v>
      </c>
      <c r="V8" s="37">
        <f>U8</f>
        <v>25</v>
      </c>
      <c r="W8" s="37">
        <f>V8</f>
        <v>25</v>
      </c>
      <c r="X8" s="37">
        <f>W8</f>
        <v>25</v>
      </c>
      <c r="Y8" s="38">
        <f>X8</f>
        <v>25</v>
      </c>
    </row>
    <row r="9" spans="1:25" x14ac:dyDescent="0.35">
      <c r="A9">
        <f t="shared" si="0"/>
        <v>6</v>
      </c>
      <c r="B9" s="36">
        <v>6</v>
      </c>
      <c r="C9" s="37">
        <v>6</v>
      </c>
      <c r="D9" s="37">
        <v>3</v>
      </c>
      <c r="E9" s="37">
        <v>9</v>
      </c>
      <c r="F9" s="38">
        <v>17</v>
      </c>
      <c r="T9" t="s">
        <v>70</v>
      </c>
      <c r="U9" s="36">
        <f>U7/SQRT(U8)</f>
        <v>0.41633319989322654</v>
      </c>
      <c r="V9" s="37">
        <f>V7/SQRT(V8)</f>
        <v>0.34156502553198659</v>
      </c>
      <c r="W9" s="37">
        <f>W7/SQRT(W8)</f>
        <v>0.54442630355264798</v>
      </c>
      <c r="X9" s="37">
        <f>X7/SQRT(X8)</f>
        <v>0.43389706920727955</v>
      </c>
      <c r="Y9" s="38">
        <f>Y7/SQRT(Y8)</f>
        <v>0.91345497973353917</v>
      </c>
    </row>
    <row r="10" spans="1:25" x14ac:dyDescent="0.35">
      <c r="A10">
        <f t="shared" si="0"/>
        <v>7</v>
      </c>
      <c r="B10" s="36">
        <v>5</v>
      </c>
      <c r="C10" s="37">
        <v>8</v>
      </c>
      <c r="D10" s="37">
        <v>6</v>
      </c>
      <c r="E10" s="37">
        <v>7</v>
      </c>
      <c r="F10" s="38">
        <v>6</v>
      </c>
      <c r="H10" t="s">
        <v>50</v>
      </c>
      <c r="N10" t="s">
        <v>39</v>
      </c>
      <c r="T10" t="s">
        <v>62</v>
      </c>
      <c r="U10" s="36">
        <f>U8-1</f>
        <v>24</v>
      </c>
      <c r="V10" s="37">
        <f>V8-1</f>
        <v>24</v>
      </c>
      <c r="W10" s="37">
        <f>W8-1</f>
        <v>24</v>
      </c>
      <c r="X10" s="37">
        <f>X8-1</f>
        <v>24</v>
      </c>
      <c r="Y10" s="38">
        <f>Y8-1</f>
        <v>24</v>
      </c>
    </row>
    <row r="11" spans="1:25" x14ac:dyDescent="0.35">
      <c r="A11">
        <f t="shared" si="0"/>
        <v>8</v>
      </c>
      <c r="B11" s="36">
        <v>3</v>
      </c>
      <c r="C11" s="37">
        <v>7</v>
      </c>
      <c r="D11" s="37">
        <v>3</v>
      </c>
      <c r="E11" s="37">
        <v>6</v>
      </c>
      <c r="F11" s="38">
        <v>16</v>
      </c>
      <c r="T11" s="46" t="s">
        <v>57</v>
      </c>
      <c r="U11" s="12">
        <v>0.05</v>
      </c>
      <c r="V11" s="37">
        <f>U11</f>
        <v>0.05</v>
      </c>
      <c r="W11" s="37">
        <f>V11</f>
        <v>0.05</v>
      </c>
      <c r="X11" s="37">
        <f>W11</f>
        <v>0.05</v>
      </c>
      <c r="Y11" s="38">
        <f>X11</f>
        <v>0.05</v>
      </c>
    </row>
    <row r="12" spans="1:25" x14ac:dyDescent="0.35">
      <c r="A12">
        <f t="shared" si="0"/>
        <v>9</v>
      </c>
      <c r="B12" s="36">
        <v>8</v>
      </c>
      <c r="C12" s="37">
        <v>8</v>
      </c>
      <c r="D12" s="37">
        <v>9</v>
      </c>
      <c r="E12" s="37">
        <v>3</v>
      </c>
      <c r="F12" s="38">
        <v>8</v>
      </c>
      <c r="H12" s="33" t="e">
        <f t="array" aca="1" ref="H12:L16" ca="1">COV(B4:F28)</f>
        <v>#NAME?</v>
      </c>
      <c r="I12" s="34" t="e">
        <f ca="1"/>
        <v>#NAME?</v>
      </c>
      <c r="J12" s="34" t="e">
        <f ca="1"/>
        <v>#NAME?</v>
      </c>
      <c r="K12" s="34" t="e">
        <f ca="1"/>
        <v>#NAME?</v>
      </c>
      <c r="L12" s="35" t="e">
        <f ca="1"/>
        <v>#NAME?</v>
      </c>
      <c r="N12" s="33" t="e">
        <f t="array" aca="1" ref="N12:R16" ca="1">CORR(B4:F28)</f>
        <v>#NAME?</v>
      </c>
      <c r="O12" s="34" t="e">
        <f ca="1"/>
        <v>#NAME?</v>
      </c>
      <c r="P12" s="34" t="e">
        <f ca="1"/>
        <v>#NAME?</v>
      </c>
      <c r="Q12" s="34" t="e">
        <f ca="1"/>
        <v>#NAME?</v>
      </c>
      <c r="R12" s="35" t="e">
        <f ca="1"/>
        <v>#NAME?</v>
      </c>
      <c r="T12" t="s">
        <v>64</v>
      </c>
      <c r="U12" s="36">
        <f>(U6-U5)/(U7/SQRT(U8))</f>
        <v>-3.3626912299068308</v>
      </c>
      <c r="V12" s="37">
        <f>(V6-V5)/(V7/SQRT(V8))</f>
        <v>-1.7566201313073588</v>
      </c>
      <c r="W12" s="37">
        <f>(W6-W5)/(W7/SQRT(W8))</f>
        <v>0.14694367167412914</v>
      </c>
      <c r="X12" s="37">
        <f>(X6-X5)/(X7/SQRT(X8))</f>
        <v>-4.5172003663930642</v>
      </c>
      <c r="Y12" s="38">
        <f>(Y6-Y5)/(Y7/SQRT(Y8))</f>
        <v>4.2476094455490543</v>
      </c>
    </row>
    <row r="13" spans="1:25" x14ac:dyDescent="0.35">
      <c r="A13">
        <f t="shared" si="0"/>
        <v>10</v>
      </c>
      <c r="B13" s="36">
        <v>8</v>
      </c>
      <c r="C13" s="37">
        <v>6</v>
      </c>
      <c r="D13" s="37">
        <v>5</v>
      </c>
      <c r="E13" s="37">
        <v>3</v>
      </c>
      <c r="F13" s="38">
        <v>13</v>
      </c>
      <c r="H13" s="36" t="e">
        <f ca="1"/>
        <v>#NAME?</v>
      </c>
      <c r="I13" s="37" t="e">
        <f ca="1"/>
        <v>#NAME?</v>
      </c>
      <c r="J13" s="37" t="e">
        <f ca="1"/>
        <v>#NAME?</v>
      </c>
      <c r="K13" s="37" t="e">
        <f ca="1"/>
        <v>#NAME?</v>
      </c>
      <c r="L13" s="38" t="e">
        <f ca="1"/>
        <v>#NAME?</v>
      </c>
      <c r="N13" s="36" t="e">
        <f ca="1"/>
        <v>#NAME?</v>
      </c>
      <c r="O13" s="37" t="e">
        <f ca="1"/>
        <v>#NAME?</v>
      </c>
      <c r="P13" s="37" t="e">
        <f ca="1"/>
        <v>#NAME?</v>
      </c>
      <c r="Q13" s="37" t="e">
        <f ca="1"/>
        <v>#NAME?</v>
      </c>
      <c r="R13" s="38" t="e">
        <f ca="1"/>
        <v>#NAME?</v>
      </c>
      <c r="T13" t="s">
        <v>63</v>
      </c>
      <c r="U13" s="39">
        <f>TINV(U11,U10)</f>
        <v>2.0638985616280254</v>
      </c>
      <c r="V13" s="40">
        <f>TINV(V11,V10)</f>
        <v>2.0638985616280254</v>
      </c>
      <c r="W13" s="40">
        <f>TINV(W11,W10)</f>
        <v>2.0638985616280254</v>
      </c>
      <c r="X13" s="40">
        <f>TINV(X11,X10)</f>
        <v>2.0638985616280254</v>
      </c>
      <c r="Y13" s="41">
        <f>TINV(Y11,Y10)</f>
        <v>2.0638985616280254</v>
      </c>
    </row>
    <row r="14" spans="1:25" x14ac:dyDescent="0.35">
      <c r="A14">
        <f t="shared" si="0"/>
        <v>11</v>
      </c>
      <c r="B14" s="36">
        <v>5</v>
      </c>
      <c r="C14" s="37">
        <v>9</v>
      </c>
      <c r="D14" s="37">
        <v>5</v>
      </c>
      <c r="E14" s="37">
        <v>4</v>
      </c>
      <c r="F14" s="38">
        <v>17</v>
      </c>
      <c r="H14" s="36" t="e">
        <f ca="1"/>
        <v>#NAME?</v>
      </c>
      <c r="I14" s="37" t="e">
        <f ca="1"/>
        <v>#NAME?</v>
      </c>
      <c r="J14" s="37" t="e">
        <f ca="1"/>
        <v>#NAME?</v>
      </c>
      <c r="K14" s="37" t="e">
        <f ca="1"/>
        <v>#NAME?</v>
      </c>
      <c r="L14" s="38" t="e">
        <f ca="1"/>
        <v>#NAME?</v>
      </c>
      <c r="N14" s="36" t="e">
        <f ca="1"/>
        <v>#NAME?</v>
      </c>
      <c r="O14" s="37" t="e">
        <f ca="1"/>
        <v>#NAME?</v>
      </c>
      <c r="P14" s="37" t="e">
        <f ca="1"/>
        <v>#NAME?</v>
      </c>
      <c r="Q14" s="37" t="e">
        <f ca="1"/>
        <v>#NAME?</v>
      </c>
      <c r="R14" s="38" t="e">
        <f ca="1"/>
        <v>#NAME?</v>
      </c>
      <c r="T14" t="s">
        <v>65</v>
      </c>
      <c r="U14" s="33">
        <f>TDIST(ABS(U12),U10,2)</f>
        <v>2.583709346226887E-3</v>
      </c>
      <c r="V14" s="34">
        <f>TDIST(ABS(V12),V10,2)</f>
        <v>9.1736307558872063E-2</v>
      </c>
      <c r="W14" s="34">
        <f>TDIST(ABS(W12),W10,2)</f>
        <v>0.8844038961329298</v>
      </c>
      <c r="X14" s="34">
        <f>TDIST(ABS(X12),X10,2)</f>
        <v>1.4176692306704889E-4</v>
      </c>
      <c r="Y14" s="35">
        <f>TDIST(ABS(Y12),Y10,2)</f>
        <v>2.8136047814428781E-4</v>
      </c>
    </row>
    <row r="15" spans="1:25" x14ac:dyDescent="0.35">
      <c r="A15">
        <f t="shared" si="0"/>
        <v>12</v>
      </c>
      <c r="B15" s="36">
        <v>8</v>
      </c>
      <c r="C15" s="37">
        <v>8</v>
      </c>
      <c r="D15" s="37">
        <v>2</v>
      </c>
      <c r="E15" s="37">
        <v>3</v>
      </c>
      <c r="F15" s="38">
        <v>5</v>
      </c>
      <c r="H15" s="36" t="e">
        <f ca="1"/>
        <v>#NAME?</v>
      </c>
      <c r="I15" s="37" t="e">
        <f ca="1"/>
        <v>#NAME?</v>
      </c>
      <c r="J15" s="37" t="e">
        <f ca="1"/>
        <v>#NAME?</v>
      </c>
      <c r="K15" s="37" t="e">
        <f ca="1"/>
        <v>#NAME?</v>
      </c>
      <c r="L15" s="38" t="e">
        <f ca="1"/>
        <v>#NAME?</v>
      </c>
      <c r="N15" s="36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8" t="e">
        <f ca="1"/>
        <v>#NAME?</v>
      </c>
      <c r="T15" t="s">
        <v>60</v>
      </c>
      <c r="U15" s="57" t="str">
        <f>IF(U14&lt;=U11,"yes","no")</f>
        <v>yes</v>
      </c>
      <c r="V15" s="58" t="str">
        <f>IF(V14&lt;=V11,"yes","no")</f>
        <v>no</v>
      </c>
      <c r="W15" s="58" t="str">
        <f>IF(W14&lt;=W11,"yes","no")</f>
        <v>no</v>
      </c>
      <c r="X15" s="58" t="str">
        <f>IF(X14&lt;=X11,"yes","no")</f>
        <v>yes</v>
      </c>
      <c r="Y15" s="59" t="str">
        <f>IF(Y14&lt;=Y11,"yes","no")</f>
        <v>yes</v>
      </c>
    </row>
    <row r="16" spans="1:25" x14ac:dyDescent="0.35">
      <c r="A16">
        <f t="shared" si="0"/>
        <v>13</v>
      </c>
      <c r="B16" s="36">
        <v>5</v>
      </c>
      <c r="C16" s="37">
        <v>8</v>
      </c>
      <c r="D16" s="37">
        <v>7</v>
      </c>
      <c r="E16" s="37">
        <v>5</v>
      </c>
      <c r="F16" s="38">
        <v>8</v>
      </c>
      <c r="H16" s="39" t="e">
        <f ca="1"/>
        <v>#NAME?</v>
      </c>
      <c r="I16" s="40" t="e">
        <f ca="1"/>
        <v>#NAME?</v>
      </c>
      <c r="J16" s="40" t="e">
        <f ca="1"/>
        <v>#NAME?</v>
      </c>
      <c r="K16" s="40" t="e">
        <f ca="1"/>
        <v>#NAME?</v>
      </c>
      <c r="L16" s="41" t="e">
        <f ca="1"/>
        <v>#NAME?</v>
      </c>
      <c r="N16" s="39" t="e">
        <f ca="1"/>
        <v>#NAME?</v>
      </c>
      <c r="O16" s="40" t="e">
        <f ca="1"/>
        <v>#NAME?</v>
      </c>
      <c r="P16" s="40" t="e">
        <f ca="1"/>
        <v>#NAME?</v>
      </c>
      <c r="Q16" s="40" t="e">
        <f ca="1"/>
        <v>#NAME?</v>
      </c>
      <c r="R16" s="41" t="e">
        <f ca="1"/>
        <v>#NAME?</v>
      </c>
      <c r="T16" t="s">
        <v>66</v>
      </c>
      <c r="U16" s="33">
        <f>U6-U13*U9</f>
        <v>4.7407305075823762</v>
      </c>
      <c r="V16" s="34">
        <f>V6-V13*V9</f>
        <v>6.6950444351020932</v>
      </c>
      <c r="W16" s="34">
        <f>W6-W13*W9</f>
        <v>3.9563593351852271</v>
      </c>
      <c r="X16" s="34">
        <f>X6-X13*X9</f>
        <v>4.1444804629684802</v>
      </c>
      <c r="Y16" s="35">
        <f>Y6-Y13*Y9</f>
        <v>10.994721581215993</v>
      </c>
    </row>
    <row r="17" spans="1:25" x14ac:dyDescent="0.35">
      <c r="A17">
        <f t="shared" si="0"/>
        <v>14</v>
      </c>
      <c r="B17" s="36">
        <v>4</v>
      </c>
      <c r="C17" s="37">
        <v>9</v>
      </c>
      <c r="D17" s="37">
        <v>10</v>
      </c>
      <c r="E17" s="37">
        <v>2</v>
      </c>
      <c r="F17" s="38">
        <v>16</v>
      </c>
      <c r="T17" t="s">
        <v>67</v>
      </c>
      <c r="U17" s="39">
        <f>U6+U13*U9</f>
        <v>6.459269492417623</v>
      </c>
      <c r="V17" s="40">
        <f>V6+V13*V9</f>
        <v>8.1049555648979066</v>
      </c>
      <c r="W17" s="40">
        <f>W6+W13*W9</f>
        <v>6.2036406648147731</v>
      </c>
      <c r="X17" s="40">
        <f>X6+X13*X9</f>
        <v>5.9355195370315199</v>
      </c>
      <c r="Y17" s="41">
        <f>Y6+Y13*Y9</f>
        <v>14.765278418784009</v>
      </c>
    </row>
    <row r="18" spans="1:25" x14ac:dyDescent="0.35">
      <c r="A18">
        <f t="shared" si="0"/>
        <v>15</v>
      </c>
      <c r="B18" s="36">
        <v>2</v>
      </c>
      <c r="C18" s="37">
        <v>9</v>
      </c>
      <c r="D18" s="37">
        <v>4</v>
      </c>
      <c r="E18" s="37">
        <v>10</v>
      </c>
      <c r="F18" s="38">
        <v>14</v>
      </c>
      <c r="H18" t="s">
        <v>52</v>
      </c>
      <c r="I18" s="48">
        <f>COUNT(B4:B28)</f>
        <v>25</v>
      </c>
      <c r="K18" s="62" t="s">
        <v>73</v>
      </c>
    </row>
    <row r="19" spans="1:25" x14ac:dyDescent="0.35">
      <c r="A19">
        <f t="shared" si="0"/>
        <v>16</v>
      </c>
      <c r="B19" s="36">
        <v>7</v>
      </c>
      <c r="C19" s="37">
        <v>5</v>
      </c>
      <c r="D19" s="37">
        <v>8</v>
      </c>
      <c r="E19" s="37">
        <v>6</v>
      </c>
      <c r="F19" s="38">
        <v>15</v>
      </c>
      <c r="H19" t="s">
        <v>53</v>
      </c>
      <c r="I19" s="49">
        <f>COUNT(B4:F4)</f>
        <v>5</v>
      </c>
      <c r="K19" s="62" t="s">
        <v>74</v>
      </c>
      <c r="T19" t="s">
        <v>69</v>
      </c>
    </row>
    <row r="20" spans="1:25" ht="16.5" x14ac:dyDescent="0.35">
      <c r="A20">
        <f t="shared" si="0"/>
        <v>17</v>
      </c>
      <c r="B20" s="36">
        <v>4</v>
      </c>
      <c r="C20" s="37">
        <v>8</v>
      </c>
      <c r="D20" s="37">
        <v>8</v>
      </c>
      <c r="E20" s="37">
        <v>2</v>
      </c>
      <c r="F20" s="38">
        <v>16</v>
      </c>
      <c r="H20" t="s">
        <v>51</v>
      </c>
      <c r="I20" s="49" t="e">
        <f t="array" aca="1" ref="I20" ca="1">I18*MMULT(MMULT(TRANSPOSE(J4:J8-I4:I8),MINVERSE(H12:L16)),J4:J8-I4:I8)</f>
        <v>#NAME?</v>
      </c>
      <c r="K20" s="62" t="s">
        <v>75</v>
      </c>
    </row>
    <row r="21" spans="1:25" x14ac:dyDescent="0.35">
      <c r="A21">
        <f t="shared" si="0"/>
        <v>18</v>
      </c>
      <c r="B21" s="36">
        <v>5</v>
      </c>
      <c r="C21" s="37">
        <v>10</v>
      </c>
      <c r="D21" s="37">
        <v>9</v>
      </c>
      <c r="E21" s="37">
        <v>3</v>
      </c>
      <c r="F21" s="38">
        <v>11</v>
      </c>
      <c r="H21" t="s">
        <v>54</v>
      </c>
      <c r="I21" s="49" t="e">
        <f ca="1">I20*(I18-I19)/(I19*(I18-1))</f>
        <v>#NAME?</v>
      </c>
      <c r="K21" s="62" t="s">
        <v>76</v>
      </c>
      <c r="U21" s="47" t="str">
        <f>U4</f>
        <v>Style</v>
      </c>
      <c r="V21" s="47" t="str">
        <f>V4</f>
        <v>Comfort</v>
      </c>
      <c r="W21" s="47" t="str">
        <f>W4</f>
        <v>Stability</v>
      </c>
      <c r="X21" s="47" t="str">
        <f>X4</f>
        <v>Cushion</v>
      </c>
      <c r="Y21" s="47" t="str">
        <f>Y4</f>
        <v>Durability</v>
      </c>
    </row>
    <row r="22" spans="1:25" x14ac:dyDescent="0.35">
      <c r="A22">
        <f t="shared" si="0"/>
        <v>19</v>
      </c>
      <c r="B22" s="36">
        <v>7</v>
      </c>
      <c r="C22" s="37">
        <v>7</v>
      </c>
      <c r="D22" s="37">
        <v>3</v>
      </c>
      <c r="E22" s="37">
        <v>7</v>
      </c>
      <c r="F22" s="38">
        <v>12</v>
      </c>
      <c r="H22" t="s">
        <v>55</v>
      </c>
      <c r="I22" s="49">
        <f>I19</f>
        <v>5</v>
      </c>
      <c r="K22" s="62" t="s">
        <v>77</v>
      </c>
      <c r="T22" t="s">
        <v>48</v>
      </c>
      <c r="U22" s="33">
        <f>U6</f>
        <v>5.6</v>
      </c>
      <c r="V22" s="34">
        <f>V6</f>
        <v>7.4</v>
      </c>
      <c r="W22" s="34">
        <f>W6</f>
        <v>5.08</v>
      </c>
      <c r="X22" s="34">
        <f>X6</f>
        <v>5.04</v>
      </c>
      <c r="Y22" s="35">
        <f>Y6</f>
        <v>12.88</v>
      </c>
    </row>
    <row r="23" spans="1:25" x14ac:dyDescent="0.35">
      <c r="A23">
        <f t="shared" si="0"/>
        <v>20</v>
      </c>
      <c r="B23" s="36">
        <v>1</v>
      </c>
      <c r="C23" s="37">
        <v>5</v>
      </c>
      <c r="D23" s="37">
        <v>2</v>
      </c>
      <c r="E23" s="37">
        <v>7</v>
      </c>
      <c r="F23" s="38">
        <v>17</v>
      </c>
      <c r="H23" t="s">
        <v>56</v>
      </c>
      <c r="I23" s="49">
        <f>I18-I19</f>
        <v>20</v>
      </c>
      <c r="K23" s="62" t="s">
        <v>78</v>
      </c>
      <c r="T23" t="s">
        <v>52</v>
      </c>
      <c r="U23" s="36">
        <f>I18</f>
        <v>25</v>
      </c>
      <c r="V23" s="37">
        <f>U23</f>
        <v>25</v>
      </c>
      <c r="W23" s="37">
        <f>V23</f>
        <v>25</v>
      </c>
      <c r="X23" s="37">
        <f>W23</f>
        <v>25</v>
      </c>
      <c r="Y23" s="38">
        <f>X23</f>
        <v>25</v>
      </c>
    </row>
    <row r="24" spans="1:25" x14ac:dyDescent="0.35">
      <c r="A24">
        <f t="shared" si="0"/>
        <v>21</v>
      </c>
      <c r="B24" s="36">
        <v>5</v>
      </c>
      <c r="C24" s="37">
        <v>6</v>
      </c>
      <c r="D24" s="37">
        <v>7</v>
      </c>
      <c r="E24" s="37">
        <v>7</v>
      </c>
      <c r="F24" s="38">
        <v>20</v>
      </c>
      <c r="H24" s="46" t="s">
        <v>57</v>
      </c>
      <c r="I24" s="50">
        <v>0.05</v>
      </c>
      <c r="T24" s="60" t="s">
        <v>53</v>
      </c>
      <c r="U24" s="36">
        <f>I19</f>
        <v>5</v>
      </c>
      <c r="V24" s="37">
        <f t="shared" ref="V24:Y27" si="1">U24</f>
        <v>5</v>
      </c>
      <c r="W24" s="37">
        <f t="shared" si="1"/>
        <v>5</v>
      </c>
      <c r="X24" s="37">
        <f t="shared" si="1"/>
        <v>5</v>
      </c>
      <c r="Y24" s="38">
        <f t="shared" si="1"/>
        <v>5</v>
      </c>
    </row>
    <row r="25" spans="1:25" x14ac:dyDescent="0.35">
      <c r="A25">
        <f t="shared" si="0"/>
        <v>22</v>
      </c>
      <c r="B25" s="36">
        <v>4</v>
      </c>
      <c r="C25" s="37">
        <v>3</v>
      </c>
      <c r="D25" s="37">
        <v>1</v>
      </c>
      <c r="E25" s="37">
        <v>2</v>
      </c>
      <c r="F25" s="38">
        <v>15</v>
      </c>
      <c r="H25" t="s">
        <v>58</v>
      </c>
      <c r="I25" s="49">
        <f>FINV(I24,I22,I23)</f>
        <v>2.7108898372096917</v>
      </c>
      <c r="K25" s="62" t="s">
        <v>79</v>
      </c>
      <c r="T25" t="s">
        <v>55</v>
      </c>
      <c r="U25" s="36">
        <f>I22</f>
        <v>5</v>
      </c>
      <c r="V25" s="37">
        <f t="shared" si="1"/>
        <v>5</v>
      </c>
      <c r="W25" s="37">
        <f t="shared" si="1"/>
        <v>5</v>
      </c>
      <c r="X25" s="37">
        <f t="shared" si="1"/>
        <v>5</v>
      </c>
      <c r="Y25" s="38">
        <f t="shared" si="1"/>
        <v>5</v>
      </c>
    </row>
    <row r="26" spans="1:25" x14ac:dyDescent="0.35">
      <c r="A26">
        <f t="shared" si="0"/>
        <v>23</v>
      </c>
      <c r="B26" s="36">
        <v>7</v>
      </c>
      <c r="C26" s="37">
        <v>9</v>
      </c>
      <c r="D26" s="37">
        <v>6</v>
      </c>
      <c r="E26" s="37">
        <v>6</v>
      </c>
      <c r="F26" s="38">
        <v>9</v>
      </c>
      <c r="H26" t="s">
        <v>59</v>
      </c>
      <c r="I26" s="49" t="e">
        <f ca="1">FDIST(I21,I22,I23)</f>
        <v>#NAME?</v>
      </c>
      <c r="K26" s="62" t="s">
        <v>80</v>
      </c>
      <c r="T26" s="60" t="s">
        <v>56</v>
      </c>
      <c r="U26" s="36">
        <f>I23</f>
        <v>20</v>
      </c>
      <c r="V26" s="37">
        <f t="shared" si="1"/>
        <v>20</v>
      </c>
      <c r="W26" s="37">
        <f t="shared" si="1"/>
        <v>20</v>
      </c>
      <c r="X26" s="37">
        <f t="shared" si="1"/>
        <v>20</v>
      </c>
      <c r="Y26" s="38">
        <f t="shared" si="1"/>
        <v>20</v>
      </c>
    </row>
    <row r="27" spans="1:25" x14ac:dyDescent="0.35">
      <c r="A27">
        <f t="shared" si="0"/>
        <v>24</v>
      </c>
      <c r="B27" s="36">
        <v>4</v>
      </c>
      <c r="C27" s="37">
        <v>5</v>
      </c>
      <c r="D27" s="37">
        <v>2</v>
      </c>
      <c r="E27" s="37">
        <v>4</v>
      </c>
      <c r="F27" s="38">
        <v>12</v>
      </c>
      <c r="H27" t="s">
        <v>60</v>
      </c>
      <c r="I27" s="51" t="e">
        <f ca="1">IF(I26&lt;= I24,"yes","no")</f>
        <v>#NAME?</v>
      </c>
      <c r="K27" s="62" t="s">
        <v>81</v>
      </c>
      <c r="T27" s="46" t="s">
        <v>57</v>
      </c>
      <c r="U27" s="36">
        <f>I24</f>
        <v>0.05</v>
      </c>
      <c r="V27" s="37">
        <f t="shared" si="1"/>
        <v>0.05</v>
      </c>
      <c r="W27" s="37">
        <f t="shared" si="1"/>
        <v>0.05</v>
      </c>
      <c r="X27" s="37">
        <f t="shared" si="1"/>
        <v>0.05</v>
      </c>
      <c r="Y27" s="38">
        <f t="shared" si="1"/>
        <v>0.05</v>
      </c>
    </row>
    <row r="28" spans="1:25" x14ac:dyDescent="0.35">
      <c r="A28">
        <f t="shared" si="0"/>
        <v>25</v>
      </c>
      <c r="B28" s="39">
        <v>8</v>
      </c>
      <c r="C28" s="40">
        <v>9</v>
      </c>
      <c r="D28" s="40">
        <v>5</v>
      </c>
      <c r="E28" s="40">
        <v>7</v>
      </c>
      <c r="F28" s="41">
        <v>18</v>
      </c>
      <c r="T28" t="s">
        <v>58</v>
      </c>
      <c r="U28" s="36">
        <f>I25</f>
        <v>2.7108898372096917</v>
      </c>
      <c r="V28" s="37">
        <f>U28</f>
        <v>2.7108898372096917</v>
      </c>
      <c r="W28" s="37">
        <f>V28</f>
        <v>2.7108898372096917</v>
      </c>
      <c r="X28" s="37">
        <f>W28</f>
        <v>2.7108898372096917</v>
      </c>
      <c r="Y28" s="38">
        <f>X28</f>
        <v>2.7108898372096917</v>
      </c>
    </row>
    <row r="29" spans="1:25" x14ac:dyDescent="0.35">
      <c r="H29" t="s">
        <v>682</v>
      </c>
      <c r="T29" s="60" t="s">
        <v>63</v>
      </c>
      <c r="U29" s="36">
        <f>SQRT(U24*(U23-1)/(U23-U24)*U28)</f>
        <v>4.0330309970614096</v>
      </c>
      <c r="V29" s="37">
        <f>SQRT(V24*(V23-1)/(V23-V24)*V28)</f>
        <v>4.0330309970614096</v>
      </c>
      <c r="W29" s="37">
        <f>SQRT(W24*(W23-1)/(W23-W24)*W28)</f>
        <v>4.0330309970614096</v>
      </c>
      <c r="X29" s="37">
        <f>SQRT(X24*(X23-1)/(X23-X24)*X28)</f>
        <v>4.0330309970614096</v>
      </c>
      <c r="Y29" s="38">
        <f>SQRT(Y24*(Y23-1)/(Y23-Y24)*Y28)</f>
        <v>4.0330309970614096</v>
      </c>
    </row>
    <row r="30" spans="1:25" x14ac:dyDescent="0.35">
      <c r="A30" t="s">
        <v>48</v>
      </c>
      <c r="B30" s="33">
        <f>AVERAGE(B4:B28)</f>
        <v>5.6</v>
      </c>
      <c r="C30" s="34">
        <f>AVERAGE(C4:C28)</f>
        <v>7.4</v>
      </c>
      <c r="D30" s="34">
        <f>AVERAGE(D4:D28)</f>
        <v>5.08</v>
      </c>
      <c r="E30" s="34">
        <f>AVERAGE(E4:E28)</f>
        <v>5.04</v>
      </c>
      <c r="F30" s="35">
        <f>AVERAGE(F4:F28)</f>
        <v>12.88</v>
      </c>
      <c r="T30" t="s">
        <v>70</v>
      </c>
      <c r="U30" s="39">
        <f>U9</f>
        <v>0.41633319989322654</v>
      </c>
      <c r="V30" s="40">
        <f>V9</f>
        <v>0.34156502553198659</v>
      </c>
      <c r="W30" s="40">
        <f>W9</f>
        <v>0.54442630355264798</v>
      </c>
      <c r="X30" s="40">
        <f>X9</f>
        <v>0.43389706920727955</v>
      </c>
      <c r="Y30" s="41">
        <f>Y9</f>
        <v>0.91345497973353917</v>
      </c>
    </row>
    <row r="31" spans="1:25" ht="16.5" x14ac:dyDescent="0.35">
      <c r="A31" t="s">
        <v>49</v>
      </c>
      <c r="B31" s="39">
        <f>STDEV(B4:B28)</f>
        <v>2.0816659994661326</v>
      </c>
      <c r="C31" s="40">
        <f>STDEV(C4:C28)</f>
        <v>1.707825127659933</v>
      </c>
      <c r="D31" s="40">
        <f>STDEV(D4:D28)</f>
        <v>2.7221315177632399</v>
      </c>
      <c r="E31" s="40">
        <f>STDEV(E4:E28)</f>
        <v>2.1694853460363976</v>
      </c>
      <c r="F31" s="41">
        <f>STDEV(F4:F28)</f>
        <v>4.5672748986676961</v>
      </c>
      <c r="H31" t="s">
        <v>51</v>
      </c>
      <c r="I31" s="48" t="e">
        <f ca="1">HotellingT2(B4:F28,I4:I8,0)</f>
        <v>#NAME?</v>
      </c>
      <c r="K31" s="62" t="s">
        <v>135</v>
      </c>
      <c r="T31" t="s">
        <v>66</v>
      </c>
      <c r="U31" s="33">
        <f>U22-U29*U30</f>
        <v>3.9209152997248529</v>
      </c>
      <c r="V31" s="34">
        <f>V22-V29*V30</f>
        <v>6.022457664517427</v>
      </c>
      <c r="W31" s="34">
        <f>W22-W29*W30</f>
        <v>2.8843118421566065</v>
      </c>
      <c r="X31" s="34">
        <f>X22-X29*X30</f>
        <v>3.290079670352942</v>
      </c>
      <c r="Y31" s="35">
        <f>Y22-Y29*Y30</f>
        <v>9.1960077523145358</v>
      </c>
    </row>
    <row r="32" spans="1:25" x14ac:dyDescent="0.35">
      <c r="H32" t="s">
        <v>54</v>
      </c>
      <c r="I32" s="49" t="e">
        <f ca="1">HotellingF(B4:F28,I4:I8,0)</f>
        <v>#NAME?</v>
      </c>
      <c r="K32" s="62" t="s">
        <v>136</v>
      </c>
      <c r="T32" t="s">
        <v>67</v>
      </c>
      <c r="U32" s="39">
        <f>U22+U29*U30</f>
        <v>7.2790847002751464</v>
      </c>
      <c r="V32" s="40">
        <f>V22+V29*V30</f>
        <v>8.7775423354825737</v>
      </c>
      <c r="W32" s="40">
        <f>W22+W29*W30</f>
        <v>7.2756881578433941</v>
      </c>
      <c r="X32" s="40">
        <f>X22+X29*X30</f>
        <v>6.7899203296470585</v>
      </c>
      <c r="Y32" s="41">
        <f>Y22+Y29*Y30</f>
        <v>16.563992247685466</v>
      </c>
    </row>
    <row r="33" spans="8:25" x14ac:dyDescent="0.35">
      <c r="H33" t="s">
        <v>55</v>
      </c>
      <c r="I33" s="49" t="e">
        <f ca="1">Hotellingdf1(B4:F28,I4:I8,0)</f>
        <v>#NAME?</v>
      </c>
      <c r="K33" s="62" t="s">
        <v>137</v>
      </c>
    </row>
    <row r="34" spans="8:25" x14ac:dyDescent="0.35">
      <c r="H34" t="s">
        <v>56</v>
      </c>
      <c r="I34" s="49" t="e">
        <f ca="1">Hotellingdf2(B4:F28,I4:I8,0)</f>
        <v>#NAME?</v>
      </c>
      <c r="K34" s="62" t="s">
        <v>138</v>
      </c>
      <c r="T34" t="s">
        <v>83</v>
      </c>
    </row>
    <row r="35" spans="8:25" x14ac:dyDescent="0.35">
      <c r="H35" t="s">
        <v>65</v>
      </c>
      <c r="I35" s="52" t="e">
        <f ca="1">T2TEST(B4:F28,I4:I8,0)</f>
        <v>#NAME?</v>
      </c>
      <c r="K35" s="62" t="s">
        <v>95</v>
      </c>
    </row>
    <row r="36" spans="8:25" x14ac:dyDescent="0.35">
      <c r="U36" s="47" t="str">
        <f>U21</f>
        <v>Style</v>
      </c>
      <c r="V36" s="47" t="str">
        <f>V21</f>
        <v>Comfort</v>
      </c>
      <c r="W36" s="47" t="str">
        <f>W21</f>
        <v>Stability</v>
      </c>
      <c r="X36" s="47" t="str">
        <f>X21</f>
        <v>Cushion</v>
      </c>
      <c r="Y36" s="47" t="str">
        <f>Y21</f>
        <v>Durability</v>
      </c>
    </row>
    <row r="37" spans="8:25" x14ac:dyDescent="0.35">
      <c r="H37" t="e">
        <f t="array" aca="1" ref="H37:I41" ca="1">Hotelling(B4:F28,I4:I8,0,TRUE)</f>
        <v>#NAME?</v>
      </c>
      <c r="I37" s="146" t="e">
        <f ca="1"/>
        <v>#NAME?</v>
      </c>
      <c r="K37" t="e" cm="1">
        <f t="array" aca="1" ref="K37" ca="1">FTEXT(H37)</f>
        <v>#NAME?</v>
      </c>
      <c r="T37" t="s">
        <v>71</v>
      </c>
      <c r="U37" s="53">
        <f>U5</f>
        <v>7</v>
      </c>
      <c r="V37" s="54">
        <f>V5</f>
        <v>8</v>
      </c>
      <c r="W37" s="54">
        <f>W5</f>
        <v>5</v>
      </c>
      <c r="X37" s="54">
        <f>X5</f>
        <v>7</v>
      </c>
      <c r="Y37" s="55">
        <f>Y5</f>
        <v>9</v>
      </c>
    </row>
    <row r="38" spans="8:25" x14ac:dyDescent="0.35">
      <c r="H38" t="e">
        <f ca="1"/>
        <v>#NAME?</v>
      </c>
      <c r="I38" s="173" t="e">
        <f ca="1"/>
        <v>#NAME?</v>
      </c>
      <c r="T38" t="s">
        <v>66</v>
      </c>
      <c r="U38" s="33">
        <f>U31</f>
        <v>3.9209152997248529</v>
      </c>
      <c r="V38" s="34">
        <f t="shared" ref="V38:Y39" si="2">V31</f>
        <v>6.022457664517427</v>
      </c>
      <c r="W38" s="34">
        <f t="shared" si="2"/>
        <v>2.8843118421566065</v>
      </c>
      <c r="X38" s="34">
        <f t="shared" si="2"/>
        <v>3.290079670352942</v>
      </c>
      <c r="Y38" s="35">
        <f t="shared" si="2"/>
        <v>9.1960077523145358</v>
      </c>
    </row>
    <row r="39" spans="8:25" x14ac:dyDescent="0.35">
      <c r="H39" t="e">
        <f ca="1"/>
        <v>#NAME?</v>
      </c>
      <c r="I39" s="173" t="e">
        <f ca="1"/>
        <v>#NAME?</v>
      </c>
      <c r="T39" t="s">
        <v>67</v>
      </c>
      <c r="U39" s="39">
        <f>U32</f>
        <v>7.2790847002751464</v>
      </c>
      <c r="V39" s="40">
        <f t="shared" si="2"/>
        <v>8.7775423354825737</v>
      </c>
      <c r="W39" s="40">
        <f t="shared" si="2"/>
        <v>7.2756881578433941</v>
      </c>
      <c r="X39" s="40">
        <f t="shared" si="2"/>
        <v>6.7899203296470585</v>
      </c>
      <c r="Y39" s="41">
        <f t="shared" si="2"/>
        <v>16.563992247685466</v>
      </c>
    </row>
    <row r="40" spans="8:25" x14ac:dyDescent="0.35">
      <c r="H40" t="e">
        <f ca="1"/>
        <v>#NAME?</v>
      </c>
      <c r="I40" s="173" t="e">
        <f ca="1"/>
        <v>#NAME?</v>
      </c>
      <c r="T40" s="60" t="s">
        <v>72</v>
      </c>
      <c r="U40" s="57" t="str">
        <f>IF(U39&lt;U37,"low",IF(U37&lt;U38,"high","ok"))</f>
        <v>ok</v>
      </c>
      <c r="V40" s="58" t="str">
        <f>IF(V39&lt;V37,"low",IF(V37&lt;V38,"high","ok"))</f>
        <v>ok</v>
      </c>
      <c r="W40" s="58" t="str">
        <f>IF(W39&lt;W37,"low",IF(W37&lt;W38,"high","ok"))</f>
        <v>ok</v>
      </c>
      <c r="X40" s="58" t="str">
        <f>IF(X39&lt;X37,"low",IF(X37&lt;X38,"high","ok"))</f>
        <v>low</v>
      </c>
      <c r="Y40" s="59" t="str">
        <f>IF(Y39&lt;Y37,"low",IF(Y37&lt;Y38,"high","ok"))</f>
        <v>high</v>
      </c>
    </row>
    <row r="41" spans="8:25" x14ac:dyDescent="0.35">
      <c r="H41" t="e">
        <f ca="1"/>
        <v>#NAME?</v>
      </c>
      <c r="I41" s="52" t="e">
        <f ca="1"/>
        <v>#NAME?</v>
      </c>
    </row>
    <row r="42" spans="8:25" x14ac:dyDescent="0.35">
      <c r="T42" t="s">
        <v>82</v>
      </c>
    </row>
    <row r="44" spans="8:25" x14ac:dyDescent="0.35">
      <c r="U44" s="47" t="str">
        <f t="shared" ref="U44:Y50" si="3">U4</f>
        <v>Style</v>
      </c>
      <c r="V44" s="47" t="str">
        <f t="shared" si="3"/>
        <v>Comfort</v>
      </c>
      <c r="W44" s="47" t="str">
        <f t="shared" si="3"/>
        <v>Stability</v>
      </c>
      <c r="X44" s="47" t="str">
        <f t="shared" si="3"/>
        <v>Cushion</v>
      </c>
      <c r="Y44" s="47" t="str">
        <f t="shared" si="3"/>
        <v>Durability</v>
      </c>
    </row>
    <row r="45" spans="8:25" x14ac:dyDescent="0.35">
      <c r="T45" t="s">
        <v>71</v>
      </c>
      <c r="U45" s="63">
        <f t="shared" si="3"/>
        <v>7</v>
      </c>
      <c r="V45" s="64">
        <f t="shared" si="3"/>
        <v>8</v>
      </c>
      <c r="W45" s="64">
        <f t="shared" si="3"/>
        <v>5</v>
      </c>
      <c r="X45" s="64">
        <f t="shared" si="3"/>
        <v>7</v>
      </c>
      <c r="Y45" s="65">
        <f t="shared" si="3"/>
        <v>9</v>
      </c>
    </row>
    <row r="46" spans="8:25" x14ac:dyDescent="0.35">
      <c r="T46" t="s">
        <v>48</v>
      </c>
      <c r="U46" s="66">
        <f t="shared" si="3"/>
        <v>5.6</v>
      </c>
      <c r="V46" s="56">
        <f t="shared" si="3"/>
        <v>7.4</v>
      </c>
      <c r="W46" s="56">
        <f t="shared" si="3"/>
        <v>5.08</v>
      </c>
      <c r="X46" s="56">
        <f t="shared" si="3"/>
        <v>5.04</v>
      </c>
      <c r="Y46" s="67">
        <f t="shared" si="3"/>
        <v>12.88</v>
      </c>
    </row>
    <row r="47" spans="8:25" x14ac:dyDescent="0.35">
      <c r="T47" t="s">
        <v>61</v>
      </c>
      <c r="U47" s="66">
        <f t="shared" si="3"/>
        <v>2.0816659994661326</v>
      </c>
      <c r="V47" s="56">
        <f t="shared" si="3"/>
        <v>1.707825127659933</v>
      </c>
      <c r="W47" s="56">
        <f t="shared" si="3"/>
        <v>2.7221315177632399</v>
      </c>
      <c r="X47" s="56">
        <f t="shared" si="3"/>
        <v>2.1694853460363976</v>
      </c>
      <c r="Y47" s="67">
        <f t="shared" si="3"/>
        <v>4.5672748986676961</v>
      </c>
    </row>
    <row r="48" spans="8:25" x14ac:dyDescent="0.35">
      <c r="T48" t="s">
        <v>52</v>
      </c>
      <c r="U48" s="66">
        <f t="shared" si="3"/>
        <v>25</v>
      </c>
      <c r="V48" s="56">
        <f t="shared" si="3"/>
        <v>25</v>
      </c>
      <c r="W48" s="56">
        <f t="shared" si="3"/>
        <v>25</v>
      </c>
      <c r="X48" s="56">
        <f t="shared" si="3"/>
        <v>25</v>
      </c>
      <c r="Y48" s="67">
        <f t="shared" si="3"/>
        <v>25</v>
      </c>
    </row>
    <row r="49" spans="20:25" x14ac:dyDescent="0.35">
      <c r="T49" t="s">
        <v>70</v>
      </c>
      <c r="U49" s="66">
        <f t="shared" si="3"/>
        <v>0.41633319989322654</v>
      </c>
      <c r="V49" s="56">
        <f t="shared" si="3"/>
        <v>0.34156502553198659</v>
      </c>
      <c r="W49" s="56">
        <f t="shared" si="3"/>
        <v>0.54442630355264798</v>
      </c>
      <c r="X49" s="56">
        <f t="shared" si="3"/>
        <v>0.43389706920727955</v>
      </c>
      <c r="Y49" s="67">
        <f t="shared" si="3"/>
        <v>0.91345497973353917</v>
      </c>
    </row>
    <row r="50" spans="20:25" x14ac:dyDescent="0.35">
      <c r="T50" t="s">
        <v>62</v>
      </c>
      <c r="U50" s="66">
        <f t="shared" si="3"/>
        <v>24</v>
      </c>
      <c r="V50" s="56">
        <f t="shared" si="3"/>
        <v>24</v>
      </c>
      <c r="W50" s="56">
        <f t="shared" si="3"/>
        <v>24</v>
      </c>
      <c r="X50" s="56">
        <f t="shared" si="3"/>
        <v>24</v>
      </c>
      <c r="Y50" s="67">
        <f t="shared" si="3"/>
        <v>24</v>
      </c>
    </row>
    <row r="51" spans="20:25" x14ac:dyDescent="0.35">
      <c r="T51" s="46" t="s">
        <v>57</v>
      </c>
      <c r="U51" s="66">
        <f>U11/U24</f>
        <v>0.01</v>
      </c>
      <c r="V51" s="37">
        <f>U51</f>
        <v>0.01</v>
      </c>
      <c r="W51" s="37">
        <f>V51</f>
        <v>0.01</v>
      </c>
      <c r="X51" s="37">
        <f>W51</f>
        <v>0.01</v>
      </c>
      <c r="Y51" s="38">
        <f>X51</f>
        <v>0.01</v>
      </c>
    </row>
    <row r="52" spans="20:25" x14ac:dyDescent="0.35">
      <c r="T52" t="s">
        <v>64</v>
      </c>
      <c r="U52" s="36">
        <f>(U46-U45)/(U47/SQRT(U48))</f>
        <v>-3.3626912299068308</v>
      </c>
      <c r="V52" s="37">
        <f>(V46-V45)/(V47/SQRT(V48))</f>
        <v>-1.7566201313073588</v>
      </c>
      <c r="W52" s="37">
        <f>(W46-W45)/(W47/SQRT(W48))</f>
        <v>0.14694367167412914</v>
      </c>
      <c r="X52" s="37">
        <f>(X46-X45)/(X47/SQRT(X48))</f>
        <v>-4.5172003663930642</v>
      </c>
      <c r="Y52" s="38">
        <f>(Y46-Y45)/(Y47/SQRT(Y48))</f>
        <v>4.2476094455490543</v>
      </c>
    </row>
    <row r="53" spans="20:25" x14ac:dyDescent="0.35">
      <c r="T53" t="s">
        <v>63</v>
      </c>
      <c r="U53" s="39">
        <f>TINV(U51,U50)</f>
        <v>2.7969395047744556</v>
      </c>
      <c r="V53" s="40">
        <f>TINV(V51,V50)</f>
        <v>2.7969395047744556</v>
      </c>
      <c r="W53" s="40">
        <f>TINV(W51,W50)</f>
        <v>2.7969395047744556</v>
      </c>
      <c r="X53" s="40">
        <f>TINV(X51,X50)</f>
        <v>2.7969395047744556</v>
      </c>
      <c r="Y53" s="41">
        <f>TINV(Y51,Y50)</f>
        <v>2.7969395047744556</v>
      </c>
    </row>
    <row r="54" spans="20:25" x14ac:dyDescent="0.35">
      <c r="T54" t="s">
        <v>65</v>
      </c>
      <c r="U54" s="33">
        <f>TDIST(ABS(U52),U50,2)</f>
        <v>2.583709346226887E-3</v>
      </c>
      <c r="V54" s="34">
        <f>TDIST(ABS(V52),V50,2)</f>
        <v>9.1736307558872063E-2</v>
      </c>
      <c r="W54" s="34">
        <f>TDIST(ABS(W52),W50,2)</f>
        <v>0.8844038961329298</v>
      </c>
      <c r="X54" s="34">
        <f>TDIST(ABS(X52),X50,2)</f>
        <v>1.4176692306704889E-4</v>
      </c>
      <c r="Y54" s="35">
        <f>TDIST(ABS(Y52),Y50,2)</f>
        <v>2.8136047814428781E-4</v>
      </c>
    </row>
    <row r="55" spans="20:25" x14ac:dyDescent="0.35">
      <c r="T55" t="s">
        <v>60</v>
      </c>
      <c r="U55" s="57" t="str">
        <f>IF(U54&lt;=U51,"yes","no")</f>
        <v>yes</v>
      </c>
      <c r="V55" s="58" t="str">
        <f>IF(V54&lt;=V51,"yes","no")</f>
        <v>no</v>
      </c>
      <c r="W55" s="58" t="str">
        <f>IF(W54&lt;=W51,"yes","no")</f>
        <v>no</v>
      </c>
      <c r="X55" s="58" t="str">
        <f>IF(X54&lt;=X51,"yes","no")</f>
        <v>yes</v>
      </c>
      <c r="Y55" s="59" t="str">
        <f>IF(Y54&lt;=Y51,"yes","no")</f>
        <v>yes</v>
      </c>
    </row>
    <row r="56" spans="20:25" x14ac:dyDescent="0.35">
      <c r="T56" t="s">
        <v>66</v>
      </c>
      <c r="U56" s="33">
        <f>U46-U53*U49</f>
        <v>4.435541226069474</v>
      </c>
      <c r="V56" s="34">
        <f>V46-V53*V49</f>
        <v>6.4446632866402913</v>
      </c>
      <c r="W56" s="34">
        <f>W46-W53*W49</f>
        <v>3.5572725641552694</v>
      </c>
      <c r="X56" s="34">
        <f>X46-X53*X49</f>
        <v>3.8264161461283042</v>
      </c>
      <c r="Y56" s="35">
        <f>Y46-Y53*Y49</f>
        <v>10.325121681350316</v>
      </c>
    </row>
    <row r="57" spans="20:25" x14ac:dyDescent="0.35">
      <c r="T57" t="s">
        <v>67</v>
      </c>
      <c r="U57" s="39">
        <f>U46+U53*U49</f>
        <v>6.7644587739305253</v>
      </c>
      <c r="V57" s="40">
        <f>V46+V53*V49</f>
        <v>8.3553367133597085</v>
      </c>
      <c r="W57" s="40">
        <f>W46+W53*W49</f>
        <v>6.6027274358447308</v>
      </c>
      <c r="X57" s="40">
        <f>X46+X53*X49</f>
        <v>6.2535838538716959</v>
      </c>
      <c r="Y57" s="41">
        <f>Y46+Y53*Y49</f>
        <v>15.434878318649686</v>
      </c>
    </row>
    <row r="59" spans="20:25" x14ac:dyDescent="0.35">
      <c r="T59" t="s">
        <v>84</v>
      </c>
    </row>
    <row r="61" spans="20:25" x14ac:dyDescent="0.35">
      <c r="U61" s="47" t="str">
        <f t="shared" ref="U61:Y62" si="4">U44</f>
        <v>Style</v>
      </c>
      <c r="V61" s="47" t="str">
        <f t="shared" si="4"/>
        <v>Comfort</v>
      </c>
      <c r="W61" s="47" t="str">
        <f t="shared" si="4"/>
        <v>Stability</v>
      </c>
      <c r="X61" s="47" t="str">
        <f t="shared" si="4"/>
        <v>Cushion</v>
      </c>
      <c r="Y61" s="47" t="str">
        <f t="shared" si="4"/>
        <v>Durability</v>
      </c>
    </row>
    <row r="62" spans="20:25" x14ac:dyDescent="0.35">
      <c r="T62" t="s">
        <v>71</v>
      </c>
      <c r="U62" s="53">
        <f t="shared" si="4"/>
        <v>7</v>
      </c>
      <c r="V62" s="54">
        <f t="shared" si="4"/>
        <v>8</v>
      </c>
      <c r="W62" s="54">
        <f t="shared" si="4"/>
        <v>5</v>
      </c>
      <c r="X62" s="54">
        <f t="shared" si="4"/>
        <v>7</v>
      </c>
      <c r="Y62" s="55">
        <f t="shared" si="4"/>
        <v>9</v>
      </c>
    </row>
    <row r="63" spans="20:25" x14ac:dyDescent="0.35">
      <c r="T63" t="s">
        <v>66</v>
      </c>
      <c r="U63" s="33">
        <f t="shared" ref="U63:Y64" si="5">U56</f>
        <v>4.435541226069474</v>
      </c>
      <c r="V63" s="34">
        <f t="shared" si="5"/>
        <v>6.4446632866402913</v>
      </c>
      <c r="W63" s="34">
        <f t="shared" si="5"/>
        <v>3.5572725641552694</v>
      </c>
      <c r="X63" s="34">
        <f t="shared" si="5"/>
        <v>3.8264161461283042</v>
      </c>
      <c r="Y63" s="35">
        <f t="shared" si="5"/>
        <v>10.325121681350316</v>
      </c>
    </row>
    <row r="64" spans="20:25" x14ac:dyDescent="0.35">
      <c r="T64" t="s">
        <v>67</v>
      </c>
      <c r="U64" s="39">
        <f t="shared" si="5"/>
        <v>6.7644587739305253</v>
      </c>
      <c r="V64" s="40">
        <f t="shared" si="5"/>
        <v>8.3553367133597085</v>
      </c>
      <c r="W64" s="40">
        <f t="shared" si="5"/>
        <v>6.6027274358447308</v>
      </c>
      <c r="X64" s="40">
        <f t="shared" si="5"/>
        <v>6.2535838538716959</v>
      </c>
      <c r="Y64" s="41">
        <f t="shared" si="5"/>
        <v>15.434878318649686</v>
      </c>
    </row>
    <row r="65" spans="20:25" x14ac:dyDescent="0.35">
      <c r="T65" s="60" t="s">
        <v>72</v>
      </c>
      <c r="U65" s="57" t="str">
        <f>IF(U64&lt;U62,"low",IF(U62&lt;U63,"high","ok"))</f>
        <v>low</v>
      </c>
      <c r="V65" s="58" t="str">
        <f>IF(V64&lt;V62,"low",IF(V62&lt;V63,"high","ok"))</f>
        <v>ok</v>
      </c>
      <c r="W65" s="58" t="str">
        <f>IF(W64&lt;W62,"low",IF(W62&lt;W63,"high","ok"))</f>
        <v>ok</v>
      </c>
      <c r="X65" s="58" t="str">
        <f>IF(X64&lt;X62,"low",IF(X62&lt;X63,"high","ok"))</f>
        <v>low</v>
      </c>
      <c r="Y65" s="59" t="str">
        <f>IF(Y64&lt;Y62,"low",IF(Y62&lt;Y63,"high","ok"))</f>
        <v>high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AK53"/>
  <sheetViews>
    <sheetView zoomScaleNormal="100" workbookViewId="0"/>
  </sheetViews>
  <sheetFormatPr defaultRowHeight="14.5" x14ac:dyDescent="0.35"/>
  <cols>
    <col min="7" max="7" width="4.7265625" customWidth="1"/>
    <col min="13" max="13" width="7.26953125" customWidth="1"/>
    <col min="20" max="23" width="9.1796875" customWidth="1"/>
    <col min="32" max="32" width="11.26953125" customWidth="1"/>
  </cols>
  <sheetData>
    <row r="1" spans="1:37" x14ac:dyDescent="0.35">
      <c r="A1" s="42" t="s">
        <v>88</v>
      </c>
    </row>
    <row r="2" spans="1:37" x14ac:dyDescent="0.35">
      <c r="A2" s="42"/>
    </row>
    <row r="3" spans="1:37" x14ac:dyDescent="0.35">
      <c r="B3" s="46" t="s">
        <v>85</v>
      </c>
      <c r="H3" t="s">
        <v>86</v>
      </c>
      <c r="N3" t="s">
        <v>87</v>
      </c>
    </row>
    <row r="4" spans="1:37" x14ac:dyDescent="0.35">
      <c r="AF4" t="s">
        <v>68</v>
      </c>
    </row>
    <row r="5" spans="1:37" x14ac:dyDescent="0.35">
      <c r="A5" s="32" t="s">
        <v>41</v>
      </c>
      <c r="B5" s="32" t="s">
        <v>42</v>
      </c>
      <c r="C5" s="32" t="s">
        <v>43</v>
      </c>
      <c r="D5" s="32" t="s">
        <v>45</v>
      </c>
      <c r="E5" s="32" t="s">
        <v>46</v>
      </c>
      <c r="F5" s="32" t="s">
        <v>44</v>
      </c>
      <c r="H5" s="32" t="s">
        <v>42</v>
      </c>
      <c r="I5" s="32" t="s">
        <v>43</v>
      </c>
      <c r="J5" s="32" t="s">
        <v>45</v>
      </c>
      <c r="K5" s="32" t="s">
        <v>46</v>
      </c>
      <c r="L5" s="32" t="s">
        <v>44</v>
      </c>
      <c r="N5" s="32" t="s">
        <v>42</v>
      </c>
      <c r="O5" s="32" t="s">
        <v>43</v>
      </c>
      <c r="P5" s="32" t="s">
        <v>45</v>
      </c>
      <c r="Q5" s="32" t="s">
        <v>46</v>
      </c>
      <c r="R5" s="32" t="s">
        <v>44</v>
      </c>
      <c r="U5" s="32" t="s">
        <v>47</v>
      </c>
      <c r="V5" s="32" t="s">
        <v>34</v>
      </c>
      <c r="W5" s="32" t="s">
        <v>36</v>
      </c>
    </row>
    <row r="6" spans="1:37" x14ac:dyDescent="0.35">
      <c r="A6">
        <v>1</v>
      </c>
      <c r="B6" s="33">
        <v>6</v>
      </c>
      <c r="C6" s="34">
        <v>8</v>
      </c>
      <c r="D6" s="34">
        <v>3</v>
      </c>
      <c r="E6" s="34">
        <v>5</v>
      </c>
      <c r="F6" s="35">
        <v>19</v>
      </c>
      <c r="H6" s="33">
        <v>8</v>
      </c>
      <c r="I6" s="34">
        <v>6</v>
      </c>
      <c r="J6" s="34">
        <v>5</v>
      </c>
      <c r="K6" s="34">
        <v>6</v>
      </c>
      <c r="L6" s="35">
        <v>10</v>
      </c>
      <c r="N6" s="33">
        <f>B6-H6</f>
        <v>-2</v>
      </c>
      <c r="O6" s="34">
        <f>C6-I6</f>
        <v>2</v>
      </c>
      <c r="P6" s="34">
        <f>D6-J6</f>
        <v>-2</v>
      </c>
      <c r="Q6" s="34">
        <f>E6-K6</f>
        <v>-1</v>
      </c>
      <c r="R6" s="35">
        <f>F6-L6</f>
        <v>9</v>
      </c>
      <c r="T6" t="s">
        <v>42</v>
      </c>
      <c r="U6" s="43">
        <v>0</v>
      </c>
      <c r="V6" s="34">
        <f t="array" ref="V6:W10">TRANSPOSE(N32:R33)</f>
        <v>-1.32</v>
      </c>
      <c r="W6" s="35">
        <v>2.1158134763411134</v>
      </c>
      <c r="AG6" s="47" t="str">
        <f>N5</f>
        <v>Style</v>
      </c>
      <c r="AH6" s="47" t="str">
        <f>O5</f>
        <v>Comfort</v>
      </c>
      <c r="AI6" s="47" t="str">
        <f>P5</f>
        <v>Stability</v>
      </c>
      <c r="AJ6" s="47" t="str">
        <f>Q5</f>
        <v>Cushion</v>
      </c>
      <c r="AK6" s="47" t="str">
        <f>R5</f>
        <v>Durability</v>
      </c>
    </row>
    <row r="7" spans="1:37" x14ac:dyDescent="0.35">
      <c r="A7">
        <f>A6+1</f>
        <v>2</v>
      </c>
      <c r="B7" s="36">
        <v>6</v>
      </c>
      <c r="C7" s="37">
        <v>7</v>
      </c>
      <c r="D7" s="37">
        <v>3</v>
      </c>
      <c r="E7" s="37">
        <v>4</v>
      </c>
      <c r="F7" s="38">
        <v>9</v>
      </c>
      <c r="H7" s="36">
        <v>8</v>
      </c>
      <c r="I7" s="37">
        <v>6</v>
      </c>
      <c r="J7" s="37">
        <v>3</v>
      </c>
      <c r="K7" s="37">
        <v>6</v>
      </c>
      <c r="L7" s="38">
        <v>4</v>
      </c>
      <c r="N7" s="36">
        <f t="shared" ref="N7:N30" si="0">B7-H7</f>
        <v>-2</v>
      </c>
      <c r="O7" s="37">
        <f t="shared" ref="O7:O30" si="1">C7-I7</f>
        <v>1</v>
      </c>
      <c r="P7" s="37">
        <f t="shared" ref="P7:P30" si="2">D7-J7</f>
        <v>0</v>
      </c>
      <c r="Q7" s="37">
        <f t="shared" ref="Q7:Q30" si="3">E7-K7</f>
        <v>-2</v>
      </c>
      <c r="R7" s="38">
        <f t="shared" ref="R7:R30" si="4">F7-L7</f>
        <v>5</v>
      </c>
      <c r="T7" t="s">
        <v>43</v>
      </c>
      <c r="U7" s="44">
        <v>0</v>
      </c>
      <c r="V7" s="37">
        <v>2</v>
      </c>
      <c r="W7" s="38">
        <v>1.9790570145063195</v>
      </c>
      <c r="AF7" t="s">
        <v>71</v>
      </c>
      <c r="AG7" s="33">
        <f t="array" ref="AG7:AK9">TRANSPOSE(U6:W10)</f>
        <v>0</v>
      </c>
      <c r="AH7" s="34">
        <v>0</v>
      </c>
      <c r="AI7" s="34">
        <v>0</v>
      </c>
      <c r="AJ7" s="34">
        <v>0</v>
      </c>
      <c r="AK7" s="35">
        <v>0</v>
      </c>
    </row>
    <row r="8" spans="1:37" x14ac:dyDescent="0.35">
      <c r="A8">
        <f t="shared" ref="A8:A30" si="5">A7+1</f>
        <v>3</v>
      </c>
      <c r="B8" s="36">
        <v>5</v>
      </c>
      <c r="C8" s="37">
        <v>7</v>
      </c>
      <c r="D8" s="37">
        <v>1</v>
      </c>
      <c r="E8" s="37">
        <v>4</v>
      </c>
      <c r="F8" s="38">
        <v>16</v>
      </c>
      <c r="H8" s="36">
        <v>7</v>
      </c>
      <c r="I8" s="37">
        <v>5</v>
      </c>
      <c r="J8" s="37">
        <v>6</v>
      </c>
      <c r="K8" s="37">
        <v>4</v>
      </c>
      <c r="L8" s="38">
        <v>17</v>
      </c>
      <c r="N8" s="36">
        <f t="shared" si="0"/>
        <v>-2</v>
      </c>
      <c r="O8" s="37">
        <f t="shared" si="1"/>
        <v>2</v>
      </c>
      <c r="P8" s="37">
        <f t="shared" si="2"/>
        <v>-5</v>
      </c>
      <c r="Q8" s="37">
        <f t="shared" si="3"/>
        <v>0</v>
      </c>
      <c r="R8" s="38">
        <f t="shared" si="4"/>
        <v>-1</v>
      </c>
      <c r="T8" t="s">
        <v>45</v>
      </c>
      <c r="U8" s="44">
        <v>0</v>
      </c>
      <c r="V8" s="37">
        <v>-0.72</v>
      </c>
      <c r="W8" s="38">
        <v>2.1315096371664222</v>
      </c>
      <c r="AF8" t="s">
        <v>48</v>
      </c>
      <c r="AG8" s="36">
        <v>-1.32</v>
      </c>
      <c r="AH8" s="37">
        <v>2</v>
      </c>
      <c r="AI8" s="37">
        <v>-0.72</v>
      </c>
      <c r="AJ8" s="37">
        <v>-0.32</v>
      </c>
      <c r="AK8" s="38">
        <v>2.76</v>
      </c>
    </row>
    <row r="9" spans="1:37" x14ac:dyDescent="0.35">
      <c r="A9">
        <f t="shared" si="5"/>
        <v>4</v>
      </c>
      <c r="B9" s="36">
        <v>10</v>
      </c>
      <c r="C9" s="37">
        <v>9</v>
      </c>
      <c r="D9" s="37">
        <v>8</v>
      </c>
      <c r="E9" s="37">
        <v>4</v>
      </c>
      <c r="F9" s="38">
        <v>4</v>
      </c>
      <c r="H9" s="36">
        <v>9</v>
      </c>
      <c r="I9" s="37">
        <v>8</v>
      </c>
      <c r="J9" s="37">
        <v>6</v>
      </c>
      <c r="K9" s="37">
        <v>3</v>
      </c>
      <c r="L9" s="38">
        <v>4</v>
      </c>
      <c r="N9" s="36">
        <f t="shared" si="0"/>
        <v>1</v>
      </c>
      <c r="O9" s="37">
        <f t="shared" si="1"/>
        <v>1</v>
      </c>
      <c r="P9" s="37">
        <f t="shared" si="2"/>
        <v>2</v>
      </c>
      <c r="Q9" s="37">
        <f t="shared" si="3"/>
        <v>1</v>
      </c>
      <c r="R9" s="38">
        <f t="shared" si="4"/>
        <v>0</v>
      </c>
      <c r="T9" t="s">
        <v>46</v>
      </c>
      <c r="U9" s="44">
        <v>0</v>
      </c>
      <c r="V9" s="37">
        <v>-0.32</v>
      </c>
      <c r="W9" s="38">
        <v>2.3223551264467139</v>
      </c>
      <c r="AF9" t="s">
        <v>61</v>
      </c>
      <c r="AG9" s="36">
        <v>2.1158134763411134</v>
      </c>
      <c r="AH9" s="37">
        <v>1.9790570145063195</v>
      </c>
      <c r="AI9" s="37">
        <v>2.1315096371664222</v>
      </c>
      <c r="AJ9" s="37">
        <v>2.3223551264467139</v>
      </c>
      <c r="AK9" s="38">
        <v>4.390140468519582</v>
      </c>
    </row>
    <row r="10" spans="1:37" x14ac:dyDescent="0.35">
      <c r="A10">
        <f t="shared" si="5"/>
        <v>5</v>
      </c>
      <c r="B10" s="36">
        <v>7</v>
      </c>
      <c r="C10" s="37">
        <v>9</v>
      </c>
      <c r="D10" s="37">
        <v>7</v>
      </c>
      <c r="E10" s="37">
        <v>6</v>
      </c>
      <c r="F10" s="38">
        <v>9</v>
      </c>
      <c r="H10" s="36">
        <v>8</v>
      </c>
      <c r="I10" s="37">
        <v>5</v>
      </c>
      <c r="J10" s="37">
        <v>6</v>
      </c>
      <c r="K10" s="37">
        <v>8</v>
      </c>
      <c r="L10" s="38">
        <v>11</v>
      </c>
      <c r="N10" s="36">
        <f t="shared" si="0"/>
        <v>-1</v>
      </c>
      <c r="O10" s="37">
        <f t="shared" si="1"/>
        <v>4</v>
      </c>
      <c r="P10" s="37">
        <f t="shared" si="2"/>
        <v>1</v>
      </c>
      <c r="Q10" s="37">
        <f t="shared" si="3"/>
        <v>-2</v>
      </c>
      <c r="R10" s="38">
        <f t="shared" si="4"/>
        <v>-2</v>
      </c>
      <c r="T10" t="s">
        <v>44</v>
      </c>
      <c r="U10" s="45">
        <v>0</v>
      </c>
      <c r="V10" s="40">
        <v>2.76</v>
      </c>
      <c r="W10" s="41">
        <v>4.390140468519582</v>
      </c>
      <c r="AF10" t="s">
        <v>52</v>
      </c>
      <c r="AG10" s="36">
        <f>U20</f>
        <v>25</v>
      </c>
      <c r="AH10" s="37">
        <f>AG10</f>
        <v>25</v>
      </c>
      <c r="AI10" s="37">
        <f>AH10</f>
        <v>25</v>
      </c>
      <c r="AJ10" s="37">
        <f>AI10</f>
        <v>25</v>
      </c>
      <c r="AK10" s="38">
        <f>AJ10</f>
        <v>25</v>
      </c>
    </row>
    <row r="11" spans="1:37" x14ac:dyDescent="0.35">
      <c r="A11">
        <f t="shared" si="5"/>
        <v>6</v>
      </c>
      <c r="B11" s="36">
        <v>6</v>
      </c>
      <c r="C11" s="37">
        <v>6</v>
      </c>
      <c r="D11" s="37">
        <v>3</v>
      </c>
      <c r="E11" s="37">
        <v>9</v>
      </c>
      <c r="F11" s="38">
        <v>17</v>
      </c>
      <c r="H11" s="36">
        <v>8</v>
      </c>
      <c r="I11" s="37">
        <v>7</v>
      </c>
      <c r="J11" s="37">
        <v>4</v>
      </c>
      <c r="K11" s="37">
        <v>4</v>
      </c>
      <c r="L11" s="38">
        <v>13</v>
      </c>
      <c r="N11" s="36">
        <f t="shared" si="0"/>
        <v>-2</v>
      </c>
      <c r="O11" s="37">
        <f t="shared" si="1"/>
        <v>-1</v>
      </c>
      <c r="P11" s="37">
        <f t="shared" si="2"/>
        <v>-1</v>
      </c>
      <c r="Q11" s="37">
        <f t="shared" si="3"/>
        <v>5</v>
      </c>
      <c r="R11" s="38">
        <f t="shared" si="4"/>
        <v>4</v>
      </c>
      <c r="AF11" t="s">
        <v>70</v>
      </c>
      <c r="AG11" s="36">
        <f>AG9/SQRT(AG10)</f>
        <v>0.4231626952682227</v>
      </c>
      <c r="AH11" s="37">
        <f>AH9/SQRT(AH10)</f>
        <v>0.39581140290126393</v>
      </c>
      <c r="AI11" s="37">
        <f>AI9/SQRT(AI10)</f>
        <v>0.42630192743328443</v>
      </c>
      <c r="AJ11" s="37">
        <f>AJ9/SQRT(AJ10)</f>
        <v>0.46447102528934281</v>
      </c>
      <c r="AK11" s="38">
        <f>AK9/SQRT(AK10)</f>
        <v>0.87802809370391643</v>
      </c>
    </row>
    <row r="12" spans="1:37" x14ac:dyDescent="0.35">
      <c r="A12">
        <f t="shared" si="5"/>
        <v>7</v>
      </c>
      <c r="B12" s="36">
        <v>5</v>
      </c>
      <c r="C12" s="37">
        <v>8</v>
      </c>
      <c r="D12" s="37">
        <v>6</v>
      </c>
      <c r="E12" s="37">
        <v>7</v>
      </c>
      <c r="F12" s="38">
        <v>6</v>
      </c>
      <c r="H12" s="36">
        <v>7</v>
      </c>
      <c r="I12" s="37">
        <v>3</v>
      </c>
      <c r="J12" s="37">
        <v>6</v>
      </c>
      <c r="K12" s="37">
        <v>3</v>
      </c>
      <c r="L12" s="38">
        <v>8</v>
      </c>
      <c r="N12" s="36">
        <f t="shared" si="0"/>
        <v>-2</v>
      </c>
      <c r="O12" s="37">
        <f t="shared" si="1"/>
        <v>5</v>
      </c>
      <c r="P12" s="37">
        <f t="shared" si="2"/>
        <v>0</v>
      </c>
      <c r="Q12" s="37">
        <f t="shared" si="3"/>
        <v>4</v>
      </c>
      <c r="R12" s="38">
        <f t="shared" si="4"/>
        <v>-2</v>
      </c>
      <c r="T12" t="s">
        <v>50</v>
      </c>
      <c r="Z12" t="s">
        <v>39</v>
      </c>
      <c r="AF12" t="s">
        <v>62</v>
      </c>
      <c r="AG12" s="36">
        <f>AG10-1</f>
        <v>24</v>
      </c>
      <c r="AH12" s="37">
        <f>AH10-1</f>
        <v>24</v>
      </c>
      <c r="AI12" s="37">
        <f>AI10-1</f>
        <v>24</v>
      </c>
      <c r="AJ12" s="37">
        <f>AJ10-1</f>
        <v>24</v>
      </c>
      <c r="AK12" s="38">
        <f>AK10-1</f>
        <v>24</v>
      </c>
    </row>
    <row r="13" spans="1:37" x14ac:dyDescent="0.35">
      <c r="A13">
        <f t="shared" si="5"/>
        <v>8</v>
      </c>
      <c r="B13" s="36">
        <v>3</v>
      </c>
      <c r="C13" s="37">
        <v>7</v>
      </c>
      <c r="D13" s="37">
        <v>3</v>
      </c>
      <c r="E13" s="37">
        <v>6</v>
      </c>
      <c r="F13" s="38">
        <v>16</v>
      </c>
      <c r="H13" s="36">
        <v>6</v>
      </c>
      <c r="I13" s="37">
        <v>6</v>
      </c>
      <c r="J13" s="37">
        <v>5</v>
      </c>
      <c r="K13" s="37">
        <v>8</v>
      </c>
      <c r="L13" s="38">
        <v>14</v>
      </c>
      <c r="N13" s="36">
        <f t="shared" si="0"/>
        <v>-3</v>
      </c>
      <c r="O13" s="37">
        <f t="shared" si="1"/>
        <v>1</v>
      </c>
      <c r="P13" s="37">
        <f t="shared" si="2"/>
        <v>-2</v>
      </c>
      <c r="Q13" s="37">
        <f t="shared" si="3"/>
        <v>-2</v>
      </c>
      <c r="R13" s="38">
        <f t="shared" si="4"/>
        <v>2</v>
      </c>
      <c r="AF13" s="46" t="s">
        <v>57</v>
      </c>
      <c r="AG13" s="12">
        <v>0.05</v>
      </c>
      <c r="AH13" s="37">
        <f>AG13</f>
        <v>0.05</v>
      </c>
      <c r="AI13" s="37">
        <f>AH13</f>
        <v>0.05</v>
      </c>
      <c r="AJ13" s="37">
        <f>AI13</f>
        <v>0.05</v>
      </c>
      <c r="AK13" s="38">
        <f>AJ13</f>
        <v>0.05</v>
      </c>
    </row>
    <row r="14" spans="1:37" x14ac:dyDescent="0.35">
      <c r="A14">
        <f t="shared" si="5"/>
        <v>9</v>
      </c>
      <c r="B14" s="36">
        <v>8</v>
      </c>
      <c r="C14" s="37">
        <v>8</v>
      </c>
      <c r="D14" s="37">
        <v>9</v>
      </c>
      <c r="E14" s="37">
        <v>3</v>
      </c>
      <c r="F14" s="38">
        <v>8</v>
      </c>
      <c r="H14" s="36">
        <v>6</v>
      </c>
      <c r="I14" s="37">
        <v>9</v>
      </c>
      <c r="J14" s="37">
        <v>7</v>
      </c>
      <c r="K14" s="37">
        <v>5</v>
      </c>
      <c r="L14" s="38">
        <v>12</v>
      </c>
      <c r="N14" s="36">
        <f t="shared" si="0"/>
        <v>2</v>
      </c>
      <c r="O14" s="37">
        <f t="shared" si="1"/>
        <v>-1</v>
      </c>
      <c r="P14" s="37">
        <f t="shared" si="2"/>
        <v>2</v>
      </c>
      <c r="Q14" s="37">
        <f t="shared" si="3"/>
        <v>-2</v>
      </c>
      <c r="R14" s="38">
        <f t="shared" si="4"/>
        <v>-4</v>
      </c>
      <c r="T14" s="33" t="e">
        <f t="array" aca="1" ref="T14:X18" ca="1">COV(N6:R30)</f>
        <v>#NAME?</v>
      </c>
      <c r="U14" s="34" t="e">
        <f ca="1"/>
        <v>#NAME?</v>
      </c>
      <c r="V14" s="34" t="e">
        <f ca="1"/>
        <v>#NAME?</v>
      </c>
      <c r="W14" s="34" t="e">
        <f ca="1"/>
        <v>#NAME?</v>
      </c>
      <c r="X14" s="35" t="e">
        <f ca="1"/>
        <v>#NAME?</v>
      </c>
      <c r="Z14" s="33" t="e">
        <f t="array" aca="1" ref="Z14:AD18" ca="1">CORR(N6:R30)</f>
        <v>#NAME?</v>
      </c>
      <c r="AA14" s="34" t="e">
        <f ca="1"/>
        <v>#NAME?</v>
      </c>
      <c r="AB14" s="34" t="e">
        <f ca="1"/>
        <v>#NAME?</v>
      </c>
      <c r="AC14" s="34" t="e">
        <f ca="1"/>
        <v>#NAME?</v>
      </c>
      <c r="AD14" s="35" t="e">
        <f ca="1"/>
        <v>#NAME?</v>
      </c>
      <c r="AF14" t="s">
        <v>64</v>
      </c>
      <c r="AG14" s="36">
        <f>(AG8-AG7)/(AG9/SQRT(AG10))</f>
        <v>-3.119367597286228</v>
      </c>
      <c r="AH14" s="37">
        <f>(AH8-AH7)/(AH9/SQRT(AH10))</f>
        <v>5.0529115263991136</v>
      </c>
      <c r="AI14" s="37">
        <f>(AI8-AI7)/(AI9/SQRT(AI10))</f>
        <v>-1.6889438064121323</v>
      </c>
      <c r="AJ14" s="37">
        <f>(AJ8-AJ7)/(AJ9/SQRT(AJ10))</f>
        <v>-0.68895578534883983</v>
      </c>
      <c r="AK14" s="38">
        <f>(AK8-AK7)/(AK9/SQRT(AK10))</f>
        <v>3.1434073918490255</v>
      </c>
    </row>
    <row r="15" spans="1:37" x14ac:dyDescent="0.35">
      <c r="A15">
        <f t="shared" si="5"/>
        <v>10</v>
      </c>
      <c r="B15" s="36">
        <v>8</v>
      </c>
      <c r="C15" s="37">
        <v>6</v>
      </c>
      <c r="D15" s="37">
        <v>5</v>
      </c>
      <c r="E15" s="37">
        <v>3</v>
      </c>
      <c r="F15" s="38">
        <v>13</v>
      </c>
      <c r="H15" s="36">
        <v>7</v>
      </c>
      <c r="I15" s="37">
        <v>5</v>
      </c>
      <c r="J15" s="37">
        <v>9</v>
      </c>
      <c r="K15" s="37">
        <v>6</v>
      </c>
      <c r="L15" s="38">
        <v>11</v>
      </c>
      <c r="N15" s="36">
        <f t="shared" si="0"/>
        <v>1</v>
      </c>
      <c r="O15" s="37">
        <f t="shared" si="1"/>
        <v>1</v>
      </c>
      <c r="P15" s="37">
        <f t="shared" si="2"/>
        <v>-4</v>
      </c>
      <c r="Q15" s="37">
        <f t="shared" si="3"/>
        <v>-3</v>
      </c>
      <c r="R15" s="38">
        <f t="shared" si="4"/>
        <v>2</v>
      </c>
      <c r="T15" s="36" t="e">
        <f ca="1"/>
        <v>#NAME?</v>
      </c>
      <c r="U15" s="37" t="e">
        <f ca="1"/>
        <v>#NAME?</v>
      </c>
      <c r="V15" s="37" t="e">
        <f ca="1"/>
        <v>#NAME?</v>
      </c>
      <c r="W15" s="37" t="e">
        <f ca="1"/>
        <v>#NAME?</v>
      </c>
      <c r="X15" s="38" t="e">
        <f ca="1"/>
        <v>#NAME?</v>
      </c>
      <c r="Z15" s="36" t="e">
        <f ca="1"/>
        <v>#NAME?</v>
      </c>
      <c r="AA15" s="37" t="e">
        <f ca="1"/>
        <v>#NAME?</v>
      </c>
      <c r="AB15" s="37" t="e">
        <f ca="1"/>
        <v>#NAME?</v>
      </c>
      <c r="AC15" s="37" t="e">
        <f ca="1"/>
        <v>#NAME?</v>
      </c>
      <c r="AD15" s="38" t="e">
        <f ca="1"/>
        <v>#NAME?</v>
      </c>
      <c r="AF15" t="s">
        <v>63</v>
      </c>
      <c r="AG15" s="39">
        <f>TINV(AG13,AG12)</f>
        <v>2.0638985616280254</v>
      </c>
      <c r="AH15" s="40">
        <f>TINV(AH13,AH12)</f>
        <v>2.0638985616280254</v>
      </c>
      <c r="AI15" s="40">
        <f>TINV(AI13,AI12)</f>
        <v>2.0638985616280254</v>
      </c>
      <c r="AJ15" s="40">
        <f>TINV(AJ13,AJ12)</f>
        <v>2.0638985616280254</v>
      </c>
      <c r="AK15" s="41">
        <f>TINV(AK13,AK12)</f>
        <v>2.0638985616280254</v>
      </c>
    </row>
    <row r="16" spans="1:37" x14ac:dyDescent="0.35">
      <c r="A16">
        <f t="shared" si="5"/>
        <v>11</v>
      </c>
      <c r="B16" s="36">
        <v>5</v>
      </c>
      <c r="C16" s="37">
        <v>9</v>
      </c>
      <c r="D16" s="37">
        <v>5</v>
      </c>
      <c r="E16" s="37">
        <v>4</v>
      </c>
      <c r="F16" s="38">
        <v>17</v>
      </c>
      <c r="H16" s="36">
        <v>7</v>
      </c>
      <c r="I16" s="37">
        <v>5</v>
      </c>
      <c r="J16" s="37">
        <v>4</v>
      </c>
      <c r="K16" s="37">
        <v>6</v>
      </c>
      <c r="L16" s="38">
        <v>15</v>
      </c>
      <c r="N16" s="36">
        <f t="shared" si="0"/>
        <v>-2</v>
      </c>
      <c r="O16" s="37">
        <f t="shared" si="1"/>
        <v>4</v>
      </c>
      <c r="P16" s="37">
        <f t="shared" si="2"/>
        <v>1</v>
      </c>
      <c r="Q16" s="37">
        <f t="shared" si="3"/>
        <v>-2</v>
      </c>
      <c r="R16" s="38">
        <f t="shared" si="4"/>
        <v>2</v>
      </c>
      <c r="T16" s="36" t="e">
        <f ca="1"/>
        <v>#NAME?</v>
      </c>
      <c r="U16" s="37" t="e">
        <f ca="1"/>
        <v>#NAME?</v>
      </c>
      <c r="V16" s="37" t="e">
        <f ca="1"/>
        <v>#NAME?</v>
      </c>
      <c r="W16" s="37" t="e">
        <f ca="1"/>
        <v>#NAME?</v>
      </c>
      <c r="X16" s="38" t="e">
        <f ca="1"/>
        <v>#NAME?</v>
      </c>
      <c r="Z16" s="36" t="e">
        <f ca="1"/>
        <v>#NAME?</v>
      </c>
      <c r="AA16" s="37" t="e">
        <f ca="1"/>
        <v>#NAME?</v>
      </c>
      <c r="AB16" s="37" t="e">
        <f ca="1"/>
        <v>#NAME?</v>
      </c>
      <c r="AC16" s="37" t="e">
        <f ca="1"/>
        <v>#NAME?</v>
      </c>
      <c r="AD16" s="38" t="e">
        <f ca="1"/>
        <v>#NAME?</v>
      </c>
      <c r="AF16" t="s">
        <v>65</v>
      </c>
      <c r="AG16" s="33">
        <f>TDIST(ABS(AG14),AG12,2)</f>
        <v>4.6653934159287883E-3</v>
      </c>
      <c r="AH16" s="34">
        <f>TDIST(ABS(AH14),AH12,2)</f>
        <v>3.6354467564221652E-5</v>
      </c>
      <c r="AI16" s="34">
        <f>TDIST(ABS(AI14),AI12,2)</f>
        <v>0.10418264069765802</v>
      </c>
      <c r="AJ16" s="34">
        <f>TDIST(ABS(AJ14),AJ12,2)</f>
        <v>0.49745808082521559</v>
      </c>
      <c r="AK16" s="35">
        <f>TDIST(ABS(AK14),AK12,2)</f>
        <v>4.403161558730921E-3</v>
      </c>
    </row>
    <row r="17" spans="1:37" x14ac:dyDescent="0.35">
      <c r="A17">
        <f t="shared" si="5"/>
        <v>12</v>
      </c>
      <c r="B17" s="36">
        <v>8</v>
      </c>
      <c r="C17" s="37">
        <v>8</v>
      </c>
      <c r="D17" s="37">
        <v>2</v>
      </c>
      <c r="E17" s="37">
        <v>3</v>
      </c>
      <c r="F17" s="38">
        <v>5</v>
      </c>
      <c r="H17" s="36">
        <v>5</v>
      </c>
      <c r="I17" s="37">
        <v>7</v>
      </c>
      <c r="J17" s="37">
        <v>4</v>
      </c>
      <c r="K17" s="37">
        <v>4</v>
      </c>
      <c r="L17" s="38">
        <v>6</v>
      </c>
      <c r="N17" s="36">
        <f t="shared" si="0"/>
        <v>3</v>
      </c>
      <c r="O17" s="37">
        <f t="shared" si="1"/>
        <v>1</v>
      </c>
      <c r="P17" s="37">
        <f t="shared" si="2"/>
        <v>-2</v>
      </c>
      <c r="Q17" s="37">
        <f t="shared" si="3"/>
        <v>-1</v>
      </c>
      <c r="R17" s="38">
        <f t="shared" si="4"/>
        <v>-1</v>
      </c>
      <c r="T17" s="36" t="e">
        <f ca="1"/>
        <v>#NAME?</v>
      </c>
      <c r="U17" s="37" t="e">
        <f ca="1"/>
        <v>#NAME?</v>
      </c>
      <c r="V17" s="37" t="e">
        <f ca="1"/>
        <v>#NAME?</v>
      </c>
      <c r="W17" s="37" t="e">
        <f ca="1"/>
        <v>#NAME?</v>
      </c>
      <c r="X17" s="38" t="e">
        <f ca="1"/>
        <v>#NAME?</v>
      </c>
      <c r="Z17" s="36" t="e">
        <f ca="1"/>
        <v>#NAME?</v>
      </c>
      <c r="AA17" s="37" t="e">
        <f ca="1"/>
        <v>#NAME?</v>
      </c>
      <c r="AB17" s="37" t="e">
        <f ca="1"/>
        <v>#NAME?</v>
      </c>
      <c r="AC17" s="37" t="e">
        <f ca="1"/>
        <v>#NAME?</v>
      </c>
      <c r="AD17" s="38" t="e">
        <f ca="1"/>
        <v>#NAME?</v>
      </c>
      <c r="AF17" t="s">
        <v>60</v>
      </c>
      <c r="AG17" s="57" t="str">
        <f>IF(AG16&lt;=AG13,"yes","no")</f>
        <v>yes</v>
      </c>
      <c r="AH17" s="58" t="str">
        <f>IF(AH16&lt;=AH13,"yes","no")</f>
        <v>yes</v>
      </c>
      <c r="AI17" s="58" t="str">
        <f>IF(AI16&lt;=AI13,"yes","no")</f>
        <v>no</v>
      </c>
      <c r="AJ17" s="58" t="str">
        <f>IF(AJ16&lt;=AJ13,"yes","no")</f>
        <v>no</v>
      </c>
      <c r="AK17" s="59" t="str">
        <f>IF(AK16&lt;=AK13,"yes","no")</f>
        <v>yes</v>
      </c>
    </row>
    <row r="18" spans="1:37" x14ac:dyDescent="0.35">
      <c r="A18">
        <f t="shared" si="5"/>
        <v>13</v>
      </c>
      <c r="B18" s="36">
        <v>5</v>
      </c>
      <c r="C18" s="37">
        <v>8</v>
      </c>
      <c r="D18" s="37">
        <v>7</v>
      </c>
      <c r="E18" s="37">
        <v>5</v>
      </c>
      <c r="F18" s="38">
        <v>8</v>
      </c>
      <c r="H18" s="36">
        <v>6</v>
      </c>
      <c r="I18" s="37">
        <v>4</v>
      </c>
      <c r="J18" s="37">
        <v>6</v>
      </c>
      <c r="K18" s="37">
        <v>4</v>
      </c>
      <c r="L18" s="38">
        <v>12</v>
      </c>
      <c r="N18" s="36">
        <f t="shared" si="0"/>
        <v>-1</v>
      </c>
      <c r="O18" s="37">
        <f t="shared" si="1"/>
        <v>4</v>
      </c>
      <c r="P18" s="37">
        <f t="shared" si="2"/>
        <v>1</v>
      </c>
      <c r="Q18" s="37">
        <f t="shared" si="3"/>
        <v>1</v>
      </c>
      <c r="R18" s="38">
        <f t="shared" si="4"/>
        <v>-4</v>
      </c>
      <c r="T18" s="39" t="e">
        <f ca="1"/>
        <v>#NAME?</v>
      </c>
      <c r="U18" s="40" t="e">
        <f ca="1"/>
        <v>#NAME?</v>
      </c>
      <c r="V18" s="40" t="e">
        <f ca="1"/>
        <v>#NAME?</v>
      </c>
      <c r="W18" s="40" t="e">
        <f ca="1"/>
        <v>#NAME?</v>
      </c>
      <c r="X18" s="41" t="e">
        <f ca="1"/>
        <v>#NAME?</v>
      </c>
      <c r="Z18" s="39" t="e">
        <f ca="1"/>
        <v>#NAME?</v>
      </c>
      <c r="AA18" s="40" t="e">
        <f ca="1"/>
        <v>#NAME?</v>
      </c>
      <c r="AB18" s="40" t="e">
        <f ca="1"/>
        <v>#NAME?</v>
      </c>
      <c r="AC18" s="40" t="e">
        <f ca="1"/>
        <v>#NAME?</v>
      </c>
      <c r="AD18" s="41" t="e">
        <f ca="1"/>
        <v>#NAME?</v>
      </c>
      <c r="AF18" t="s">
        <v>66</v>
      </c>
      <c r="AG18" s="33">
        <f>AG8-AG15*AG11</f>
        <v>-2.1933648780987234</v>
      </c>
      <c r="AH18" s="34">
        <f>AH8-AH15*AH11</f>
        <v>1.1830854148761105</v>
      </c>
      <c r="AI18" s="34">
        <f>AI8-AI15*AI11</f>
        <v>-1.5998439348488107</v>
      </c>
      <c r="AJ18" s="34">
        <f>AJ8-AJ15*AJ11</f>
        <v>-1.2786210810125689</v>
      </c>
      <c r="AK18" s="35">
        <f>AK8-AK15*AK11</f>
        <v>0.94783908033548947</v>
      </c>
    </row>
    <row r="19" spans="1:37" x14ac:dyDescent="0.35">
      <c r="A19">
        <f t="shared" si="5"/>
        <v>14</v>
      </c>
      <c r="B19" s="36">
        <v>4</v>
      </c>
      <c r="C19" s="37">
        <v>9</v>
      </c>
      <c r="D19" s="37">
        <v>10</v>
      </c>
      <c r="E19" s="37">
        <v>2</v>
      </c>
      <c r="F19" s="38">
        <v>16</v>
      </c>
      <c r="H19" s="36">
        <v>8</v>
      </c>
      <c r="I19" s="37">
        <v>7</v>
      </c>
      <c r="J19" s="37">
        <v>8</v>
      </c>
      <c r="K19" s="37">
        <v>5</v>
      </c>
      <c r="L19" s="38">
        <v>12</v>
      </c>
      <c r="N19" s="36">
        <f t="shared" si="0"/>
        <v>-4</v>
      </c>
      <c r="O19" s="37">
        <f t="shared" si="1"/>
        <v>2</v>
      </c>
      <c r="P19" s="37">
        <f t="shared" si="2"/>
        <v>2</v>
      </c>
      <c r="Q19" s="37">
        <f t="shared" si="3"/>
        <v>-3</v>
      </c>
      <c r="R19" s="38">
        <f t="shared" si="4"/>
        <v>4</v>
      </c>
      <c r="AF19" t="s">
        <v>67</v>
      </c>
      <c r="AG19" s="39">
        <f>AG8+AG15*AG11</f>
        <v>-0.44663512190127674</v>
      </c>
      <c r="AH19" s="40">
        <f>AH8+AH15*AH11</f>
        <v>2.8169145851238895</v>
      </c>
      <c r="AI19" s="40">
        <f>AI8+AI15*AI11</f>
        <v>0.15984393484881065</v>
      </c>
      <c r="AJ19" s="40">
        <f>AJ8+AJ15*AJ11</f>
        <v>0.63862108101256876</v>
      </c>
      <c r="AK19" s="41">
        <f>AK8+AK15*AK11</f>
        <v>4.5721609196645101</v>
      </c>
    </row>
    <row r="20" spans="1:37" x14ac:dyDescent="0.35">
      <c r="A20">
        <f t="shared" si="5"/>
        <v>15</v>
      </c>
      <c r="B20" s="36">
        <v>2</v>
      </c>
      <c r="C20" s="37">
        <v>9</v>
      </c>
      <c r="D20" s="37">
        <v>4</v>
      </c>
      <c r="E20" s="37">
        <v>10</v>
      </c>
      <c r="F20" s="38">
        <v>14</v>
      </c>
      <c r="H20" s="36">
        <v>5</v>
      </c>
      <c r="I20" s="37">
        <v>6</v>
      </c>
      <c r="J20" s="37">
        <v>5</v>
      </c>
      <c r="K20" s="37">
        <v>7</v>
      </c>
      <c r="L20" s="38">
        <v>12</v>
      </c>
      <c r="N20" s="36">
        <f t="shared" si="0"/>
        <v>-3</v>
      </c>
      <c r="O20" s="37">
        <f t="shared" si="1"/>
        <v>3</v>
      </c>
      <c r="P20" s="37">
        <f t="shared" si="2"/>
        <v>-1</v>
      </c>
      <c r="Q20" s="37">
        <f t="shared" si="3"/>
        <v>3</v>
      </c>
      <c r="R20" s="38">
        <f t="shared" si="4"/>
        <v>2</v>
      </c>
      <c r="T20" t="s">
        <v>52</v>
      </c>
      <c r="U20" s="48">
        <f>COUNT(N6:N30)</f>
        <v>25</v>
      </c>
    </row>
    <row r="21" spans="1:37" x14ac:dyDescent="0.35">
      <c r="A21">
        <f t="shared" si="5"/>
        <v>16</v>
      </c>
      <c r="B21" s="36">
        <v>7</v>
      </c>
      <c r="C21" s="37">
        <v>5</v>
      </c>
      <c r="D21" s="37">
        <v>8</v>
      </c>
      <c r="E21" s="37">
        <v>6</v>
      </c>
      <c r="F21" s="38">
        <v>15</v>
      </c>
      <c r="H21" s="36">
        <v>10</v>
      </c>
      <c r="I21" s="37">
        <v>5</v>
      </c>
      <c r="J21" s="37">
        <v>7</v>
      </c>
      <c r="K21" s="37">
        <v>6</v>
      </c>
      <c r="L21" s="38">
        <v>6</v>
      </c>
      <c r="N21" s="36">
        <f t="shared" si="0"/>
        <v>-3</v>
      </c>
      <c r="O21" s="37">
        <f t="shared" si="1"/>
        <v>0</v>
      </c>
      <c r="P21" s="37">
        <f t="shared" si="2"/>
        <v>1</v>
      </c>
      <c r="Q21" s="37">
        <f t="shared" si="3"/>
        <v>0</v>
      </c>
      <c r="R21" s="38">
        <f t="shared" si="4"/>
        <v>9</v>
      </c>
      <c r="T21" t="s">
        <v>53</v>
      </c>
      <c r="U21" s="49">
        <f>COUNT(N6:R6)</f>
        <v>5</v>
      </c>
      <c r="AF21" t="s">
        <v>69</v>
      </c>
    </row>
    <row r="22" spans="1:37" ht="16.5" x14ac:dyDescent="0.35">
      <c r="A22">
        <f t="shared" si="5"/>
        <v>17</v>
      </c>
      <c r="B22" s="36">
        <v>4</v>
      </c>
      <c r="C22" s="37">
        <v>8</v>
      </c>
      <c r="D22" s="37">
        <v>8</v>
      </c>
      <c r="E22" s="37">
        <v>2</v>
      </c>
      <c r="F22" s="38">
        <v>16</v>
      </c>
      <c r="H22" s="36">
        <v>9</v>
      </c>
      <c r="I22" s="37">
        <v>6</v>
      </c>
      <c r="J22" s="37">
        <v>9</v>
      </c>
      <c r="K22" s="37">
        <v>5</v>
      </c>
      <c r="L22" s="38">
        <v>11</v>
      </c>
      <c r="N22" s="36">
        <f t="shared" si="0"/>
        <v>-5</v>
      </c>
      <c r="O22" s="37">
        <f t="shared" si="1"/>
        <v>2</v>
      </c>
      <c r="P22" s="37">
        <f t="shared" si="2"/>
        <v>-1</v>
      </c>
      <c r="Q22" s="37">
        <f t="shared" si="3"/>
        <v>-3</v>
      </c>
      <c r="R22" s="38">
        <f t="shared" si="4"/>
        <v>5</v>
      </c>
      <c r="T22" t="s">
        <v>51</v>
      </c>
      <c r="U22" s="49" t="e">
        <f t="array" aca="1" ref="U22" ca="1">U20*MMULT(MMULT(TRANSPOSE(V6:V10-U6:U10),MINVERSE(T14:X18)),V6:V10-U6:U10)</f>
        <v>#NAME?</v>
      </c>
    </row>
    <row r="23" spans="1:37" x14ac:dyDescent="0.35">
      <c r="A23">
        <f t="shared" si="5"/>
        <v>18</v>
      </c>
      <c r="B23" s="36">
        <v>5</v>
      </c>
      <c r="C23" s="37">
        <v>10</v>
      </c>
      <c r="D23" s="37">
        <v>9</v>
      </c>
      <c r="E23" s="37">
        <v>3</v>
      </c>
      <c r="F23" s="38">
        <v>11</v>
      </c>
      <c r="H23" s="36">
        <v>8</v>
      </c>
      <c r="I23" s="37">
        <v>7</v>
      </c>
      <c r="J23" s="37">
        <v>10</v>
      </c>
      <c r="K23" s="37">
        <v>5</v>
      </c>
      <c r="L23" s="38">
        <v>5</v>
      </c>
      <c r="N23" s="36">
        <f t="shared" si="0"/>
        <v>-3</v>
      </c>
      <c r="O23" s="37">
        <f t="shared" si="1"/>
        <v>3</v>
      </c>
      <c r="P23" s="37">
        <f t="shared" si="2"/>
        <v>-1</v>
      </c>
      <c r="Q23" s="37">
        <f t="shared" si="3"/>
        <v>-2</v>
      </c>
      <c r="R23" s="38">
        <f t="shared" si="4"/>
        <v>6</v>
      </c>
      <c r="T23" t="s">
        <v>54</v>
      </c>
      <c r="U23" s="49" t="e">
        <f ca="1">U22*(U20-U21)/(U21*(U20-1))</f>
        <v>#NAME?</v>
      </c>
      <c r="AG23" s="47" t="str">
        <f>AG6</f>
        <v>Style</v>
      </c>
      <c r="AH23" s="47" t="str">
        <f>AH6</f>
        <v>Comfort</v>
      </c>
      <c r="AI23" s="47" t="str">
        <f>AI6</f>
        <v>Stability</v>
      </c>
      <c r="AJ23" s="47" t="str">
        <f>AJ6</f>
        <v>Cushion</v>
      </c>
      <c r="AK23" s="47" t="str">
        <f>AK6</f>
        <v>Durability</v>
      </c>
    </row>
    <row r="24" spans="1:37" x14ac:dyDescent="0.35">
      <c r="A24">
        <f t="shared" si="5"/>
        <v>19</v>
      </c>
      <c r="B24" s="36">
        <v>7</v>
      </c>
      <c r="C24" s="37">
        <v>7</v>
      </c>
      <c r="D24" s="37">
        <v>3</v>
      </c>
      <c r="E24" s="37">
        <v>7</v>
      </c>
      <c r="F24" s="38">
        <v>12</v>
      </c>
      <c r="H24" s="36">
        <v>6</v>
      </c>
      <c r="I24" s="37">
        <v>2</v>
      </c>
      <c r="J24" s="37">
        <v>5</v>
      </c>
      <c r="K24" s="37">
        <v>3</v>
      </c>
      <c r="L24" s="38">
        <v>8</v>
      </c>
      <c r="N24" s="36">
        <f t="shared" si="0"/>
        <v>1</v>
      </c>
      <c r="O24" s="37">
        <f t="shared" si="1"/>
        <v>5</v>
      </c>
      <c r="P24" s="37">
        <f t="shared" si="2"/>
        <v>-2</v>
      </c>
      <c r="Q24" s="37">
        <f t="shared" si="3"/>
        <v>4</v>
      </c>
      <c r="R24" s="38">
        <f t="shared" si="4"/>
        <v>4</v>
      </c>
      <c r="T24" t="s">
        <v>55</v>
      </c>
      <c r="U24" s="49">
        <f>U21</f>
        <v>5</v>
      </c>
      <c r="AF24" t="s">
        <v>48</v>
      </c>
      <c r="AG24" s="33">
        <f>AG8</f>
        <v>-1.32</v>
      </c>
      <c r="AH24" s="34">
        <f>AH8</f>
        <v>2</v>
      </c>
      <c r="AI24" s="34">
        <f>AI8</f>
        <v>-0.72</v>
      </c>
      <c r="AJ24" s="34">
        <f>AJ8</f>
        <v>-0.32</v>
      </c>
      <c r="AK24" s="35">
        <f>AK8</f>
        <v>2.76</v>
      </c>
    </row>
    <row r="25" spans="1:37" x14ac:dyDescent="0.35">
      <c r="A25">
        <f t="shared" si="5"/>
        <v>20</v>
      </c>
      <c r="B25" s="36">
        <v>1</v>
      </c>
      <c r="C25" s="37">
        <v>5</v>
      </c>
      <c r="D25" s="37">
        <v>2</v>
      </c>
      <c r="E25" s="37">
        <v>7</v>
      </c>
      <c r="F25" s="38">
        <v>17</v>
      </c>
      <c r="H25" s="36">
        <v>5</v>
      </c>
      <c r="I25" s="37">
        <v>7</v>
      </c>
      <c r="J25" s="37">
        <v>5</v>
      </c>
      <c r="K25" s="37">
        <v>5</v>
      </c>
      <c r="L25" s="38">
        <v>8</v>
      </c>
      <c r="N25" s="36">
        <f t="shared" si="0"/>
        <v>-4</v>
      </c>
      <c r="O25" s="37">
        <f t="shared" si="1"/>
        <v>-2</v>
      </c>
      <c r="P25" s="37">
        <f t="shared" si="2"/>
        <v>-3</v>
      </c>
      <c r="Q25" s="37">
        <f t="shared" si="3"/>
        <v>2</v>
      </c>
      <c r="R25" s="38">
        <f t="shared" si="4"/>
        <v>9</v>
      </c>
      <c r="T25" t="s">
        <v>56</v>
      </c>
      <c r="U25" s="49">
        <f>U20-U21</f>
        <v>20</v>
      </c>
      <c r="AF25" t="s">
        <v>52</v>
      </c>
      <c r="AG25" s="36">
        <f>U20</f>
        <v>25</v>
      </c>
      <c r="AH25" s="37">
        <f>AG25</f>
        <v>25</v>
      </c>
      <c r="AI25" s="37">
        <f>AH25</f>
        <v>25</v>
      </c>
      <c r="AJ25" s="37">
        <f>AI25</f>
        <v>25</v>
      </c>
      <c r="AK25" s="38">
        <f>AJ25</f>
        <v>25</v>
      </c>
    </row>
    <row r="26" spans="1:37" x14ac:dyDescent="0.35">
      <c r="A26">
        <f t="shared" si="5"/>
        <v>21</v>
      </c>
      <c r="B26" s="36">
        <v>5</v>
      </c>
      <c r="C26" s="37">
        <v>6</v>
      </c>
      <c r="D26" s="37">
        <v>7</v>
      </c>
      <c r="E26" s="37">
        <v>7</v>
      </c>
      <c r="F26" s="38">
        <v>20</v>
      </c>
      <c r="H26" s="36">
        <v>8</v>
      </c>
      <c r="I26" s="37">
        <v>4</v>
      </c>
      <c r="J26" s="37">
        <v>8</v>
      </c>
      <c r="K26" s="37">
        <v>8</v>
      </c>
      <c r="L26" s="38">
        <v>10</v>
      </c>
      <c r="N26" s="36">
        <f t="shared" si="0"/>
        <v>-3</v>
      </c>
      <c r="O26" s="37">
        <f t="shared" si="1"/>
        <v>2</v>
      </c>
      <c r="P26" s="37">
        <f t="shared" si="2"/>
        <v>-1</v>
      </c>
      <c r="Q26" s="37">
        <f t="shared" si="3"/>
        <v>-1</v>
      </c>
      <c r="R26" s="38">
        <f t="shared" si="4"/>
        <v>10</v>
      </c>
      <c r="T26" s="46" t="s">
        <v>57</v>
      </c>
      <c r="U26" s="50">
        <v>0.05</v>
      </c>
      <c r="AF26" s="60" t="s">
        <v>53</v>
      </c>
      <c r="AG26" s="36">
        <f>U21</f>
        <v>5</v>
      </c>
      <c r="AH26" s="37">
        <f t="shared" ref="AH26:AK30" si="6">AG26</f>
        <v>5</v>
      </c>
      <c r="AI26" s="37">
        <f t="shared" si="6"/>
        <v>5</v>
      </c>
      <c r="AJ26" s="37">
        <f t="shared" si="6"/>
        <v>5</v>
      </c>
      <c r="AK26" s="38">
        <f t="shared" si="6"/>
        <v>5</v>
      </c>
    </row>
    <row r="27" spans="1:37" x14ac:dyDescent="0.35">
      <c r="A27">
        <f t="shared" si="5"/>
        <v>22</v>
      </c>
      <c r="B27" s="36">
        <v>4</v>
      </c>
      <c r="C27" s="37">
        <v>3</v>
      </c>
      <c r="D27" s="37">
        <v>1</v>
      </c>
      <c r="E27" s="37">
        <v>2</v>
      </c>
      <c r="F27" s="38">
        <v>15</v>
      </c>
      <c r="H27" s="36">
        <v>3</v>
      </c>
      <c r="I27" s="37">
        <v>2</v>
      </c>
      <c r="J27" s="37">
        <v>4</v>
      </c>
      <c r="K27" s="37">
        <v>4</v>
      </c>
      <c r="L27" s="38">
        <v>15</v>
      </c>
      <c r="N27" s="36">
        <f t="shared" si="0"/>
        <v>1</v>
      </c>
      <c r="O27" s="37">
        <f t="shared" si="1"/>
        <v>1</v>
      </c>
      <c r="P27" s="37">
        <f t="shared" si="2"/>
        <v>-3</v>
      </c>
      <c r="Q27" s="37">
        <f t="shared" si="3"/>
        <v>-2</v>
      </c>
      <c r="R27" s="38">
        <f t="shared" si="4"/>
        <v>0</v>
      </c>
      <c r="T27" t="s">
        <v>58</v>
      </c>
      <c r="U27" s="49">
        <f>FINV(U26,U24,U25)</f>
        <v>2.7108898372096917</v>
      </c>
      <c r="AF27" t="s">
        <v>55</v>
      </c>
      <c r="AG27" s="36">
        <f>U24</f>
        <v>5</v>
      </c>
      <c r="AH27" s="37">
        <f t="shared" si="6"/>
        <v>5</v>
      </c>
      <c r="AI27" s="37">
        <f t="shared" si="6"/>
        <v>5</v>
      </c>
      <c r="AJ27" s="37">
        <f t="shared" si="6"/>
        <v>5</v>
      </c>
      <c r="AK27" s="38">
        <f t="shared" si="6"/>
        <v>5</v>
      </c>
    </row>
    <row r="28" spans="1:37" x14ac:dyDescent="0.35">
      <c r="A28">
        <f t="shared" si="5"/>
        <v>23</v>
      </c>
      <c r="B28" s="36">
        <v>7</v>
      </c>
      <c r="C28" s="37">
        <v>9</v>
      </c>
      <c r="D28" s="37">
        <v>6</v>
      </c>
      <c r="E28" s="37">
        <v>6</v>
      </c>
      <c r="F28" s="38">
        <v>9</v>
      </c>
      <c r="H28" s="36">
        <v>8</v>
      </c>
      <c r="I28" s="37">
        <v>6</v>
      </c>
      <c r="J28" s="37">
        <v>3</v>
      </c>
      <c r="K28" s="37">
        <v>6</v>
      </c>
      <c r="L28" s="38">
        <v>12</v>
      </c>
      <c r="N28" s="36">
        <f t="shared" si="0"/>
        <v>-1</v>
      </c>
      <c r="O28" s="37">
        <f t="shared" si="1"/>
        <v>3</v>
      </c>
      <c r="P28" s="37">
        <f t="shared" si="2"/>
        <v>3</v>
      </c>
      <c r="Q28" s="37">
        <f t="shared" si="3"/>
        <v>0</v>
      </c>
      <c r="R28" s="38">
        <f t="shared" si="4"/>
        <v>-3</v>
      </c>
      <c r="T28" t="s">
        <v>59</v>
      </c>
      <c r="U28" s="49" t="e">
        <f ca="1">FDIST(U23,U24,U25)</f>
        <v>#NAME?</v>
      </c>
      <c r="AF28" s="60" t="s">
        <v>56</v>
      </c>
      <c r="AG28" s="36">
        <f>U25</f>
        <v>20</v>
      </c>
      <c r="AH28" s="37">
        <f t="shared" si="6"/>
        <v>20</v>
      </c>
      <c r="AI28" s="37">
        <f t="shared" si="6"/>
        <v>20</v>
      </c>
      <c r="AJ28" s="37">
        <f t="shared" si="6"/>
        <v>20</v>
      </c>
      <c r="AK28" s="38">
        <f t="shared" si="6"/>
        <v>20</v>
      </c>
    </row>
    <row r="29" spans="1:37" x14ac:dyDescent="0.35">
      <c r="A29">
        <f t="shared" si="5"/>
        <v>24</v>
      </c>
      <c r="B29" s="36">
        <v>4</v>
      </c>
      <c r="C29" s="37">
        <v>5</v>
      </c>
      <c r="D29" s="37">
        <v>2</v>
      </c>
      <c r="E29" s="37">
        <v>4</v>
      </c>
      <c r="F29" s="38">
        <v>12</v>
      </c>
      <c r="H29" s="36">
        <v>5</v>
      </c>
      <c r="I29" s="37">
        <v>4</v>
      </c>
      <c r="J29" s="37">
        <v>6</v>
      </c>
      <c r="K29" s="37">
        <v>5</v>
      </c>
      <c r="L29" s="38">
        <v>9</v>
      </c>
      <c r="N29" s="36">
        <f t="shared" si="0"/>
        <v>-1</v>
      </c>
      <c r="O29" s="37">
        <f t="shared" si="1"/>
        <v>1</v>
      </c>
      <c r="P29" s="37">
        <f t="shared" si="2"/>
        <v>-4</v>
      </c>
      <c r="Q29" s="37">
        <f t="shared" si="3"/>
        <v>-1</v>
      </c>
      <c r="R29" s="38">
        <f t="shared" si="4"/>
        <v>3</v>
      </c>
      <c r="T29" t="s">
        <v>60</v>
      </c>
      <c r="U29" s="51" t="e">
        <f ca="1">IF(U28&lt;= U26,"yes","no")</f>
        <v>#NAME?</v>
      </c>
      <c r="AF29" s="46" t="s">
        <v>57</v>
      </c>
      <c r="AG29" s="36">
        <f>U26</f>
        <v>0.05</v>
      </c>
      <c r="AH29" s="37">
        <f t="shared" si="6"/>
        <v>0.05</v>
      </c>
      <c r="AI29" s="37">
        <f t="shared" si="6"/>
        <v>0.05</v>
      </c>
      <c r="AJ29" s="37">
        <f t="shared" si="6"/>
        <v>0.05</v>
      </c>
      <c r="AK29" s="38">
        <f t="shared" si="6"/>
        <v>0.05</v>
      </c>
    </row>
    <row r="30" spans="1:37" x14ac:dyDescent="0.35">
      <c r="A30">
        <f t="shared" si="5"/>
        <v>25</v>
      </c>
      <c r="B30" s="39">
        <v>8</v>
      </c>
      <c r="C30" s="40">
        <v>9</v>
      </c>
      <c r="D30" s="40">
        <v>5</v>
      </c>
      <c r="E30" s="40">
        <v>7</v>
      </c>
      <c r="F30" s="41">
        <v>18</v>
      </c>
      <c r="H30" s="39">
        <v>6</v>
      </c>
      <c r="I30" s="40">
        <v>3</v>
      </c>
      <c r="J30" s="40">
        <v>4</v>
      </c>
      <c r="K30" s="40">
        <v>8</v>
      </c>
      <c r="L30" s="41">
        <v>8</v>
      </c>
      <c r="N30" s="39">
        <f t="shared" si="0"/>
        <v>2</v>
      </c>
      <c r="O30" s="40">
        <f t="shared" si="1"/>
        <v>6</v>
      </c>
      <c r="P30" s="40">
        <f t="shared" si="2"/>
        <v>1</v>
      </c>
      <c r="Q30" s="40">
        <f t="shared" si="3"/>
        <v>-1</v>
      </c>
      <c r="R30" s="41">
        <f t="shared" si="4"/>
        <v>10</v>
      </c>
      <c r="AF30" t="s">
        <v>58</v>
      </c>
      <c r="AG30" s="36">
        <f>U27</f>
        <v>2.7108898372096917</v>
      </c>
      <c r="AH30" s="37">
        <f>AG30</f>
        <v>2.7108898372096917</v>
      </c>
      <c r="AI30" s="37">
        <f t="shared" si="6"/>
        <v>2.7108898372096917</v>
      </c>
      <c r="AJ30" s="37">
        <f t="shared" si="6"/>
        <v>2.7108898372096917</v>
      </c>
      <c r="AK30" s="38">
        <f t="shared" si="6"/>
        <v>2.7108898372096917</v>
      </c>
    </row>
    <row r="31" spans="1:37" x14ac:dyDescent="0.35">
      <c r="T31" t="s">
        <v>770</v>
      </c>
      <c r="AF31" s="60" t="s">
        <v>63</v>
      </c>
      <c r="AG31" s="36">
        <f>SQRT(AG26*(AG25-1)/(AG25-AG26)*AG30)</f>
        <v>4.0330309970614096</v>
      </c>
      <c r="AH31" s="37">
        <f>SQRT(AH26*(AH25-1)/(AH25-AH26)*AH30)</f>
        <v>4.0330309970614096</v>
      </c>
      <c r="AI31" s="37">
        <f>SQRT(AI26*(AI25-1)/(AI25-AI26)*AI30)</f>
        <v>4.0330309970614096</v>
      </c>
      <c r="AJ31" s="37">
        <f>SQRT(AJ26*(AJ25-1)/(AJ25-AJ26)*AJ30)</f>
        <v>4.0330309970614096</v>
      </c>
      <c r="AK31" s="38">
        <f>SQRT(AK26*(AK25-1)/(AK25-AK26)*AK30)</f>
        <v>4.0330309970614096</v>
      </c>
    </row>
    <row r="32" spans="1:37" x14ac:dyDescent="0.35">
      <c r="M32" t="s">
        <v>48</v>
      </c>
      <c r="N32" s="33">
        <f>AVERAGE(N6:N30)</f>
        <v>-1.32</v>
      </c>
      <c r="O32" s="34">
        <f>AVERAGE(O6:O30)</f>
        <v>2</v>
      </c>
      <c r="P32" s="34">
        <f>AVERAGE(P6:P30)</f>
        <v>-0.72</v>
      </c>
      <c r="Q32" s="34">
        <f>AVERAGE(Q6:Q30)</f>
        <v>-0.32</v>
      </c>
      <c r="R32" s="35">
        <f>AVERAGE(R6:R30)</f>
        <v>2.76</v>
      </c>
      <c r="AF32" t="s">
        <v>70</v>
      </c>
      <c r="AG32" s="39">
        <f>AG11</f>
        <v>0.4231626952682227</v>
      </c>
      <c r="AH32" s="40">
        <f>AH11</f>
        <v>0.39581140290126393</v>
      </c>
      <c r="AI32" s="40">
        <f>AI11</f>
        <v>0.42630192743328443</v>
      </c>
      <c r="AJ32" s="40">
        <f>AJ11</f>
        <v>0.46447102528934281</v>
      </c>
      <c r="AK32" s="41">
        <f>AK11</f>
        <v>0.87802809370391643</v>
      </c>
    </row>
    <row r="33" spans="13:37" ht="16.5" x14ac:dyDescent="0.35">
      <c r="M33" t="s">
        <v>49</v>
      </c>
      <c r="N33" s="39">
        <f>STDEV(N6:N30)</f>
        <v>2.1158134763411134</v>
      </c>
      <c r="O33" s="40">
        <f>STDEV(O6:O30)</f>
        <v>1.9790570145063195</v>
      </c>
      <c r="P33" s="40">
        <f>STDEV(P6:P30)</f>
        <v>2.1315096371664222</v>
      </c>
      <c r="Q33" s="40">
        <f>STDEV(Q6:Q30)</f>
        <v>2.3223551264467139</v>
      </c>
      <c r="R33" s="41">
        <f>STDEV(R6:R30)</f>
        <v>4.390140468519582</v>
      </c>
      <c r="T33" t="s">
        <v>51</v>
      </c>
      <c r="U33" s="48" t="e">
        <f ca="1">HotellingT2(B6:F30,H6:L30,1)</f>
        <v>#NAME?</v>
      </c>
      <c r="W33" t="e">
        <f t="array" aca="1" ref="W33:X37" ca="1">Hotelling(B6:F30,H6:L30,1,TRUE)</f>
        <v>#NAME?</v>
      </c>
      <c r="X33" s="146" t="e">
        <f ca="1"/>
        <v>#NAME?</v>
      </c>
      <c r="AF33" t="s">
        <v>66</v>
      </c>
      <c r="AG33" s="33">
        <f>AG24-AG31*AG32</f>
        <v>-3.0266282668167936</v>
      </c>
      <c r="AH33" s="34">
        <f>AH24-AH31*AH32</f>
        <v>0.40368034310884027</v>
      </c>
      <c r="AI33" s="34">
        <f>AI24-AI31*AI32</f>
        <v>-2.4392888874454597</v>
      </c>
      <c r="AJ33" s="34">
        <f>AJ24-AJ31*AJ32</f>
        <v>-2.1932260422288135</v>
      </c>
      <c r="AK33" s="35">
        <f>AK24-AK31*AK32</f>
        <v>-0.7811145181986352</v>
      </c>
    </row>
    <row r="34" spans="13:37" x14ac:dyDescent="0.35">
      <c r="T34" t="s">
        <v>54</v>
      </c>
      <c r="U34" s="49" t="e">
        <f ca="1">HotellingF(B6:F30,H6:L30,1)</f>
        <v>#NAME?</v>
      </c>
      <c r="W34" t="e">
        <f ca="1"/>
        <v>#NAME?</v>
      </c>
      <c r="X34" s="173" t="e">
        <f ca="1"/>
        <v>#NAME?</v>
      </c>
      <c r="AF34" t="s">
        <v>67</v>
      </c>
      <c r="AG34" s="39">
        <f>AG24+AG31*AG32</f>
        <v>0.38662826681679352</v>
      </c>
      <c r="AH34" s="40">
        <f>AH24+AH31*AH32</f>
        <v>3.5963196568911595</v>
      </c>
      <c r="AI34" s="40">
        <f>AI24+AI31*AI32</f>
        <v>0.99928888744545974</v>
      </c>
      <c r="AJ34" s="40">
        <f>AJ24+AJ31*AJ32</f>
        <v>1.5532260422288133</v>
      </c>
      <c r="AK34" s="41">
        <f>AK24+AK31*AK32</f>
        <v>6.3011145181986343</v>
      </c>
    </row>
    <row r="35" spans="13:37" x14ac:dyDescent="0.35">
      <c r="T35" t="s">
        <v>55</v>
      </c>
      <c r="U35" s="49" t="e">
        <f ca="1">Hotellingdf1(B6:F30,H6:L30,1)</f>
        <v>#NAME?</v>
      </c>
      <c r="W35" t="e">
        <f ca="1"/>
        <v>#NAME?</v>
      </c>
      <c r="X35" s="173" t="e">
        <f ca="1"/>
        <v>#NAME?</v>
      </c>
      <c r="AF35" s="60" t="s">
        <v>72</v>
      </c>
      <c r="AG35" s="61" t="str">
        <f>IF(AG34&lt;0,"low",IF(0&lt;AG33,"high","ok"))</f>
        <v>ok</v>
      </c>
      <c r="AH35" s="68" t="str">
        <f>IF(AH34&lt;0,"low",IF(0&lt;AH33,"high","ok"))</f>
        <v>high</v>
      </c>
      <c r="AI35" s="68" t="str">
        <f>IF(AI34&lt;0,"low",IF(0&lt;AI33,"high","ok"))</f>
        <v>ok</v>
      </c>
      <c r="AJ35" s="68" t="str">
        <f>IF(AJ34&lt;0,"low",IF(0&lt;AJ33,"high","ok"))</f>
        <v>ok</v>
      </c>
      <c r="AK35" s="69" t="str">
        <f>IF(AK34&lt;0,"low",IF(0&lt;AK33,"high","ok"))</f>
        <v>ok</v>
      </c>
    </row>
    <row r="36" spans="13:37" x14ac:dyDescent="0.35">
      <c r="T36" t="s">
        <v>56</v>
      </c>
      <c r="U36" s="49" t="e">
        <f ca="1">Hotellingdf2(B6:F30,H6:L30,1)</f>
        <v>#NAME?</v>
      </c>
      <c r="W36" t="e">
        <f ca="1"/>
        <v>#NAME?</v>
      </c>
      <c r="X36" s="173" t="e">
        <f ca="1"/>
        <v>#NAME?</v>
      </c>
    </row>
    <row r="37" spans="13:37" x14ac:dyDescent="0.35">
      <c r="T37" t="s">
        <v>65</v>
      </c>
      <c r="U37" s="52" t="e">
        <f ca="1">T2TEST(B6:F30,H6:L30,1)</f>
        <v>#NAME?</v>
      </c>
      <c r="W37" t="e">
        <f ca="1"/>
        <v>#NAME?</v>
      </c>
      <c r="X37" s="52" t="e">
        <f ca="1"/>
        <v>#NAME?</v>
      </c>
      <c r="AF37" t="s">
        <v>82</v>
      </c>
    </row>
    <row r="39" spans="13:37" x14ac:dyDescent="0.35">
      <c r="AG39" s="47" t="str">
        <f t="shared" ref="AG39:AK45" si="7">AG6</f>
        <v>Style</v>
      </c>
      <c r="AH39" s="47" t="str">
        <f t="shared" si="7"/>
        <v>Comfort</v>
      </c>
      <c r="AI39" s="47" t="str">
        <f t="shared" si="7"/>
        <v>Stability</v>
      </c>
      <c r="AJ39" s="47" t="str">
        <f t="shared" si="7"/>
        <v>Cushion</v>
      </c>
      <c r="AK39" s="47" t="str">
        <f t="shared" si="7"/>
        <v>Durability</v>
      </c>
    </row>
    <row r="40" spans="13:37" x14ac:dyDescent="0.35">
      <c r="AF40" t="s">
        <v>71</v>
      </c>
      <c r="AG40" s="63">
        <f t="shared" si="7"/>
        <v>0</v>
      </c>
      <c r="AH40" s="64">
        <f t="shared" si="7"/>
        <v>0</v>
      </c>
      <c r="AI40" s="64">
        <f t="shared" si="7"/>
        <v>0</v>
      </c>
      <c r="AJ40" s="64">
        <f t="shared" si="7"/>
        <v>0</v>
      </c>
      <c r="AK40" s="65">
        <f t="shared" si="7"/>
        <v>0</v>
      </c>
    </row>
    <row r="41" spans="13:37" x14ac:dyDescent="0.35">
      <c r="AF41" t="s">
        <v>48</v>
      </c>
      <c r="AG41" s="66">
        <f t="shared" si="7"/>
        <v>-1.32</v>
      </c>
      <c r="AH41" s="56">
        <f t="shared" si="7"/>
        <v>2</v>
      </c>
      <c r="AI41" s="56">
        <f t="shared" si="7"/>
        <v>-0.72</v>
      </c>
      <c r="AJ41" s="56">
        <f t="shared" si="7"/>
        <v>-0.32</v>
      </c>
      <c r="AK41" s="67">
        <f t="shared" si="7"/>
        <v>2.76</v>
      </c>
    </row>
    <row r="42" spans="13:37" x14ac:dyDescent="0.35">
      <c r="AF42" t="s">
        <v>61</v>
      </c>
      <c r="AG42" s="66">
        <f t="shared" si="7"/>
        <v>2.1158134763411134</v>
      </c>
      <c r="AH42" s="56">
        <f t="shared" si="7"/>
        <v>1.9790570145063195</v>
      </c>
      <c r="AI42" s="56">
        <f t="shared" si="7"/>
        <v>2.1315096371664222</v>
      </c>
      <c r="AJ42" s="56">
        <f t="shared" si="7"/>
        <v>2.3223551264467139</v>
      </c>
      <c r="AK42" s="67">
        <f t="shared" si="7"/>
        <v>4.390140468519582</v>
      </c>
    </row>
    <row r="43" spans="13:37" x14ac:dyDescent="0.35">
      <c r="AF43" t="s">
        <v>52</v>
      </c>
      <c r="AG43" s="66">
        <f t="shared" si="7"/>
        <v>25</v>
      </c>
      <c r="AH43" s="56">
        <f t="shared" si="7"/>
        <v>25</v>
      </c>
      <c r="AI43" s="56">
        <f t="shared" si="7"/>
        <v>25</v>
      </c>
      <c r="AJ43" s="56">
        <f t="shared" si="7"/>
        <v>25</v>
      </c>
      <c r="AK43" s="67">
        <f t="shared" si="7"/>
        <v>25</v>
      </c>
    </row>
    <row r="44" spans="13:37" x14ac:dyDescent="0.35">
      <c r="AF44" t="s">
        <v>70</v>
      </c>
      <c r="AG44" s="66">
        <f t="shared" si="7"/>
        <v>0.4231626952682227</v>
      </c>
      <c r="AH44" s="56">
        <f t="shared" si="7"/>
        <v>0.39581140290126393</v>
      </c>
      <c r="AI44" s="56">
        <f t="shared" si="7"/>
        <v>0.42630192743328443</v>
      </c>
      <c r="AJ44" s="56">
        <f t="shared" si="7"/>
        <v>0.46447102528934281</v>
      </c>
      <c r="AK44" s="67">
        <f t="shared" si="7"/>
        <v>0.87802809370391643</v>
      </c>
    </row>
    <row r="45" spans="13:37" x14ac:dyDescent="0.35">
      <c r="AF45" t="s">
        <v>62</v>
      </c>
      <c r="AG45" s="66">
        <f t="shared" si="7"/>
        <v>24</v>
      </c>
      <c r="AH45" s="56">
        <f t="shared" si="7"/>
        <v>24</v>
      </c>
      <c r="AI45" s="56">
        <f t="shared" si="7"/>
        <v>24</v>
      </c>
      <c r="AJ45" s="56">
        <f t="shared" si="7"/>
        <v>24</v>
      </c>
      <c r="AK45" s="67">
        <f t="shared" si="7"/>
        <v>24</v>
      </c>
    </row>
    <row r="46" spans="13:37" x14ac:dyDescent="0.35">
      <c r="AF46" s="46" t="s">
        <v>57</v>
      </c>
      <c r="AG46" s="66">
        <f>AG13/AG26</f>
        <v>0.01</v>
      </c>
      <c r="AH46" s="37">
        <f>AG46</f>
        <v>0.01</v>
      </c>
      <c r="AI46" s="37">
        <f>AH46</f>
        <v>0.01</v>
      </c>
      <c r="AJ46" s="37">
        <f>AI46</f>
        <v>0.01</v>
      </c>
      <c r="AK46" s="38">
        <f>AJ46</f>
        <v>0.01</v>
      </c>
    </row>
    <row r="47" spans="13:37" x14ac:dyDescent="0.35">
      <c r="AF47" t="s">
        <v>64</v>
      </c>
      <c r="AG47" s="36">
        <f>(AG41-AG40)/(AG42/SQRT(AG43))</f>
        <v>-3.119367597286228</v>
      </c>
      <c r="AH47" s="37">
        <f>(AH41-AH40)/(AH42/SQRT(AH43))</f>
        <v>5.0529115263991136</v>
      </c>
      <c r="AI47" s="37">
        <f>(AI41-AI40)/(AI42/SQRT(AI43))</f>
        <v>-1.6889438064121323</v>
      </c>
      <c r="AJ47" s="37">
        <f>(AJ41-AJ40)/(AJ42/SQRT(AJ43))</f>
        <v>-0.68895578534883983</v>
      </c>
      <c r="AK47" s="38">
        <f>(AK41-AK40)/(AK42/SQRT(AK43))</f>
        <v>3.1434073918490255</v>
      </c>
    </row>
    <row r="48" spans="13:37" x14ac:dyDescent="0.35">
      <c r="AF48" t="s">
        <v>63</v>
      </c>
      <c r="AG48" s="39">
        <f>TINV(AG46,AG45)</f>
        <v>2.7969395047744556</v>
      </c>
      <c r="AH48" s="40">
        <f>TINV(AH46,AH45)</f>
        <v>2.7969395047744556</v>
      </c>
      <c r="AI48" s="40">
        <f>TINV(AI46,AI45)</f>
        <v>2.7969395047744556</v>
      </c>
      <c r="AJ48" s="40">
        <f>TINV(AJ46,AJ45)</f>
        <v>2.7969395047744556</v>
      </c>
      <c r="AK48" s="41">
        <f>TINV(AK46,AK45)</f>
        <v>2.7969395047744556</v>
      </c>
    </row>
    <row r="49" spans="32:37" x14ac:dyDescent="0.35">
      <c r="AF49" t="s">
        <v>65</v>
      </c>
      <c r="AG49" s="33">
        <f>TDIST(ABS(AG47),AG45,2)</f>
        <v>4.6653934159287883E-3</v>
      </c>
      <c r="AH49" s="34">
        <f>TDIST(ABS(AH47),AH45,2)</f>
        <v>3.6354467564221652E-5</v>
      </c>
      <c r="AI49" s="34">
        <f>TDIST(ABS(AI47),AI45,2)</f>
        <v>0.10418264069765802</v>
      </c>
      <c r="AJ49" s="34">
        <f>TDIST(ABS(AJ47),AJ45,2)</f>
        <v>0.49745808082521559</v>
      </c>
      <c r="AK49" s="35">
        <f>TDIST(ABS(AK47),AK45,2)</f>
        <v>4.403161558730921E-3</v>
      </c>
    </row>
    <row r="50" spans="32:37" x14ac:dyDescent="0.35">
      <c r="AF50" t="s">
        <v>60</v>
      </c>
      <c r="AG50" s="57" t="str">
        <f>IF(AG49&lt;=AG46,"yes","no")</f>
        <v>yes</v>
      </c>
      <c r="AH50" s="58" t="str">
        <f>IF(AH49&lt;=AH46,"yes","no")</f>
        <v>yes</v>
      </c>
      <c r="AI50" s="58" t="str">
        <f>IF(AI49&lt;=AI46,"yes","no")</f>
        <v>no</v>
      </c>
      <c r="AJ50" s="58" t="str">
        <f>IF(AJ49&lt;=AJ46,"yes","no")</f>
        <v>no</v>
      </c>
      <c r="AK50" s="59" t="str">
        <f>IF(AK49&lt;=AK46,"yes","no")</f>
        <v>yes</v>
      </c>
    </row>
    <row r="51" spans="32:37" x14ac:dyDescent="0.35">
      <c r="AF51" t="s">
        <v>66</v>
      </c>
      <c r="AG51" s="33">
        <f>AG41-AG48*AG44</f>
        <v>-2.5035604593425269</v>
      </c>
      <c r="AH51" s="34">
        <f>AH41-AH48*AH44</f>
        <v>0.89293945078525638</v>
      </c>
      <c r="AI51" s="34">
        <f>AI41-AI48*AI44</f>
        <v>-1.9123407017996465</v>
      </c>
      <c r="AJ51" s="34">
        <f>AJ41-AJ48*AJ44</f>
        <v>-1.6190973594548581</v>
      </c>
      <c r="AK51" s="35">
        <f>AK41-AK48*AK44</f>
        <v>0.30420853841770823</v>
      </c>
    </row>
    <row r="52" spans="32:37" x14ac:dyDescent="0.35">
      <c r="AF52" t="s">
        <v>67</v>
      </c>
      <c r="AG52" s="39">
        <f>AG41+AG48*AG44</f>
        <v>-0.13643954065747343</v>
      </c>
      <c r="AH52" s="40">
        <f>AH41+AH48*AH44</f>
        <v>3.1070605492147436</v>
      </c>
      <c r="AI52" s="40">
        <f>AI41+AI48*AI44</f>
        <v>0.4723407017996466</v>
      </c>
      <c r="AJ52" s="40">
        <f>AJ41+AJ48*AJ44</f>
        <v>0.97909735945485799</v>
      </c>
      <c r="AK52" s="41">
        <f>AK41+AK48*AK44</f>
        <v>5.2157914615822918</v>
      </c>
    </row>
    <row r="53" spans="32:37" x14ac:dyDescent="0.35">
      <c r="AF53" s="60" t="s">
        <v>72</v>
      </c>
      <c r="AG53" s="61" t="str">
        <f>IF(AG52&lt;0,"low",IF(0&lt;AG51,"high","ok"))</f>
        <v>low</v>
      </c>
      <c r="AH53" s="68" t="str">
        <f>IF(AH52&lt;0,"low",IF(0&lt;AH51,"high","ok"))</f>
        <v>high</v>
      </c>
      <c r="AI53" s="68" t="str">
        <f>IF(AI52&lt;0,"low",IF(0&lt;AI51,"high","ok"))</f>
        <v>ok</v>
      </c>
      <c r="AJ53" s="68" t="str">
        <f>IF(AJ52&lt;0,"low",IF(0&lt;AJ51,"high","ok"))</f>
        <v>ok</v>
      </c>
      <c r="AK53" s="69" t="str">
        <f>IF(AK52&lt;0,"low",IF(0&lt;AK51,"high","ok"))</f>
        <v>high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V48"/>
  <sheetViews>
    <sheetView zoomScaleNormal="100" workbookViewId="0"/>
  </sheetViews>
  <sheetFormatPr defaultRowHeight="14.5" x14ac:dyDescent="0.35"/>
  <cols>
    <col min="24" max="24" width="9.54296875" customWidth="1"/>
  </cols>
  <sheetData>
    <row r="1" spans="1:22" x14ac:dyDescent="0.35">
      <c r="A1" s="42" t="s">
        <v>89</v>
      </c>
      <c r="U1" t="s">
        <v>535</v>
      </c>
    </row>
    <row r="2" spans="1:22" x14ac:dyDescent="0.35">
      <c r="I2" t="s">
        <v>125</v>
      </c>
    </row>
    <row r="3" spans="1:22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  <c r="U3" t="s">
        <v>536</v>
      </c>
    </row>
    <row r="4" spans="1:22" x14ac:dyDescent="0.35">
      <c r="I4" t="s">
        <v>91</v>
      </c>
      <c r="J4" s="33">
        <f t="array" ref="J4:J6">TRANSPOSE(A27:C27)</f>
        <v>38.69</v>
      </c>
      <c r="K4" s="35">
        <f t="array" ref="K4:K6">TRANSPOSE(E27:G27)</f>
        <v>39.444444444444443</v>
      </c>
      <c r="L4" s="48">
        <f>J4-K4</f>
        <v>-0.75444444444444514</v>
      </c>
      <c r="U4" t="s">
        <v>537</v>
      </c>
    </row>
    <row r="5" spans="1:22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68.45</v>
      </c>
      <c r="K5" s="38">
        <v>62.277777777777779</v>
      </c>
      <c r="L5" s="49">
        <f>J5-K5</f>
        <v>6.1722222222222243</v>
      </c>
    </row>
    <row r="6" spans="1:22" x14ac:dyDescent="0.35">
      <c r="A6" s="75">
        <v>38.4</v>
      </c>
      <c r="B6" s="34">
        <v>73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18.3</v>
      </c>
      <c r="K6" s="41">
        <v>20.111111111111111</v>
      </c>
      <c r="L6" s="52">
        <f>J6-K6</f>
        <v>-1.81111111111111</v>
      </c>
      <c r="U6" t="e">
        <f t="array" aca="1" ref="U6:V10" ca="1">Hotelling(A6:C25,E6:G23, 2,TRUE)</f>
        <v>#NAME?</v>
      </c>
      <c r="V6" s="190" t="e">
        <f ca="1"/>
        <v>#NAME?</v>
      </c>
    </row>
    <row r="7" spans="1:22" x14ac:dyDescent="0.35">
      <c r="A7" s="76">
        <v>36.799999999999997</v>
      </c>
      <c r="B7" s="37">
        <v>85</v>
      </c>
      <c r="C7" s="38">
        <v>14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  <c r="U7" t="e">
        <f ca="1"/>
        <v>#NAME?</v>
      </c>
      <c r="V7" s="98" t="e">
        <f ca="1"/>
        <v>#NAME?</v>
      </c>
    </row>
    <row r="8" spans="1:22" x14ac:dyDescent="0.35">
      <c r="A8" s="76">
        <v>40</v>
      </c>
      <c r="B8" s="37">
        <v>58</v>
      </c>
      <c r="C8" s="38">
        <v>20</v>
      </c>
      <c r="E8" s="36">
        <v>39.4</v>
      </c>
      <c r="F8" s="37">
        <v>57</v>
      </c>
      <c r="G8" s="38">
        <v>24</v>
      </c>
      <c r="U8" t="e">
        <f ca="1"/>
        <v>#NAME?</v>
      </c>
      <c r="V8" s="98" t="e">
        <f ca="1"/>
        <v>#NAME?</v>
      </c>
    </row>
    <row r="9" spans="1:22" x14ac:dyDescent="0.35">
      <c r="A9" s="76">
        <v>39.799999999999997</v>
      </c>
      <c r="B9" s="60">
        <v>80</v>
      </c>
      <c r="C9" s="38">
        <v>20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  <c r="U9" t="e">
        <f ca="1"/>
        <v>#NAME?</v>
      </c>
      <c r="V9" s="98" t="e">
        <f ca="1"/>
        <v>#NAME?</v>
      </c>
    </row>
    <row r="10" spans="1:22" x14ac:dyDescent="0.35">
      <c r="A10" s="76">
        <v>38.6</v>
      </c>
      <c r="B10" s="60">
        <v>68</v>
      </c>
      <c r="C10" s="38">
        <v>25</v>
      </c>
      <c r="E10" s="36">
        <v>39.700000000000003</v>
      </c>
      <c r="F10" s="60">
        <v>65</v>
      </c>
      <c r="G10" s="38">
        <v>22</v>
      </c>
      <c r="U10" t="e">
        <f ca="1"/>
        <v>#NAME?</v>
      </c>
      <c r="V10" s="99" t="e">
        <f ca="1"/>
        <v>#NAME?</v>
      </c>
    </row>
    <row r="11" spans="1:22" x14ac:dyDescent="0.35">
      <c r="A11" s="76">
        <v>39.1</v>
      </c>
      <c r="B11" s="60">
        <v>52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22" x14ac:dyDescent="0.35">
      <c r="A12" s="76">
        <v>38.9</v>
      </c>
      <c r="B12" s="60">
        <v>79</v>
      </c>
      <c r="C12" s="38">
        <v>26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22" x14ac:dyDescent="0.35">
      <c r="A13" s="76">
        <v>36.799999999999997</v>
      </c>
      <c r="B13" s="60">
        <v>100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22" x14ac:dyDescent="0.35">
      <c r="A14" s="76">
        <v>40.4</v>
      </c>
      <c r="B14" s="60">
        <v>64</v>
      </c>
      <c r="C14" s="38">
        <v>21</v>
      </c>
      <c r="E14" s="36">
        <v>41.3</v>
      </c>
      <c r="F14" s="60">
        <v>62</v>
      </c>
      <c r="G14" s="38">
        <v>18</v>
      </c>
    </row>
    <row r="15" spans="1:22" x14ac:dyDescent="0.35">
      <c r="A15" s="76">
        <v>39.4</v>
      </c>
      <c r="B15" s="60">
        <v>53</v>
      </c>
      <c r="C15" s="38">
        <v>22</v>
      </c>
      <c r="E15" s="36">
        <v>38.1</v>
      </c>
      <c r="F15" s="60">
        <v>57</v>
      </c>
      <c r="G15" s="38">
        <v>20</v>
      </c>
      <c r="I15" t="s">
        <v>52</v>
      </c>
      <c r="J15" s="48">
        <f>J7+K7-1</f>
        <v>37</v>
      </c>
      <c r="M15" t="s">
        <v>69</v>
      </c>
    </row>
    <row r="16" spans="1:22" x14ac:dyDescent="0.35">
      <c r="A16" s="76">
        <v>38</v>
      </c>
      <c r="B16" s="60">
        <v>70</v>
      </c>
      <c r="C16" s="38">
        <v>15</v>
      </c>
      <c r="E16" s="36">
        <v>39.6</v>
      </c>
      <c r="F16" s="60">
        <v>78</v>
      </c>
      <c r="G16" s="38">
        <v>19</v>
      </c>
      <c r="I16" t="s">
        <v>53</v>
      </c>
      <c r="J16" s="49">
        <f>COUNT(A6:C6)</f>
        <v>3</v>
      </c>
    </row>
    <row r="17" spans="1:16" ht="16.5" x14ac:dyDescent="0.35">
      <c r="A17" s="76">
        <v>38.6</v>
      </c>
      <c r="B17" s="60">
        <v>75</v>
      </c>
      <c r="C17" s="38">
        <v>14</v>
      </c>
      <c r="E17" s="36">
        <v>37.1</v>
      </c>
      <c r="F17" s="60">
        <v>92</v>
      </c>
      <c r="G17" s="38">
        <v>15</v>
      </c>
      <c r="I17" t="s">
        <v>51</v>
      </c>
      <c r="J17" s="49" t="e">
        <f t="array" aca="1" ref="J17" ca="1">MMULT(TRANSPOSE(L4:L6),MMULT(MINVERSE((1/J7+1/K7)*Q11:S13),L4:L6))</f>
        <v>#NAME?</v>
      </c>
      <c r="N17" s="47" t="str">
        <f>E5</f>
        <v>Fever</v>
      </c>
      <c r="O17" s="47" t="str">
        <f>F5</f>
        <v>Pressure</v>
      </c>
      <c r="P17" s="47" t="str">
        <f>G5</f>
        <v>Aches</v>
      </c>
    </row>
    <row r="18" spans="1:16" x14ac:dyDescent="0.35">
      <c r="A18" s="76">
        <v>40.1</v>
      </c>
      <c r="B18" s="60">
        <v>48</v>
      </c>
      <c r="C18" s="38">
        <v>28</v>
      </c>
      <c r="E18" s="36">
        <v>39.5</v>
      </c>
      <c r="F18" s="60">
        <v>63</v>
      </c>
      <c r="G18" s="38">
        <v>13</v>
      </c>
      <c r="I18" t="s">
        <v>54</v>
      </c>
      <c r="J18" s="49" t="e">
        <f ca="1">J17*(J15-J16)/(J16*(J15-1))</f>
        <v>#NAME?</v>
      </c>
      <c r="M18" t="s">
        <v>102</v>
      </c>
      <c r="N18" s="33">
        <f t="array" ref="N18:P18">TRANSPOSE(L4:L6)</f>
        <v>-0.75444444444444514</v>
      </c>
      <c r="O18" s="34">
        <v>6.1722222222222243</v>
      </c>
      <c r="P18" s="35">
        <v>-1.81111111111111</v>
      </c>
    </row>
    <row r="19" spans="1:16" x14ac:dyDescent="0.35">
      <c r="A19" s="76">
        <v>38.1</v>
      </c>
      <c r="B19" s="60">
        <v>57</v>
      </c>
      <c r="C19" s="38">
        <v>22</v>
      </c>
      <c r="E19" s="36">
        <v>40.299999999999997</v>
      </c>
      <c r="F19" s="60">
        <v>52</v>
      </c>
      <c r="G19" s="38">
        <v>25</v>
      </c>
      <c r="I19" t="s">
        <v>55</v>
      </c>
      <c r="J19" s="49">
        <f>J16</f>
        <v>3</v>
      </c>
      <c r="M19" t="s">
        <v>103</v>
      </c>
      <c r="N19" s="36">
        <f>J7</f>
        <v>20</v>
      </c>
      <c r="O19" s="37">
        <f t="shared" ref="O19:O25" si="0">N19</f>
        <v>20</v>
      </c>
      <c r="P19" s="38">
        <f t="shared" ref="P19:P25" si="1">O19</f>
        <v>20</v>
      </c>
    </row>
    <row r="20" spans="1:16" x14ac:dyDescent="0.35">
      <c r="A20" s="76">
        <v>37.200000000000003</v>
      </c>
      <c r="B20" s="60">
        <v>78</v>
      </c>
      <c r="C20" s="38">
        <v>16</v>
      </c>
      <c r="E20" s="36">
        <v>41.5</v>
      </c>
      <c r="F20" s="60">
        <v>46</v>
      </c>
      <c r="G20" s="38">
        <v>27</v>
      </c>
      <c r="I20" t="s">
        <v>56</v>
      </c>
      <c r="J20" s="49">
        <f>J15-J16</f>
        <v>34</v>
      </c>
      <c r="M20" t="s">
        <v>104</v>
      </c>
      <c r="N20" s="36">
        <f>K7</f>
        <v>18</v>
      </c>
      <c r="O20" s="37">
        <f t="shared" si="0"/>
        <v>18</v>
      </c>
      <c r="P20" s="38">
        <f t="shared" si="1"/>
        <v>18</v>
      </c>
    </row>
    <row r="21" spans="1:16" x14ac:dyDescent="0.35">
      <c r="A21" s="76">
        <v>39.5</v>
      </c>
      <c r="B21" s="60">
        <v>65</v>
      </c>
      <c r="C21" s="38">
        <v>18</v>
      </c>
      <c r="E21" s="36">
        <v>39.299999999999997</v>
      </c>
      <c r="F21" s="60">
        <v>56</v>
      </c>
      <c r="G21" s="38">
        <v>14</v>
      </c>
      <c r="I21" s="46" t="s">
        <v>57</v>
      </c>
      <c r="J21" s="50">
        <v>0.05</v>
      </c>
      <c r="M21" s="60" t="s">
        <v>53</v>
      </c>
      <c r="N21" s="36">
        <f>J16</f>
        <v>3</v>
      </c>
      <c r="O21" s="37">
        <f t="shared" si="0"/>
        <v>3</v>
      </c>
      <c r="P21" s="38">
        <f t="shared" si="1"/>
        <v>3</v>
      </c>
    </row>
    <row r="22" spans="1:16" x14ac:dyDescent="0.35">
      <c r="A22" s="76">
        <v>37.299999999999997</v>
      </c>
      <c r="B22" s="60">
        <v>77</v>
      </c>
      <c r="C22" s="38">
        <v>13</v>
      </c>
      <c r="E22" s="36">
        <v>37.6</v>
      </c>
      <c r="F22" s="60">
        <v>86</v>
      </c>
      <c r="G22" s="38">
        <v>16</v>
      </c>
      <c r="I22" t="s">
        <v>58</v>
      </c>
      <c r="J22" s="49">
        <f>FINV(J21,J19,J20)</f>
        <v>2.8826042042612277</v>
      </c>
      <c r="M22" t="s">
        <v>55</v>
      </c>
      <c r="N22" s="36">
        <f>N21</f>
        <v>3</v>
      </c>
      <c r="O22" s="37">
        <f t="shared" si="0"/>
        <v>3</v>
      </c>
      <c r="P22" s="38">
        <f t="shared" si="1"/>
        <v>3</v>
      </c>
    </row>
    <row r="23" spans="1:16" x14ac:dyDescent="0.35">
      <c r="A23" s="76">
        <v>39.1</v>
      </c>
      <c r="B23" s="60">
        <v>67</v>
      </c>
      <c r="C23" s="38">
        <v>16</v>
      </c>
      <c r="E23" s="36">
        <v>40.6</v>
      </c>
      <c r="F23" s="60">
        <v>48</v>
      </c>
      <c r="G23" s="38">
        <v>21</v>
      </c>
      <c r="I23" t="s">
        <v>59</v>
      </c>
      <c r="J23" s="49" t="e">
        <f ca="1">FDIST(J18,J19,J20)</f>
        <v>#NAME?</v>
      </c>
      <c r="M23" s="60" t="s">
        <v>56</v>
      </c>
      <c r="N23" s="36">
        <f>J20</f>
        <v>34</v>
      </c>
      <c r="O23" s="37">
        <f t="shared" si="0"/>
        <v>34</v>
      </c>
      <c r="P23" s="38">
        <f t="shared" si="1"/>
        <v>34</v>
      </c>
    </row>
    <row r="24" spans="1:16" x14ac:dyDescent="0.35">
      <c r="A24" s="76">
        <v>39.9</v>
      </c>
      <c r="B24" s="60">
        <v>52</v>
      </c>
      <c r="C24" s="38">
        <v>10</v>
      </c>
      <c r="E24" s="36"/>
      <c r="F24" s="60"/>
      <c r="G24" s="38"/>
      <c r="I24" t="s">
        <v>60</v>
      </c>
      <c r="J24" s="51" t="e">
        <f ca="1">IF(J23&lt;= J21,"yes","no")</f>
        <v>#NAME?</v>
      </c>
      <c r="M24" s="46" t="s">
        <v>57</v>
      </c>
      <c r="N24" s="36">
        <v>0.05</v>
      </c>
      <c r="O24" s="37">
        <f t="shared" si="0"/>
        <v>0.05</v>
      </c>
      <c r="P24" s="38">
        <f t="shared" si="1"/>
        <v>0.05</v>
      </c>
    </row>
    <row r="25" spans="1:16" x14ac:dyDescent="0.35">
      <c r="A25" s="77">
        <v>37.799999999999997</v>
      </c>
      <c r="B25" s="40">
        <v>68</v>
      </c>
      <c r="C25" s="41">
        <v>13</v>
      </c>
      <c r="E25" s="39"/>
      <c r="F25" s="40"/>
      <c r="G25" s="41"/>
      <c r="M25" t="s">
        <v>58</v>
      </c>
      <c r="N25" s="36">
        <f>J22</f>
        <v>2.8826042042612277</v>
      </c>
      <c r="O25" s="37">
        <f t="shared" si="0"/>
        <v>2.8826042042612277</v>
      </c>
      <c r="P25" s="38">
        <f t="shared" si="1"/>
        <v>2.8826042042612277</v>
      </c>
    </row>
    <row r="26" spans="1:16" x14ac:dyDescent="0.35">
      <c r="I26" t="s">
        <v>770</v>
      </c>
      <c r="M26" s="60" t="s">
        <v>63</v>
      </c>
      <c r="N26" s="36">
        <f>SQRT(N25*N21*(N19+N20-2)/N23)</f>
        <v>3.0259721532689614</v>
      </c>
      <c r="O26" s="37">
        <f>SQRT(O25*O21*(O19+O20-2)/O23)</f>
        <v>3.0259721532689614</v>
      </c>
      <c r="P26" s="38">
        <f>SQRT(P25*P21*(P19+P20-2)/P23)</f>
        <v>3.0259721532689614</v>
      </c>
    </row>
    <row r="27" spans="1:16" x14ac:dyDescent="0.35">
      <c r="A27" s="33">
        <f>AVERAGE(A6:A25)</f>
        <v>38.69</v>
      </c>
      <c r="B27" s="34">
        <f>AVERAGE(B6:B25)</f>
        <v>68.45</v>
      </c>
      <c r="C27" s="35">
        <f>AVERAGE(C6:C25)</f>
        <v>18.3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  <c r="M27" s="60" t="s">
        <v>105</v>
      </c>
      <c r="N27" s="36">
        <f>A28</f>
        <v>1.2567368421052638</v>
      </c>
      <c r="O27" s="37">
        <f>B28</f>
        <v>169.31315789473669</v>
      </c>
      <c r="P27" s="38">
        <f>C28</f>
        <v>31.79999999999999</v>
      </c>
    </row>
    <row r="28" spans="1:16" ht="16.5" x14ac:dyDescent="0.35">
      <c r="A28" s="39">
        <f>VAR(A6:A25)</f>
        <v>1.2567368421052638</v>
      </c>
      <c r="B28" s="40">
        <f>VAR(B6:B25)</f>
        <v>169.31315789473669</v>
      </c>
      <c r="C28" s="41">
        <f>VAR(C6:C25)</f>
        <v>31.79999999999999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HotellingT2(A6:C25,E6:G23,2)</f>
        <v>#NAME?</v>
      </c>
      <c r="M28" s="60" t="s">
        <v>106</v>
      </c>
      <c r="N28" s="36">
        <f>E28</f>
        <v>1.4967320261437886</v>
      </c>
      <c r="O28" s="37">
        <f>F28</f>
        <v>175.15359477124173</v>
      </c>
      <c r="P28" s="38">
        <f>G28</f>
        <v>24.457516339869258</v>
      </c>
    </row>
    <row r="29" spans="1:16" x14ac:dyDescent="0.35">
      <c r="I29" t="s">
        <v>54</v>
      </c>
      <c r="J29" s="49" t="e">
        <f ca="1">HotellingF(A6:C25,E6:G23,2)</f>
        <v>#NAME?</v>
      </c>
      <c r="M29" s="60" t="s">
        <v>61</v>
      </c>
      <c r="N29" s="36">
        <f>SQRT(((N19-1)*N27+(N20-1)*N28)/(N19+N20-2))</f>
        <v>1.1704989966824266</v>
      </c>
      <c r="O29" s="37">
        <f>SQRT(((O19-1)*O27+(O20-1)*O28)/(O19+O20-2))</f>
        <v>13.117589030584412</v>
      </c>
      <c r="P29" s="38">
        <f>SQRT(((P19-1)*P27+(P20-1)*P28)/(P19+P20-2))</f>
        <v>5.3228484901772939</v>
      </c>
    </row>
    <row r="30" spans="1:16" x14ac:dyDescent="0.35">
      <c r="I30" t="s">
        <v>55</v>
      </c>
      <c r="J30" s="49" t="e">
        <f ca="1">Hotellingdf1(A6:C25,E6:G23,2)</f>
        <v>#NAME?</v>
      </c>
      <c r="M30" t="s">
        <v>70</v>
      </c>
      <c r="N30" s="39">
        <f>N29*SQRT(1/N19+1/N20)</f>
        <v>0.38028710004896138</v>
      </c>
      <c r="O30" s="40">
        <f>O29*SQRT(1/O19+1/O20)</f>
        <v>4.2618147526942751</v>
      </c>
      <c r="P30" s="41">
        <f>P29*SQRT(1/P19+1/P20)</f>
        <v>1.7293569854111659</v>
      </c>
    </row>
    <row r="31" spans="1:16" x14ac:dyDescent="0.35">
      <c r="I31" t="s">
        <v>56</v>
      </c>
      <c r="J31" s="49" t="e">
        <f ca="1">Hotellingdf2(A6:C25,E6:G23,2)</f>
        <v>#NAME?</v>
      </c>
      <c r="M31" t="s">
        <v>66</v>
      </c>
      <c r="N31" s="33">
        <f>N18-N26*N30</f>
        <v>-1.9051826194400097</v>
      </c>
      <c r="O31" s="34">
        <f>O18-O26*O30</f>
        <v>-6.7239105418214979</v>
      </c>
      <c r="P31" s="35">
        <f>P18-P26*P30</f>
        <v>-7.0440971920264559</v>
      </c>
    </row>
    <row r="32" spans="1:16" x14ac:dyDescent="0.35">
      <c r="I32" t="s">
        <v>65</v>
      </c>
      <c r="J32" s="52" t="e">
        <f ca="1">T2TEST(A6:C25,E6:G23,2)</f>
        <v>#NAME?</v>
      </c>
      <c r="M32" t="s">
        <v>67</v>
      </c>
      <c r="N32" s="39">
        <f>N18+N26*N30</f>
        <v>0.39629373055111938</v>
      </c>
      <c r="O32" s="40">
        <f>O18+O26*O30</f>
        <v>19.068354986265945</v>
      </c>
      <c r="P32" s="41">
        <f>P18+P26*P30</f>
        <v>3.4218749698042359</v>
      </c>
    </row>
    <row r="33" spans="13:16" x14ac:dyDescent="0.35">
      <c r="M33" s="60" t="s">
        <v>72</v>
      </c>
      <c r="N33" s="61" t="str">
        <f>IF(N32&lt;0,"low",IF(0&lt;N31,"high","ok"))</f>
        <v>ok</v>
      </c>
      <c r="O33" s="68" t="str">
        <f>IF(O32&lt;0,"low",IF(0&lt;O31,"high","ok"))</f>
        <v>ok</v>
      </c>
      <c r="P33" s="69" t="str">
        <f>IF(P32&lt;0,"low",IF(0&lt;P31,"high","ok"))</f>
        <v>ok</v>
      </c>
    </row>
    <row r="35" spans="13:16" x14ac:dyDescent="0.35">
      <c r="M35" t="s">
        <v>82</v>
      </c>
    </row>
    <row r="37" spans="13:16" x14ac:dyDescent="0.35">
      <c r="N37" s="47" t="str">
        <f>E5</f>
        <v>Fever</v>
      </c>
      <c r="O37" s="47" t="str">
        <f>F5</f>
        <v>Pressure</v>
      </c>
      <c r="P37" s="47" t="str">
        <f>G5</f>
        <v>Aches</v>
      </c>
    </row>
    <row r="38" spans="13:16" x14ac:dyDescent="0.35">
      <c r="M38" t="s">
        <v>48</v>
      </c>
      <c r="N38" s="63">
        <f t="shared" ref="N38:P39" si="2">N18</f>
        <v>-0.75444444444444514</v>
      </c>
      <c r="O38" s="64">
        <f t="shared" si="2"/>
        <v>6.1722222222222243</v>
      </c>
      <c r="P38" s="65">
        <f t="shared" si="2"/>
        <v>-1.81111111111111</v>
      </c>
    </row>
    <row r="39" spans="13:16" x14ac:dyDescent="0.35">
      <c r="M39" t="s">
        <v>103</v>
      </c>
      <c r="N39" s="66">
        <f t="shared" si="2"/>
        <v>20</v>
      </c>
      <c r="O39" s="56">
        <f t="shared" si="2"/>
        <v>20</v>
      </c>
      <c r="P39" s="67">
        <f t="shared" si="2"/>
        <v>20</v>
      </c>
    </row>
    <row r="40" spans="13:16" x14ac:dyDescent="0.35">
      <c r="M40" t="s">
        <v>104</v>
      </c>
      <c r="N40" s="66">
        <f t="shared" ref="N40:P41" si="3">N20</f>
        <v>18</v>
      </c>
      <c r="O40" s="56">
        <f t="shared" si="3"/>
        <v>18</v>
      </c>
      <c r="P40" s="67">
        <f t="shared" si="3"/>
        <v>18</v>
      </c>
    </row>
    <row r="41" spans="13:16" x14ac:dyDescent="0.35">
      <c r="M41" t="s">
        <v>53</v>
      </c>
      <c r="N41" s="66">
        <f t="shared" si="3"/>
        <v>3</v>
      </c>
      <c r="O41" s="56">
        <f t="shared" si="3"/>
        <v>3</v>
      </c>
      <c r="P41" s="67">
        <f t="shared" si="3"/>
        <v>3</v>
      </c>
    </row>
    <row r="42" spans="13:16" x14ac:dyDescent="0.35">
      <c r="M42" t="s">
        <v>62</v>
      </c>
      <c r="N42" s="66">
        <f>N39+N40-2</f>
        <v>36</v>
      </c>
      <c r="O42" s="56">
        <f>O39+O40-2</f>
        <v>36</v>
      </c>
      <c r="P42" s="67">
        <f>P39+P40-2</f>
        <v>36</v>
      </c>
    </row>
    <row r="43" spans="13:16" x14ac:dyDescent="0.35">
      <c r="M43" s="46" t="s">
        <v>57</v>
      </c>
      <c r="N43" s="66">
        <v>0.05</v>
      </c>
      <c r="O43" s="37">
        <f>N43</f>
        <v>0.05</v>
      </c>
      <c r="P43" s="38">
        <f>O43</f>
        <v>0.05</v>
      </c>
    </row>
    <row r="44" spans="13:16" x14ac:dyDescent="0.35">
      <c r="M44" t="s">
        <v>63</v>
      </c>
      <c r="N44" s="36">
        <f>TINV(N43/N41,N42)</f>
        <v>2.511040355246327</v>
      </c>
      <c r="O44" s="37">
        <f>TINV(O43/O41,O42)</f>
        <v>2.511040355246327</v>
      </c>
      <c r="P44" s="38">
        <f>TINV(P43/P41,P42)</f>
        <v>2.511040355246327</v>
      </c>
    </row>
    <row r="45" spans="13:16" x14ac:dyDescent="0.35">
      <c r="M45" t="s">
        <v>70</v>
      </c>
      <c r="N45" s="39">
        <f>N30</f>
        <v>0.38028710004896138</v>
      </c>
      <c r="O45" s="40">
        <f>O30</f>
        <v>4.2618147526942751</v>
      </c>
      <c r="P45" s="41">
        <f>P30</f>
        <v>1.7293569854111659</v>
      </c>
    </row>
    <row r="46" spans="13:16" x14ac:dyDescent="0.35">
      <c r="M46" t="s">
        <v>66</v>
      </c>
      <c r="N46" s="33">
        <f>N38-N45*N41</f>
        <v>-1.8953057445913293</v>
      </c>
      <c r="O46" s="34">
        <f>O38-O45*O41</f>
        <v>-6.613222035860602</v>
      </c>
      <c r="P46" s="35">
        <f>P38-P45*P41</f>
        <v>-6.9991820673446075</v>
      </c>
    </row>
    <row r="47" spans="13:16" x14ac:dyDescent="0.35">
      <c r="M47" t="s">
        <v>67</v>
      </c>
      <c r="N47" s="39">
        <f>N38+N45*N41</f>
        <v>0.386416855702439</v>
      </c>
      <c r="O47" s="40">
        <f>O38+O45*O41</f>
        <v>18.957666480305051</v>
      </c>
      <c r="P47" s="41">
        <f>P38+P45*P41</f>
        <v>3.3769598451223874</v>
      </c>
    </row>
    <row r="48" spans="13:16" x14ac:dyDescent="0.35">
      <c r="M48" s="60" t="s">
        <v>72</v>
      </c>
      <c r="N48" s="61" t="str">
        <f>IF(N47&lt;0,"low",IF(0&lt;N46,"high","ok"))</f>
        <v>ok</v>
      </c>
      <c r="O48" s="68" t="str">
        <f>IF(O47&lt;0,"low",IF(0&lt;O46,"high","ok"))</f>
        <v>ok</v>
      </c>
      <c r="P48" s="69" t="str">
        <f>IF(P47&lt;0,"low",IF(0&lt;P46,"high","ok"))</f>
        <v>ok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S48"/>
  <sheetViews>
    <sheetView workbookViewId="0">
      <selection activeCell="J17" sqref="J17"/>
    </sheetView>
  </sheetViews>
  <sheetFormatPr defaultRowHeight="14.5" x14ac:dyDescent="0.35"/>
  <cols>
    <col min="13" max="13" width="9.1796875" customWidth="1"/>
  </cols>
  <sheetData>
    <row r="1" spans="1:19" x14ac:dyDescent="0.35">
      <c r="A1" s="42" t="s">
        <v>89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35">
      <c r="A6" s="33">
        <v>36.5</v>
      </c>
      <c r="B6" s="34">
        <v>72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35">
      <c r="A7" s="36">
        <v>36.6</v>
      </c>
      <c r="B7" s="37">
        <v>84</v>
      </c>
      <c r="C7" s="38">
        <v>16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v>38.200000000000003</v>
      </c>
      <c r="B8" s="37">
        <v>60</v>
      </c>
      <c r="C8" s="38">
        <v>29</v>
      </c>
      <c r="E8" s="36">
        <v>39.4</v>
      </c>
      <c r="F8" s="37">
        <v>57</v>
      </c>
      <c r="G8" s="38">
        <v>24</v>
      </c>
    </row>
    <row r="9" spans="1:19" x14ac:dyDescent="0.35">
      <c r="A9" s="36">
        <v>37.6</v>
      </c>
      <c r="B9" s="37">
        <v>82</v>
      </c>
      <c r="C9" s="38">
        <v>13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v>37</v>
      </c>
      <c r="B10" s="37">
        <v>68</v>
      </c>
      <c r="C10" s="38">
        <v>25</v>
      </c>
      <c r="E10" s="36">
        <v>39.700000000000003</v>
      </c>
      <c r="F10" s="60">
        <v>65</v>
      </c>
      <c r="G10" s="38">
        <v>22</v>
      </c>
    </row>
    <row r="11" spans="1:19" x14ac:dyDescent="0.35">
      <c r="A11" s="36">
        <v>37.9</v>
      </c>
      <c r="B11" s="37">
        <v>54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v>37.4</v>
      </c>
      <c r="B12" s="37">
        <v>80</v>
      </c>
      <c r="C12" s="38">
        <v>25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v>35.200000000000003</v>
      </c>
      <c r="B13" s="37">
        <v>99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v>38.200000000000003</v>
      </c>
      <c r="B14" s="37">
        <v>65</v>
      </c>
      <c r="C14" s="38">
        <v>21</v>
      </c>
      <c r="E14" s="36">
        <v>41.3</v>
      </c>
      <c r="F14" s="60">
        <v>62</v>
      </c>
      <c r="G14" s="38">
        <v>18</v>
      </c>
    </row>
    <row r="15" spans="1:19" x14ac:dyDescent="0.35">
      <c r="A15" s="36">
        <v>37.5</v>
      </c>
      <c r="B15" s="37">
        <v>55</v>
      </c>
      <c r="C15" s="38">
        <v>11</v>
      </c>
      <c r="E15" s="36">
        <v>38.1</v>
      </c>
      <c r="F15" s="60">
        <v>57</v>
      </c>
      <c r="G15" s="38">
        <v>20</v>
      </c>
      <c r="I15" t="s">
        <v>52</v>
      </c>
      <c r="J15" s="48">
        <f>J7+K7-1</f>
        <v>37</v>
      </c>
      <c r="M15" t="s">
        <v>69</v>
      </c>
      <c r="R15" t="s">
        <v>132</v>
      </c>
    </row>
    <row r="16" spans="1:19" x14ac:dyDescent="0.35">
      <c r="A16" s="36">
        <v>35.799999999999997</v>
      </c>
      <c r="B16" s="37">
        <v>70</v>
      </c>
      <c r="C16" s="38">
        <v>16</v>
      </c>
      <c r="E16" s="36">
        <v>39.6</v>
      </c>
      <c r="F16" s="60">
        <v>78</v>
      </c>
      <c r="G16" s="38">
        <v>19</v>
      </c>
      <c r="I16" t="s">
        <v>53</v>
      </c>
      <c r="J16" s="49">
        <f>COUNT(A6:C6)</f>
        <v>3</v>
      </c>
    </row>
    <row r="17" spans="1:19" ht="16.5" x14ac:dyDescent="0.35">
      <c r="A17" s="36">
        <v>37.4</v>
      </c>
      <c r="B17" s="37">
        <v>76</v>
      </c>
      <c r="C17" s="38">
        <v>13</v>
      </c>
      <c r="E17" s="36">
        <v>37.1</v>
      </c>
      <c r="F17" s="60">
        <v>92</v>
      </c>
      <c r="G17" s="38">
        <v>15</v>
      </c>
      <c r="I17" t="s">
        <v>51</v>
      </c>
      <c r="J17" s="49" t="e">
        <f t="array" aca="1" ref="J17" ca="1">MMULT(TRANSPOSE(L4:L6),MMULT(MINVERSE((1/J7+1/K7)*Q11:S13),L4:L6))</f>
        <v>#NAME?</v>
      </c>
      <c r="N17" s="47" t="str">
        <f>E5</f>
        <v>Fever</v>
      </c>
      <c r="O17" s="47" t="str">
        <f>F5</f>
        <v>Pressure</v>
      </c>
      <c r="P17" s="47" t="str">
        <f>G5</f>
        <v>Aches</v>
      </c>
      <c r="R17" t="s">
        <v>103</v>
      </c>
      <c r="S17" s="48">
        <f>J7</f>
        <v>20</v>
      </c>
    </row>
    <row r="18" spans="1:19" x14ac:dyDescent="0.35">
      <c r="A18" s="36">
        <v>37.200000000000003</v>
      </c>
      <c r="B18" s="37">
        <v>49</v>
      </c>
      <c r="C18" s="38">
        <v>29</v>
      </c>
      <c r="E18" s="36">
        <v>39.5</v>
      </c>
      <c r="F18" s="60">
        <v>63</v>
      </c>
      <c r="G18" s="38">
        <v>13</v>
      </c>
      <c r="I18" t="s">
        <v>54</v>
      </c>
      <c r="J18" s="49" t="e">
        <f ca="1">J17*(J15-J16)/(J16*(J15-1))</f>
        <v>#NAME?</v>
      </c>
      <c r="M18" t="s">
        <v>102</v>
      </c>
      <c r="N18" s="33">
        <f t="array" ref="N18:P18">TRANSPOSE(L4:L6)</f>
        <v>-2.1544444444444508</v>
      </c>
      <c r="O18" s="34">
        <v>6.8222222222222157</v>
      </c>
      <c r="P18" s="35">
        <v>-2.5111111111111093</v>
      </c>
      <c r="R18" t="s">
        <v>104</v>
      </c>
      <c r="S18" s="49">
        <f>K7</f>
        <v>18</v>
      </c>
    </row>
    <row r="19" spans="1:19" x14ac:dyDescent="0.35">
      <c r="A19" s="36">
        <v>36.5</v>
      </c>
      <c r="B19" s="37">
        <v>59</v>
      </c>
      <c r="C19" s="38">
        <v>24</v>
      </c>
      <c r="E19" s="36">
        <v>40.299999999999997</v>
      </c>
      <c r="F19" s="60">
        <v>52</v>
      </c>
      <c r="G19" s="38">
        <v>25</v>
      </c>
      <c r="I19" t="s">
        <v>55</v>
      </c>
      <c r="J19" s="49">
        <f>J16</f>
        <v>3</v>
      </c>
      <c r="M19" t="s">
        <v>103</v>
      </c>
      <c r="N19" s="36">
        <f>J7</f>
        <v>20</v>
      </c>
      <c r="O19" s="37">
        <f t="shared" ref="O19:O25" si="0">N19</f>
        <v>20</v>
      </c>
      <c r="P19" s="38">
        <f t="shared" ref="P19:P25" si="1">O19</f>
        <v>20</v>
      </c>
      <c r="R19" t="s">
        <v>133</v>
      </c>
      <c r="S19" s="49" t="e">
        <f ca="1">J17</f>
        <v>#NAME?</v>
      </c>
    </row>
    <row r="20" spans="1:19" x14ac:dyDescent="0.35">
      <c r="A20" s="36">
        <v>38.299999999999997</v>
      </c>
      <c r="B20" s="37">
        <v>77</v>
      </c>
      <c r="C20" s="38">
        <v>12</v>
      </c>
      <c r="E20" s="36">
        <v>41.5</v>
      </c>
      <c r="F20" s="60">
        <v>46</v>
      </c>
      <c r="G20" s="38">
        <v>27</v>
      </c>
      <c r="I20" t="s">
        <v>56</v>
      </c>
      <c r="J20" s="49">
        <f>J15-J16</f>
        <v>34</v>
      </c>
      <c r="M20" t="s">
        <v>104</v>
      </c>
      <c r="N20" s="36">
        <f>K7</f>
        <v>18</v>
      </c>
      <c r="O20" s="37">
        <f t="shared" si="0"/>
        <v>18</v>
      </c>
      <c r="P20" s="38">
        <f t="shared" si="1"/>
        <v>18</v>
      </c>
      <c r="R20" t="s">
        <v>134</v>
      </c>
      <c r="S20" s="52" t="e">
        <f ca="1">S19*(S17+S18)/(S17*S18)</f>
        <v>#NAME?</v>
      </c>
    </row>
    <row r="21" spans="1:19" x14ac:dyDescent="0.35">
      <c r="A21" s="36">
        <v>37.5</v>
      </c>
      <c r="B21" s="37">
        <v>66</v>
      </c>
      <c r="C21" s="38">
        <v>19</v>
      </c>
      <c r="E21" s="36">
        <v>39.299999999999997</v>
      </c>
      <c r="F21" s="60">
        <v>56</v>
      </c>
      <c r="G21" s="38">
        <v>14</v>
      </c>
      <c r="I21" s="46" t="s">
        <v>57</v>
      </c>
      <c r="J21" s="50">
        <v>0.05</v>
      </c>
      <c r="M21" s="60" t="s">
        <v>53</v>
      </c>
      <c r="N21" s="36">
        <f>J16</f>
        <v>3</v>
      </c>
      <c r="O21" s="37">
        <f t="shared" si="0"/>
        <v>3</v>
      </c>
      <c r="P21" s="38">
        <f t="shared" si="1"/>
        <v>3</v>
      </c>
    </row>
    <row r="22" spans="1:19" x14ac:dyDescent="0.35">
      <c r="A22" s="36">
        <v>36</v>
      </c>
      <c r="B22" s="37">
        <v>79</v>
      </c>
      <c r="C22" s="38">
        <v>14</v>
      </c>
      <c r="E22" s="36">
        <v>37.6</v>
      </c>
      <c r="F22" s="60">
        <v>86</v>
      </c>
      <c r="G22" s="38">
        <v>16</v>
      </c>
      <c r="I22" t="s">
        <v>58</v>
      </c>
      <c r="J22" s="49">
        <f>FINV(J21,J19,J20)</f>
        <v>2.8826042042612277</v>
      </c>
      <c r="M22" t="s">
        <v>55</v>
      </c>
      <c r="N22" s="36">
        <f>N21</f>
        <v>3</v>
      </c>
      <c r="O22" s="37">
        <f t="shared" si="0"/>
        <v>3</v>
      </c>
      <c r="P22" s="38">
        <f t="shared" si="1"/>
        <v>3</v>
      </c>
    </row>
    <row r="23" spans="1:19" x14ac:dyDescent="0.35">
      <c r="A23" s="36">
        <v>36.9</v>
      </c>
      <c r="B23" s="37">
        <v>67</v>
      </c>
      <c r="C23" s="38">
        <v>12</v>
      </c>
      <c r="E23" s="36">
        <v>40.6</v>
      </c>
      <c r="F23" s="60">
        <v>48</v>
      </c>
      <c r="G23" s="38">
        <v>21</v>
      </c>
      <c r="I23" t="s">
        <v>59</v>
      </c>
      <c r="J23" s="49" t="e">
        <f ca="1">FDIST(J18,J19,J20)</f>
        <v>#NAME?</v>
      </c>
      <c r="M23" s="60" t="s">
        <v>56</v>
      </c>
      <c r="N23" s="36">
        <f>J20</f>
        <v>34</v>
      </c>
      <c r="O23" s="37">
        <f t="shared" si="0"/>
        <v>34</v>
      </c>
      <c r="P23" s="38">
        <f t="shared" si="1"/>
        <v>34</v>
      </c>
    </row>
    <row r="24" spans="1:19" x14ac:dyDescent="0.35">
      <c r="A24" s="36">
        <v>39.299999999999997</v>
      </c>
      <c r="B24" s="37">
        <v>53</v>
      </c>
      <c r="C24" s="38">
        <v>7</v>
      </c>
      <c r="E24" s="36"/>
      <c r="F24" s="60"/>
      <c r="G24" s="38"/>
      <c r="I24" t="s">
        <v>60</v>
      </c>
      <c r="J24" s="51" t="e">
        <f ca="1">IF(J23&lt;= J21,"yes","no")</f>
        <v>#NAME?</v>
      </c>
      <c r="M24" s="46" t="s">
        <v>57</v>
      </c>
      <c r="N24" s="36">
        <v>0.05</v>
      </c>
      <c r="O24" s="37">
        <f t="shared" si="0"/>
        <v>0.05</v>
      </c>
      <c r="P24" s="38">
        <f t="shared" si="1"/>
        <v>0.05</v>
      </c>
    </row>
    <row r="25" spans="1:19" x14ac:dyDescent="0.35">
      <c r="A25" s="39">
        <v>38.799999999999997</v>
      </c>
      <c r="B25" s="40">
        <v>67</v>
      </c>
      <c r="C25" s="41">
        <v>13</v>
      </c>
      <c r="E25" s="39"/>
      <c r="F25" s="40"/>
      <c r="G25" s="41"/>
      <c r="M25" t="s">
        <v>58</v>
      </c>
      <c r="N25" s="36">
        <f>J22</f>
        <v>2.8826042042612277</v>
      </c>
      <c r="O25" s="37">
        <f t="shared" si="0"/>
        <v>2.8826042042612277</v>
      </c>
      <c r="P25" s="38">
        <f t="shared" si="1"/>
        <v>2.8826042042612277</v>
      </c>
    </row>
    <row r="26" spans="1:19" x14ac:dyDescent="0.35">
      <c r="I26" t="s">
        <v>770</v>
      </c>
      <c r="M26" s="60" t="s">
        <v>63</v>
      </c>
      <c r="N26" s="36">
        <f>SQRT(N25*N21*(N19+N20-2)/N23)</f>
        <v>3.0259721532689614</v>
      </c>
      <c r="O26" s="37">
        <f>SQRT(O25*O21*(O19+O20-2)/O23)</f>
        <v>3.0259721532689614</v>
      </c>
      <c r="P26" s="38">
        <f>SQRT(P25*P21*(P19+P20-2)/P23)</f>
        <v>3.0259721532689614</v>
      </c>
    </row>
    <row r="27" spans="1:19" x14ac:dyDescent="0.3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  <c r="M27" s="60" t="s">
        <v>105</v>
      </c>
      <c r="N27" s="36">
        <f>A28</f>
        <v>1.0419999999999989</v>
      </c>
      <c r="O27" s="37">
        <f>B28</f>
        <v>154.20000000000016</v>
      </c>
      <c r="P27" s="38">
        <f>C28</f>
        <v>47.621052631578955</v>
      </c>
    </row>
    <row r="28" spans="1:19" ht="16.5" x14ac:dyDescent="0.3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HotellingT2(A6:C25,E6:G23,2)</f>
        <v>#NAME?</v>
      </c>
      <c r="M28" s="60" t="s">
        <v>106</v>
      </c>
      <c r="N28" s="36">
        <f>E28</f>
        <v>1.4967320261437886</v>
      </c>
      <c r="O28" s="37">
        <f>F28</f>
        <v>175.15359477124173</v>
      </c>
      <c r="P28" s="38">
        <f>G28</f>
        <v>24.457516339869258</v>
      </c>
    </row>
    <row r="29" spans="1:19" x14ac:dyDescent="0.35">
      <c r="I29" t="s">
        <v>54</v>
      </c>
      <c r="J29" s="49" t="e">
        <f ca="1">HotellingF(A6:C25,E6:G23,2)</f>
        <v>#NAME?</v>
      </c>
      <c r="M29" s="60" t="s">
        <v>61</v>
      </c>
      <c r="N29" s="36">
        <f>SQRT(((N19-1)*N27+(N20-1)*N28)/(N19+N20-2))</f>
        <v>1.1210417333450315</v>
      </c>
      <c r="O29" s="37">
        <f>SQRT(((O19-1)*O27+(O20-1)*O28)/(O19+O20-2))</f>
        <v>12.809947427152844</v>
      </c>
      <c r="P29" s="38">
        <f>SQRT(((P19-1)*P27+(P20-1)*P28)/(P19+P20-2))</f>
        <v>6.0566257973712316</v>
      </c>
    </row>
    <row r="30" spans="1:19" x14ac:dyDescent="0.35">
      <c r="I30" t="s">
        <v>55</v>
      </c>
      <c r="J30" s="49" t="e">
        <f ca="1">Hotellingdf1(A6:C25,E6:G23,2)</f>
        <v>#NAME?</v>
      </c>
      <c r="M30" t="s">
        <v>70</v>
      </c>
      <c r="N30" s="39">
        <f>N29*SQRT(1/N19+1/N20)</f>
        <v>0.36421877422873972</v>
      </c>
      <c r="O30" s="40">
        <f>O29*SQRT(1/O19+1/O20)</f>
        <v>4.1618641046757823</v>
      </c>
      <c r="P30" s="41">
        <f>P29*SQRT(1/P19+1/P20)</f>
        <v>1.9677562023480668</v>
      </c>
    </row>
    <row r="31" spans="1:19" x14ac:dyDescent="0.35">
      <c r="I31" t="s">
        <v>56</v>
      </c>
      <c r="J31" s="49" t="e">
        <f ca="1">Hotellingdf2(A6:C25,E6:G23,2)</f>
        <v>#NAME?</v>
      </c>
      <c r="M31" t="s">
        <v>66</v>
      </c>
      <c r="N31" s="33">
        <f>N18-N26*N30</f>
        <v>-3.256560312958372</v>
      </c>
      <c r="O31" s="34">
        <f>O18-O26*O30</f>
        <v>-5.7714626642163598</v>
      </c>
      <c r="P31" s="35">
        <f>P18-P26*P30</f>
        <v>-8.4654865838386435</v>
      </c>
    </row>
    <row r="32" spans="1:19" x14ac:dyDescent="0.35">
      <c r="I32" t="s">
        <v>65</v>
      </c>
      <c r="J32" s="52" t="e">
        <f ca="1">T2TEST(A6:C25,E6:G23,2)</f>
        <v>#NAME?</v>
      </c>
      <c r="M32" t="s">
        <v>67</v>
      </c>
      <c r="N32" s="39">
        <f>N18+N26*N30</f>
        <v>-1.0523285759305296</v>
      </c>
      <c r="O32" s="40">
        <f>O18+O26*O30</f>
        <v>19.41590710866079</v>
      </c>
      <c r="P32" s="41">
        <f>P18+P26*P30</f>
        <v>3.4432643616164249</v>
      </c>
    </row>
    <row r="33" spans="13:16" x14ac:dyDescent="0.35">
      <c r="M33" s="60" t="s">
        <v>72</v>
      </c>
      <c r="N33" s="61" t="str">
        <f>IF(N32&lt;0,"low",IF(0&lt;N31,"high","ok"))</f>
        <v>low</v>
      </c>
      <c r="O33" s="68" t="str">
        <f>IF(O32&lt;0,"low",IF(0&lt;O31,"high","ok"))</f>
        <v>ok</v>
      </c>
      <c r="P33" s="69" t="str">
        <f>IF(P32&lt;0,"low",IF(0&lt;P31,"high","ok"))</f>
        <v>ok</v>
      </c>
    </row>
    <row r="35" spans="13:16" x14ac:dyDescent="0.35">
      <c r="M35" t="s">
        <v>82</v>
      </c>
    </row>
    <row r="37" spans="13:16" x14ac:dyDescent="0.35">
      <c r="N37" s="47" t="str">
        <f>E5</f>
        <v>Fever</v>
      </c>
      <c r="O37" s="47" t="str">
        <f>F5</f>
        <v>Pressure</v>
      </c>
      <c r="P37" s="47" t="str">
        <f>G5</f>
        <v>Aches</v>
      </c>
    </row>
    <row r="38" spans="13:16" x14ac:dyDescent="0.35">
      <c r="M38" t="s">
        <v>48</v>
      </c>
      <c r="N38" s="63">
        <f t="shared" ref="N38:P39" si="2">N18</f>
        <v>-2.1544444444444508</v>
      </c>
      <c r="O38" s="64">
        <f t="shared" si="2"/>
        <v>6.8222222222222157</v>
      </c>
      <c r="P38" s="65">
        <f t="shared" si="2"/>
        <v>-2.5111111111111093</v>
      </c>
    </row>
    <row r="39" spans="13:16" x14ac:dyDescent="0.35">
      <c r="M39" t="s">
        <v>103</v>
      </c>
      <c r="N39" s="66">
        <f t="shared" si="2"/>
        <v>20</v>
      </c>
      <c r="O39" s="56">
        <f t="shared" si="2"/>
        <v>20</v>
      </c>
      <c r="P39" s="67">
        <f t="shared" si="2"/>
        <v>20</v>
      </c>
    </row>
    <row r="40" spans="13:16" x14ac:dyDescent="0.35">
      <c r="M40" t="s">
        <v>104</v>
      </c>
      <c r="N40" s="66">
        <f t="shared" ref="N40:P41" si="3">N20</f>
        <v>18</v>
      </c>
      <c r="O40" s="56">
        <f t="shared" si="3"/>
        <v>18</v>
      </c>
      <c r="P40" s="67">
        <f t="shared" si="3"/>
        <v>18</v>
      </c>
    </row>
    <row r="41" spans="13:16" x14ac:dyDescent="0.35">
      <c r="M41" t="s">
        <v>53</v>
      </c>
      <c r="N41" s="66">
        <f t="shared" si="3"/>
        <v>3</v>
      </c>
      <c r="O41" s="56">
        <f t="shared" si="3"/>
        <v>3</v>
      </c>
      <c r="P41" s="67">
        <f t="shared" si="3"/>
        <v>3</v>
      </c>
    </row>
    <row r="42" spans="13:16" x14ac:dyDescent="0.35">
      <c r="M42" t="s">
        <v>62</v>
      </c>
      <c r="N42" s="66">
        <f>N39+N40-2</f>
        <v>36</v>
      </c>
      <c r="O42" s="56">
        <f>O39+O40-2</f>
        <v>36</v>
      </c>
      <c r="P42" s="67">
        <f>P39+P40-2</f>
        <v>36</v>
      </c>
    </row>
    <row r="43" spans="13:16" x14ac:dyDescent="0.35">
      <c r="M43" s="46" t="s">
        <v>57</v>
      </c>
      <c r="N43" s="66">
        <v>0.05</v>
      </c>
      <c r="O43" s="37">
        <f>N43</f>
        <v>0.05</v>
      </c>
      <c r="P43" s="38">
        <f>O43</f>
        <v>0.05</v>
      </c>
    </row>
    <row r="44" spans="13:16" x14ac:dyDescent="0.35">
      <c r="M44" t="s">
        <v>63</v>
      </c>
      <c r="N44" s="36">
        <f>TINV(N43/N41,N42)</f>
        <v>2.511040355246327</v>
      </c>
      <c r="O44" s="37">
        <f>TINV(O43/O41,O42)</f>
        <v>2.511040355246327</v>
      </c>
      <c r="P44" s="38">
        <f>TINV(P43/P41,P42)</f>
        <v>2.511040355246327</v>
      </c>
    </row>
    <row r="45" spans="13:16" x14ac:dyDescent="0.35">
      <c r="M45" t="s">
        <v>70</v>
      </c>
      <c r="N45" s="39">
        <f>N30</f>
        <v>0.36421877422873972</v>
      </c>
      <c r="O45" s="40">
        <f>O30</f>
        <v>4.1618641046757823</v>
      </c>
      <c r="P45" s="41">
        <f>P30</f>
        <v>1.9677562023480668</v>
      </c>
    </row>
    <row r="46" spans="13:16" x14ac:dyDescent="0.35">
      <c r="M46" t="s">
        <v>66</v>
      </c>
      <c r="N46" s="33">
        <f>N38-N45*N41</f>
        <v>-3.2471007671306698</v>
      </c>
      <c r="O46" s="34">
        <f>O38-O45*O41</f>
        <v>-5.6633700918051311</v>
      </c>
      <c r="P46" s="35">
        <f>P38-P45*P41</f>
        <v>-8.4143797181553097</v>
      </c>
    </row>
    <row r="47" spans="13:16" x14ac:dyDescent="0.35">
      <c r="M47" t="s">
        <v>67</v>
      </c>
      <c r="N47" s="39">
        <f>N38+N45*N41</f>
        <v>-1.0617881217582317</v>
      </c>
      <c r="O47" s="40">
        <f>O38+O45*O41</f>
        <v>19.307814536249563</v>
      </c>
      <c r="P47" s="41">
        <f>P38+P45*P41</f>
        <v>3.3921574959330911</v>
      </c>
    </row>
    <row r="48" spans="13:16" x14ac:dyDescent="0.35">
      <c r="M48" s="60" t="s">
        <v>72</v>
      </c>
      <c r="N48" s="61" t="str">
        <f>IF(N47&lt;0,"low",IF(0&lt;N46,"high","ok"))</f>
        <v>low</v>
      </c>
      <c r="O48" s="68" t="str">
        <f>IF(O47&lt;0,"low",IF(0&lt;O46,"high","ok"))</f>
        <v>ok</v>
      </c>
      <c r="P48" s="69" t="str">
        <f>IF(P47&lt;0,"low",IF(0&lt;P46,"high","ok"))</f>
        <v>ok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5"/>
  <dimension ref="A1:S28"/>
  <sheetViews>
    <sheetView workbookViewId="0">
      <selection activeCell="Q20" sqref="Q20"/>
    </sheetView>
  </sheetViews>
  <sheetFormatPr defaultRowHeight="14.5" x14ac:dyDescent="0.35"/>
  <cols>
    <col min="10" max="10" width="9.1796875" customWidth="1"/>
  </cols>
  <sheetData>
    <row r="1" spans="1:19" x14ac:dyDescent="0.35">
      <c r="A1" s="42" t="s">
        <v>89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35">
      <c r="A6" s="33">
        <v>36.5</v>
      </c>
      <c r="B6" s="34">
        <v>72</v>
      </c>
      <c r="C6" s="35">
        <v>18</v>
      </c>
      <c r="E6" s="33">
        <v>40.9</v>
      </c>
      <c r="F6" s="34">
        <v>54</v>
      </c>
      <c r="G6" s="35"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35">
      <c r="A7" s="36">
        <v>36.6</v>
      </c>
      <c r="B7" s="37">
        <v>84</v>
      </c>
      <c r="C7" s="38">
        <v>16</v>
      </c>
      <c r="E7" s="36">
        <v>39.5</v>
      </c>
      <c r="F7" s="37">
        <v>75</v>
      </c>
      <c r="G7" s="38"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v>38.200000000000003</v>
      </c>
      <c r="B8" s="37">
        <v>60</v>
      </c>
      <c r="C8" s="38">
        <v>29</v>
      </c>
      <c r="E8" s="36">
        <v>39.4</v>
      </c>
      <c r="F8" s="37">
        <v>57</v>
      </c>
      <c r="G8" s="38">
        <v>24</v>
      </c>
    </row>
    <row r="9" spans="1:19" x14ac:dyDescent="0.35">
      <c r="A9" s="36">
        <v>37.6</v>
      </c>
      <c r="B9" s="37">
        <v>82</v>
      </c>
      <c r="C9" s="38">
        <v>13</v>
      </c>
      <c r="E9" s="36">
        <v>38.200000000000003</v>
      </c>
      <c r="F9" s="60">
        <v>71</v>
      </c>
      <c r="G9" s="38"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v>37</v>
      </c>
      <c r="B10" s="37">
        <v>68</v>
      </c>
      <c r="C10" s="38">
        <v>25</v>
      </c>
      <c r="E10" s="36">
        <v>39.700000000000003</v>
      </c>
      <c r="F10" s="60">
        <v>65</v>
      </c>
      <c r="G10" s="38">
        <v>22</v>
      </c>
    </row>
    <row r="11" spans="1:19" x14ac:dyDescent="0.35">
      <c r="A11" s="36">
        <v>37.9</v>
      </c>
      <c r="B11" s="37">
        <v>54</v>
      </c>
      <c r="C11" s="38">
        <v>27</v>
      </c>
      <c r="E11" s="36">
        <v>38.9</v>
      </c>
      <c r="F11" s="60">
        <v>49</v>
      </c>
      <c r="G11" s="38"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((J7-1)*I11:K13+(K7-1)*M11:O13)/(J7+K7-2)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v>37.4</v>
      </c>
      <c r="B12" s="37">
        <v>80</v>
      </c>
      <c r="C12" s="38">
        <v>25</v>
      </c>
      <c r="E12" s="36">
        <v>38.6</v>
      </c>
      <c r="F12" s="60">
        <v>58</v>
      </c>
      <c r="G12" s="38"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v>35.200000000000003</v>
      </c>
      <c r="B13" s="37">
        <v>99</v>
      </c>
      <c r="C13" s="38">
        <v>8</v>
      </c>
      <c r="E13" s="36">
        <v>39.9</v>
      </c>
      <c r="F13" s="60">
        <v>52</v>
      </c>
      <c r="G13" s="38"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v>38.200000000000003</v>
      </c>
      <c r="B14" s="37">
        <v>65</v>
      </c>
      <c r="C14" s="38">
        <v>21</v>
      </c>
      <c r="E14" s="36">
        <v>41.3</v>
      </c>
      <c r="F14" s="60">
        <v>62</v>
      </c>
      <c r="G14" s="38">
        <v>18</v>
      </c>
    </row>
    <row r="15" spans="1:19" x14ac:dyDescent="0.35">
      <c r="A15" s="36">
        <v>37.5</v>
      </c>
      <c r="B15" s="37">
        <v>55</v>
      </c>
      <c r="C15" s="38">
        <v>11</v>
      </c>
      <c r="E15" s="36">
        <v>38.1</v>
      </c>
      <c r="F15" s="60">
        <v>57</v>
      </c>
      <c r="G15" s="38">
        <v>20</v>
      </c>
    </row>
    <row r="16" spans="1:19" x14ac:dyDescent="0.35">
      <c r="A16" s="36">
        <v>35.799999999999997</v>
      </c>
      <c r="B16" s="37">
        <v>70</v>
      </c>
      <c r="C16" s="38">
        <v>16</v>
      </c>
      <c r="E16" s="36">
        <v>39.6</v>
      </c>
      <c r="F16" s="60">
        <v>78</v>
      </c>
      <c r="G16" s="38">
        <v>19</v>
      </c>
      <c r="I16" s="71" t="s">
        <v>789</v>
      </c>
      <c r="J16" s="146" t="e">
        <f t="array" aca="1" ref="J16" ca="1">SQRT(MMULT(TRANSPOSE(L4:L6),MMULT(MINVERSE(Q11:S13),L4:L6)))</f>
        <v>#NAME?</v>
      </c>
      <c r="L16" t="e">
        <f ca="1">FTEXT(J16)</f>
        <v>#NAME?</v>
      </c>
    </row>
    <row r="17" spans="1:12" x14ac:dyDescent="0.35">
      <c r="A17" s="36">
        <v>37.4</v>
      </c>
      <c r="B17" s="37">
        <v>76</v>
      </c>
      <c r="C17" s="38">
        <v>13</v>
      </c>
      <c r="E17" s="36">
        <v>37.1</v>
      </c>
      <c r="F17" s="60">
        <v>92</v>
      </c>
      <c r="G17" s="38">
        <v>15</v>
      </c>
      <c r="I17" s="71" t="s">
        <v>304</v>
      </c>
      <c r="J17" s="173" t="e">
        <f ca="1">HARMEAN(J7,K7)*J16^2/2</f>
        <v>#NAME?</v>
      </c>
      <c r="L17" t="e">
        <f ca="1">FTEXT(J17)</f>
        <v>#NAME?</v>
      </c>
    </row>
    <row r="18" spans="1:12" x14ac:dyDescent="0.35">
      <c r="A18" s="36">
        <v>37.200000000000003</v>
      </c>
      <c r="B18" s="37">
        <v>49</v>
      </c>
      <c r="C18" s="38">
        <v>29</v>
      </c>
      <c r="E18" s="36">
        <v>39.5</v>
      </c>
      <c r="F18" s="60">
        <v>63</v>
      </c>
      <c r="G18" s="38">
        <v>13</v>
      </c>
      <c r="I18" s="71" t="s">
        <v>57</v>
      </c>
      <c r="J18" s="387">
        <v>0.05</v>
      </c>
    </row>
    <row r="19" spans="1:12" x14ac:dyDescent="0.35">
      <c r="A19" s="36">
        <v>36.5</v>
      </c>
      <c r="B19" s="37">
        <v>59</v>
      </c>
      <c r="C19" s="38">
        <v>24</v>
      </c>
      <c r="E19" s="36">
        <v>40.299999999999997</v>
      </c>
      <c r="F19" s="60">
        <v>52</v>
      </c>
      <c r="G19" s="38">
        <v>25</v>
      </c>
      <c r="I19" s="71" t="s">
        <v>55</v>
      </c>
      <c r="J19" s="173">
        <f>COUNT(A6:C6)</f>
        <v>3</v>
      </c>
      <c r="L19" t="e">
        <f ca="1">FTEXT(J19)</f>
        <v>#NAME?</v>
      </c>
    </row>
    <row r="20" spans="1:12" x14ac:dyDescent="0.35">
      <c r="A20" s="36">
        <v>38.299999999999997</v>
      </c>
      <c r="B20" s="37">
        <v>77</v>
      </c>
      <c r="C20" s="38">
        <v>12</v>
      </c>
      <c r="E20" s="36">
        <v>41.5</v>
      </c>
      <c r="F20" s="60">
        <v>46</v>
      </c>
      <c r="G20" s="38">
        <v>27</v>
      </c>
      <c r="I20" s="71" t="s">
        <v>56</v>
      </c>
      <c r="J20" s="173">
        <f>J7+K7-J19-1</f>
        <v>34</v>
      </c>
      <c r="L20" t="e">
        <f ca="1">FTEXT(J20)</f>
        <v>#NAME?</v>
      </c>
    </row>
    <row r="21" spans="1:12" x14ac:dyDescent="0.35">
      <c r="A21" s="36">
        <v>37.5</v>
      </c>
      <c r="B21" s="37">
        <v>66</v>
      </c>
      <c r="C21" s="38">
        <v>19</v>
      </c>
      <c r="E21" s="36">
        <v>39.299999999999997</v>
      </c>
      <c r="F21" s="60">
        <v>56</v>
      </c>
      <c r="G21" s="38">
        <v>14</v>
      </c>
      <c r="I21" s="71" t="s">
        <v>58</v>
      </c>
      <c r="J21" s="173">
        <f>_xlfn.F.INV.RT(J18,J19,J20)</f>
        <v>2.8826042042612277</v>
      </c>
      <c r="L21" t="e">
        <f ca="1">FTEXT(J21)</f>
        <v>#NAME?</v>
      </c>
    </row>
    <row r="22" spans="1:12" x14ac:dyDescent="0.35">
      <c r="A22" s="36">
        <v>36</v>
      </c>
      <c r="B22" s="37">
        <v>79</v>
      </c>
      <c r="C22" s="38">
        <v>14</v>
      </c>
      <c r="E22" s="36">
        <v>37.6</v>
      </c>
      <c r="F22" s="60">
        <v>86</v>
      </c>
      <c r="G22" s="38">
        <v>16</v>
      </c>
      <c r="I22" s="71" t="s">
        <v>790</v>
      </c>
      <c r="J22" s="173" t="e">
        <f ca="1">NF_DIST(J21,J19,J20,J17,TRUE)</f>
        <v>#NAME?</v>
      </c>
      <c r="L22" t="e">
        <f ca="1">FTEXT(J22)</f>
        <v>#NAME?</v>
      </c>
    </row>
    <row r="23" spans="1:12" x14ac:dyDescent="0.35">
      <c r="A23" s="36">
        <v>36.9</v>
      </c>
      <c r="B23" s="37">
        <v>67</v>
      </c>
      <c r="C23" s="38">
        <v>12</v>
      </c>
      <c r="E23" s="36">
        <v>40.6</v>
      </c>
      <c r="F23" s="60">
        <v>48</v>
      </c>
      <c r="G23" s="38">
        <v>21</v>
      </c>
      <c r="I23" s="386" t="s">
        <v>791</v>
      </c>
      <c r="J23" s="52" t="e">
        <f ca="1">1-J22</f>
        <v>#NAME?</v>
      </c>
      <c r="L23" t="e">
        <f ca="1">FTEXT(J23)</f>
        <v>#NAME?</v>
      </c>
    </row>
    <row r="24" spans="1:12" x14ac:dyDescent="0.35">
      <c r="A24" s="36">
        <v>39.299999999999997</v>
      </c>
      <c r="B24" s="37">
        <v>53</v>
      </c>
      <c r="C24" s="38">
        <v>7</v>
      </c>
      <c r="E24" s="36"/>
      <c r="F24" s="60"/>
      <c r="G24" s="38"/>
    </row>
    <row r="25" spans="1:12" x14ac:dyDescent="0.35">
      <c r="A25" s="39">
        <v>38.799999999999997</v>
      </c>
      <c r="B25" s="40">
        <v>67</v>
      </c>
      <c r="C25" s="41">
        <v>13</v>
      </c>
      <c r="E25" s="39"/>
      <c r="F25" s="40"/>
      <c r="G25" s="41"/>
      <c r="I25" s="386" t="s">
        <v>791</v>
      </c>
      <c r="J25" s="392" t="e">
        <f ca="1">Hotel2_POWER(J16,J7,K7,3)</f>
        <v>#NAME?</v>
      </c>
      <c r="L25" t="e">
        <f ca="1">FTEXT(J25)</f>
        <v>#NAME?</v>
      </c>
    </row>
    <row r="27" spans="1:12" x14ac:dyDescent="0.3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2" x14ac:dyDescent="0.3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S32"/>
  <sheetViews>
    <sheetView workbookViewId="0"/>
  </sheetViews>
  <sheetFormatPr defaultRowHeight="14.5" x14ac:dyDescent="0.35"/>
  <sheetData>
    <row r="1" spans="1:19" x14ac:dyDescent="0.35">
      <c r="A1" s="42" t="s">
        <v>89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69.099999999999994</v>
      </c>
      <c r="K5" s="38">
        <v>62.277777777777779</v>
      </c>
      <c r="L5" s="49">
        <f>J5-K5</f>
        <v>6.8222222222222157</v>
      </c>
    </row>
    <row r="6" spans="1:19" x14ac:dyDescent="0.3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s">
        <v>93</v>
      </c>
      <c r="J6" s="39">
        <v>17.600000000000001</v>
      </c>
      <c r="K6" s="41">
        <v>20.111111111111111</v>
      </c>
      <c r="L6" s="52">
        <f>J6-K6</f>
        <v>-2.5111111111111093</v>
      </c>
    </row>
    <row r="7" spans="1:19" x14ac:dyDescent="0.35">
      <c r="A7" s="36">
        <f>'Hotel 2a'!A7</f>
        <v>36.6</v>
      </c>
      <c r="B7" s="37">
        <f>'Hotel 2a'!B7</f>
        <v>84</v>
      </c>
      <c r="C7" s="38">
        <f>'Hotel 2a'!C7</f>
        <v>16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f>'Hotel 2a'!A8</f>
        <v>38.200000000000003</v>
      </c>
      <c r="B8" s="37">
        <f>'Hotel 2a'!B8</f>
        <v>60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</row>
    <row r="9" spans="1:19" x14ac:dyDescent="0.35">
      <c r="A9" s="36">
        <f>'Hotel 2a'!A9</f>
        <v>37.6</v>
      </c>
      <c r="B9" s="37">
        <f>'Hotel 2a'!B9</f>
        <v>82</v>
      </c>
      <c r="C9" s="38">
        <f>'Hotel 2a'!C9</f>
        <v>13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</row>
    <row r="11" spans="1:19" x14ac:dyDescent="0.35">
      <c r="A11" s="36">
        <f>'Hotel 2a'!A11</f>
        <v>37.9</v>
      </c>
      <c r="B11" s="37">
        <f>'Hotel 2a'!B11</f>
        <v>54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I11:K13/J7+M11:O13/K7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f>'Hotel 2a'!A13</f>
        <v>35.200000000000003</v>
      </c>
      <c r="B13" s="37">
        <f>'Hotel 2a'!B13</f>
        <v>99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f>'Hotel 2a'!A14</f>
        <v>38.200000000000003</v>
      </c>
      <c r="B14" s="37">
        <f>'Hotel 2a'!B14</f>
        <v>65</v>
      </c>
      <c r="C14" s="38">
        <f>'Hotel 2a'!C14</f>
        <v>21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9" x14ac:dyDescent="0.35">
      <c r="A15" s="36">
        <f>'Hotel 2a'!A15</f>
        <v>37.5</v>
      </c>
      <c r="B15" s="37">
        <f>'Hotel 2a'!B15</f>
        <v>55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  <c r="I15" t="s">
        <v>52</v>
      </c>
      <c r="J15" s="48">
        <f>J7+K7-1</f>
        <v>37</v>
      </c>
      <c r="Q15" t="s">
        <v>101</v>
      </c>
    </row>
    <row r="16" spans="1:19" x14ac:dyDescent="0.35">
      <c r="A16" s="36">
        <f>'Hotel 2a'!A16</f>
        <v>35.799999999999997</v>
      </c>
      <c r="B16" s="37">
        <f>'Hotel 2a'!B16</f>
        <v>70</v>
      </c>
      <c r="C16" s="38">
        <f>'Hotel 2a'!C16</f>
        <v>16</v>
      </c>
      <c r="E16" s="36">
        <f>'Hotel 2a'!E16</f>
        <v>39.6</v>
      </c>
      <c r="F16" s="37">
        <f>'Hotel 2a'!F16</f>
        <v>78</v>
      </c>
      <c r="G16" s="38">
        <f>'Hotel 2a'!G16</f>
        <v>19</v>
      </c>
      <c r="I16" t="s">
        <v>53</v>
      </c>
      <c r="J16" s="49">
        <f>COUNT(A6:C6)</f>
        <v>3</v>
      </c>
    </row>
    <row r="17" spans="1:19" ht="16.5" x14ac:dyDescent="0.3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  <c r="I17" t="s">
        <v>51</v>
      </c>
      <c r="J17" s="49" t="e">
        <f t="array" aca="1" ref="J17" ca="1">MMULT(TRANSPOSE(L4:L6),MMULT(Q17:S19,L4:L6))</f>
        <v>#NAME?</v>
      </c>
      <c r="Q17" s="33" t="e">
        <f t="array" aca="1" ref="Q17:S19" ca="1">MINVERSE(Q11:S13)</f>
        <v>#NAME?</v>
      </c>
      <c r="R17" s="34" t="e">
        <f ca="1"/>
        <v>#NAME?</v>
      </c>
      <c r="S17" s="35" t="e">
        <f ca="1"/>
        <v>#NAME?</v>
      </c>
    </row>
    <row r="18" spans="1:19" x14ac:dyDescent="0.35">
      <c r="A18" s="36">
        <f>'Hotel 2a'!A18</f>
        <v>37.200000000000003</v>
      </c>
      <c r="B18" s="37">
        <f>'Hotel 2a'!B18</f>
        <v>49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  <c r="I18" t="s">
        <v>54</v>
      </c>
      <c r="J18" s="49" t="e">
        <f ca="1">J17*(J15-J16)/(J16*(J15-1))</f>
        <v>#NAME?</v>
      </c>
      <c r="Q18" s="36" t="e">
        <f ca="1"/>
        <v>#NAME?</v>
      </c>
      <c r="R18" s="37" t="e">
        <f ca="1"/>
        <v>#NAME?</v>
      </c>
      <c r="S18" s="38" t="e">
        <f ca="1"/>
        <v>#NAME?</v>
      </c>
    </row>
    <row r="19" spans="1:19" x14ac:dyDescent="0.35">
      <c r="A19" s="36">
        <f>'Hotel 2a'!A19</f>
        <v>36.5</v>
      </c>
      <c r="B19" s="37">
        <f>'Hotel 2a'!B19</f>
        <v>59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  <c r="I19" t="s">
        <v>55</v>
      </c>
      <c r="J19" s="49">
        <f>J16</f>
        <v>3</v>
      </c>
      <c r="Q19" s="39" t="e">
        <f ca="1"/>
        <v>#NAME?</v>
      </c>
      <c r="R19" s="40" t="e">
        <f ca="1"/>
        <v>#NAME?</v>
      </c>
      <c r="S19" s="41" t="e">
        <f ca="1"/>
        <v>#NAME?</v>
      </c>
    </row>
    <row r="20" spans="1:19" x14ac:dyDescent="0.3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  <c r="I20" t="s">
        <v>56</v>
      </c>
      <c r="J20" s="49" t="e">
        <f t="array" aca="1" ref="J20" ca="1">J17^2/(MMULT(TRANSPOSE(L4:L6),MMULT(Q17:S19,MMULT(I11:K13/J7,MMULT(Q17:S19,L4:L6))))^2/(J7-1)+MMULT(TRANSPOSE(L4:L6),MMULT(Q17:S19,MMULT(M11:O13/K7,MMULT(Q17:S19,L4:L6))))^2/(K7-1))</f>
        <v>#NAME?</v>
      </c>
    </row>
    <row r="21" spans="1:19" x14ac:dyDescent="0.35">
      <c r="A21" s="36">
        <f>'Hotel 2a'!A21</f>
        <v>37.5</v>
      </c>
      <c r="B21" s="37">
        <f>'Hotel 2a'!B21</f>
        <v>66</v>
      </c>
      <c r="C21" s="38">
        <f>'Hotel 2a'!C21</f>
        <v>19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  <c r="I21" s="46" t="s">
        <v>57</v>
      </c>
      <c r="J21" s="50">
        <v>0.05</v>
      </c>
    </row>
    <row r="22" spans="1:19" x14ac:dyDescent="0.3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  <c r="I22" t="s">
        <v>58</v>
      </c>
      <c r="J22" s="49" t="e">
        <f ca="1">FINV(J21,J19,J20)</f>
        <v>#NAME?</v>
      </c>
    </row>
    <row r="23" spans="1:19" x14ac:dyDescent="0.35">
      <c r="A23" s="36">
        <f>'Hotel 2a'!A23</f>
        <v>36.9</v>
      </c>
      <c r="B23" s="37">
        <f>'Hotel 2a'!B23</f>
        <v>67</v>
      </c>
      <c r="C23" s="38">
        <f>'Hotel 2a'!C23</f>
        <v>12</v>
      </c>
      <c r="E23" s="39">
        <f>'Hotel 2a'!E23</f>
        <v>40.6</v>
      </c>
      <c r="F23" s="40">
        <f>'Hotel 2a'!F23</f>
        <v>48</v>
      </c>
      <c r="G23" s="41">
        <f>'Hotel 2a'!G23</f>
        <v>21</v>
      </c>
      <c r="I23" t="s">
        <v>59</v>
      </c>
      <c r="J23" s="49" t="e">
        <f ca="1">FDIST(J18,J19,J20)</f>
        <v>#NAME?</v>
      </c>
    </row>
    <row r="24" spans="1:19" x14ac:dyDescent="0.35">
      <c r="A24" s="36">
        <f>'Hotel 2a'!A24</f>
        <v>39.299999999999997</v>
      </c>
      <c r="B24" s="37">
        <f>'Hotel 2a'!B24</f>
        <v>53</v>
      </c>
      <c r="C24" s="38">
        <f>'Hotel 2a'!C24</f>
        <v>7</v>
      </c>
      <c r="E24" s="37"/>
      <c r="F24" s="37"/>
      <c r="G24" s="37"/>
      <c r="I24" t="s">
        <v>60</v>
      </c>
      <c r="J24" s="51" t="e">
        <f ca="1">IF(J23&lt;= J21,"yes","no")</f>
        <v>#NAME?</v>
      </c>
    </row>
    <row r="25" spans="1:19" x14ac:dyDescent="0.3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7"/>
      <c r="F25" s="37"/>
      <c r="G25" s="37"/>
    </row>
    <row r="26" spans="1:19" x14ac:dyDescent="0.35">
      <c r="I26" t="s">
        <v>770</v>
      </c>
    </row>
    <row r="27" spans="1:19" x14ac:dyDescent="0.35">
      <c r="A27" s="33">
        <f>AVERAGE(A6:A25)</f>
        <v>37.289999999999992</v>
      </c>
      <c r="B27" s="34">
        <f>AVERAGE(B6:B25)</f>
        <v>69.099999999999994</v>
      </c>
      <c r="C27" s="35">
        <f>AVERAGE(C6:C25)</f>
        <v>17.600000000000001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9" ht="16.5" x14ac:dyDescent="0.35">
      <c r="A28" s="39">
        <f>VAR(A6:A25)</f>
        <v>1.0419999999999989</v>
      </c>
      <c r="B28" s="40">
        <f>VAR(B6:B25)</f>
        <v>154.20000000000016</v>
      </c>
      <c r="C28" s="41">
        <f>VAR(C6:C25)</f>
        <v>47.621052631578955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HotellingT2(A6:C25,E6:G23,3)</f>
        <v>#NAME?</v>
      </c>
    </row>
    <row r="29" spans="1:19" x14ac:dyDescent="0.35">
      <c r="I29" t="s">
        <v>54</v>
      </c>
      <c r="J29" s="49" t="e">
        <f ca="1">HotellingF(A6:C25,E6:G23,3)</f>
        <v>#NAME?</v>
      </c>
    </row>
    <row r="30" spans="1:19" x14ac:dyDescent="0.35">
      <c r="I30" t="s">
        <v>55</v>
      </c>
      <c r="J30" s="49" t="e">
        <f ca="1">Hotellingdf1(A6:C25,E6:G23,3)</f>
        <v>#NAME?</v>
      </c>
    </row>
    <row r="31" spans="1:19" x14ac:dyDescent="0.35">
      <c r="I31" t="s">
        <v>56</v>
      </c>
      <c r="J31" s="49" t="e">
        <f ca="1">Hotellingdf2(A6:C25,E6:G23,3)</f>
        <v>#NAME?</v>
      </c>
    </row>
    <row r="32" spans="1:19" x14ac:dyDescent="0.35">
      <c r="I32" t="s">
        <v>65</v>
      </c>
      <c r="J32" s="52" t="e">
        <f ca="1">T2TEST(A6:C25,E6:G23,3)</f>
        <v>#NAME?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S32"/>
  <sheetViews>
    <sheetView zoomScaleNormal="100" workbookViewId="0"/>
  </sheetViews>
  <sheetFormatPr defaultRowHeight="14.5" x14ac:dyDescent="0.35"/>
  <cols>
    <col min="10" max="10" width="9.08984375" customWidth="1"/>
    <col min="13" max="13" width="9.08984375" customWidth="1"/>
  </cols>
  <sheetData>
    <row r="1" spans="1:19" x14ac:dyDescent="0.35">
      <c r="A1" s="42" t="s">
        <v>89</v>
      </c>
    </row>
    <row r="2" spans="1:19" x14ac:dyDescent="0.35">
      <c r="I2" t="s">
        <v>125</v>
      </c>
    </row>
    <row r="3" spans="1:19" x14ac:dyDescent="0.35">
      <c r="A3" t="s">
        <v>90</v>
      </c>
      <c r="E3" t="s">
        <v>94</v>
      </c>
      <c r="J3" s="47" t="s">
        <v>90</v>
      </c>
      <c r="K3" s="47" t="s">
        <v>94</v>
      </c>
      <c r="L3" s="47" t="s">
        <v>96</v>
      </c>
    </row>
    <row r="4" spans="1:19" x14ac:dyDescent="0.35">
      <c r="I4" t="s">
        <v>91</v>
      </c>
      <c r="J4" s="33">
        <f t="array" ref="J4:J6">TRANSPOSE(A27:C27)</f>
        <v>37.289999999999992</v>
      </c>
      <c r="K4" s="35">
        <f t="array" ref="K4:K6">TRANSPOSE(E27:G27)</f>
        <v>39.444444444444443</v>
      </c>
      <c r="L4" s="48">
        <f>J4-K4</f>
        <v>-2.1544444444444508</v>
      </c>
    </row>
    <row r="5" spans="1:19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  <c r="I5" s="70" t="s">
        <v>92</v>
      </c>
      <c r="J5" s="36">
        <v>74.5</v>
      </c>
      <c r="K5" s="38">
        <v>62.277777777777779</v>
      </c>
      <c r="L5" s="49">
        <f>J5-K5</f>
        <v>12.222222222222221</v>
      </c>
    </row>
    <row r="6" spans="1:19" x14ac:dyDescent="0.3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s">
        <v>93</v>
      </c>
      <c r="J6" s="39">
        <v>15.55</v>
      </c>
      <c r="K6" s="41">
        <v>20.111111111111111</v>
      </c>
      <c r="L6" s="52">
        <f>J6-K6</f>
        <v>-4.56111111111111</v>
      </c>
    </row>
    <row r="7" spans="1:19" x14ac:dyDescent="0.35">
      <c r="A7" s="36">
        <f>'Hotel 2a'!A7</f>
        <v>36.6</v>
      </c>
      <c r="B7" s="37">
        <v>82</v>
      </c>
      <c r="C7" s="38">
        <v>4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s">
        <v>100</v>
      </c>
      <c r="J7">
        <f>COUNT(A6:A25)</f>
        <v>20</v>
      </c>
      <c r="K7">
        <f>COUNT(E6:E25)</f>
        <v>18</v>
      </c>
    </row>
    <row r="8" spans="1:19" x14ac:dyDescent="0.35">
      <c r="A8" s="36">
        <f>'Hotel 2a'!A8</f>
        <v>38.200000000000003</v>
      </c>
      <c r="B8" s="37">
        <v>65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</row>
    <row r="9" spans="1:19" x14ac:dyDescent="0.35">
      <c r="A9" s="36">
        <f>'Hotel 2a'!A9</f>
        <v>37.6</v>
      </c>
      <c r="B9" s="37">
        <f>'Hotel 2a'!B9</f>
        <v>82</v>
      </c>
      <c r="C9" s="38">
        <v>12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s">
        <v>97</v>
      </c>
      <c r="M9" t="s">
        <v>98</v>
      </c>
      <c r="Q9" t="s">
        <v>99</v>
      </c>
    </row>
    <row r="10" spans="1:19" x14ac:dyDescent="0.3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</row>
    <row r="11" spans="1:19" x14ac:dyDescent="0.35">
      <c r="A11" s="36">
        <f>'Hotel 2a'!A11</f>
        <v>37.9</v>
      </c>
      <c r="B11" s="37">
        <v>82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  <c r="I11" s="33" t="e">
        <f t="array" aca="1" ref="I11:K13" ca="1">COV(A6:C25)</f>
        <v>#NAME?</v>
      </c>
      <c r="J11" s="34" t="e">
        <f ca="1"/>
        <v>#NAME?</v>
      </c>
      <c r="K11" s="35" t="e">
        <f ca="1"/>
        <v>#NAME?</v>
      </c>
      <c r="M11" s="33" t="e">
        <f t="array" aca="1" ref="M11:O13" ca="1">COV(E6:G23)</f>
        <v>#NAME?</v>
      </c>
      <c r="N11" s="34" t="e">
        <f ca="1"/>
        <v>#NAME?</v>
      </c>
      <c r="O11" s="35" t="e">
        <f ca="1"/>
        <v>#NAME?</v>
      </c>
      <c r="Q11" s="33" t="e">
        <f t="array" ref="Q11:S13" ca="1">I11:K13/J7+M11:O13/K7</f>
        <v>#NAME?</v>
      </c>
      <c r="R11" s="34" t="e">
        <f ca="1"/>
        <v>#NAME?</v>
      </c>
      <c r="S11" s="35" t="e">
        <f ca="1"/>
        <v>#NAME?</v>
      </c>
    </row>
    <row r="12" spans="1:19" x14ac:dyDescent="0.3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  <c r="I12" s="36" t="e">
        <f ca="1"/>
        <v>#NAME?</v>
      </c>
      <c r="J12" s="37" t="e">
        <f ca="1"/>
        <v>#NAME?</v>
      </c>
      <c r="K12" s="38" t="e">
        <f ca="1"/>
        <v>#NAME?</v>
      </c>
      <c r="M12" s="36" t="e">
        <f ca="1"/>
        <v>#NAME?</v>
      </c>
      <c r="N12" s="37" t="e">
        <f ca="1"/>
        <v>#NAME?</v>
      </c>
      <c r="O12" s="38" t="e">
        <f ca="1"/>
        <v>#NAME?</v>
      </c>
      <c r="Q12" s="36" t="e">
        <f ca="1"/>
        <v>#NAME?</v>
      </c>
      <c r="R12" s="37" t="e">
        <f ca="1"/>
        <v>#NAME?</v>
      </c>
      <c r="S12" s="38" t="e">
        <f ca="1"/>
        <v>#NAME?</v>
      </c>
    </row>
    <row r="13" spans="1:19" x14ac:dyDescent="0.35">
      <c r="A13" s="36">
        <f>'Hotel 2a'!A13</f>
        <v>35.200000000000003</v>
      </c>
      <c r="B13" s="37">
        <v>93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  <c r="I13" s="39" t="e">
        <f ca="1"/>
        <v>#NAME?</v>
      </c>
      <c r="J13" s="40" t="e">
        <f ca="1"/>
        <v>#NAME?</v>
      </c>
      <c r="K13" s="41" t="e">
        <f ca="1"/>
        <v>#NAME?</v>
      </c>
      <c r="M13" s="39" t="e">
        <f ca="1"/>
        <v>#NAME?</v>
      </c>
      <c r="N13" s="40" t="e">
        <f ca="1"/>
        <v>#NAME?</v>
      </c>
      <c r="O13" s="41" t="e">
        <f ca="1"/>
        <v>#NAME?</v>
      </c>
      <c r="Q13" s="39" t="e">
        <f ca="1"/>
        <v>#NAME?</v>
      </c>
      <c r="R13" s="40" t="e">
        <f ca="1"/>
        <v>#NAME?</v>
      </c>
      <c r="S13" s="41" t="e">
        <f ca="1"/>
        <v>#NAME?</v>
      </c>
    </row>
    <row r="14" spans="1:19" x14ac:dyDescent="0.35">
      <c r="A14" s="36">
        <f>'Hotel 2a'!A14</f>
        <v>38.200000000000003</v>
      </c>
      <c r="B14" s="37">
        <f>'Hotel 2a'!B14</f>
        <v>65</v>
      </c>
      <c r="C14" s="38">
        <v>2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9" x14ac:dyDescent="0.35">
      <c r="A15" s="36">
        <f>'Hotel 2a'!A15</f>
        <v>37.5</v>
      </c>
      <c r="B15" s="37">
        <v>66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  <c r="I15" t="s">
        <v>52</v>
      </c>
      <c r="J15" s="48">
        <f>J7+K7-1</f>
        <v>37</v>
      </c>
      <c r="Q15" t="s">
        <v>101</v>
      </c>
    </row>
    <row r="16" spans="1:19" x14ac:dyDescent="0.35">
      <c r="A16" s="36">
        <f>'Hotel 2a'!A16</f>
        <v>35.799999999999997</v>
      </c>
      <c r="B16" s="37">
        <f>'Hotel 2a'!B16</f>
        <v>70</v>
      </c>
      <c r="C16" s="38">
        <v>3</v>
      </c>
      <c r="E16" s="36">
        <f>'Hotel 2a'!E16</f>
        <v>39.6</v>
      </c>
      <c r="F16" s="37">
        <f>'Hotel 2a'!F16</f>
        <v>78</v>
      </c>
      <c r="G16" s="38">
        <f>'Hotel 2a'!G16</f>
        <v>19</v>
      </c>
      <c r="I16" t="s">
        <v>53</v>
      </c>
      <c r="J16" s="49">
        <f>COUNT(A6:C6)</f>
        <v>3</v>
      </c>
    </row>
    <row r="17" spans="1:19" ht="16.5" x14ac:dyDescent="0.3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  <c r="I17" t="s">
        <v>51</v>
      </c>
      <c r="J17" s="49" t="e">
        <f t="array" aca="1" ref="J17" ca="1">MMULT(TRANSPOSE(L4:L6),MMULT(Q17:S19,L4:L6))</f>
        <v>#NAME?</v>
      </c>
      <c r="Q17" s="33" t="e">
        <f t="array" aca="1" ref="Q17:S19" ca="1">MINVERSE(Q11:S13)</f>
        <v>#NAME?</v>
      </c>
      <c r="R17" s="34" t="e">
        <f ca="1"/>
        <v>#NAME?</v>
      </c>
      <c r="S17" s="35" t="e">
        <f ca="1"/>
        <v>#NAME?</v>
      </c>
    </row>
    <row r="18" spans="1:19" x14ac:dyDescent="0.35">
      <c r="A18" s="36">
        <f>'Hotel 2a'!A18</f>
        <v>37.200000000000003</v>
      </c>
      <c r="B18" s="37">
        <v>83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  <c r="I18" t="s">
        <v>54</v>
      </c>
      <c r="J18" s="49" t="e">
        <f ca="1">J17*(J15-J16)/(J16*(J15-1))</f>
        <v>#NAME?</v>
      </c>
      <c r="Q18" s="36" t="e">
        <f ca="1"/>
        <v>#NAME?</v>
      </c>
      <c r="R18" s="37" t="e">
        <f ca="1"/>
        <v>#NAME?</v>
      </c>
      <c r="S18" s="38" t="e">
        <f ca="1"/>
        <v>#NAME?</v>
      </c>
    </row>
    <row r="19" spans="1:19" x14ac:dyDescent="0.35">
      <c r="A19" s="36">
        <f>'Hotel 2a'!A19</f>
        <v>36.5</v>
      </c>
      <c r="B19" s="37">
        <v>68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  <c r="I19" t="s">
        <v>55</v>
      </c>
      <c r="J19" s="49">
        <f>J16</f>
        <v>3</v>
      </c>
      <c r="Q19" s="39" t="e">
        <f ca="1"/>
        <v>#NAME?</v>
      </c>
      <c r="R19" s="40" t="e">
        <f ca="1"/>
        <v>#NAME?</v>
      </c>
      <c r="S19" s="41" t="e">
        <f ca="1"/>
        <v>#NAME?</v>
      </c>
    </row>
    <row r="20" spans="1:19" x14ac:dyDescent="0.3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  <c r="I20" t="s">
        <v>56</v>
      </c>
      <c r="J20" s="49" t="e">
        <f t="array" aca="1" ref="J20" ca="1">J17^2/(MMULT(TRANSPOSE(L4:L6),MMULT(Q17:S19,MMULT(I11:K13/J7,MMULT(Q17:S19,L4:L6))))^2/(J7-1)+MMULT(TRANSPOSE(L4:L6),MMULT(Q17:S19,MMULT(M11:O13/K7,MMULT(Q17:S19,L4:L6))))^2/(K7-1))</f>
        <v>#NAME?</v>
      </c>
    </row>
    <row r="21" spans="1:19" x14ac:dyDescent="0.35">
      <c r="A21" s="36">
        <f>'Hotel 2a'!A21</f>
        <v>37.5</v>
      </c>
      <c r="B21" s="37">
        <f>'Hotel 2a'!B21</f>
        <v>66</v>
      </c>
      <c r="C21" s="38">
        <v>28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  <c r="I21" s="46" t="s">
        <v>57</v>
      </c>
      <c r="J21" s="50">
        <v>0.05</v>
      </c>
    </row>
    <row r="22" spans="1:19" x14ac:dyDescent="0.3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  <c r="I22" t="s">
        <v>58</v>
      </c>
      <c r="J22" s="49" t="e">
        <f ca="1">FINV(J21,J19,J20)</f>
        <v>#NAME?</v>
      </c>
    </row>
    <row r="23" spans="1:19" x14ac:dyDescent="0.35">
      <c r="A23" s="36">
        <f>'Hotel 2a'!A23</f>
        <v>36.9</v>
      </c>
      <c r="B23" s="37">
        <v>73</v>
      </c>
      <c r="C23" s="38">
        <f>'Hotel 2a'!C23</f>
        <v>12</v>
      </c>
      <c r="E23" s="36">
        <f>'Hotel 2a'!E23</f>
        <v>40.6</v>
      </c>
      <c r="F23" s="37">
        <f>'Hotel 2a'!F23</f>
        <v>48</v>
      </c>
      <c r="G23" s="38">
        <f>'Hotel 2a'!G23</f>
        <v>21</v>
      </c>
      <c r="I23" t="s">
        <v>59</v>
      </c>
      <c r="J23" s="49" t="e">
        <f ca="1">FDIST(J18,J19,J20)</f>
        <v>#NAME?</v>
      </c>
    </row>
    <row r="24" spans="1:19" x14ac:dyDescent="0.35">
      <c r="A24" s="36">
        <f>'Hotel 2a'!A24</f>
        <v>39.299999999999997</v>
      </c>
      <c r="B24" s="37">
        <v>76</v>
      </c>
      <c r="C24" s="38">
        <v>2</v>
      </c>
      <c r="E24" s="36"/>
      <c r="F24" s="37"/>
      <c r="G24" s="38"/>
      <c r="I24" t="s">
        <v>60</v>
      </c>
      <c r="J24" s="51" t="e">
        <f ca="1">IF(J23&lt;= J21,"yes","no")</f>
        <v>#NAME?</v>
      </c>
    </row>
    <row r="25" spans="1:19" x14ac:dyDescent="0.3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9"/>
      <c r="F25" s="40"/>
      <c r="G25" s="41"/>
    </row>
    <row r="26" spans="1:19" x14ac:dyDescent="0.35">
      <c r="I26" t="s">
        <v>337</v>
      </c>
    </row>
    <row r="27" spans="1:19" x14ac:dyDescent="0.35">
      <c r="A27" s="33">
        <f>AVERAGE(A6:A25)</f>
        <v>37.289999999999992</v>
      </c>
      <c r="B27" s="34">
        <f>AVERAGE(B6:B25)</f>
        <v>74.5</v>
      </c>
      <c r="C27" s="35">
        <f>AVERAGE(C6:C25)</f>
        <v>15.55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19" ht="16.5" x14ac:dyDescent="0.35">
      <c r="A28" s="39">
        <f>VAR(A6:A25)</f>
        <v>1.0419999999999989</v>
      </c>
      <c r="B28" s="40">
        <f>VAR(B6:B25)</f>
        <v>59.94736842105263</v>
      </c>
      <c r="C28" s="41">
        <f>VAR(C6:C25)</f>
        <v>89.102631578947353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  <c r="I28" t="s">
        <v>51</v>
      </c>
      <c r="J28" s="48" t="e">
        <f ca="1">HotellingT2(A6:C25,E6:G23,3)</f>
        <v>#NAME?</v>
      </c>
      <c r="L28" t="e">
        <f t="array" aca="1" ref="L28:M32" ca="1">Hotelling(A6:C25,E6:G23,3,TRUE)</f>
        <v>#NAME?</v>
      </c>
      <c r="M28" s="207" t="e">
        <f ca="1"/>
        <v>#NAME?</v>
      </c>
    </row>
    <row r="29" spans="1:19" x14ac:dyDescent="0.35">
      <c r="I29" t="s">
        <v>54</v>
      </c>
      <c r="J29" s="49" t="e">
        <f ca="1">HotellingF(A6:C25,E6:G23,3)</f>
        <v>#NAME?</v>
      </c>
      <c r="L29" t="e">
        <f ca="1"/>
        <v>#NAME?</v>
      </c>
      <c r="M29" s="173" t="e">
        <f ca="1"/>
        <v>#NAME?</v>
      </c>
    </row>
    <row r="30" spans="1:19" x14ac:dyDescent="0.35">
      <c r="I30" t="s">
        <v>55</v>
      </c>
      <c r="J30" s="49" t="e">
        <f ca="1">Hotellingdf1(A6:C25,E6:G23,3)</f>
        <v>#NAME?</v>
      </c>
      <c r="L30" t="e">
        <f ca="1"/>
        <v>#NAME?</v>
      </c>
      <c r="M30" s="173" t="e">
        <f ca="1"/>
        <v>#NAME?</v>
      </c>
    </row>
    <row r="31" spans="1:19" x14ac:dyDescent="0.35">
      <c r="I31" t="s">
        <v>56</v>
      </c>
      <c r="J31" s="49" t="e">
        <f ca="1">Hotellingdf2(A6:C25,E6:G23,3)</f>
        <v>#NAME?</v>
      </c>
      <c r="L31" t="e">
        <f ca="1"/>
        <v>#NAME?</v>
      </c>
      <c r="M31" s="173" t="e">
        <f ca="1"/>
        <v>#NAME?</v>
      </c>
    </row>
    <row r="32" spans="1:19" x14ac:dyDescent="0.35">
      <c r="I32" t="s">
        <v>65</v>
      </c>
      <c r="J32" s="52" t="e">
        <f ca="1">T2TEST(A6:C25,E6:G23,3)</f>
        <v>#NAME?</v>
      </c>
      <c r="L32" t="e">
        <f ca="1"/>
        <v>#NAME?</v>
      </c>
      <c r="M32" s="174" t="e">
        <f ca="1"/>
        <v>#NAME?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8"/>
  <dimension ref="A1:J28"/>
  <sheetViews>
    <sheetView workbookViewId="0"/>
  </sheetViews>
  <sheetFormatPr defaultRowHeight="14.5" x14ac:dyDescent="0.35"/>
  <sheetData>
    <row r="1" spans="1:10" x14ac:dyDescent="0.35">
      <c r="A1" s="42" t="s">
        <v>560</v>
      </c>
    </row>
    <row r="3" spans="1:10" x14ac:dyDescent="0.35">
      <c r="A3" t="s">
        <v>90</v>
      </c>
      <c r="E3" t="s">
        <v>94</v>
      </c>
      <c r="I3" t="s">
        <v>536</v>
      </c>
    </row>
    <row r="4" spans="1:10" x14ac:dyDescent="0.35">
      <c r="I4" t="s">
        <v>561</v>
      </c>
    </row>
    <row r="5" spans="1:10" x14ac:dyDescent="0.35">
      <c r="A5" s="47" t="s">
        <v>91</v>
      </c>
      <c r="B5" s="47" t="s">
        <v>92</v>
      </c>
      <c r="C5" s="47" t="s">
        <v>93</v>
      </c>
      <c r="D5" s="47"/>
      <c r="E5" s="47" t="s">
        <v>91</v>
      </c>
      <c r="F5" s="47" t="s">
        <v>92</v>
      </c>
      <c r="G5" s="47" t="s">
        <v>93</v>
      </c>
    </row>
    <row r="6" spans="1:10" x14ac:dyDescent="0.35">
      <c r="A6" s="33">
        <f>'Hotel 2a'!A6</f>
        <v>36.5</v>
      </c>
      <c r="B6" s="34">
        <f>'Hotel 2a'!B6</f>
        <v>72</v>
      </c>
      <c r="C6" s="35">
        <f>'Hotel 2a'!C6</f>
        <v>18</v>
      </c>
      <c r="E6" s="33">
        <f>'Hotel 2a'!E6</f>
        <v>40.9</v>
      </c>
      <c r="F6" s="34">
        <f>'Hotel 2a'!F6</f>
        <v>54</v>
      </c>
      <c r="G6" s="35">
        <f>'Hotel 2a'!G6</f>
        <v>14</v>
      </c>
      <c r="I6" t="e">
        <f t="array" aca="1" ref="I6:J10" ca="1">Hotelling(A6:C25,E6:G23, 3,TRUE)</f>
        <v>#NAME?</v>
      </c>
      <c r="J6" s="190" t="e">
        <f ca="1"/>
        <v>#NAME?</v>
      </c>
    </row>
    <row r="7" spans="1:10" x14ac:dyDescent="0.35">
      <c r="A7" s="36">
        <f>'Hotel 2a'!A7</f>
        <v>36.6</v>
      </c>
      <c r="B7" s="37">
        <v>82</v>
      </c>
      <c r="C7" s="38">
        <v>4</v>
      </c>
      <c r="E7" s="36">
        <f>'Hotel 2a'!E7</f>
        <v>39.5</v>
      </c>
      <c r="F7" s="37">
        <f>'Hotel 2a'!F7</f>
        <v>75</v>
      </c>
      <c r="G7" s="38">
        <f>'Hotel 2a'!G7</f>
        <v>18</v>
      </c>
      <c r="I7" t="e">
        <f ca="1"/>
        <v>#NAME?</v>
      </c>
      <c r="J7" s="98" t="e">
        <f ca="1"/>
        <v>#NAME?</v>
      </c>
    </row>
    <row r="8" spans="1:10" x14ac:dyDescent="0.35">
      <c r="A8" s="36">
        <f>'Hotel 2a'!A8</f>
        <v>38.200000000000003</v>
      </c>
      <c r="B8" s="37">
        <v>65</v>
      </c>
      <c r="C8" s="38">
        <f>'Hotel 2a'!C8</f>
        <v>29</v>
      </c>
      <c r="E8" s="36">
        <f>'Hotel 2a'!E8</f>
        <v>39.4</v>
      </c>
      <c r="F8" s="37">
        <f>'Hotel 2a'!F8</f>
        <v>57</v>
      </c>
      <c r="G8" s="38">
        <f>'Hotel 2a'!G8</f>
        <v>24</v>
      </c>
      <c r="I8" t="e">
        <f ca="1"/>
        <v>#NAME?</v>
      </c>
      <c r="J8" s="98" t="e">
        <f ca="1"/>
        <v>#NAME?</v>
      </c>
    </row>
    <row r="9" spans="1:10" x14ac:dyDescent="0.35">
      <c r="A9" s="36">
        <f>'Hotel 2a'!A9</f>
        <v>37.6</v>
      </c>
      <c r="B9" s="37">
        <f>'Hotel 2a'!B9</f>
        <v>82</v>
      </c>
      <c r="C9" s="38">
        <v>12</v>
      </c>
      <c r="E9" s="36">
        <f>'Hotel 2a'!E9</f>
        <v>38.200000000000003</v>
      </c>
      <c r="F9" s="37">
        <f>'Hotel 2a'!F9</f>
        <v>71</v>
      </c>
      <c r="G9" s="38">
        <f>'Hotel 2a'!G9</f>
        <v>24</v>
      </c>
      <c r="I9" t="e">
        <f ca="1"/>
        <v>#NAME?</v>
      </c>
      <c r="J9" s="98" t="e">
        <f ca="1"/>
        <v>#NAME?</v>
      </c>
    </row>
    <row r="10" spans="1:10" x14ac:dyDescent="0.35">
      <c r="A10" s="36">
        <f>'Hotel 2a'!A10</f>
        <v>37</v>
      </c>
      <c r="B10" s="37">
        <f>'Hotel 2a'!B10</f>
        <v>68</v>
      </c>
      <c r="C10" s="38">
        <f>'Hotel 2a'!C10</f>
        <v>25</v>
      </c>
      <c r="E10" s="36">
        <f>'Hotel 2a'!E10</f>
        <v>39.700000000000003</v>
      </c>
      <c r="F10" s="37">
        <f>'Hotel 2a'!F10</f>
        <v>65</v>
      </c>
      <c r="G10" s="38">
        <f>'Hotel 2a'!G10</f>
        <v>22</v>
      </c>
      <c r="I10" t="e">
        <f ca="1"/>
        <v>#NAME?</v>
      </c>
      <c r="J10" s="99" t="e">
        <f ca="1"/>
        <v>#NAME?</v>
      </c>
    </row>
    <row r="11" spans="1:10" x14ac:dyDescent="0.35">
      <c r="A11" s="36">
        <f>'Hotel 2a'!A11</f>
        <v>37.9</v>
      </c>
      <c r="B11" s="37">
        <v>82</v>
      </c>
      <c r="C11" s="38">
        <f>'Hotel 2a'!C11</f>
        <v>27</v>
      </c>
      <c r="E11" s="36">
        <f>'Hotel 2a'!E11</f>
        <v>38.9</v>
      </c>
      <c r="F11" s="37">
        <f>'Hotel 2a'!F11</f>
        <v>49</v>
      </c>
      <c r="G11" s="38">
        <f>'Hotel 2a'!G11</f>
        <v>30</v>
      </c>
    </row>
    <row r="12" spans="1:10" x14ac:dyDescent="0.35">
      <c r="A12" s="36">
        <f>'Hotel 2a'!A12</f>
        <v>37.4</v>
      </c>
      <c r="B12" s="37">
        <f>'Hotel 2a'!B12</f>
        <v>80</v>
      </c>
      <c r="C12" s="38">
        <f>'Hotel 2a'!C12</f>
        <v>25</v>
      </c>
      <c r="E12" s="36">
        <f>'Hotel 2a'!E12</f>
        <v>38.6</v>
      </c>
      <c r="F12" s="37">
        <f>'Hotel 2a'!F12</f>
        <v>58</v>
      </c>
      <c r="G12" s="38">
        <f>'Hotel 2a'!G12</f>
        <v>25</v>
      </c>
    </row>
    <row r="13" spans="1:10" x14ac:dyDescent="0.35">
      <c r="A13" s="36">
        <f>'Hotel 2a'!A13</f>
        <v>35.200000000000003</v>
      </c>
      <c r="B13" s="37">
        <v>93</v>
      </c>
      <c r="C13" s="38">
        <f>'Hotel 2a'!C13</f>
        <v>8</v>
      </c>
      <c r="E13" s="36">
        <f>'Hotel 2a'!E13</f>
        <v>39.9</v>
      </c>
      <c r="F13" s="37">
        <f>'Hotel 2a'!F13</f>
        <v>52</v>
      </c>
      <c r="G13" s="38">
        <f>'Hotel 2a'!G13</f>
        <v>17</v>
      </c>
    </row>
    <row r="14" spans="1:10" x14ac:dyDescent="0.35">
      <c r="A14" s="36">
        <f>'Hotel 2a'!A14</f>
        <v>38.200000000000003</v>
      </c>
      <c r="B14" s="37">
        <f>'Hotel 2a'!B14</f>
        <v>65</v>
      </c>
      <c r="C14" s="38">
        <v>2</v>
      </c>
      <c r="E14" s="36">
        <f>'Hotel 2a'!E14</f>
        <v>41.3</v>
      </c>
      <c r="F14" s="37">
        <f>'Hotel 2a'!F14</f>
        <v>62</v>
      </c>
      <c r="G14" s="38">
        <f>'Hotel 2a'!G14</f>
        <v>18</v>
      </c>
    </row>
    <row r="15" spans="1:10" x14ac:dyDescent="0.35">
      <c r="A15" s="36">
        <f>'Hotel 2a'!A15</f>
        <v>37.5</v>
      </c>
      <c r="B15" s="37">
        <v>66</v>
      </c>
      <c r="C15" s="38">
        <f>'Hotel 2a'!C15</f>
        <v>11</v>
      </c>
      <c r="E15" s="36">
        <f>'Hotel 2a'!E15</f>
        <v>38.1</v>
      </c>
      <c r="F15" s="37">
        <f>'Hotel 2a'!F15</f>
        <v>57</v>
      </c>
      <c r="G15" s="38">
        <f>'Hotel 2a'!G15</f>
        <v>20</v>
      </c>
    </row>
    <row r="16" spans="1:10" x14ac:dyDescent="0.35">
      <c r="A16" s="36">
        <f>'Hotel 2a'!A16</f>
        <v>35.799999999999997</v>
      </c>
      <c r="B16" s="37">
        <f>'Hotel 2a'!B16</f>
        <v>70</v>
      </c>
      <c r="C16" s="38">
        <v>3</v>
      </c>
      <c r="E16" s="36">
        <f>'Hotel 2a'!E16</f>
        <v>39.6</v>
      </c>
      <c r="F16" s="37">
        <f>'Hotel 2a'!F16</f>
        <v>78</v>
      </c>
      <c r="G16" s="38">
        <f>'Hotel 2a'!G16</f>
        <v>19</v>
      </c>
    </row>
    <row r="17" spans="1:7" x14ac:dyDescent="0.35">
      <c r="A17" s="36">
        <f>'Hotel 2a'!A17</f>
        <v>37.4</v>
      </c>
      <c r="B17" s="37">
        <f>'Hotel 2a'!B17</f>
        <v>76</v>
      </c>
      <c r="C17" s="38">
        <f>'Hotel 2a'!C17</f>
        <v>13</v>
      </c>
      <c r="E17" s="36">
        <f>'Hotel 2a'!E17</f>
        <v>37.1</v>
      </c>
      <c r="F17" s="37">
        <f>'Hotel 2a'!F17</f>
        <v>92</v>
      </c>
      <c r="G17" s="38">
        <f>'Hotel 2a'!G17</f>
        <v>15</v>
      </c>
    </row>
    <row r="18" spans="1:7" x14ac:dyDescent="0.35">
      <c r="A18" s="36">
        <f>'Hotel 2a'!A18</f>
        <v>37.200000000000003</v>
      </c>
      <c r="B18" s="37">
        <v>83</v>
      </c>
      <c r="C18" s="38">
        <f>'Hotel 2a'!C18</f>
        <v>29</v>
      </c>
      <c r="E18" s="36">
        <f>'Hotel 2a'!E18</f>
        <v>39.5</v>
      </c>
      <c r="F18" s="37">
        <f>'Hotel 2a'!F18</f>
        <v>63</v>
      </c>
      <c r="G18" s="38">
        <f>'Hotel 2a'!G18</f>
        <v>13</v>
      </c>
    </row>
    <row r="19" spans="1:7" x14ac:dyDescent="0.35">
      <c r="A19" s="36">
        <f>'Hotel 2a'!A19</f>
        <v>36.5</v>
      </c>
      <c r="B19" s="37">
        <v>68</v>
      </c>
      <c r="C19" s="38">
        <f>'Hotel 2a'!C19</f>
        <v>24</v>
      </c>
      <c r="E19" s="36">
        <f>'Hotel 2a'!E19</f>
        <v>40.299999999999997</v>
      </c>
      <c r="F19" s="37">
        <f>'Hotel 2a'!F19</f>
        <v>52</v>
      </c>
      <c r="G19" s="38">
        <f>'Hotel 2a'!G19</f>
        <v>25</v>
      </c>
    </row>
    <row r="20" spans="1:7" x14ac:dyDescent="0.35">
      <c r="A20" s="36">
        <f>'Hotel 2a'!A20</f>
        <v>38.299999999999997</v>
      </c>
      <c r="B20" s="37">
        <f>'Hotel 2a'!B20</f>
        <v>77</v>
      </c>
      <c r="C20" s="38">
        <f>'Hotel 2a'!C20</f>
        <v>12</v>
      </c>
      <c r="E20" s="36">
        <f>'Hotel 2a'!E20</f>
        <v>41.5</v>
      </c>
      <c r="F20" s="37">
        <f>'Hotel 2a'!F20</f>
        <v>46</v>
      </c>
      <c r="G20" s="38">
        <f>'Hotel 2a'!G20</f>
        <v>27</v>
      </c>
    </row>
    <row r="21" spans="1:7" x14ac:dyDescent="0.35">
      <c r="A21" s="36">
        <f>'Hotel 2a'!A21</f>
        <v>37.5</v>
      </c>
      <c r="B21" s="37">
        <f>'Hotel 2a'!B21</f>
        <v>66</v>
      </c>
      <c r="C21" s="38">
        <v>28</v>
      </c>
      <c r="E21" s="36">
        <f>'Hotel 2a'!E21</f>
        <v>39.299999999999997</v>
      </c>
      <c r="F21" s="37">
        <f>'Hotel 2a'!F21</f>
        <v>56</v>
      </c>
      <c r="G21" s="38">
        <f>'Hotel 2a'!G21</f>
        <v>14</v>
      </c>
    </row>
    <row r="22" spans="1:7" x14ac:dyDescent="0.35">
      <c r="A22" s="36">
        <f>'Hotel 2a'!A22</f>
        <v>36</v>
      </c>
      <c r="B22" s="37">
        <f>'Hotel 2a'!B22</f>
        <v>79</v>
      </c>
      <c r="C22" s="38">
        <f>'Hotel 2a'!C22</f>
        <v>14</v>
      </c>
      <c r="E22" s="36">
        <f>'Hotel 2a'!E22</f>
        <v>37.6</v>
      </c>
      <c r="F22" s="37">
        <f>'Hotel 2a'!F22</f>
        <v>86</v>
      </c>
      <c r="G22" s="38">
        <f>'Hotel 2a'!G22</f>
        <v>16</v>
      </c>
    </row>
    <row r="23" spans="1:7" x14ac:dyDescent="0.35">
      <c r="A23" s="36">
        <f>'Hotel 2a'!A23</f>
        <v>36.9</v>
      </c>
      <c r="B23" s="37">
        <v>73</v>
      </c>
      <c r="C23" s="38">
        <f>'Hotel 2a'!C23</f>
        <v>12</v>
      </c>
      <c r="E23" s="36">
        <f>'Hotel 2a'!E23</f>
        <v>40.6</v>
      </c>
      <c r="F23" s="37">
        <f>'Hotel 2a'!F23</f>
        <v>48</v>
      </c>
      <c r="G23" s="38">
        <f>'Hotel 2a'!G23</f>
        <v>21</v>
      </c>
    </row>
    <row r="24" spans="1:7" x14ac:dyDescent="0.35">
      <c r="A24" s="36">
        <f>'Hotel 2a'!A24</f>
        <v>39.299999999999997</v>
      </c>
      <c r="B24" s="37">
        <v>76</v>
      </c>
      <c r="C24" s="38">
        <v>2</v>
      </c>
      <c r="E24" s="36"/>
      <c r="F24" s="37"/>
      <c r="G24" s="38"/>
    </row>
    <row r="25" spans="1:7" x14ac:dyDescent="0.35">
      <c r="A25" s="39">
        <f>'Hotel 2a'!A25</f>
        <v>38.799999999999997</v>
      </c>
      <c r="B25" s="40">
        <f>'Hotel 2a'!B25</f>
        <v>67</v>
      </c>
      <c r="C25" s="41">
        <f>'Hotel 2a'!C25</f>
        <v>13</v>
      </c>
      <c r="E25" s="39"/>
      <c r="F25" s="40"/>
      <c r="G25" s="41"/>
    </row>
    <row r="27" spans="1:7" x14ac:dyDescent="0.35">
      <c r="A27" s="33">
        <f>AVERAGE(A6:A25)</f>
        <v>37.289999999999992</v>
      </c>
      <c r="B27" s="34">
        <f>AVERAGE(B6:B25)</f>
        <v>74.5</v>
      </c>
      <c r="C27" s="35">
        <f>AVERAGE(C6:C25)</f>
        <v>15.55</v>
      </c>
      <c r="D27" s="32" t="s">
        <v>48</v>
      </c>
      <c r="E27" s="33">
        <f>AVERAGE(E6:E25)</f>
        <v>39.444444444444443</v>
      </c>
      <c r="F27" s="34">
        <f>AVERAGE(F6:F25)</f>
        <v>62.277777777777779</v>
      </c>
      <c r="G27" s="35">
        <f>AVERAGE(G6:G25)</f>
        <v>20.111111111111111</v>
      </c>
    </row>
    <row r="28" spans="1:7" x14ac:dyDescent="0.35">
      <c r="A28" s="39">
        <f>VAR(A6:A25)</f>
        <v>1.0419999999999989</v>
      </c>
      <c r="B28" s="40">
        <f>VAR(B6:B25)</f>
        <v>59.94736842105263</v>
      </c>
      <c r="C28" s="41">
        <f>VAR(C6:C25)</f>
        <v>89.102631578947353</v>
      </c>
      <c r="D28" s="32" t="s">
        <v>107</v>
      </c>
      <c r="E28" s="39">
        <f>VAR(E6:E25)</f>
        <v>1.4967320261437886</v>
      </c>
      <c r="F28" s="40">
        <f>VAR(F6:F25)</f>
        <v>175.15359477124173</v>
      </c>
      <c r="G28" s="41">
        <f>VAR(G6:G25)</f>
        <v>24.457516339869258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6"/>
  <dimension ref="A1:AK25"/>
  <sheetViews>
    <sheetView workbookViewId="0"/>
  </sheetViews>
  <sheetFormatPr defaultRowHeight="14.5" x14ac:dyDescent="0.35"/>
  <cols>
    <col min="24" max="24" width="11.26953125" customWidth="1"/>
  </cols>
  <sheetData>
    <row r="1" spans="1:37" x14ac:dyDescent="0.35">
      <c r="A1" s="42" t="s">
        <v>566</v>
      </c>
    </row>
    <row r="3" spans="1:37" ht="15" thickBot="1" x14ac:dyDescent="0.4">
      <c r="A3" s="32" t="s">
        <v>41</v>
      </c>
      <c r="B3" s="32" t="s">
        <v>538</v>
      </c>
      <c r="C3" s="32" t="s">
        <v>539</v>
      </c>
      <c r="D3" s="32" t="s">
        <v>540</v>
      </c>
      <c r="E3" s="32" t="s">
        <v>541</v>
      </c>
      <c r="G3" s="32" t="str">
        <f t="shared" ref="G3:G18" si="0">A3</f>
        <v>Subject</v>
      </c>
      <c r="H3" s="32" t="s">
        <v>548</v>
      </c>
      <c r="I3" s="32" t="s">
        <v>549</v>
      </c>
      <c r="J3" s="32" t="s">
        <v>550</v>
      </c>
      <c r="L3" s="32" t="s">
        <v>551</v>
      </c>
      <c r="N3" t="s">
        <v>536</v>
      </c>
      <c r="Q3" t="s">
        <v>562</v>
      </c>
      <c r="T3" t="s">
        <v>536</v>
      </c>
      <c r="X3" t="s">
        <v>174</v>
      </c>
      <c r="AE3" t="s">
        <v>183</v>
      </c>
      <c r="AI3" t="s">
        <v>175</v>
      </c>
      <c r="AJ3">
        <v>0.05</v>
      </c>
    </row>
    <row r="4" spans="1:37" ht="15" thickTop="1" x14ac:dyDescent="0.35">
      <c r="A4" s="32">
        <v>1</v>
      </c>
      <c r="B4" s="211">
        <v>16</v>
      </c>
      <c r="C4" s="212">
        <v>22</v>
      </c>
      <c r="D4" s="212">
        <v>23</v>
      </c>
      <c r="E4" s="213">
        <v>25</v>
      </c>
      <c r="G4" s="32">
        <f t="shared" si="0"/>
        <v>1</v>
      </c>
      <c r="H4" s="219">
        <f t="shared" ref="H4:H18" si="1">C4-B4</f>
        <v>6</v>
      </c>
      <c r="I4" s="220">
        <f t="shared" ref="I4:I18" si="2">D4-C4</f>
        <v>1</v>
      </c>
      <c r="J4" s="221">
        <f t="shared" ref="J4:J18" si="3">E4-D4</f>
        <v>2</v>
      </c>
      <c r="L4" s="207">
        <v>0</v>
      </c>
      <c r="N4" t="s">
        <v>552</v>
      </c>
      <c r="Q4" t="s">
        <v>563</v>
      </c>
      <c r="T4" t="s">
        <v>553</v>
      </c>
      <c r="AE4" s="94" t="s">
        <v>184</v>
      </c>
      <c r="AF4" s="94" t="s">
        <v>179</v>
      </c>
      <c r="AG4" s="94" t="s">
        <v>62</v>
      </c>
      <c r="AH4" s="94" t="s">
        <v>185</v>
      </c>
      <c r="AI4" s="94" t="s">
        <v>54</v>
      </c>
      <c r="AJ4" s="94" t="s">
        <v>186</v>
      </c>
      <c r="AK4" s="94" t="s">
        <v>544</v>
      </c>
    </row>
    <row r="5" spans="1:37" x14ac:dyDescent="0.35">
      <c r="A5" s="32">
        <f>A4+1</f>
        <v>2</v>
      </c>
      <c r="B5" s="214">
        <v>12</v>
      </c>
      <c r="C5" s="73">
        <v>18</v>
      </c>
      <c r="D5" s="73">
        <v>24</v>
      </c>
      <c r="E5" s="215">
        <v>29</v>
      </c>
      <c r="G5" s="32">
        <f t="shared" si="0"/>
        <v>2</v>
      </c>
      <c r="H5" s="66">
        <f t="shared" si="1"/>
        <v>6</v>
      </c>
      <c r="I5" s="56">
        <f t="shared" si="2"/>
        <v>6</v>
      </c>
      <c r="J5" s="67">
        <f t="shared" si="3"/>
        <v>5</v>
      </c>
      <c r="L5" s="49">
        <v>0</v>
      </c>
      <c r="X5" t="str">
        <f>A3</f>
        <v>Subject</v>
      </c>
      <c r="Y5" t="str">
        <f>B3</f>
        <v>Before</v>
      </c>
      <c r="Z5" t="str">
        <f>C3</f>
        <v>1 week</v>
      </c>
      <c r="AA5" t="str">
        <f>D3</f>
        <v>2 weeks</v>
      </c>
      <c r="AB5" t="str">
        <f>E3</f>
        <v>3 weeks</v>
      </c>
      <c r="AC5" s="32" t="s">
        <v>34</v>
      </c>
      <c r="AE5" t="s">
        <v>543</v>
      </c>
      <c r="AF5">
        <f>(AG6+1)*DEVSQ(AC6:AC20)</f>
        <v>1938.4333333333334</v>
      </c>
      <c r="AG5">
        <f>COUNT(Y6:Y20)-1</f>
        <v>14</v>
      </c>
      <c r="AH5">
        <f>AF5/AG5</f>
        <v>138.4595238095238</v>
      </c>
      <c r="AI5">
        <f>AH5/AH7</f>
        <v>14.520099875156061</v>
      </c>
      <c r="AJ5">
        <f>FDIST(AI5,AG5,AG7)</f>
        <v>8.1670607503918935E-12</v>
      </c>
      <c r="AK5">
        <f>FINV(AJ3,AG5,AG7)</f>
        <v>1.9350088132446253</v>
      </c>
    </row>
    <row r="6" spans="1:37" x14ac:dyDescent="0.35">
      <c r="A6" s="32">
        <f t="shared" ref="A6:A18" si="4">A5+1</f>
        <v>3</v>
      </c>
      <c r="B6" s="214">
        <v>23</v>
      </c>
      <c r="C6" s="73">
        <v>24</v>
      </c>
      <c r="D6" s="73">
        <v>26</v>
      </c>
      <c r="E6" s="215">
        <v>27</v>
      </c>
      <c r="G6" s="32">
        <f t="shared" si="0"/>
        <v>3</v>
      </c>
      <c r="H6" s="66">
        <f t="shared" si="1"/>
        <v>1</v>
      </c>
      <c r="I6" s="56">
        <f t="shared" si="2"/>
        <v>2</v>
      </c>
      <c r="J6" s="67">
        <f t="shared" si="3"/>
        <v>1</v>
      </c>
      <c r="L6" s="52">
        <v>0</v>
      </c>
      <c r="N6" t="e">
        <f t="array" aca="1" ref="N6:O10" ca="1">Hotelling(H4:J18,L4:L6, 0,TRUE)</f>
        <v>#NAME?</v>
      </c>
      <c r="O6" s="190" t="e">
        <f ca="1"/>
        <v>#NAME?</v>
      </c>
      <c r="Q6" t="e">
        <f t="array" aca="1" ref="Q6:R10" ca="1">T2_RepeatedMeasures(B4:E18,TRUE)</f>
        <v>#NAME?</v>
      </c>
      <c r="R6" s="207" t="e">
        <f ca="1"/>
        <v>#NAME?</v>
      </c>
      <c r="T6" t="e">
        <f t="array" aca="1" ref="T6:U10" ca="1">T2_RepeatedMeasures(B4:E18,TRUE)</f>
        <v>#NAME?</v>
      </c>
      <c r="U6" s="190" t="e">
        <f ca="1"/>
        <v>#NAME?</v>
      </c>
      <c r="X6">
        <f t="shared" ref="X6:X20" si="5">A4</f>
        <v>1</v>
      </c>
      <c r="Y6" s="187">
        <f t="shared" ref="Y6:Y20" si="6">B4</f>
        <v>16</v>
      </c>
      <c r="Z6" s="232">
        <f t="shared" ref="Z6:Z20" si="7">C4</f>
        <v>22</v>
      </c>
      <c r="AA6" s="232">
        <f t="shared" ref="AA6:AA20" si="8">D4</f>
        <v>23</v>
      </c>
      <c r="AB6" s="82">
        <f t="shared" ref="AB6:AB20" si="9">E4</f>
        <v>25</v>
      </c>
      <c r="AC6">
        <f>AVERAGE(Y6:AB6)</f>
        <v>21.5</v>
      </c>
      <c r="AE6" t="s">
        <v>176</v>
      </c>
      <c r="AF6">
        <f>(AG5+1)*DEVSQ(Y21:AB21)</f>
        <v>833.25000000000023</v>
      </c>
      <c r="AG6">
        <f>COUNT(Y6:AB6)-1</f>
        <v>3</v>
      </c>
      <c r="AH6">
        <f>AF6/AG6</f>
        <v>277.75000000000006</v>
      </c>
      <c r="AI6">
        <f>AH6/AH7</f>
        <v>29.127340823970059</v>
      </c>
      <c r="AJ6">
        <f>FDIST(AI6,AG6,AG7)</f>
        <v>2.3962181631669464E-10</v>
      </c>
      <c r="AK6">
        <f>FINV(AJ3,AG6,AG7)</f>
        <v>2.8270487120861261</v>
      </c>
    </row>
    <row r="7" spans="1:37" x14ac:dyDescent="0.35">
      <c r="A7" s="32">
        <f t="shared" si="4"/>
        <v>4</v>
      </c>
      <c r="B7" s="214">
        <v>8</v>
      </c>
      <c r="C7" s="73">
        <v>20</v>
      </c>
      <c r="D7" s="73">
        <v>28</v>
      </c>
      <c r="E7" s="215">
        <v>30</v>
      </c>
      <c r="G7" s="32">
        <f t="shared" si="0"/>
        <v>4</v>
      </c>
      <c r="H7" s="66">
        <f t="shared" si="1"/>
        <v>12</v>
      </c>
      <c r="I7" s="56">
        <f t="shared" si="2"/>
        <v>8</v>
      </c>
      <c r="J7" s="67">
        <f t="shared" si="3"/>
        <v>2</v>
      </c>
      <c r="N7" t="e">
        <f ca="1"/>
        <v>#NAME?</v>
      </c>
      <c r="O7" s="98" t="e">
        <f ca="1"/>
        <v>#NAME?</v>
      </c>
      <c r="Q7" t="e">
        <f ca="1"/>
        <v>#NAME?</v>
      </c>
      <c r="R7" s="49" t="e">
        <f ca="1"/>
        <v>#NAME?</v>
      </c>
      <c r="T7" t="e">
        <f ca="1"/>
        <v>#NAME?</v>
      </c>
      <c r="U7" s="98" t="e">
        <f ca="1"/>
        <v>#NAME?</v>
      </c>
      <c r="X7">
        <f t="shared" si="5"/>
        <v>2</v>
      </c>
      <c r="Y7" s="83">
        <f t="shared" si="6"/>
        <v>12</v>
      </c>
      <c r="Z7" s="37">
        <f t="shared" si="7"/>
        <v>18</v>
      </c>
      <c r="AA7" s="37">
        <f t="shared" si="8"/>
        <v>24</v>
      </c>
      <c r="AB7" s="84">
        <f t="shared" si="9"/>
        <v>29</v>
      </c>
      <c r="AC7">
        <f t="shared" ref="AC7:AC20" si="10">AVERAGE(Y7:AB7)</f>
        <v>20.75</v>
      </c>
      <c r="AE7" t="s">
        <v>542</v>
      </c>
      <c r="AF7">
        <f>AF8-AF5-AF6</f>
        <v>400.49999999999977</v>
      </c>
      <c r="AG7">
        <f>AG8-AG5-AG6</f>
        <v>42</v>
      </c>
      <c r="AH7">
        <f>AF7/AG7</f>
        <v>9.5357142857142811</v>
      </c>
    </row>
    <row r="8" spans="1:37" x14ac:dyDescent="0.35">
      <c r="A8" s="32">
        <f t="shared" si="4"/>
        <v>5</v>
      </c>
      <c r="B8" s="214">
        <v>3</v>
      </c>
      <c r="C8" s="73">
        <v>12</v>
      </c>
      <c r="D8" s="73">
        <v>13</v>
      </c>
      <c r="E8" s="215">
        <v>17</v>
      </c>
      <c r="G8" s="32">
        <f t="shared" si="0"/>
        <v>5</v>
      </c>
      <c r="H8" s="66">
        <f t="shared" si="1"/>
        <v>9</v>
      </c>
      <c r="I8" s="56">
        <f t="shared" si="2"/>
        <v>1</v>
      </c>
      <c r="J8" s="67">
        <f t="shared" si="3"/>
        <v>4</v>
      </c>
      <c r="N8" t="e">
        <f ca="1"/>
        <v>#NAME?</v>
      </c>
      <c r="O8" s="98" t="e">
        <f ca="1"/>
        <v>#NAME?</v>
      </c>
      <c r="Q8" t="e">
        <f ca="1"/>
        <v>#NAME?</v>
      </c>
      <c r="R8" s="49" t="e">
        <f ca="1"/>
        <v>#NAME?</v>
      </c>
      <c r="T8" t="e">
        <f ca="1"/>
        <v>#NAME?</v>
      </c>
      <c r="U8" s="98" t="e">
        <f ca="1"/>
        <v>#NAME?</v>
      </c>
      <c r="X8">
        <f t="shared" si="5"/>
        <v>3</v>
      </c>
      <c r="Y8" s="83">
        <f t="shared" si="6"/>
        <v>23</v>
      </c>
      <c r="Z8" s="37">
        <f t="shared" si="7"/>
        <v>24</v>
      </c>
      <c r="AA8" s="37">
        <f t="shared" si="8"/>
        <v>26</v>
      </c>
      <c r="AB8" s="84">
        <f t="shared" si="9"/>
        <v>27</v>
      </c>
      <c r="AC8">
        <f t="shared" si="10"/>
        <v>25</v>
      </c>
      <c r="AE8" t="s">
        <v>168</v>
      </c>
      <c r="AF8">
        <f>DEVSQ(Y6:AB20)</f>
        <v>3172.1833333333334</v>
      </c>
      <c r="AG8">
        <f>(AG5+1)*(AG6+1)-1</f>
        <v>59</v>
      </c>
    </row>
    <row r="9" spans="1:37" x14ac:dyDescent="0.35">
      <c r="A9" s="32">
        <f t="shared" si="4"/>
        <v>6</v>
      </c>
      <c r="B9" s="214">
        <v>5</v>
      </c>
      <c r="C9" s="73">
        <v>13</v>
      </c>
      <c r="D9" s="73">
        <v>11</v>
      </c>
      <c r="E9" s="215">
        <v>15</v>
      </c>
      <c r="G9" s="32">
        <f t="shared" si="0"/>
        <v>6</v>
      </c>
      <c r="H9" s="66">
        <f t="shared" si="1"/>
        <v>8</v>
      </c>
      <c r="I9" s="56">
        <f t="shared" si="2"/>
        <v>-2</v>
      </c>
      <c r="J9" s="67">
        <f t="shared" si="3"/>
        <v>4</v>
      </c>
      <c r="N9" t="e">
        <f ca="1"/>
        <v>#NAME?</v>
      </c>
      <c r="O9" s="98" t="e">
        <f ca="1"/>
        <v>#NAME?</v>
      </c>
      <c r="Q9" t="e">
        <f ca="1"/>
        <v>#NAME?</v>
      </c>
      <c r="R9" s="49" t="e">
        <f ca="1"/>
        <v>#NAME?</v>
      </c>
      <c r="T9" t="e">
        <f ca="1"/>
        <v>#NAME?</v>
      </c>
      <c r="U9" s="98" t="e">
        <f ca="1"/>
        <v>#NAME?</v>
      </c>
      <c r="X9">
        <f t="shared" si="5"/>
        <v>4</v>
      </c>
      <c r="Y9" s="83">
        <f t="shared" si="6"/>
        <v>8</v>
      </c>
      <c r="Z9" s="37">
        <f t="shared" si="7"/>
        <v>20</v>
      </c>
      <c r="AA9" s="37">
        <f t="shared" si="8"/>
        <v>28</v>
      </c>
      <c r="AB9" s="84">
        <f t="shared" si="9"/>
        <v>30</v>
      </c>
      <c r="AC9">
        <f t="shared" si="10"/>
        <v>21.5</v>
      </c>
      <c r="AE9" s="202"/>
      <c r="AF9" s="202"/>
      <c r="AG9" s="202"/>
      <c r="AH9" s="202"/>
      <c r="AI9" s="202"/>
      <c r="AJ9" s="202"/>
      <c r="AK9" s="202"/>
    </row>
    <row r="10" spans="1:37" ht="15" thickBot="1" x14ac:dyDescent="0.4">
      <c r="A10" s="32">
        <f t="shared" si="4"/>
        <v>7</v>
      </c>
      <c r="B10" s="214">
        <v>19</v>
      </c>
      <c r="C10" s="73">
        <v>22</v>
      </c>
      <c r="D10" s="73">
        <v>25</v>
      </c>
      <c r="E10" s="215">
        <v>26</v>
      </c>
      <c r="G10" s="32">
        <f t="shared" si="0"/>
        <v>7</v>
      </c>
      <c r="H10" s="66">
        <f t="shared" si="1"/>
        <v>3</v>
      </c>
      <c r="I10" s="56">
        <f t="shared" si="2"/>
        <v>3</v>
      </c>
      <c r="J10" s="67">
        <f t="shared" si="3"/>
        <v>1</v>
      </c>
      <c r="N10" t="e">
        <f ca="1"/>
        <v>#NAME?</v>
      </c>
      <c r="O10" s="99" t="e">
        <f ca="1"/>
        <v>#NAME?</v>
      </c>
      <c r="Q10" t="e">
        <f ca="1"/>
        <v>#NAME?</v>
      </c>
      <c r="R10" s="52" t="e">
        <f ca="1"/>
        <v>#NAME?</v>
      </c>
      <c r="T10" t="e">
        <f ca="1"/>
        <v>#NAME?</v>
      </c>
      <c r="U10" s="99" t="e">
        <f ca="1"/>
        <v>#NAME?</v>
      </c>
      <c r="X10">
        <f t="shared" si="5"/>
        <v>5</v>
      </c>
      <c r="Y10" s="83">
        <f t="shared" si="6"/>
        <v>3</v>
      </c>
      <c r="Z10" s="37">
        <f t="shared" si="7"/>
        <v>12</v>
      </c>
      <c r="AA10" s="37">
        <f t="shared" si="8"/>
        <v>13</v>
      </c>
      <c r="AB10" s="84">
        <f t="shared" si="9"/>
        <v>17</v>
      </c>
      <c r="AC10">
        <f t="shared" si="10"/>
        <v>11.25</v>
      </c>
      <c r="AE10" t="s">
        <v>545</v>
      </c>
      <c r="AI10" t="s">
        <v>175</v>
      </c>
      <c r="AJ10">
        <v>0.05</v>
      </c>
    </row>
    <row r="11" spans="1:37" ht="15" thickTop="1" x14ac:dyDescent="0.35">
      <c r="A11" s="32">
        <f t="shared" si="4"/>
        <v>8</v>
      </c>
      <c r="B11" s="214">
        <v>22</v>
      </c>
      <c r="C11" s="73">
        <v>22</v>
      </c>
      <c r="D11" s="73">
        <v>23</v>
      </c>
      <c r="E11" s="215">
        <v>26</v>
      </c>
      <c r="G11" s="32">
        <f t="shared" si="0"/>
        <v>8</v>
      </c>
      <c r="H11" s="66">
        <f t="shared" si="1"/>
        <v>0</v>
      </c>
      <c r="I11" s="56">
        <f t="shared" si="2"/>
        <v>1</v>
      </c>
      <c r="J11" s="67">
        <f t="shared" si="3"/>
        <v>3</v>
      </c>
      <c r="X11">
        <f t="shared" si="5"/>
        <v>6</v>
      </c>
      <c r="Y11" s="83">
        <f t="shared" si="6"/>
        <v>5</v>
      </c>
      <c r="Z11" s="37">
        <f t="shared" si="7"/>
        <v>13</v>
      </c>
      <c r="AA11" s="37">
        <f t="shared" si="8"/>
        <v>11</v>
      </c>
      <c r="AB11" s="84">
        <f t="shared" si="9"/>
        <v>15</v>
      </c>
      <c r="AC11">
        <f t="shared" si="10"/>
        <v>11</v>
      </c>
      <c r="AE11" s="94" t="s">
        <v>184</v>
      </c>
      <c r="AF11" s="94" t="s">
        <v>179</v>
      </c>
      <c r="AG11" s="94" t="s">
        <v>62</v>
      </c>
      <c r="AH11" s="94" t="s">
        <v>185</v>
      </c>
      <c r="AI11" s="94" t="s">
        <v>54</v>
      </c>
      <c r="AJ11" s="94" t="s">
        <v>186</v>
      </c>
      <c r="AK11" s="94" t="s">
        <v>544</v>
      </c>
    </row>
    <row r="12" spans="1:37" x14ac:dyDescent="0.35">
      <c r="A12" s="32">
        <f t="shared" si="4"/>
        <v>9</v>
      </c>
      <c r="B12" s="214">
        <v>12</v>
      </c>
      <c r="C12" s="73">
        <v>20</v>
      </c>
      <c r="D12" s="73">
        <v>22</v>
      </c>
      <c r="E12" s="215">
        <v>24</v>
      </c>
      <c r="G12" s="32">
        <f t="shared" si="0"/>
        <v>9</v>
      </c>
      <c r="H12" s="66">
        <f t="shared" si="1"/>
        <v>8</v>
      </c>
      <c r="I12" s="56">
        <f t="shared" si="2"/>
        <v>2</v>
      </c>
      <c r="J12" s="67">
        <f t="shared" si="3"/>
        <v>2</v>
      </c>
      <c r="X12">
        <f t="shared" si="5"/>
        <v>7</v>
      </c>
      <c r="Y12" s="83">
        <f t="shared" si="6"/>
        <v>19</v>
      </c>
      <c r="Z12" s="37">
        <f t="shared" si="7"/>
        <v>22</v>
      </c>
      <c r="AA12" s="37">
        <f t="shared" si="8"/>
        <v>25</v>
      </c>
      <c r="AB12" s="84">
        <f t="shared" si="9"/>
        <v>26</v>
      </c>
      <c r="AC12">
        <f t="shared" si="10"/>
        <v>23</v>
      </c>
      <c r="AE12" t="s">
        <v>176</v>
      </c>
      <c r="AF12">
        <f>AF6</f>
        <v>833.25000000000023</v>
      </c>
      <c r="AG12" t="e">
        <f ca="1">AG6*Y24</f>
        <v>#NAME?</v>
      </c>
      <c r="AH12" t="e">
        <f ca="1">AF12/AG12</f>
        <v>#NAME?</v>
      </c>
      <c r="AI12" t="e">
        <f ca="1">AH12/AH13</f>
        <v>#NAME?</v>
      </c>
      <c r="AJ12" t="e">
        <f ca="1">FDIST(AI12,AG12,AG13)</f>
        <v>#NAME?</v>
      </c>
      <c r="AK12" t="e">
        <f ca="1">FINV(AJ10,AG12,AG13)</f>
        <v>#NAME?</v>
      </c>
    </row>
    <row r="13" spans="1:37" x14ac:dyDescent="0.35">
      <c r="A13" s="32">
        <f t="shared" si="4"/>
        <v>10</v>
      </c>
      <c r="B13" s="214">
        <v>16</v>
      </c>
      <c r="C13" s="73">
        <v>22</v>
      </c>
      <c r="D13" s="73">
        <v>26</v>
      </c>
      <c r="E13" s="215">
        <v>29</v>
      </c>
      <c r="G13" s="32">
        <f t="shared" si="0"/>
        <v>10</v>
      </c>
      <c r="H13" s="66">
        <f t="shared" si="1"/>
        <v>6</v>
      </c>
      <c r="I13" s="56">
        <f t="shared" si="2"/>
        <v>4</v>
      </c>
      <c r="J13" s="67">
        <f t="shared" si="3"/>
        <v>3</v>
      </c>
      <c r="X13">
        <f t="shared" si="5"/>
        <v>8</v>
      </c>
      <c r="Y13" s="83">
        <f t="shared" si="6"/>
        <v>22</v>
      </c>
      <c r="Z13" s="37">
        <f t="shared" si="7"/>
        <v>22</v>
      </c>
      <c r="AA13" s="37">
        <f t="shared" si="8"/>
        <v>23</v>
      </c>
      <c r="AB13" s="84">
        <f t="shared" si="9"/>
        <v>26</v>
      </c>
      <c r="AC13">
        <f t="shared" si="10"/>
        <v>23.25</v>
      </c>
      <c r="AE13" t="s">
        <v>542</v>
      </c>
      <c r="AF13">
        <f>AF7</f>
        <v>400.49999999999977</v>
      </c>
      <c r="AG13" t="e">
        <f ca="1">AG7*Y24</f>
        <v>#NAME?</v>
      </c>
      <c r="AH13" t="e">
        <f ca="1">AF13/AG13</f>
        <v>#NAME?</v>
      </c>
    </row>
    <row r="14" spans="1:37" x14ac:dyDescent="0.35">
      <c r="A14" s="32">
        <f t="shared" si="4"/>
        <v>11</v>
      </c>
      <c r="B14" s="214">
        <v>14</v>
      </c>
      <c r="C14" s="73">
        <v>25</v>
      </c>
      <c r="D14" s="73">
        <v>18</v>
      </c>
      <c r="E14" s="215">
        <v>21</v>
      </c>
      <c r="G14" s="32">
        <f t="shared" si="0"/>
        <v>11</v>
      </c>
      <c r="H14" s="66">
        <f t="shared" si="1"/>
        <v>11</v>
      </c>
      <c r="I14" s="56">
        <f t="shared" si="2"/>
        <v>-7</v>
      </c>
      <c r="J14" s="67">
        <f t="shared" si="3"/>
        <v>3</v>
      </c>
      <c r="X14">
        <f t="shared" si="5"/>
        <v>9</v>
      </c>
      <c r="Y14" s="83">
        <f t="shared" si="6"/>
        <v>12</v>
      </c>
      <c r="Z14" s="37">
        <f t="shared" si="7"/>
        <v>20</v>
      </c>
      <c r="AA14" s="37">
        <f t="shared" si="8"/>
        <v>22</v>
      </c>
      <c r="AB14" s="84">
        <f t="shared" si="9"/>
        <v>24</v>
      </c>
      <c r="AC14">
        <f t="shared" si="10"/>
        <v>19.5</v>
      </c>
      <c r="AE14" s="202"/>
      <c r="AF14" s="202"/>
      <c r="AG14" s="202"/>
      <c r="AH14" s="202"/>
      <c r="AI14" s="202"/>
      <c r="AJ14" s="202"/>
      <c r="AK14" s="202"/>
    </row>
    <row r="15" spans="1:37" ht="15" thickBot="1" x14ac:dyDescent="0.4">
      <c r="A15" s="32">
        <f t="shared" si="4"/>
        <v>12</v>
      </c>
      <c r="B15" s="214">
        <v>24</v>
      </c>
      <c r="C15" s="73">
        <v>26</v>
      </c>
      <c r="D15" s="73">
        <v>21</v>
      </c>
      <c r="E15" s="215">
        <v>23</v>
      </c>
      <c r="G15" s="32">
        <f t="shared" si="0"/>
        <v>12</v>
      </c>
      <c r="H15" s="66">
        <f t="shared" si="1"/>
        <v>2</v>
      </c>
      <c r="I15" s="56">
        <f t="shared" si="2"/>
        <v>-5</v>
      </c>
      <c r="J15" s="67">
        <f t="shared" si="3"/>
        <v>2</v>
      </c>
      <c r="X15">
        <f t="shared" si="5"/>
        <v>10</v>
      </c>
      <c r="Y15" s="83">
        <f t="shared" si="6"/>
        <v>16</v>
      </c>
      <c r="Z15" s="37">
        <f t="shared" si="7"/>
        <v>22</v>
      </c>
      <c r="AA15" s="37">
        <f t="shared" si="8"/>
        <v>26</v>
      </c>
      <c r="AB15" s="84">
        <f t="shared" si="9"/>
        <v>29</v>
      </c>
      <c r="AC15">
        <f t="shared" si="10"/>
        <v>23.25</v>
      </c>
      <c r="AE15" t="s">
        <v>546</v>
      </c>
      <c r="AI15" t="s">
        <v>175</v>
      </c>
      <c r="AJ15">
        <v>0.05</v>
      </c>
    </row>
    <row r="16" spans="1:37" ht="15" thickTop="1" x14ac:dyDescent="0.35">
      <c r="A16" s="32">
        <f t="shared" si="4"/>
        <v>13</v>
      </c>
      <c r="B16" s="214">
        <v>9</v>
      </c>
      <c r="C16" s="73">
        <v>12</v>
      </c>
      <c r="D16" s="73">
        <v>20</v>
      </c>
      <c r="E16" s="215">
        <v>23</v>
      </c>
      <c r="G16" s="32">
        <f t="shared" si="0"/>
        <v>13</v>
      </c>
      <c r="H16" s="66">
        <f t="shared" si="1"/>
        <v>3</v>
      </c>
      <c r="I16" s="56">
        <f t="shared" si="2"/>
        <v>8</v>
      </c>
      <c r="J16" s="67">
        <f t="shared" si="3"/>
        <v>3</v>
      </c>
      <c r="X16">
        <f t="shared" si="5"/>
        <v>11</v>
      </c>
      <c r="Y16" s="83">
        <f t="shared" si="6"/>
        <v>14</v>
      </c>
      <c r="Z16" s="37">
        <f t="shared" si="7"/>
        <v>25</v>
      </c>
      <c r="AA16" s="37">
        <f t="shared" si="8"/>
        <v>18</v>
      </c>
      <c r="AB16" s="84">
        <f t="shared" si="9"/>
        <v>21</v>
      </c>
      <c r="AC16">
        <f t="shared" si="10"/>
        <v>19.5</v>
      </c>
      <c r="AE16" s="94" t="s">
        <v>184</v>
      </c>
      <c r="AF16" s="94" t="s">
        <v>179</v>
      </c>
      <c r="AG16" s="94" t="s">
        <v>62</v>
      </c>
      <c r="AH16" s="94" t="s">
        <v>185</v>
      </c>
      <c r="AI16" s="94" t="s">
        <v>54</v>
      </c>
      <c r="AJ16" s="94" t="s">
        <v>186</v>
      </c>
      <c r="AK16" s="94" t="s">
        <v>544</v>
      </c>
    </row>
    <row r="17" spans="1:37" x14ac:dyDescent="0.35">
      <c r="A17" s="32">
        <f t="shared" si="4"/>
        <v>14</v>
      </c>
      <c r="B17" s="214">
        <v>3</v>
      </c>
      <c r="C17" s="73">
        <v>9</v>
      </c>
      <c r="D17" s="73">
        <v>13</v>
      </c>
      <c r="E17" s="215">
        <v>16</v>
      </c>
      <c r="G17" s="32">
        <f t="shared" si="0"/>
        <v>14</v>
      </c>
      <c r="H17" s="66">
        <f t="shared" si="1"/>
        <v>6</v>
      </c>
      <c r="I17" s="56">
        <f t="shared" si="2"/>
        <v>4</v>
      </c>
      <c r="J17" s="67">
        <f t="shared" si="3"/>
        <v>3</v>
      </c>
      <c r="X17">
        <f t="shared" si="5"/>
        <v>12</v>
      </c>
      <c r="Y17" s="83">
        <f t="shared" si="6"/>
        <v>24</v>
      </c>
      <c r="Z17" s="37">
        <f t="shared" si="7"/>
        <v>26</v>
      </c>
      <c r="AA17" s="37">
        <f t="shared" si="8"/>
        <v>21</v>
      </c>
      <c r="AB17" s="84">
        <f t="shared" si="9"/>
        <v>23</v>
      </c>
      <c r="AC17">
        <f t="shared" si="10"/>
        <v>23.5</v>
      </c>
      <c r="AE17" t="s">
        <v>176</v>
      </c>
      <c r="AF17">
        <f>AF6</f>
        <v>833.25000000000023</v>
      </c>
      <c r="AG17" t="e">
        <f ca="1">AG6*Y25</f>
        <v>#NAME?</v>
      </c>
      <c r="AH17" t="e">
        <f ca="1">AF17/AG17</f>
        <v>#NAME?</v>
      </c>
      <c r="AI17" t="e">
        <f ca="1">AH17/AH18</f>
        <v>#NAME?</v>
      </c>
      <c r="AJ17" t="e">
        <f ca="1">FDIST(AI17,AG17,AG18)</f>
        <v>#NAME?</v>
      </c>
      <c r="AK17" t="e">
        <f ca="1">FINV(AJ15,AG17,AG18)</f>
        <v>#NAME?</v>
      </c>
    </row>
    <row r="18" spans="1:37" x14ac:dyDescent="0.35">
      <c r="A18" s="32">
        <f t="shared" si="4"/>
        <v>15</v>
      </c>
      <c r="B18" s="216">
        <v>2</v>
      </c>
      <c r="C18" s="217">
        <v>8</v>
      </c>
      <c r="D18" s="217">
        <v>6</v>
      </c>
      <c r="E18" s="218">
        <v>10</v>
      </c>
      <c r="G18" s="32">
        <f t="shared" si="0"/>
        <v>15</v>
      </c>
      <c r="H18" s="57">
        <f t="shared" si="1"/>
        <v>6</v>
      </c>
      <c r="I18" s="58">
        <f t="shared" si="2"/>
        <v>-2</v>
      </c>
      <c r="J18" s="59">
        <f t="shared" si="3"/>
        <v>4</v>
      </c>
      <c r="X18">
        <f t="shared" si="5"/>
        <v>13</v>
      </c>
      <c r="Y18" s="83">
        <f t="shared" si="6"/>
        <v>9</v>
      </c>
      <c r="Z18" s="37">
        <f t="shared" si="7"/>
        <v>12</v>
      </c>
      <c r="AA18" s="37">
        <f t="shared" si="8"/>
        <v>20</v>
      </c>
      <c r="AB18" s="84">
        <f t="shared" si="9"/>
        <v>23</v>
      </c>
      <c r="AC18">
        <f t="shared" si="10"/>
        <v>16</v>
      </c>
      <c r="AE18" t="s">
        <v>542</v>
      </c>
      <c r="AF18">
        <f>AF7</f>
        <v>400.49999999999977</v>
      </c>
      <c r="AG18" t="e">
        <f ca="1">AG7*Y25</f>
        <v>#NAME?</v>
      </c>
      <c r="AH18" t="e">
        <f ca="1">AF18/AG18</f>
        <v>#NAME?</v>
      </c>
    </row>
    <row r="19" spans="1:37" x14ac:dyDescent="0.35">
      <c r="X19">
        <f t="shared" si="5"/>
        <v>14</v>
      </c>
      <c r="Y19" s="83">
        <f t="shared" si="6"/>
        <v>3</v>
      </c>
      <c r="Z19" s="37">
        <f t="shared" si="7"/>
        <v>9</v>
      </c>
      <c r="AA19" s="37">
        <f t="shared" si="8"/>
        <v>13</v>
      </c>
      <c r="AB19" s="84">
        <f t="shared" si="9"/>
        <v>16</v>
      </c>
      <c r="AC19">
        <f t="shared" si="10"/>
        <v>10.25</v>
      </c>
      <c r="AE19" s="202"/>
      <c r="AF19" s="202"/>
      <c r="AG19" s="202"/>
      <c r="AH19" s="202"/>
      <c r="AI19" s="202"/>
      <c r="AJ19" s="202"/>
      <c r="AK19" s="202"/>
    </row>
    <row r="20" spans="1:37" x14ac:dyDescent="0.35">
      <c r="X20">
        <f t="shared" si="5"/>
        <v>15</v>
      </c>
      <c r="Y20" s="85">
        <f t="shared" si="6"/>
        <v>2</v>
      </c>
      <c r="Z20" s="86">
        <f t="shared" si="7"/>
        <v>8</v>
      </c>
      <c r="AA20" s="86">
        <f t="shared" si="8"/>
        <v>6</v>
      </c>
      <c r="AB20" s="87">
        <f t="shared" si="9"/>
        <v>10</v>
      </c>
      <c r="AC20">
        <f t="shared" si="10"/>
        <v>6.5</v>
      </c>
    </row>
    <row r="21" spans="1:37" x14ac:dyDescent="0.35">
      <c r="X21" t="s">
        <v>34</v>
      </c>
      <c r="Y21">
        <f>AVERAGE(Y6:Y20)</f>
        <v>12.533333333333333</v>
      </c>
      <c r="Z21">
        <f>AVERAGE(Z6:Z20)</f>
        <v>18.333333333333332</v>
      </c>
      <c r="AA21">
        <f>AVERAGE(AA6:AA20)</f>
        <v>19.933333333333334</v>
      </c>
      <c r="AB21">
        <f>AVERAGE(AB6:AB20)</f>
        <v>22.733333333333334</v>
      </c>
      <c r="AC21">
        <f>AVERAGE(AC6:AC20)</f>
        <v>18.383333333333333</v>
      </c>
    </row>
    <row r="22" spans="1:37" x14ac:dyDescent="0.35">
      <c r="X22" t="s">
        <v>178</v>
      </c>
      <c r="Y22">
        <f>VAR(Y6:Y20)</f>
        <v>55.838095238095221</v>
      </c>
      <c r="Z22">
        <f>VAR(Z6:Z20)</f>
        <v>35.523809523809504</v>
      </c>
      <c r="AA22">
        <f>VAR(AA6:AA20)</f>
        <v>41.352380952380955</v>
      </c>
      <c r="AB22">
        <f>VAR(AB6:AB20)</f>
        <v>34.352380952380955</v>
      </c>
      <c r="AC22">
        <f>VAR(AC6:AC20)</f>
        <v>34.614880952380972</v>
      </c>
    </row>
    <row r="24" spans="1:37" x14ac:dyDescent="0.35">
      <c r="X24" t="s">
        <v>564</v>
      </c>
      <c r="Y24" s="190" t="e">
        <f ca="1">GGEpsilon(Y6:AB20)</f>
        <v>#NAME?</v>
      </c>
    </row>
    <row r="25" spans="1:37" x14ac:dyDescent="0.35">
      <c r="X25" t="s">
        <v>565</v>
      </c>
      <c r="Y25" s="99" t="e">
        <f ca="1">HFEpsilon(Y6:AB20)</f>
        <v>#NAME?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9"/>
  <dimension ref="A1:BP59"/>
  <sheetViews>
    <sheetView workbookViewId="0"/>
  </sheetViews>
  <sheetFormatPr defaultRowHeight="14.5" x14ac:dyDescent="0.35"/>
  <cols>
    <col min="2" max="6" width="6.54296875" customWidth="1"/>
    <col min="14" max="14" width="14.26953125" customWidth="1"/>
  </cols>
  <sheetData>
    <row r="1" spans="1:68" x14ac:dyDescent="0.35">
      <c r="A1" s="42" t="s">
        <v>547</v>
      </c>
    </row>
    <row r="3" spans="1:68" x14ac:dyDescent="0.35">
      <c r="H3" t="s">
        <v>567</v>
      </c>
      <c r="N3" t="s">
        <v>147</v>
      </c>
      <c r="V3" t="s">
        <v>232</v>
      </c>
      <c r="AA3" t="s">
        <v>233</v>
      </c>
      <c r="AF3" t="s">
        <v>234</v>
      </c>
      <c r="AP3" t="s">
        <v>235</v>
      </c>
      <c r="AX3" t="s">
        <v>108</v>
      </c>
      <c r="BA3" t="s">
        <v>236</v>
      </c>
    </row>
    <row r="4" spans="1:68" ht="15" thickBot="1" x14ac:dyDescent="0.4"/>
    <row r="5" spans="1:68" ht="15" thickTop="1" x14ac:dyDescent="0.35">
      <c r="A5" s="74" t="s">
        <v>554</v>
      </c>
      <c r="B5" s="47" t="s">
        <v>555</v>
      </c>
      <c r="C5" s="47" t="s">
        <v>556</v>
      </c>
      <c r="D5" s="47" t="s">
        <v>557</v>
      </c>
      <c r="E5" s="47" t="s">
        <v>558</v>
      </c>
      <c r="F5" s="47" t="s">
        <v>559</v>
      </c>
      <c r="H5" s="32" t="str">
        <f>A5</f>
        <v>Age</v>
      </c>
      <c r="I5" s="47" t="s">
        <v>568</v>
      </c>
      <c r="J5" s="47" t="s">
        <v>569</v>
      </c>
      <c r="K5" s="47" t="s">
        <v>570</v>
      </c>
      <c r="L5" s="47" t="s">
        <v>571</v>
      </c>
      <c r="N5" s="94"/>
      <c r="O5" s="94" t="s">
        <v>148</v>
      </c>
      <c r="P5" s="94" t="s">
        <v>54</v>
      </c>
      <c r="Q5" s="94" t="s">
        <v>55</v>
      </c>
      <c r="R5" s="94" t="s">
        <v>56</v>
      </c>
      <c r="S5" s="94" t="s">
        <v>65</v>
      </c>
      <c r="T5" s="94" t="s">
        <v>149</v>
      </c>
      <c r="V5" t="s">
        <v>154</v>
      </c>
      <c r="AA5" t="s">
        <v>290</v>
      </c>
      <c r="AF5" t="s">
        <v>173</v>
      </c>
      <c r="AI5" t="str">
        <f>I5</f>
        <v>Diff  1</v>
      </c>
      <c r="AP5" s="32" t="s">
        <v>228</v>
      </c>
      <c r="AQ5" s="32" t="s">
        <v>65</v>
      </c>
      <c r="AS5" t="s">
        <v>227</v>
      </c>
      <c r="AX5" t="s">
        <v>113</v>
      </c>
      <c r="AY5" s="190" t="e">
        <f ca="1">BOXM(H6:L26)</f>
        <v>#NAME?</v>
      </c>
      <c r="BB5" s="32" t="str">
        <f t="array" ref="BB5:BE5">$I$5:$L$5</f>
        <v>Diff  1</v>
      </c>
      <c r="BC5" s="32" t="str">
        <v>Diff  2</v>
      </c>
      <c r="BD5" s="32" t="str">
        <v>Diff  3</v>
      </c>
      <c r="BE5" s="32" t="str">
        <v>Diff  4</v>
      </c>
      <c r="BF5" s="32" t="s">
        <v>100</v>
      </c>
      <c r="BH5" s="32" t="s">
        <v>222</v>
      </c>
      <c r="BJ5" t="s">
        <v>218</v>
      </c>
      <c r="BO5" t="s">
        <v>194</v>
      </c>
      <c r="BP5" s="190" t="e">
        <f ca="1">MDETERM(BJ12:BM15)/MDETERM(BJ6:BM9+BJ12:BM15)</f>
        <v>#NAME?</v>
      </c>
    </row>
    <row r="6" spans="1:68" x14ac:dyDescent="0.35">
      <c r="A6" s="37" t="s">
        <v>287</v>
      </c>
      <c r="B6" s="222">
        <v>250</v>
      </c>
      <c r="C6" s="223">
        <v>278</v>
      </c>
      <c r="D6" s="223">
        <v>442</v>
      </c>
      <c r="E6" s="223">
        <v>368</v>
      </c>
      <c r="F6" s="224">
        <v>456</v>
      </c>
      <c r="H6" s="207" t="str">
        <f t="shared" ref="H6:H26" si="0">A6</f>
        <v>Young</v>
      </c>
      <c r="I6" s="187">
        <f>C6-B6</f>
        <v>28</v>
      </c>
      <c r="J6" s="232">
        <f>D6-C6</f>
        <v>164</v>
      </c>
      <c r="K6" s="232">
        <f>E6-D6</f>
        <v>-74</v>
      </c>
      <c r="L6" s="189">
        <f>F6-E6</f>
        <v>88</v>
      </c>
      <c r="N6" t="s">
        <v>150</v>
      </c>
      <c r="O6" t="e">
        <f ca="1">MANOVA_PillaiTrace(H6:L26)</f>
        <v>#NAME?</v>
      </c>
      <c r="P6" t="e">
        <f ca="1">MANOVA_PillaiF(H6:L26)</f>
        <v>#NAME?</v>
      </c>
      <c r="Q6" t="e">
        <f ca="1">MANOVA_Pillaidf1(H6:L26)</f>
        <v>#NAME?</v>
      </c>
      <c r="R6" t="e">
        <f ca="1">MANOVA_Pillaidf2(H6:L26)</f>
        <v>#NAME?</v>
      </c>
      <c r="S6" t="e">
        <f ca="1">FDIST(P6,Q6,R6)</f>
        <v>#NAME?</v>
      </c>
      <c r="T6" t="e">
        <f ca="1">P6*Q6/(P6*Q6+R6)</f>
        <v>#NAME?</v>
      </c>
      <c r="V6" s="187" t="e">
        <f t="array" aca="1" ref="V6:Y9" ca="1">COVP(I6:L26)*COUNT(I6:I26)</f>
        <v>#NAME?</v>
      </c>
      <c r="W6" s="232" t="e">
        <f ca="1"/>
        <v>#NAME?</v>
      </c>
      <c r="X6" s="232" t="e">
        <f ca="1"/>
        <v>#NAME?</v>
      </c>
      <c r="Y6" s="189" t="e">
        <f ca="1"/>
        <v>#NAME?</v>
      </c>
      <c r="AA6" s="187" t="e">
        <f t="array" aca="1" ref="AA6:AD9" ca="1">ExtractCov(H6:L26,AA5)</f>
        <v>#NAME?</v>
      </c>
      <c r="AB6" s="232" t="e">
        <f ca="1"/>
        <v>#NAME?</v>
      </c>
      <c r="AC6" s="232" t="e">
        <f ca="1"/>
        <v>#NAME?</v>
      </c>
      <c r="AD6" s="189" t="e">
        <f ca="1"/>
        <v>#NAME?</v>
      </c>
      <c r="AP6" s="187" t="e">
        <f t="array" aca="1" ref="AP6" ca="1">MMULT(I6:L6-$AS$18:$AV$18,MMULT($AS$12:$AV$15,TRANSPOSE(I6:L6-$AS$18:$AV$18)))</f>
        <v>#NAME?</v>
      </c>
      <c r="AQ6" s="189" t="e">
        <f ca="1">CHIDIST(AP6,COUNT($I$6:$L$6))</f>
        <v>#NAME?</v>
      </c>
      <c r="AR6" s="70" t="e">
        <f ca="1">IF(AQ6&lt;0.001,"*","")</f>
        <v>#NAME?</v>
      </c>
      <c r="AS6" s="187" t="e">
        <f t="array" aca="1" ref="AS6:AV9" ca="1">COV(I6:L26)</f>
        <v>#NAME?</v>
      </c>
      <c r="AT6" s="232" t="e">
        <f ca="1"/>
        <v>#NAME?</v>
      </c>
      <c r="AU6" s="232" t="e">
        <f ca="1"/>
        <v>#NAME?</v>
      </c>
      <c r="AV6" s="189" t="e">
        <f ca="1"/>
        <v>#NAME?</v>
      </c>
      <c r="AX6" t="s">
        <v>54</v>
      </c>
      <c r="AY6" s="98" t="e">
        <f ca="1">BOXF(H6:L26)</f>
        <v>#NAME?</v>
      </c>
      <c r="BA6" t="s">
        <v>290</v>
      </c>
      <c r="BB6" s="187">
        <f t="shared" ref="BB6:BE8" si="1">AVERAGEIF($H$6:$H$26,$BA6,I$6:I$26)</f>
        <v>64.714285714285708</v>
      </c>
      <c r="BC6" s="232">
        <f t="shared" si="1"/>
        <v>198.28571428571428</v>
      </c>
      <c r="BD6" s="232">
        <f t="shared" si="1"/>
        <v>-35.857142857142854</v>
      </c>
      <c r="BE6" s="189">
        <f t="shared" si="1"/>
        <v>28.285714285714285</v>
      </c>
      <c r="BF6" s="190">
        <f>COUNTIF($H$6:$H$26,BA6)</f>
        <v>7</v>
      </c>
      <c r="BH6" s="231">
        <v>1</v>
      </c>
      <c r="BJ6" s="187">
        <f t="array" ref="BJ6:BM9">MMULT(TRANSPOSE(BB12:BE12),BB12:BE12)/BF11</f>
        <v>26231.142857142855</v>
      </c>
      <c r="BK6" s="232">
        <v>-20430.857142857141</v>
      </c>
      <c r="BL6" s="232">
        <v>12293.142857142857</v>
      </c>
      <c r="BM6" s="189">
        <v>-13505.142857142857</v>
      </c>
      <c r="BO6" t="s">
        <v>223</v>
      </c>
      <c r="BP6" s="98">
        <f>COUNT($I$6:$I$26)</f>
        <v>21</v>
      </c>
    </row>
    <row r="7" spans="1:68" ht="15" thickBot="1" x14ac:dyDescent="0.4">
      <c r="A7" s="37" t="s">
        <v>287</v>
      </c>
      <c r="B7" s="225">
        <v>65</v>
      </c>
      <c r="C7" s="226">
        <v>207</v>
      </c>
      <c r="D7" s="226">
        <v>341</v>
      </c>
      <c r="E7" s="226">
        <v>382</v>
      </c>
      <c r="F7" s="227">
        <v>298</v>
      </c>
      <c r="H7" s="49" t="str">
        <f t="shared" si="0"/>
        <v>Young</v>
      </c>
      <c r="I7" s="83">
        <f t="shared" ref="I7:I26" si="2">C7-B7</f>
        <v>142</v>
      </c>
      <c r="J7" s="37">
        <f t="shared" ref="J7:J26" si="3">D7-C7</f>
        <v>134</v>
      </c>
      <c r="K7" s="37">
        <f t="shared" ref="K7:K26" si="4">E7-D7</f>
        <v>41</v>
      </c>
      <c r="L7" s="84">
        <f t="shared" ref="L7:L26" si="5">F7-E7</f>
        <v>-84</v>
      </c>
      <c r="N7" t="s">
        <v>151</v>
      </c>
      <c r="O7" t="e">
        <f ca="1">MANOVA_WilksLambda(H6:L26)</f>
        <v>#NAME?</v>
      </c>
      <c r="P7" t="e">
        <f ca="1">MANOVA_WilksF(H6:L26)</f>
        <v>#NAME?</v>
      </c>
      <c r="Q7" t="e">
        <f ca="1">MANOVA_Wilksdf1(H6:L26)</f>
        <v>#NAME?</v>
      </c>
      <c r="R7" t="e">
        <f ca="1">MANOVA_Wilksdf2(H6:L26)</f>
        <v>#NAME?</v>
      </c>
      <c r="S7" t="e">
        <f ca="1">FDIST(P7,Q7,R7)</f>
        <v>#NAME?</v>
      </c>
      <c r="T7" t="e">
        <f ca="1">P7*Q7/(P7*Q7+R7)</f>
        <v>#NAME?</v>
      </c>
      <c r="V7" s="83" t="e">
        <f ca="1"/>
        <v>#NAME?</v>
      </c>
      <c r="W7" s="37" t="e">
        <f ca="1"/>
        <v>#NAME?</v>
      </c>
      <c r="X7" s="37" t="e">
        <f ca="1"/>
        <v>#NAME?</v>
      </c>
      <c r="Y7" s="84" t="e">
        <f ca="1"/>
        <v>#NAME?</v>
      </c>
      <c r="AA7" s="83" t="e">
        <f ca="1"/>
        <v>#NAME?</v>
      </c>
      <c r="AB7" s="37" t="e">
        <f ca="1"/>
        <v>#NAME?</v>
      </c>
      <c r="AC7" s="37" t="e">
        <f ca="1"/>
        <v>#NAME?</v>
      </c>
      <c r="AD7" s="84" t="e">
        <f ca="1"/>
        <v>#NAME?</v>
      </c>
      <c r="AF7" t="s">
        <v>174</v>
      </c>
      <c r="AK7" t="s">
        <v>175</v>
      </c>
      <c r="AL7" s="122">
        <v>1.2500000000000001E-2</v>
      </c>
      <c r="AP7" s="83" t="e">
        <f t="array" aca="1" ref="AP7" ca="1">MMULT(I7:L7-$AS$18:$AV$18,MMULT($AS$12:$AV$15,TRANSPOSE(I7:L7-$AS$18:$AV$18)))</f>
        <v>#NAME?</v>
      </c>
      <c r="AQ7" s="84" t="e">
        <f t="shared" ref="AQ7:AQ26" ca="1" si="6">CHIDIST(AP7,COUNT($I$6:$L$6))</f>
        <v>#NAME?</v>
      </c>
      <c r="AR7" s="70" t="e">
        <f t="shared" ref="AR7:AR26" ca="1" si="7">IF(AQ7&lt;0.001,"*","")</f>
        <v>#NAME?</v>
      </c>
      <c r="AS7" s="83" t="e">
        <f ca="1"/>
        <v>#NAME?</v>
      </c>
      <c r="AT7" s="37" t="e">
        <f ca="1"/>
        <v>#NAME?</v>
      </c>
      <c r="AU7" s="37" t="e">
        <f ca="1"/>
        <v>#NAME?</v>
      </c>
      <c r="AV7" s="84" t="e">
        <f ca="1"/>
        <v>#NAME?</v>
      </c>
      <c r="AX7" t="s">
        <v>55</v>
      </c>
      <c r="AY7" s="98" t="e">
        <f ca="1">BOXdf1(H6:L26)</f>
        <v>#NAME?</v>
      </c>
      <c r="BA7" t="s">
        <v>288</v>
      </c>
      <c r="BB7" s="83">
        <f t="shared" si="1"/>
        <v>151.28571428571428</v>
      </c>
      <c r="BC7" s="37">
        <f t="shared" si="1"/>
        <v>130.85714285714286</v>
      </c>
      <c r="BD7" s="37">
        <f t="shared" si="1"/>
        <v>4.7142857142857144</v>
      </c>
      <c r="BE7" s="84">
        <f t="shared" si="1"/>
        <v>-16.285714285714285</v>
      </c>
      <c r="BF7" s="98">
        <f>COUNTIF($H$6:$H$26,BA7)</f>
        <v>7</v>
      </c>
      <c r="BH7" s="127">
        <v>-1</v>
      </c>
      <c r="BJ7" s="83">
        <v>-20430.857142857141</v>
      </c>
      <c r="BK7" s="37">
        <v>15913.142857142853</v>
      </c>
      <c r="BL7" s="37">
        <v>-9574.8571428571413</v>
      </c>
      <c r="BM7" s="84">
        <v>10518.857142857141</v>
      </c>
      <c r="BO7" t="s">
        <v>224</v>
      </c>
      <c r="BP7" s="98">
        <f>COUNT($I$6:$L$6)</f>
        <v>4</v>
      </c>
    </row>
    <row r="8" spans="1:68" ht="15" thickTop="1" x14ac:dyDescent="0.35">
      <c r="A8" s="37" t="s">
        <v>287</v>
      </c>
      <c r="B8" s="225">
        <v>251</v>
      </c>
      <c r="C8" s="226">
        <v>261</v>
      </c>
      <c r="D8" s="226">
        <v>384</v>
      </c>
      <c r="E8" s="226">
        <v>421</v>
      </c>
      <c r="F8" s="227">
        <v>342</v>
      </c>
      <c r="H8" s="49" t="str">
        <f t="shared" si="0"/>
        <v>Young</v>
      </c>
      <c r="I8" s="83">
        <f t="shared" si="2"/>
        <v>10</v>
      </c>
      <c r="J8" s="37">
        <f t="shared" si="3"/>
        <v>123</v>
      </c>
      <c r="K8" s="37">
        <f t="shared" si="4"/>
        <v>37</v>
      </c>
      <c r="L8" s="84">
        <f t="shared" si="5"/>
        <v>-79</v>
      </c>
      <c r="N8" t="s">
        <v>152</v>
      </c>
      <c r="O8" t="e">
        <f ca="1">MANOVA_HotelTrace(H6:L26)</f>
        <v>#NAME?</v>
      </c>
      <c r="P8" t="e">
        <f ca="1">MANOVA_HotelF(H6:L26)</f>
        <v>#NAME?</v>
      </c>
      <c r="Q8" t="e">
        <f ca="1">MANOVA_Hoteldf1(H6:L26)</f>
        <v>#NAME?</v>
      </c>
      <c r="R8" t="e">
        <f ca="1">MANOVA_Hoteldf2(H6:L26)</f>
        <v>#NAME?</v>
      </c>
      <c r="S8" t="e">
        <f ca="1">FDIST(P8,Q8,R8)</f>
        <v>#NAME?</v>
      </c>
      <c r="T8" t="e">
        <f ca="1">P8*Q8/(P8*Q8+R8)</f>
        <v>#NAME?</v>
      </c>
      <c r="V8" s="83" t="e">
        <f ca="1"/>
        <v>#NAME?</v>
      </c>
      <c r="W8" s="37" t="e">
        <f ca="1"/>
        <v>#NAME?</v>
      </c>
      <c r="X8" s="37" t="e">
        <f ca="1"/>
        <v>#NAME?</v>
      </c>
      <c r="Y8" s="84" t="e">
        <f ca="1"/>
        <v>#NAME?</v>
      </c>
      <c r="AA8" s="83" t="e">
        <f ca="1"/>
        <v>#NAME?</v>
      </c>
      <c r="AB8" s="37" t="e">
        <f ca="1"/>
        <v>#NAME?</v>
      </c>
      <c r="AC8" s="37" t="e">
        <f ca="1"/>
        <v>#NAME?</v>
      </c>
      <c r="AD8" s="84" t="e">
        <f ca="1"/>
        <v>#NAME?</v>
      </c>
      <c r="AF8" s="94" t="s">
        <v>176</v>
      </c>
      <c r="AG8" s="94" t="s">
        <v>100</v>
      </c>
      <c r="AH8" s="94" t="s">
        <v>177</v>
      </c>
      <c r="AI8" s="94" t="s">
        <v>34</v>
      </c>
      <c r="AJ8" s="94" t="s">
        <v>178</v>
      </c>
      <c r="AK8" s="94" t="s">
        <v>179</v>
      </c>
      <c r="AL8" s="94" t="s">
        <v>180</v>
      </c>
      <c r="AM8" s="94" t="s">
        <v>181</v>
      </c>
      <c r="AN8" s="94" t="s">
        <v>182</v>
      </c>
      <c r="AP8" s="83" t="e">
        <f t="array" aca="1" ref="AP8" ca="1">MMULT(I8:L8-$AS$18:$AV$18,MMULT($AS$12:$AV$15,TRANSPOSE(I8:L8-$AS$18:$AV$18)))</f>
        <v>#NAME?</v>
      </c>
      <c r="AQ8" s="84" t="e">
        <f t="shared" ca="1" si="6"/>
        <v>#NAME?</v>
      </c>
      <c r="AR8" s="70" t="e">
        <f t="shared" ca="1" si="7"/>
        <v>#NAME?</v>
      </c>
      <c r="AS8" s="83" t="e">
        <f ca="1"/>
        <v>#NAME?</v>
      </c>
      <c r="AT8" s="37" t="e">
        <f ca="1"/>
        <v>#NAME?</v>
      </c>
      <c r="AU8" s="37" t="e">
        <f ca="1"/>
        <v>#NAME?</v>
      </c>
      <c r="AV8" s="84" t="e">
        <f ca="1"/>
        <v>#NAME?</v>
      </c>
      <c r="AX8" t="s">
        <v>56</v>
      </c>
      <c r="AY8" s="98" t="e">
        <f ca="1">BOXdf2(H6:L26)</f>
        <v>#NAME?</v>
      </c>
      <c r="BA8" t="s">
        <v>287</v>
      </c>
      <c r="BB8" s="85">
        <f t="shared" si="1"/>
        <v>75</v>
      </c>
      <c r="BC8" s="86">
        <f t="shared" si="1"/>
        <v>123</v>
      </c>
      <c r="BD8" s="86">
        <f t="shared" si="1"/>
        <v>-20.285714285714285</v>
      </c>
      <c r="BE8" s="87">
        <f t="shared" si="1"/>
        <v>21.142857142857142</v>
      </c>
      <c r="BF8" s="99">
        <f>COUNTIF($H$6:$H$26,BA8)</f>
        <v>7</v>
      </c>
      <c r="BH8" s="128"/>
      <c r="BJ8" s="83">
        <v>12293.142857142857</v>
      </c>
      <c r="BK8" s="37">
        <v>-9574.8571428571413</v>
      </c>
      <c r="BL8" s="37">
        <v>5761.1428571428569</v>
      </c>
      <c r="BM8" s="84">
        <v>-6329.1428571428569</v>
      </c>
      <c r="BO8" t="s">
        <v>225</v>
      </c>
      <c r="BP8" s="98">
        <f>COUNT(BB6:BB8)</f>
        <v>3</v>
      </c>
    </row>
    <row r="9" spans="1:68" x14ac:dyDescent="0.35">
      <c r="A9" s="37" t="s">
        <v>287</v>
      </c>
      <c r="B9" s="225">
        <v>241</v>
      </c>
      <c r="C9" s="226">
        <v>314</v>
      </c>
      <c r="D9" s="226">
        <v>423</v>
      </c>
      <c r="E9" s="226">
        <v>415</v>
      </c>
      <c r="F9" s="227">
        <v>468</v>
      </c>
      <c r="H9" s="49" t="str">
        <f t="shared" si="0"/>
        <v>Young</v>
      </c>
      <c r="I9" s="83">
        <f t="shared" si="2"/>
        <v>73</v>
      </c>
      <c r="J9" s="37">
        <f t="shared" si="3"/>
        <v>109</v>
      </c>
      <c r="K9" s="37">
        <f t="shared" si="4"/>
        <v>-8</v>
      </c>
      <c r="L9" s="84">
        <f t="shared" si="5"/>
        <v>53</v>
      </c>
      <c r="N9" s="40" t="s">
        <v>153</v>
      </c>
      <c r="O9" s="40" t="e">
        <f ca="1">MANOVA_RoyRoot(H6:L26)</f>
        <v>#NAME?</v>
      </c>
      <c r="P9" s="40"/>
      <c r="Q9" s="40"/>
      <c r="R9" s="40"/>
      <c r="S9" s="40"/>
      <c r="T9" s="40"/>
      <c r="V9" s="85" t="e">
        <f ca="1"/>
        <v>#NAME?</v>
      </c>
      <c r="W9" s="86" t="e">
        <f ca="1"/>
        <v>#NAME?</v>
      </c>
      <c r="X9" s="86" t="e">
        <f ca="1"/>
        <v>#NAME?</v>
      </c>
      <c r="Y9" s="87" t="e">
        <f ca="1"/>
        <v>#NAME?</v>
      </c>
      <c r="AA9" s="85" t="e">
        <f ca="1"/>
        <v>#NAME?</v>
      </c>
      <c r="AB9" s="86" t="e">
        <f ca="1"/>
        <v>#NAME?</v>
      </c>
      <c r="AC9" s="86" t="e">
        <f ca="1"/>
        <v>#NAME?</v>
      </c>
      <c r="AD9" s="87" t="e">
        <f ca="1"/>
        <v>#NAME?</v>
      </c>
      <c r="AF9" t="e">
        <f t="array" aca="1" ref="AF9:AF11" ca="1">SortUnique(H6:H26)</f>
        <v>#NAME?</v>
      </c>
      <c r="AG9">
        <f ca="1">COUNTIF($H$6:$H$26,$AF9)</f>
        <v>0</v>
      </c>
      <c r="AH9">
        <f ca="1">SUMIF($H$6:$H$26,$AF9,$I$6:$I$26)</f>
        <v>0</v>
      </c>
      <c r="AI9" t="e">
        <f ca="1">AVERAGEIF($H$6:$H$26,$AF9,$I$6:$I$26)</f>
        <v>#DIV/0!</v>
      </c>
      <c r="AJ9" t="e">
        <f t="array" aca="1" ref="AJ9" ca="1">VAR(IF($H$6:$H$26=$AF9,$I$6:$I$26))</f>
        <v>#NAME?</v>
      </c>
      <c r="AK9" t="e">
        <f ca="1">($AG9-1)*AJ9</f>
        <v>#NAME?</v>
      </c>
      <c r="AL9" t="e">
        <f ca="1">SQRT(AI$16/AG9)</f>
        <v>#NAME?</v>
      </c>
      <c r="AM9" t="e">
        <f ca="1">AI9-AL9*TINV(AL$7,AG9-1)</f>
        <v>#DIV/0!</v>
      </c>
      <c r="AN9" t="e">
        <f ca="1">AI9+AL9*TINV(AL$7,AG9-1)</f>
        <v>#DIV/0!</v>
      </c>
      <c r="AP9" s="83" t="e">
        <f t="array" aca="1" ref="AP9" ca="1">MMULT(I9:L9-$AS$18:$AV$18,MMULT($AS$12:$AV$15,TRANSPOSE(I9:L9-$AS$18:$AV$18)))</f>
        <v>#NAME?</v>
      </c>
      <c r="AQ9" s="84" t="e">
        <f t="shared" ca="1" si="6"/>
        <v>#NAME?</v>
      </c>
      <c r="AR9" s="70" t="e">
        <f t="shared" ca="1" si="7"/>
        <v>#NAME?</v>
      </c>
      <c r="AS9" s="85" t="e">
        <f ca="1"/>
        <v>#NAME?</v>
      </c>
      <c r="AT9" s="86" t="e">
        <f ca="1"/>
        <v>#NAME?</v>
      </c>
      <c r="AU9" s="86" t="e">
        <f ca="1"/>
        <v>#NAME?</v>
      </c>
      <c r="AV9" s="87" t="e">
        <f ca="1"/>
        <v>#NAME?</v>
      </c>
      <c r="AX9" t="s">
        <v>65</v>
      </c>
      <c r="AY9" s="99" t="e">
        <f ca="1">BOXTEST(H6:L26)</f>
        <v>#NAME?</v>
      </c>
      <c r="BA9" t="s">
        <v>168</v>
      </c>
      <c r="BB9" s="191">
        <f>AVERAGE(I$6:I$26)</f>
        <v>97</v>
      </c>
      <c r="BC9" s="192">
        <f>AVERAGE(J$6:J$26)</f>
        <v>150.71428571428572</v>
      </c>
      <c r="BD9" s="192">
        <f>AVERAGE(K$6:K$26)</f>
        <v>-17.142857142857142</v>
      </c>
      <c r="BE9" s="193">
        <f>AVERAGE(L$6:L$26)</f>
        <v>11.047619047619047</v>
      </c>
      <c r="BF9" s="194">
        <f>SUM(BF6:BF8)</f>
        <v>21</v>
      </c>
      <c r="BJ9" s="85">
        <v>-13505.142857142857</v>
      </c>
      <c r="BK9" s="86">
        <v>10518.857142857141</v>
      </c>
      <c r="BL9" s="86">
        <v>-6329.1428571428569</v>
      </c>
      <c r="BM9" s="87">
        <v>6953.1428571428569</v>
      </c>
      <c r="BO9" t="s">
        <v>55</v>
      </c>
      <c r="BP9" s="98">
        <f>BP7</f>
        <v>4</v>
      </c>
    </row>
    <row r="10" spans="1:68" x14ac:dyDescent="0.35">
      <c r="A10" s="37" t="s">
        <v>287</v>
      </c>
      <c r="B10" s="225">
        <v>154</v>
      </c>
      <c r="C10" s="226">
        <v>167</v>
      </c>
      <c r="D10" s="226">
        <v>257</v>
      </c>
      <c r="E10" s="226">
        <v>275</v>
      </c>
      <c r="F10" s="227">
        <v>332</v>
      </c>
      <c r="H10" s="49" t="str">
        <f t="shared" si="0"/>
        <v>Young</v>
      </c>
      <c r="I10" s="83">
        <f t="shared" si="2"/>
        <v>13</v>
      </c>
      <c r="J10" s="37">
        <f t="shared" si="3"/>
        <v>90</v>
      </c>
      <c r="K10" s="37">
        <f t="shared" si="4"/>
        <v>18</v>
      </c>
      <c r="L10" s="84">
        <f t="shared" si="5"/>
        <v>57</v>
      </c>
      <c r="AF10" t="e">
        <f ca="1"/>
        <v>#NAME?</v>
      </c>
      <c r="AG10">
        <f ca="1">COUNTIF($H$6:$H$26,$AF10)</f>
        <v>0</v>
      </c>
      <c r="AH10">
        <f ca="1">SUMIF($H$6:$H$26,$AF10,$I$6:$I$26)</f>
        <v>0</v>
      </c>
      <c r="AI10" t="e">
        <f ca="1">AVERAGEIF($H$6:$H$26,$AF10,$I$6:$I$26)</f>
        <v>#DIV/0!</v>
      </c>
      <c r="AJ10" t="e">
        <f t="array" aca="1" ref="AJ10" ca="1">VAR(IF($H$6:$H$26=$AF10,$I$6:$I$26))</f>
        <v>#NAME?</v>
      </c>
      <c r="AK10" t="e">
        <f ca="1">($AG10-1)*AJ10</f>
        <v>#NAME?</v>
      </c>
      <c r="AL10" t="e">
        <f ca="1">SQRT(AI$16/AG10)</f>
        <v>#NAME?</v>
      </c>
      <c r="AM10" t="e">
        <f ca="1">AI10-AL10*TINV(AL$7,AG10-1)</f>
        <v>#DIV/0!</v>
      </c>
      <c r="AN10" t="e">
        <f ca="1">AI10+AL10*TINV(AL$7,AG10-1)</f>
        <v>#DIV/0!</v>
      </c>
      <c r="AP10" s="83" t="e">
        <f t="array" aca="1" ref="AP10" ca="1">MMULT(I10:L10-$AS$18:$AV$18,MMULT($AS$12:$AV$15,TRANSPOSE(I10:L10-$AS$18:$AV$18)))</f>
        <v>#NAME?</v>
      </c>
      <c r="AQ10" s="84" t="e">
        <f t="shared" ca="1" si="6"/>
        <v>#NAME?</v>
      </c>
      <c r="AR10" s="70" t="e">
        <f t="shared" ca="1" si="7"/>
        <v>#NAME?</v>
      </c>
      <c r="BO10" t="s">
        <v>56</v>
      </c>
      <c r="BP10" s="98">
        <f>BP6-BP7-BP8+1</f>
        <v>15</v>
      </c>
    </row>
    <row r="11" spans="1:68" x14ac:dyDescent="0.35">
      <c r="A11" s="37" t="s">
        <v>287</v>
      </c>
      <c r="B11" s="225">
        <v>103</v>
      </c>
      <c r="C11" s="226">
        <v>286</v>
      </c>
      <c r="D11" s="226">
        <v>401</v>
      </c>
      <c r="E11" s="226">
        <v>291</v>
      </c>
      <c r="F11" s="227">
        <v>367</v>
      </c>
      <c r="H11" s="49" t="str">
        <f t="shared" si="0"/>
        <v>Young</v>
      </c>
      <c r="I11" s="83">
        <f t="shared" si="2"/>
        <v>183</v>
      </c>
      <c r="J11" s="37">
        <f t="shared" si="3"/>
        <v>115</v>
      </c>
      <c r="K11" s="37">
        <f t="shared" si="4"/>
        <v>-110</v>
      </c>
      <c r="L11" s="84">
        <f t="shared" si="5"/>
        <v>76</v>
      </c>
      <c r="V11" t="s">
        <v>155</v>
      </c>
      <c r="AA11" t="s">
        <v>288</v>
      </c>
      <c r="AF11" t="e">
        <f ca="1"/>
        <v>#NAME?</v>
      </c>
      <c r="AG11">
        <f ca="1">COUNTIF($H$6:$H$26,$AF11)</f>
        <v>0</v>
      </c>
      <c r="AH11">
        <f ca="1">SUMIF($H$6:$H$26,$AF11,$I$6:$I$26)</f>
        <v>0</v>
      </c>
      <c r="AI11" t="e">
        <f ca="1">AVERAGEIF($H$6:$H$26,$AF11,$I$6:$I$26)</f>
        <v>#DIV/0!</v>
      </c>
      <c r="AJ11" t="e">
        <f t="array" aca="1" ref="AJ11" ca="1">VAR(IF($H$6:$H$26=$AF11,$I$6:$I$26))</f>
        <v>#NAME?</v>
      </c>
      <c r="AK11" t="e">
        <f ca="1">($AG11-1)*AJ11</f>
        <v>#NAME?</v>
      </c>
      <c r="AL11" t="e">
        <f ca="1">SQRT(AI$16/AG11)</f>
        <v>#NAME?</v>
      </c>
      <c r="AM11" t="e">
        <f ca="1">AI11-AL11*TINV(AL$7,AG11-1)</f>
        <v>#DIV/0!</v>
      </c>
      <c r="AN11" t="e">
        <f ca="1">AI11+AL11*TINV(AL$7,AG11-1)</f>
        <v>#DIV/0!</v>
      </c>
      <c r="AP11" s="83" t="e">
        <f t="array" aca="1" ref="AP11" ca="1">MMULT(I11:L11-$AS$18:$AV$18,MMULT($AS$12:$AV$15,TRANSPOSE(I11:L11-$AS$18:$AV$18)))</f>
        <v>#NAME?</v>
      </c>
      <c r="AQ11" s="84" t="e">
        <f t="shared" ca="1" si="6"/>
        <v>#NAME?</v>
      </c>
      <c r="AR11" s="70" t="e">
        <f t="shared" ca="1" si="7"/>
        <v>#NAME?</v>
      </c>
      <c r="AS11" t="s">
        <v>229</v>
      </c>
      <c r="BA11" t="s">
        <v>217</v>
      </c>
      <c r="BF11" s="194">
        <f>SUMPRODUCT(BH6:BH8^2/BF6:BF8)</f>
        <v>0.2857142857142857</v>
      </c>
      <c r="BJ11" t="s">
        <v>156</v>
      </c>
      <c r="BO11" t="s">
        <v>54</v>
      </c>
      <c r="BP11" s="98" t="e">
        <f ca="1">(1-BP5)/BP5*(BP10/BP9)</f>
        <v>#NAME?</v>
      </c>
    </row>
    <row r="12" spans="1:68" x14ac:dyDescent="0.35">
      <c r="A12" s="37" t="s">
        <v>287</v>
      </c>
      <c r="B12" s="228">
        <v>230</v>
      </c>
      <c r="C12" s="226">
        <v>306</v>
      </c>
      <c r="D12" s="229">
        <v>432</v>
      </c>
      <c r="E12" s="229">
        <v>386</v>
      </c>
      <c r="F12" s="230">
        <v>423</v>
      </c>
      <c r="H12" s="49" t="str">
        <f t="shared" si="0"/>
        <v>Young</v>
      </c>
      <c r="I12" s="83">
        <f t="shared" si="2"/>
        <v>76</v>
      </c>
      <c r="J12" s="37">
        <f t="shared" si="3"/>
        <v>126</v>
      </c>
      <c r="K12" s="37">
        <f t="shared" si="4"/>
        <v>-46</v>
      </c>
      <c r="L12" s="84">
        <f t="shared" si="5"/>
        <v>37</v>
      </c>
      <c r="V12" s="187" t="e">
        <f t="array" ref="V12:Y15" ca="1">V6:Y9-V18:Y21</f>
        <v>#NAME?</v>
      </c>
      <c r="W12" s="232" t="e">
        <f ca="1"/>
        <v>#NAME?</v>
      </c>
      <c r="X12" s="232" t="e">
        <f ca="1"/>
        <v>#NAME?</v>
      </c>
      <c r="Y12" s="189" t="e">
        <f ca="1"/>
        <v>#NAME?</v>
      </c>
      <c r="AA12" s="187" t="e">
        <f t="array" aca="1" ref="AA12:AD15" ca="1">ExtractCov(H6:L26,AA11)</f>
        <v>#NAME?</v>
      </c>
      <c r="AB12" s="232" t="e">
        <f ca="1"/>
        <v>#NAME?</v>
      </c>
      <c r="AC12" s="232" t="e">
        <f ca="1"/>
        <v>#NAME?</v>
      </c>
      <c r="AD12" s="189" t="e">
        <f ca="1"/>
        <v>#NAME?</v>
      </c>
      <c r="AF12" s="202"/>
      <c r="AG12" s="202"/>
      <c r="AH12" s="202"/>
      <c r="AI12" s="202"/>
      <c r="AJ12" s="202"/>
      <c r="AK12" s="202"/>
      <c r="AL12" s="202"/>
      <c r="AM12" s="202"/>
      <c r="AN12" s="202"/>
      <c r="AP12" s="83" t="e">
        <f t="array" aca="1" ref="AP12" ca="1">MMULT(I12:L12-$AS$18:$AV$18,MMULT($AS$12:$AV$15,TRANSPOSE(I12:L12-$AS$18:$AV$18)))</f>
        <v>#NAME?</v>
      </c>
      <c r="AQ12" s="84" t="e">
        <f t="shared" ca="1" si="6"/>
        <v>#NAME?</v>
      </c>
      <c r="AR12" s="70" t="e">
        <f t="shared" ca="1" si="7"/>
        <v>#NAME?</v>
      </c>
      <c r="AS12" s="187" t="e">
        <f t="array" aca="1" ref="AS12:AV15" ca="1">MINVERSE(AS6:AV9)</f>
        <v>#NAME?</v>
      </c>
      <c r="AT12" s="232" t="e">
        <f ca="1"/>
        <v>#NAME?</v>
      </c>
      <c r="AU12" s="232" t="e">
        <f ca="1"/>
        <v>#NAME?</v>
      </c>
      <c r="AV12" s="189" t="e">
        <f ca="1"/>
        <v>#NAME?</v>
      </c>
      <c r="BA12" t="s">
        <v>48</v>
      </c>
      <c r="BB12" s="187">
        <f>SUMPRODUCT(BB6:BB8,$BH6:$BH8)</f>
        <v>-86.571428571428569</v>
      </c>
      <c r="BC12" s="232">
        <f>SUMPRODUCT(BC6:BC8,$BH6:$BH8)</f>
        <v>67.428571428571416</v>
      </c>
      <c r="BD12" s="232">
        <f>SUMPRODUCT(BD6:BD8,$BH6:$BH8)</f>
        <v>-40.571428571428569</v>
      </c>
      <c r="BE12" s="189">
        <f>SUMPRODUCT(BE6:BE8,$BH6:$BH8)</f>
        <v>44.571428571428569</v>
      </c>
      <c r="BJ12" s="187" t="e">
        <f t="array" ref="BJ12:BM15" ca="1">$V$18:$Y$21</f>
        <v>#NAME?</v>
      </c>
      <c r="BK12" s="232" t="e">
        <f ca="1"/>
        <v>#NAME?</v>
      </c>
      <c r="BL12" s="232" t="e">
        <f ca="1"/>
        <v>#NAME?</v>
      </c>
      <c r="BM12" s="189" t="e">
        <f ca="1"/>
        <v>#NAME?</v>
      </c>
      <c r="BO12" t="s">
        <v>65</v>
      </c>
      <c r="BP12" s="98" t="e">
        <f ca="1">FDIST(BP11,BP9,BP10)</f>
        <v>#NAME?</v>
      </c>
    </row>
    <row r="13" spans="1:68" ht="15" thickBot="1" x14ac:dyDescent="0.4">
      <c r="A13" s="207" t="s">
        <v>290</v>
      </c>
      <c r="B13" s="222">
        <v>54</v>
      </c>
      <c r="C13" s="223">
        <v>172</v>
      </c>
      <c r="D13" s="223">
        <v>307</v>
      </c>
      <c r="E13" s="223">
        <v>261</v>
      </c>
      <c r="F13" s="224">
        <v>360</v>
      </c>
      <c r="H13" s="207" t="str">
        <f t="shared" si="0"/>
        <v>Middle</v>
      </c>
      <c r="I13" s="201">
        <f t="shared" si="2"/>
        <v>118</v>
      </c>
      <c r="J13" s="202">
        <f t="shared" si="3"/>
        <v>135</v>
      </c>
      <c r="K13" s="202">
        <f t="shared" si="4"/>
        <v>-46</v>
      </c>
      <c r="L13" s="203">
        <f t="shared" si="5"/>
        <v>99</v>
      </c>
      <c r="V13" s="83" t="e">
        <f ca="1"/>
        <v>#NAME?</v>
      </c>
      <c r="W13" s="37" t="e">
        <f ca="1"/>
        <v>#NAME?</v>
      </c>
      <c r="X13" s="37" t="e">
        <f ca="1"/>
        <v>#NAME?</v>
      </c>
      <c r="Y13" s="84" t="e">
        <f ca="1"/>
        <v>#NAME?</v>
      </c>
      <c r="AA13" s="83" t="e">
        <f ca="1"/>
        <v>#NAME?</v>
      </c>
      <c r="AB13" s="37" t="e">
        <f ca="1"/>
        <v>#NAME?</v>
      </c>
      <c r="AC13" s="37" t="e">
        <f ca="1"/>
        <v>#NAME?</v>
      </c>
      <c r="AD13" s="84" t="e">
        <f ca="1"/>
        <v>#NAME?</v>
      </c>
      <c r="AF13" t="s">
        <v>183</v>
      </c>
      <c r="AP13" s="83" t="e">
        <f t="array" aca="1" ref="AP13" ca="1">MMULT(I13:L13-$AS$18:$AV$18,MMULT($AS$12:$AV$15,TRANSPOSE(I13:L13-$AS$18:$AV$18)))</f>
        <v>#NAME?</v>
      </c>
      <c r="AQ13" s="84" t="e">
        <f t="shared" ca="1" si="6"/>
        <v>#NAME?</v>
      </c>
      <c r="AR13" s="70" t="e">
        <f t="shared" ca="1" si="7"/>
        <v>#NAME?</v>
      </c>
      <c r="AS13" s="83" t="e">
        <f ca="1"/>
        <v>#NAME?</v>
      </c>
      <c r="AT13" s="37" t="e">
        <f ca="1"/>
        <v>#NAME?</v>
      </c>
      <c r="AU13" s="37" t="e">
        <f ca="1"/>
        <v>#NAME?</v>
      </c>
      <c r="AV13" s="84" t="e">
        <f ca="1"/>
        <v>#NAME?</v>
      </c>
      <c r="BA13" t="s">
        <v>219</v>
      </c>
      <c r="BB13" s="85" t="e">
        <f t="array" aca="1" ref="BB13:BE13" ca="1">SQRT(DIAG(BJ12:BM15)*BF11/(BP6-BP8))</f>
        <v>#NAME?</v>
      </c>
      <c r="BC13" s="86" t="e">
        <f ca="1"/>
        <v>#NAME?</v>
      </c>
      <c r="BD13" s="86" t="e">
        <f ca="1"/>
        <v>#NAME?</v>
      </c>
      <c r="BE13" s="87" t="e">
        <f ca="1"/>
        <v>#NAME?</v>
      </c>
      <c r="BJ13" s="83" t="e">
        <f ca="1"/>
        <v>#NAME?</v>
      </c>
      <c r="BK13" s="37" t="e">
        <f ca="1"/>
        <v>#NAME?</v>
      </c>
      <c r="BL13" s="37" t="e">
        <f ca="1"/>
        <v>#NAME?</v>
      </c>
      <c r="BM13" s="84" t="e">
        <f ca="1"/>
        <v>#NAME?</v>
      </c>
      <c r="BO13" t="s">
        <v>226</v>
      </c>
      <c r="BP13" s="99" t="e">
        <f ca="1">(BP6-BP8)*(1-BP5)*BF11/BP5</f>
        <v>#NAME?</v>
      </c>
    </row>
    <row r="14" spans="1:68" ht="15" thickTop="1" x14ac:dyDescent="0.35">
      <c r="A14" s="49" t="s">
        <v>290</v>
      </c>
      <c r="B14" s="225">
        <v>20</v>
      </c>
      <c r="C14" s="226">
        <v>116</v>
      </c>
      <c r="D14" s="226">
        <v>425</v>
      </c>
      <c r="E14" s="226">
        <v>398</v>
      </c>
      <c r="F14" s="227">
        <v>268</v>
      </c>
      <c r="H14" s="49" t="str">
        <f t="shared" si="0"/>
        <v>Middle</v>
      </c>
      <c r="I14" s="36">
        <f t="shared" si="2"/>
        <v>96</v>
      </c>
      <c r="J14" s="37">
        <f t="shared" si="3"/>
        <v>309</v>
      </c>
      <c r="K14" s="37">
        <f t="shared" si="4"/>
        <v>-27</v>
      </c>
      <c r="L14" s="38">
        <f t="shared" si="5"/>
        <v>-130</v>
      </c>
      <c r="V14" s="83" t="e">
        <f ca="1"/>
        <v>#NAME?</v>
      </c>
      <c r="W14" s="37" t="e">
        <f ca="1"/>
        <v>#NAME?</v>
      </c>
      <c r="X14" s="37" t="e">
        <f ca="1"/>
        <v>#NAME?</v>
      </c>
      <c r="Y14" s="84" t="e">
        <f ca="1"/>
        <v>#NAME?</v>
      </c>
      <c r="AA14" s="83" t="e">
        <f ca="1"/>
        <v>#NAME?</v>
      </c>
      <c r="AB14" s="37" t="e">
        <f ca="1"/>
        <v>#NAME?</v>
      </c>
      <c r="AC14" s="37" t="e">
        <f ca="1"/>
        <v>#NAME?</v>
      </c>
      <c r="AD14" s="84" t="e">
        <f ca="1"/>
        <v>#NAME?</v>
      </c>
      <c r="AF14" s="94" t="s">
        <v>184</v>
      </c>
      <c r="AG14" s="94" t="s">
        <v>179</v>
      </c>
      <c r="AH14" s="94" t="s">
        <v>62</v>
      </c>
      <c r="AI14" s="94" t="s">
        <v>185</v>
      </c>
      <c r="AJ14" s="94" t="s">
        <v>54</v>
      </c>
      <c r="AK14" s="94" t="s">
        <v>186</v>
      </c>
      <c r="AL14" s="94" t="s">
        <v>187</v>
      </c>
      <c r="AM14" s="94" t="s">
        <v>188</v>
      </c>
      <c r="AN14" s="94" t="s">
        <v>189</v>
      </c>
      <c r="AP14" s="83" t="e">
        <f t="array" aca="1" ref="AP14" ca="1">MMULT(I14:L14-$AS$18:$AV$18,MMULT($AS$12:$AV$15,TRANSPOSE(I14:L14-$AS$18:$AV$18)))</f>
        <v>#NAME?</v>
      </c>
      <c r="AQ14" s="84" t="e">
        <f t="shared" ca="1" si="6"/>
        <v>#NAME?</v>
      </c>
      <c r="AR14" s="70" t="e">
        <f t="shared" ca="1" si="7"/>
        <v>#NAME?</v>
      </c>
      <c r="AS14" s="83" t="e">
        <f ca="1"/>
        <v>#NAME?</v>
      </c>
      <c r="AT14" s="37" t="e">
        <f ca="1"/>
        <v>#NAME?</v>
      </c>
      <c r="AU14" s="37" t="e">
        <f ca="1"/>
        <v>#NAME?</v>
      </c>
      <c r="AV14" s="84" t="e">
        <f ca="1"/>
        <v>#NAME?</v>
      </c>
      <c r="BJ14" s="83" t="e">
        <f ca="1"/>
        <v>#NAME?</v>
      </c>
      <c r="BK14" s="37" t="e">
        <f ca="1"/>
        <v>#NAME?</v>
      </c>
      <c r="BL14" s="37" t="e">
        <f ca="1"/>
        <v>#NAME?</v>
      </c>
      <c r="BM14" s="84" t="e">
        <f ca="1"/>
        <v>#NAME?</v>
      </c>
    </row>
    <row r="15" spans="1:68" x14ac:dyDescent="0.35">
      <c r="A15" s="49" t="s">
        <v>290</v>
      </c>
      <c r="B15" s="225">
        <v>41</v>
      </c>
      <c r="C15" s="226">
        <v>168</v>
      </c>
      <c r="D15" s="226">
        <v>378</v>
      </c>
      <c r="E15" s="226">
        <v>317</v>
      </c>
      <c r="F15" s="227">
        <v>470</v>
      </c>
      <c r="H15" s="49" t="str">
        <f t="shared" si="0"/>
        <v>Middle</v>
      </c>
      <c r="I15" s="36">
        <f t="shared" si="2"/>
        <v>127</v>
      </c>
      <c r="J15" s="37">
        <f t="shared" si="3"/>
        <v>210</v>
      </c>
      <c r="K15" s="37">
        <f t="shared" si="4"/>
        <v>-61</v>
      </c>
      <c r="L15" s="38">
        <f t="shared" si="5"/>
        <v>153</v>
      </c>
      <c r="V15" s="85" t="e">
        <f ca="1"/>
        <v>#NAME?</v>
      </c>
      <c r="W15" s="86" t="e">
        <f ca="1"/>
        <v>#NAME?</v>
      </c>
      <c r="X15" s="86" t="e">
        <f ca="1"/>
        <v>#NAME?</v>
      </c>
      <c r="Y15" s="87" t="e">
        <f ca="1"/>
        <v>#NAME?</v>
      </c>
      <c r="AA15" s="85" t="e">
        <f ca="1"/>
        <v>#NAME?</v>
      </c>
      <c r="AB15" s="86" t="e">
        <f ca="1"/>
        <v>#NAME?</v>
      </c>
      <c r="AC15" s="86" t="e">
        <f ca="1"/>
        <v>#NAME?</v>
      </c>
      <c r="AD15" s="87" t="e">
        <f ca="1"/>
        <v>#NAME?</v>
      </c>
      <c r="AF15" t="s">
        <v>190</v>
      </c>
      <c r="AG15" t="e">
        <f ca="1">AG17-AG16</f>
        <v>#NAME?</v>
      </c>
      <c r="AH15" t="e">
        <f ca="1">COUNTAU(H6:H26)-1</f>
        <v>#NAME?</v>
      </c>
      <c r="AI15" t="e">
        <f ca="1">AG15/AH15</f>
        <v>#NAME?</v>
      </c>
      <c r="AJ15" t="e">
        <f ca="1">AI15/AI16</f>
        <v>#NAME?</v>
      </c>
      <c r="AK15" t="e">
        <f ca="1">FDIST(AJ15,AH15,AH16)</f>
        <v>#NAME?</v>
      </c>
      <c r="AL15" t="e">
        <f ca="1">FINV(AL7,AH15,AH16)</f>
        <v>#NAME?</v>
      </c>
      <c r="AM15" t="e">
        <f ca="1">SQRT(DEVSQ(AI9:AI11)/(AI16*AH15))</f>
        <v>#DIV/0!</v>
      </c>
      <c r="AN15" t="e">
        <f ca="1">(AG17-AH17*AI16)/(AG17+AI16)</f>
        <v>#NAME?</v>
      </c>
      <c r="AP15" s="83" t="e">
        <f t="array" aca="1" ref="AP15" ca="1">MMULT(I15:L15-$AS$18:$AV$18,MMULT($AS$12:$AV$15,TRANSPOSE(I15:L15-$AS$18:$AV$18)))</f>
        <v>#NAME?</v>
      </c>
      <c r="AQ15" s="84" t="e">
        <f t="shared" ca="1" si="6"/>
        <v>#NAME?</v>
      </c>
      <c r="AR15" s="70" t="e">
        <f t="shared" ca="1" si="7"/>
        <v>#NAME?</v>
      </c>
      <c r="AS15" s="85" t="e">
        <f ca="1"/>
        <v>#NAME?</v>
      </c>
      <c r="AT15" s="86" t="e">
        <f ca="1"/>
        <v>#NAME?</v>
      </c>
      <c r="AU15" s="86" t="e">
        <f ca="1"/>
        <v>#NAME?</v>
      </c>
      <c r="AV15" s="87" t="e">
        <f ca="1"/>
        <v>#NAME?</v>
      </c>
      <c r="BA15" t="s">
        <v>69</v>
      </c>
      <c r="BJ15" s="85" t="e">
        <f ca="1"/>
        <v>#NAME?</v>
      </c>
      <c r="BK15" s="86" t="e">
        <f ca="1"/>
        <v>#NAME?</v>
      </c>
      <c r="BL15" s="86" t="e">
        <f ca="1"/>
        <v>#NAME?</v>
      </c>
      <c r="BM15" s="87" t="e">
        <f ca="1"/>
        <v>#NAME?</v>
      </c>
    </row>
    <row r="16" spans="1:68" x14ac:dyDescent="0.35">
      <c r="A16" s="49" t="s">
        <v>290</v>
      </c>
      <c r="B16" s="225">
        <v>200</v>
      </c>
      <c r="C16" s="226">
        <v>157</v>
      </c>
      <c r="D16" s="226">
        <v>283</v>
      </c>
      <c r="E16" s="226">
        <v>259</v>
      </c>
      <c r="F16" s="227">
        <v>273</v>
      </c>
      <c r="H16" s="49" t="str">
        <f t="shared" si="0"/>
        <v>Middle</v>
      </c>
      <c r="I16" s="36">
        <f t="shared" si="2"/>
        <v>-43</v>
      </c>
      <c r="J16" s="37">
        <f t="shared" si="3"/>
        <v>126</v>
      </c>
      <c r="K16" s="37">
        <f t="shared" si="4"/>
        <v>-24</v>
      </c>
      <c r="L16" s="38">
        <f t="shared" si="5"/>
        <v>14</v>
      </c>
      <c r="AF16" t="s">
        <v>191</v>
      </c>
      <c r="AG16" t="e">
        <f ca="1">SUM(AK9:AK11)</f>
        <v>#NAME?</v>
      </c>
      <c r="AH16" t="e">
        <f ca="1">AH17-AH15</f>
        <v>#NAME?</v>
      </c>
      <c r="AI16" t="e">
        <f ca="1">AG16/AH16</f>
        <v>#NAME?</v>
      </c>
      <c r="AP16" s="83" t="e">
        <f t="array" aca="1" ref="AP16" ca="1">MMULT(I16:L16-$AS$18:$AV$18,MMULT($AS$12:$AV$15,TRANSPOSE(I16:L16-$AS$18:$AV$18)))</f>
        <v>#NAME?</v>
      </c>
      <c r="AQ16" s="84" t="e">
        <f t="shared" ca="1" si="6"/>
        <v>#NAME?</v>
      </c>
      <c r="AR16" s="70" t="e">
        <f t="shared" ca="1" si="7"/>
        <v>#NAME?</v>
      </c>
      <c r="BG16" t="s">
        <v>175</v>
      </c>
      <c r="BH16" s="190">
        <v>0.05</v>
      </c>
    </row>
    <row r="17" spans="1:60" x14ac:dyDescent="0.35">
      <c r="A17" s="49" t="s">
        <v>290</v>
      </c>
      <c r="B17" s="225">
        <v>34</v>
      </c>
      <c r="C17" s="226">
        <v>86</v>
      </c>
      <c r="D17" s="226">
        <v>351</v>
      </c>
      <c r="E17" s="226">
        <v>280</v>
      </c>
      <c r="F17" s="227">
        <v>320</v>
      </c>
      <c r="H17" s="49" t="str">
        <f t="shared" si="0"/>
        <v>Middle</v>
      </c>
      <c r="I17" s="36">
        <f t="shared" si="2"/>
        <v>52</v>
      </c>
      <c r="J17" s="37">
        <f t="shared" si="3"/>
        <v>265</v>
      </c>
      <c r="K17" s="37">
        <f t="shared" si="4"/>
        <v>-71</v>
      </c>
      <c r="L17" s="38">
        <f t="shared" si="5"/>
        <v>40</v>
      </c>
      <c r="V17" t="s">
        <v>156</v>
      </c>
      <c r="AA17" t="s">
        <v>287</v>
      </c>
      <c r="AF17" s="40" t="s">
        <v>168</v>
      </c>
      <c r="AG17" s="40">
        <f>DEVSQ(I6:I26)</f>
        <v>107416</v>
      </c>
      <c r="AH17" s="40">
        <f>COUNT(I6:I26)-1</f>
        <v>20</v>
      </c>
      <c r="AI17" s="40">
        <f>AG17/AH17</f>
        <v>5370.8</v>
      </c>
      <c r="AJ17" s="40"/>
      <c r="AK17" s="40"/>
      <c r="AL17" s="40"/>
      <c r="AM17" s="40"/>
      <c r="AN17" s="40"/>
      <c r="AP17" s="83" t="e">
        <f t="array" aca="1" ref="AP17" ca="1">MMULT(I17:L17-$AS$18:$AV$18,MMULT($AS$12:$AV$15,TRANSPOSE(I17:L17-$AS$18:$AV$18)))</f>
        <v>#NAME?</v>
      </c>
      <c r="AQ17" s="84" t="e">
        <f t="shared" ca="1" si="6"/>
        <v>#NAME?</v>
      </c>
      <c r="AR17" s="70" t="e">
        <f t="shared" ca="1" si="7"/>
        <v>#NAME?</v>
      </c>
      <c r="AS17" t="s">
        <v>230</v>
      </c>
      <c r="BA17" t="s">
        <v>66</v>
      </c>
      <c r="BB17" s="187" t="e">
        <f ca="1">BB12-BB13*$BH18</f>
        <v>#NAME?</v>
      </c>
      <c r="BC17" s="232" t="e">
        <f ca="1">BC12-BC13*$BH18</f>
        <v>#NAME?</v>
      </c>
      <c r="BD17" s="232" t="e">
        <f ca="1">BD12-BD13*$BH18</f>
        <v>#NAME?</v>
      </c>
      <c r="BE17" s="189" t="e">
        <f ca="1">BE12-BE13*$BH18</f>
        <v>#NAME?</v>
      </c>
      <c r="BG17" t="s">
        <v>58</v>
      </c>
      <c r="BH17" s="98">
        <f>FINV(BH16,BP9,BP10)</f>
        <v>3.055568275906595</v>
      </c>
    </row>
    <row r="18" spans="1:60" x14ac:dyDescent="0.35">
      <c r="A18" s="49" t="s">
        <v>290</v>
      </c>
      <c r="B18" s="225">
        <v>29</v>
      </c>
      <c r="C18" s="226">
        <v>81</v>
      </c>
      <c r="D18" s="226">
        <v>193</v>
      </c>
      <c r="E18" s="226">
        <v>240</v>
      </c>
      <c r="F18" s="227">
        <v>233</v>
      </c>
      <c r="H18" s="49" t="str">
        <f t="shared" si="0"/>
        <v>Middle</v>
      </c>
      <c r="I18" s="36">
        <f t="shared" si="2"/>
        <v>52</v>
      </c>
      <c r="J18" s="37">
        <f t="shared" si="3"/>
        <v>112</v>
      </c>
      <c r="K18" s="37">
        <f t="shared" si="4"/>
        <v>47</v>
      </c>
      <c r="L18" s="38">
        <f t="shared" si="5"/>
        <v>-7</v>
      </c>
      <c r="V18" s="187" t="e">
        <f t="array" aca="1" ref="V18:Y21" ca="1">COVPooled(H6:L26)*(COUNT(I6:I26)-COUNTAU(H6:H26))</f>
        <v>#NAME?</v>
      </c>
      <c r="W18" s="232" t="e">
        <f ca="1"/>
        <v>#NAME?</v>
      </c>
      <c r="X18" s="232" t="e">
        <f ca="1"/>
        <v>#NAME?</v>
      </c>
      <c r="Y18" s="189" t="e">
        <f ca="1"/>
        <v>#NAME?</v>
      </c>
      <c r="AA18" s="187" t="e">
        <f t="array" aca="1" ref="AA18:AD21" ca="1">ExtractCov(H6:L26,AA17)</f>
        <v>#NAME?</v>
      </c>
      <c r="AB18" s="232" t="e">
        <f ca="1"/>
        <v>#NAME?</v>
      </c>
      <c r="AC18" s="232" t="e">
        <f ca="1"/>
        <v>#NAME?</v>
      </c>
      <c r="AD18" s="189" t="e">
        <f ca="1"/>
        <v>#NAME?</v>
      </c>
      <c r="AP18" s="83" t="e">
        <f t="array" aca="1" ref="AP18" ca="1">MMULT(I18:L18-$AS$18:$AV$18,MMULT($AS$12:$AV$15,TRANSPOSE(I18:L18-$AS$18:$AV$18)))</f>
        <v>#NAME?</v>
      </c>
      <c r="AQ18" s="84" t="e">
        <f t="shared" ca="1" si="6"/>
        <v>#NAME?</v>
      </c>
      <c r="AR18" s="70" t="e">
        <f t="shared" ca="1" si="7"/>
        <v>#NAME?</v>
      </c>
      <c r="AS18" s="191">
        <f>AVERAGE(I6:I26)</f>
        <v>97</v>
      </c>
      <c r="AT18" s="192">
        <f>AVERAGE(J6:J26)</f>
        <v>150.71428571428572</v>
      </c>
      <c r="AU18" s="192">
        <f>AVERAGE(K6:K26)</f>
        <v>-17.142857142857142</v>
      </c>
      <c r="AV18" s="193">
        <f>AVERAGE(L6:L26)</f>
        <v>11.047619047619047</v>
      </c>
      <c r="BA18" t="s">
        <v>67</v>
      </c>
      <c r="BB18" s="85" t="e">
        <f ca="1">BB12+BB13*$BH18</f>
        <v>#NAME?</v>
      </c>
      <c r="BC18" s="86" t="e">
        <f ca="1">BC12+BC13*$BH18</f>
        <v>#NAME?</v>
      </c>
      <c r="BD18" s="86" t="e">
        <f ca="1">BD12+BD13*$BH18</f>
        <v>#NAME?</v>
      </c>
      <c r="BE18" s="87" t="e">
        <f ca="1">BE12+BE13*$BH18</f>
        <v>#NAME?</v>
      </c>
      <c r="BG18" t="s">
        <v>113</v>
      </c>
      <c r="BH18" s="99">
        <f>SQRT(BP9*(BP6-BP8)*BH17/BP10)</f>
        <v>3.8297164026010666</v>
      </c>
    </row>
    <row r="19" spans="1:60" x14ac:dyDescent="0.35">
      <c r="A19" s="52" t="s">
        <v>290</v>
      </c>
      <c r="B19" s="228">
        <v>3</v>
      </c>
      <c r="C19" s="229">
        <v>54</v>
      </c>
      <c r="D19" s="229">
        <v>285</v>
      </c>
      <c r="E19" s="229">
        <v>216</v>
      </c>
      <c r="F19" s="230">
        <v>245</v>
      </c>
      <c r="H19" s="52" t="str">
        <f t="shared" si="0"/>
        <v>Middle</v>
      </c>
      <c r="I19" s="39">
        <f t="shared" si="2"/>
        <v>51</v>
      </c>
      <c r="J19" s="40">
        <f t="shared" si="3"/>
        <v>231</v>
      </c>
      <c r="K19" s="40">
        <f t="shared" si="4"/>
        <v>-69</v>
      </c>
      <c r="L19" s="41">
        <f t="shared" si="5"/>
        <v>29</v>
      </c>
      <c r="V19" s="83" t="e">
        <f ca="1"/>
        <v>#NAME?</v>
      </c>
      <c r="W19" s="37" t="e">
        <f ca="1"/>
        <v>#NAME?</v>
      </c>
      <c r="X19" s="37" t="e">
        <f ca="1"/>
        <v>#NAME?</v>
      </c>
      <c r="Y19" s="84" t="e">
        <f ca="1"/>
        <v>#NAME?</v>
      </c>
      <c r="AA19" s="83" t="e">
        <f ca="1"/>
        <v>#NAME?</v>
      </c>
      <c r="AB19" s="37" t="e">
        <f ca="1"/>
        <v>#NAME?</v>
      </c>
      <c r="AC19" s="37" t="e">
        <f ca="1"/>
        <v>#NAME?</v>
      </c>
      <c r="AD19" s="84" t="e">
        <f ca="1"/>
        <v>#NAME?</v>
      </c>
      <c r="AF19" t="s">
        <v>173</v>
      </c>
      <c r="AI19" t="str">
        <f>J5</f>
        <v>Diff  2</v>
      </c>
      <c r="AP19" s="83" t="e">
        <f t="array" aca="1" ref="AP19" ca="1">MMULT(I19:L19-$AS$18:$AV$18,MMULT($AS$12:$AV$15,TRANSPOSE(I19:L19-$AS$18:$AV$18)))</f>
        <v>#NAME?</v>
      </c>
      <c r="AQ19" s="84" t="e">
        <f t="shared" ca="1" si="6"/>
        <v>#NAME?</v>
      </c>
      <c r="AR19" s="70" t="e">
        <f t="shared" ca="1" si="7"/>
        <v>#NAME?</v>
      </c>
    </row>
    <row r="20" spans="1:60" x14ac:dyDescent="0.35">
      <c r="A20" s="207" t="s">
        <v>288</v>
      </c>
      <c r="B20" s="225">
        <v>118</v>
      </c>
      <c r="C20" s="226">
        <v>124</v>
      </c>
      <c r="D20" s="226">
        <v>365</v>
      </c>
      <c r="E20" s="226">
        <v>311</v>
      </c>
      <c r="F20" s="227">
        <v>331</v>
      </c>
      <c r="H20" s="49" t="str">
        <f t="shared" si="0"/>
        <v>Old</v>
      </c>
      <c r="I20" s="83">
        <f t="shared" si="2"/>
        <v>6</v>
      </c>
      <c r="J20" s="37">
        <f t="shared" si="3"/>
        <v>241</v>
      </c>
      <c r="K20" s="37">
        <f t="shared" si="4"/>
        <v>-54</v>
      </c>
      <c r="L20" s="84">
        <f t="shared" si="5"/>
        <v>20</v>
      </c>
      <c r="V20" s="83" t="e">
        <f ca="1"/>
        <v>#NAME?</v>
      </c>
      <c r="W20" s="37" t="e">
        <f ca="1"/>
        <v>#NAME?</v>
      </c>
      <c r="X20" s="37" t="e">
        <f ca="1"/>
        <v>#NAME?</v>
      </c>
      <c r="Y20" s="84" t="e">
        <f ca="1"/>
        <v>#NAME?</v>
      </c>
      <c r="AA20" s="83" t="e">
        <f ca="1"/>
        <v>#NAME?</v>
      </c>
      <c r="AB20" s="37" t="e">
        <f ca="1"/>
        <v>#NAME?</v>
      </c>
      <c r="AC20" s="37" t="e">
        <f ca="1"/>
        <v>#NAME?</v>
      </c>
      <c r="AD20" s="84" t="e">
        <f ca="1"/>
        <v>#NAME?</v>
      </c>
      <c r="AP20" s="83" t="e">
        <f t="array" aca="1" ref="AP20" ca="1">MMULT(I20:L20-$AS$18:$AV$18,MMULT($AS$12:$AV$15,TRANSPOSE(I20:L20-$AS$18:$AV$18)))</f>
        <v>#NAME?</v>
      </c>
      <c r="AQ20" s="84" t="e">
        <f t="shared" ca="1" si="6"/>
        <v>#NAME?</v>
      </c>
      <c r="AR20" s="70" t="e">
        <f t="shared" ca="1" si="7"/>
        <v>#NAME?</v>
      </c>
      <c r="BA20" t="s">
        <v>221</v>
      </c>
    </row>
    <row r="21" spans="1:60" ht="15" thickBot="1" x14ac:dyDescent="0.4">
      <c r="A21" s="49" t="s">
        <v>288</v>
      </c>
      <c r="B21" s="225">
        <v>83</v>
      </c>
      <c r="C21" s="226">
        <v>266</v>
      </c>
      <c r="D21" s="226">
        <v>382</v>
      </c>
      <c r="E21" s="226">
        <v>369</v>
      </c>
      <c r="F21" s="227">
        <v>295</v>
      </c>
      <c r="H21" s="49" t="str">
        <f t="shared" si="0"/>
        <v>Old</v>
      </c>
      <c r="I21" s="83">
        <f t="shared" si="2"/>
        <v>183</v>
      </c>
      <c r="J21" s="37">
        <f t="shared" si="3"/>
        <v>116</v>
      </c>
      <c r="K21" s="37">
        <f t="shared" si="4"/>
        <v>-13</v>
      </c>
      <c r="L21" s="84">
        <f t="shared" si="5"/>
        <v>-74</v>
      </c>
      <c r="V21" s="85" t="e">
        <f ca="1"/>
        <v>#NAME?</v>
      </c>
      <c r="W21" s="86" t="e">
        <f ca="1"/>
        <v>#NAME?</v>
      </c>
      <c r="X21" s="86" t="e">
        <f ca="1"/>
        <v>#NAME?</v>
      </c>
      <c r="Y21" s="87" t="e">
        <f ca="1"/>
        <v>#NAME?</v>
      </c>
      <c r="AA21" s="85" t="e">
        <f ca="1"/>
        <v>#NAME?</v>
      </c>
      <c r="AB21" s="86" t="e">
        <f ca="1"/>
        <v>#NAME?</v>
      </c>
      <c r="AC21" s="86" t="e">
        <f ca="1"/>
        <v>#NAME?</v>
      </c>
      <c r="AD21" s="87" t="e">
        <f ca="1"/>
        <v>#NAME?</v>
      </c>
      <c r="AF21" t="s">
        <v>174</v>
      </c>
      <c r="AK21" t="s">
        <v>175</v>
      </c>
      <c r="AL21" s="122">
        <v>1.2500000000000001E-2</v>
      </c>
      <c r="AP21" s="83" t="e">
        <f t="array" aca="1" ref="AP21" ca="1">MMULT(I21:L21-$AS$18:$AV$18,MMULT($AS$12:$AV$15,TRANSPOSE(I21:L21-$AS$18:$AV$18)))</f>
        <v>#NAME?</v>
      </c>
      <c r="AQ21" s="84" t="e">
        <f t="shared" ca="1" si="6"/>
        <v>#NAME?</v>
      </c>
      <c r="AR21" s="70" t="e">
        <f t="shared" ca="1" si="7"/>
        <v>#NAME?</v>
      </c>
      <c r="BG21" t="s">
        <v>175</v>
      </c>
      <c r="BH21" s="190">
        <f>BH16/BP7</f>
        <v>1.2500000000000001E-2</v>
      </c>
    </row>
    <row r="22" spans="1:60" ht="15" thickTop="1" x14ac:dyDescent="0.35">
      <c r="A22" s="49" t="s">
        <v>288</v>
      </c>
      <c r="B22" s="225">
        <v>38</v>
      </c>
      <c r="C22" s="226">
        <v>207</v>
      </c>
      <c r="D22" s="226">
        <v>289</v>
      </c>
      <c r="E22" s="226">
        <v>385</v>
      </c>
      <c r="F22" s="227">
        <v>373</v>
      </c>
      <c r="H22" s="49" t="str">
        <f t="shared" si="0"/>
        <v>Old</v>
      </c>
      <c r="I22" s="83">
        <f t="shared" si="2"/>
        <v>169</v>
      </c>
      <c r="J22" s="37">
        <f t="shared" si="3"/>
        <v>82</v>
      </c>
      <c r="K22" s="37">
        <f t="shared" si="4"/>
        <v>96</v>
      </c>
      <c r="L22" s="84">
        <f t="shared" si="5"/>
        <v>-12</v>
      </c>
      <c r="AF22" s="94" t="s">
        <v>176</v>
      </c>
      <c r="AG22" s="94" t="s">
        <v>100</v>
      </c>
      <c r="AH22" s="94" t="s">
        <v>177</v>
      </c>
      <c r="AI22" s="94" t="s">
        <v>34</v>
      </c>
      <c r="AJ22" s="94" t="s">
        <v>178</v>
      </c>
      <c r="AK22" s="94" t="s">
        <v>179</v>
      </c>
      <c r="AL22" s="94" t="s">
        <v>180</v>
      </c>
      <c r="AM22" s="94" t="s">
        <v>181</v>
      </c>
      <c r="AN22" s="94" t="s">
        <v>182</v>
      </c>
      <c r="AP22" s="83" t="e">
        <f t="array" aca="1" ref="AP22" ca="1">MMULT(I22:L22-$AS$18:$AV$18,MMULT($AS$12:$AV$15,TRANSPOSE(I22:L22-$AS$18:$AV$18)))</f>
        <v>#NAME?</v>
      </c>
      <c r="AQ22" s="84" t="e">
        <f t="shared" ca="1" si="6"/>
        <v>#NAME?</v>
      </c>
      <c r="AR22" s="70" t="e">
        <f t="shared" ca="1" si="7"/>
        <v>#NAME?</v>
      </c>
      <c r="BA22" t="s">
        <v>66</v>
      </c>
      <c r="BB22" s="187" t="e">
        <f ca="1">BB12-BB13*$BH23</f>
        <v>#NAME?</v>
      </c>
      <c r="BC22" s="232" t="e">
        <f ca="1">BC12-BC13*$BH23</f>
        <v>#NAME?</v>
      </c>
      <c r="BD22" s="232" t="e">
        <f ca="1">BD12-BD13*$BH23</f>
        <v>#NAME?</v>
      </c>
      <c r="BE22" s="189" t="e">
        <f ca="1">BE12-BE13*$BH23</f>
        <v>#NAME?</v>
      </c>
      <c r="BG22" t="s">
        <v>62</v>
      </c>
      <c r="BH22" s="98">
        <f>BP6-BP8</f>
        <v>18</v>
      </c>
    </row>
    <row r="23" spans="1:60" x14ac:dyDescent="0.35">
      <c r="A23" s="49" t="s">
        <v>288</v>
      </c>
      <c r="B23" s="225">
        <v>71</v>
      </c>
      <c r="C23" s="226">
        <v>211</v>
      </c>
      <c r="D23" s="226">
        <v>356</v>
      </c>
      <c r="E23" s="226">
        <v>380</v>
      </c>
      <c r="F23" s="227">
        <v>305</v>
      </c>
      <c r="H23" s="49" t="str">
        <f t="shared" si="0"/>
        <v>Old</v>
      </c>
      <c r="I23" s="83">
        <f t="shared" si="2"/>
        <v>140</v>
      </c>
      <c r="J23" s="37">
        <f t="shared" si="3"/>
        <v>145</v>
      </c>
      <c r="K23" s="37">
        <f t="shared" si="4"/>
        <v>24</v>
      </c>
      <c r="L23" s="84">
        <f t="shared" si="5"/>
        <v>-75</v>
      </c>
      <c r="AA23" t="s">
        <v>157</v>
      </c>
      <c r="AF23" t="e">
        <f t="array" aca="1" ref="AF23:AF25" ca="1">SortUnique(H6:H26)</f>
        <v>#NAME?</v>
      </c>
      <c r="AG23">
        <f ca="1">COUNTIF($H$6:$H$26,$AF23)</f>
        <v>0</v>
      </c>
      <c r="AH23">
        <f ca="1">SUMIF($H$6:$H$26,$AF23,$J$6:$J$26)</f>
        <v>0</v>
      </c>
      <c r="AI23" t="e">
        <f ca="1">AVERAGEIF($H$6:$H$26,$AF23,$J$6:$J$26)</f>
        <v>#DIV/0!</v>
      </c>
      <c r="AJ23" t="e">
        <f t="array" aca="1" ref="AJ23" ca="1">VAR(IF($H$6:$H$26=$AF23,$J$6:$J$26))</f>
        <v>#NAME?</v>
      </c>
      <c r="AK23" t="e">
        <f ca="1">($AG23-1)*AJ23</f>
        <v>#NAME?</v>
      </c>
      <c r="AL23" t="e">
        <f ca="1">SQRT(AI$30/AG23)</f>
        <v>#NAME?</v>
      </c>
      <c r="AM23" t="e">
        <f ca="1">AI23-AL23*TINV(AL$21,AG23-1)</f>
        <v>#DIV/0!</v>
      </c>
      <c r="AN23" t="e">
        <f ca="1">AI23+AL23*TINV(AL$21,AG23-1)</f>
        <v>#DIV/0!</v>
      </c>
      <c r="AP23" s="83" t="e">
        <f t="array" aca="1" ref="AP23" ca="1">MMULT(I23:L23-$AS$18:$AV$18,MMULT($AS$12:$AV$15,TRANSPOSE(I23:L23-$AS$18:$AV$18)))</f>
        <v>#NAME?</v>
      </c>
      <c r="AQ23" s="84" t="e">
        <f t="shared" ca="1" si="6"/>
        <v>#NAME?</v>
      </c>
      <c r="AR23" s="70" t="e">
        <f t="shared" ca="1" si="7"/>
        <v>#NAME?</v>
      </c>
      <c r="BA23" t="s">
        <v>67</v>
      </c>
      <c r="BB23" s="85" t="e">
        <f ca="1">BB12+BB13*$BH23</f>
        <v>#NAME?</v>
      </c>
      <c r="BC23" s="86" t="e">
        <f ca="1">BC12+BC13*$BH23</f>
        <v>#NAME?</v>
      </c>
      <c r="BD23" s="86" t="e">
        <f ca="1">BD12+BD13*$BH23</f>
        <v>#NAME?</v>
      </c>
      <c r="BE23" s="87" t="e">
        <f ca="1">BE12+BE13*$BH23</f>
        <v>#NAME?</v>
      </c>
      <c r="BG23" t="s">
        <v>63</v>
      </c>
      <c r="BH23" s="99">
        <f>TINV(BH21,BH22)</f>
        <v>2.7745287719336948</v>
      </c>
    </row>
    <row r="24" spans="1:60" x14ac:dyDescent="0.35">
      <c r="A24" s="49" t="s">
        <v>288</v>
      </c>
      <c r="B24" s="225">
        <v>123</v>
      </c>
      <c r="C24" s="226">
        <v>331</v>
      </c>
      <c r="D24" s="226">
        <v>407</v>
      </c>
      <c r="E24" s="226">
        <v>461</v>
      </c>
      <c r="F24" s="227">
        <v>445</v>
      </c>
      <c r="H24" s="49" t="str">
        <f t="shared" si="0"/>
        <v>Old</v>
      </c>
      <c r="I24" s="83">
        <f t="shared" si="2"/>
        <v>208</v>
      </c>
      <c r="J24" s="37">
        <f t="shared" si="3"/>
        <v>76</v>
      </c>
      <c r="K24" s="37">
        <f t="shared" si="4"/>
        <v>54</v>
      </c>
      <c r="L24" s="84">
        <f t="shared" si="5"/>
        <v>-16</v>
      </c>
      <c r="AA24" s="187" t="e">
        <f t="array" aca="1" ref="AA24:AD27" ca="1">COVPooled(H6:L26)</f>
        <v>#NAME?</v>
      </c>
      <c r="AB24" s="232" t="e">
        <f ca="1"/>
        <v>#NAME?</v>
      </c>
      <c r="AC24" s="232" t="e">
        <f ca="1"/>
        <v>#NAME?</v>
      </c>
      <c r="AD24" s="189" t="e">
        <f ca="1"/>
        <v>#NAME?</v>
      </c>
      <c r="AF24" t="e">
        <f ca="1"/>
        <v>#NAME?</v>
      </c>
      <c r="AG24">
        <f ca="1">COUNTIF($H$6:$H$26,$AF24)</f>
        <v>0</v>
      </c>
      <c r="AH24">
        <f ca="1">SUMIF($H$6:$H$26,$AF24,$J$6:$J$26)</f>
        <v>0</v>
      </c>
      <c r="AI24" t="e">
        <f ca="1">AVERAGEIF($H$6:$H$26,$AF24,$J$6:$J$26)</f>
        <v>#DIV/0!</v>
      </c>
      <c r="AJ24" t="e">
        <f t="array" aca="1" ref="AJ24" ca="1">VAR(IF($H$6:$H$26=$AF24,$J$6:$J$26))</f>
        <v>#NAME?</v>
      </c>
      <c r="AK24" t="e">
        <f ca="1">($AG24-1)*AJ24</f>
        <v>#NAME?</v>
      </c>
      <c r="AL24" t="e">
        <f ca="1">SQRT(AI$30/AG24)</f>
        <v>#NAME?</v>
      </c>
      <c r="AM24" t="e">
        <f ca="1">AI24-AL24*TINV(AL$21,AG24-1)</f>
        <v>#DIV/0!</v>
      </c>
      <c r="AN24" t="e">
        <f ca="1">AI24+AL24*TINV(AL$21,AG24-1)</f>
        <v>#DIV/0!</v>
      </c>
      <c r="AP24" s="83" t="e">
        <f t="array" aca="1" ref="AP24" ca="1">MMULT(I24:L24-$AS$18:$AV$18,MMULT($AS$12:$AV$15,TRANSPOSE(I24:L24-$AS$18:$AV$18)))</f>
        <v>#NAME?</v>
      </c>
      <c r="AQ24" s="84" t="e">
        <f t="shared" ca="1" si="6"/>
        <v>#NAME?</v>
      </c>
      <c r="AR24" s="70" t="e">
        <f t="shared" ca="1" si="7"/>
        <v>#NAME?</v>
      </c>
    </row>
    <row r="25" spans="1:60" x14ac:dyDescent="0.35">
      <c r="A25" s="49" t="s">
        <v>288</v>
      </c>
      <c r="B25" s="225">
        <v>71</v>
      </c>
      <c r="C25" s="226">
        <v>285</v>
      </c>
      <c r="D25" s="226">
        <v>471</v>
      </c>
      <c r="E25" s="226">
        <v>407</v>
      </c>
      <c r="F25" s="227">
        <v>433</v>
      </c>
      <c r="H25" s="49" t="str">
        <f t="shared" si="0"/>
        <v>Old</v>
      </c>
      <c r="I25" s="83">
        <f t="shared" si="2"/>
        <v>214</v>
      </c>
      <c r="J25" s="37">
        <f t="shared" si="3"/>
        <v>186</v>
      </c>
      <c r="K25" s="37">
        <f t="shared" si="4"/>
        <v>-64</v>
      </c>
      <c r="L25" s="84">
        <f t="shared" si="5"/>
        <v>26</v>
      </c>
      <c r="AA25" s="83" t="e">
        <f ca="1"/>
        <v>#NAME?</v>
      </c>
      <c r="AB25" s="37" t="e">
        <f ca="1"/>
        <v>#NAME?</v>
      </c>
      <c r="AC25" s="37" t="e">
        <f ca="1"/>
        <v>#NAME?</v>
      </c>
      <c r="AD25" s="84" t="e">
        <f ca="1"/>
        <v>#NAME?</v>
      </c>
      <c r="AF25" t="e">
        <f ca="1"/>
        <v>#NAME?</v>
      </c>
      <c r="AG25">
        <f ca="1">COUNTIF($H$6:$H$26,$AF25)</f>
        <v>0</v>
      </c>
      <c r="AH25">
        <f ca="1">SUMIF($H$6:$H$26,$AF25,$J$6:$J$26)</f>
        <v>0</v>
      </c>
      <c r="AI25" t="e">
        <f ca="1">AVERAGEIF($H$6:$H$26,$AF25,$J$6:$J$26)</f>
        <v>#DIV/0!</v>
      </c>
      <c r="AJ25" t="e">
        <f t="array" aca="1" ref="AJ25" ca="1">VAR(IF($H$6:$H$26=$AF25,$J$6:$J$26))</f>
        <v>#NAME?</v>
      </c>
      <c r="AK25" t="e">
        <f ca="1">($AG25-1)*AJ25</f>
        <v>#NAME?</v>
      </c>
      <c r="AL25" t="e">
        <f ca="1">SQRT(AI$30/AG25)</f>
        <v>#NAME?</v>
      </c>
      <c r="AM25" t="e">
        <f ca="1">AI25-AL25*TINV(AL$21,AG25-1)</f>
        <v>#DIV/0!</v>
      </c>
      <c r="AN25" t="e">
        <f ca="1">AI25+AL25*TINV(AL$21,AG25-1)</f>
        <v>#DIV/0!</v>
      </c>
      <c r="AP25" s="83" t="e">
        <f t="array" aca="1" ref="AP25" ca="1">MMULT(I25:L25-$AS$18:$AV$18,MMULT($AS$12:$AV$15,TRANSPOSE(I25:L25-$AS$18:$AV$18)))</f>
        <v>#NAME?</v>
      </c>
      <c r="AQ25" s="84" t="e">
        <f t="shared" ca="1" si="6"/>
        <v>#NAME?</v>
      </c>
      <c r="AR25" s="70" t="e">
        <f t="shared" ca="1" si="7"/>
        <v>#NAME?</v>
      </c>
    </row>
    <row r="26" spans="1:60" x14ac:dyDescent="0.35">
      <c r="A26" s="52" t="s">
        <v>288</v>
      </c>
      <c r="B26" s="228">
        <v>108</v>
      </c>
      <c r="C26" s="229">
        <v>247</v>
      </c>
      <c r="D26" s="229">
        <v>317</v>
      </c>
      <c r="E26" s="229">
        <v>307</v>
      </c>
      <c r="F26" s="230">
        <v>324</v>
      </c>
      <c r="H26" s="52" t="str">
        <f t="shared" si="0"/>
        <v>Old</v>
      </c>
      <c r="I26" s="85">
        <f t="shared" si="2"/>
        <v>139</v>
      </c>
      <c r="J26" s="86">
        <f t="shared" si="3"/>
        <v>70</v>
      </c>
      <c r="K26" s="86">
        <f t="shared" si="4"/>
        <v>-10</v>
      </c>
      <c r="L26" s="87">
        <f t="shared" si="5"/>
        <v>17</v>
      </c>
      <c r="AA26" s="83" t="e">
        <f ca="1"/>
        <v>#NAME?</v>
      </c>
      <c r="AB26" s="37" t="e">
        <f ca="1"/>
        <v>#NAME?</v>
      </c>
      <c r="AC26" s="37" t="e">
        <f ca="1"/>
        <v>#NAME?</v>
      </c>
      <c r="AD26" s="84" t="e">
        <f ca="1"/>
        <v>#NAME?</v>
      </c>
      <c r="AF26" s="202"/>
      <c r="AG26" s="202"/>
      <c r="AH26" s="202"/>
      <c r="AI26" s="202"/>
      <c r="AJ26" s="202"/>
      <c r="AK26" s="202"/>
      <c r="AL26" s="202"/>
      <c r="AM26" s="202"/>
      <c r="AN26" s="202"/>
      <c r="AP26" s="85" t="e">
        <f t="array" aca="1" ref="AP26" ca="1">MMULT(I26:L26-$AS$18:$AV$18,MMULT($AS$12:$AV$15,TRANSPOSE(I26:L26-$AS$18:$AV$18)))</f>
        <v>#NAME?</v>
      </c>
      <c r="AQ26" s="87" t="e">
        <f t="shared" ca="1" si="6"/>
        <v>#NAME?</v>
      </c>
      <c r="AR26" s="70" t="e">
        <f t="shared" ca="1" si="7"/>
        <v>#NAME?</v>
      </c>
    </row>
    <row r="27" spans="1:60" ht="15" thickBot="1" x14ac:dyDescent="0.4">
      <c r="AA27" s="85" t="e">
        <f ca="1"/>
        <v>#NAME?</v>
      </c>
      <c r="AB27" s="86" t="e">
        <f ca="1"/>
        <v>#NAME?</v>
      </c>
      <c r="AC27" s="86" t="e">
        <f ca="1"/>
        <v>#NAME?</v>
      </c>
      <c r="AD27" s="87" t="e">
        <f ca="1"/>
        <v>#NAME?</v>
      </c>
      <c r="AF27" t="s">
        <v>183</v>
      </c>
    </row>
    <row r="28" spans="1:60" ht="15" thickTop="1" x14ac:dyDescent="0.35">
      <c r="AF28" s="94" t="s">
        <v>184</v>
      </c>
      <c r="AG28" s="94" t="s">
        <v>179</v>
      </c>
      <c r="AH28" s="94" t="s">
        <v>62</v>
      </c>
      <c r="AI28" s="94" t="s">
        <v>185</v>
      </c>
      <c r="AJ28" s="94" t="s">
        <v>54</v>
      </c>
      <c r="AK28" s="94" t="s">
        <v>186</v>
      </c>
      <c r="AL28" s="94" t="s">
        <v>187</v>
      </c>
      <c r="AM28" s="94" t="s">
        <v>188</v>
      </c>
      <c r="AN28" s="94" t="s">
        <v>189</v>
      </c>
    </row>
    <row r="29" spans="1:60" x14ac:dyDescent="0.35">
      <c r="AA29" t="s">
        <v>231</v>
      </c>
      <c r="AF29" t="s">
        <v>190</v>
      </c>
      <c r="AG29" t="e">
        <f ca="1">AG31-AG30</f>
        <v>#NAME?</v>
      </c>
      <c r="AH29" t="e">
        <f ca="1">COUNTAU(H6:H26)-1</f>
        <v>#NAME?</v>
      </c>
      <c r="AI29" t="e">
        <f ca="1">AG29/AH29</f>
        <v>#NAME?</v>
      </c>
      <c r="AJ29" t="e">
        <f ca="1">AI29/AI30</f>
        <v>#NAME?</v>
      </c>
      <c r="AK29" t="e">
        <f ca="1">FDIST(AJ29,AH29,AH30)</f>
        <v>#NAME?</v>
      </c>
      <c r="AL29" t="e">
        <f ca="1">FINV(AL21,AH29,AH30)</f>
        <v>#NAME?</v>
      </c>
      <c r="AM29" t="e">
        <f ca="1">SQRT(DEVSQ(AI23:AI25)/(AI30*AH29))</f>
        <v>#DIV/0!</v>
      </c>
      <c r="AN29" t="e">
        <f ca="1">(AG31-AH31*AI30)/(AG31+AI30)</f>
        <v>#NAME?</v>
      </c>
    </row>
    <row r="30" spans="1:60" x14ac:dyDescent="0.35">
      <c r="AA30" s="187" t="e">
        <f t="array" aca="1" ref="AA30:AD33" ca="1">CORR(I6:L26)</f>
        <v>#NAME?</v>
      </c>
      <c r="AB30" s="232" t="e">
        <f ca="1"/>
        <v>#NAME?</v>
      </c>
      <c r="AC30" s="232" t="e">
        <f ca="1"/>
        <v>#NAME?</v>
      </c>
      <c r="AD30" s="189" t="e">
        <f ca="1"/>
        <v>#NAME?</v>
      </c>
      <c r="AF30" t="s">
        <v>191</v>
      </c>
      <c r="AG30" t="e">
        <f ca="1">SUM(AK23:AK25)</f>
        <v>#NAME?</v>
      </c>
      <c r="AH30" t="e">
        <f ca="1">AH31-AH29</f>
        <v>#NAME?</v>
      </c>
      <c r="AI30" t="e">
        <f ca="1">AG30/AH30</f>
        <v>#NAME?</v>
      </c>
    </row>
    <row r="31" spans="1:60" x14ac:dyDescent="0.35">
      <c r="AA31" s="83" t="e">
        <f ca="1"/>
        <v>#NAME?</v>
      </c>
      <c r="AB31" s="37" t="e">
        <f ca="1"/>
        <v>#NAME?</v>
      </c>
      <c r="AC31" s="37" t="e">
        <f ca="1"/>
        <v>#NAME?</v>
      </c>
      <c r="AD31" s="84" t="e">
        <f ca="1"/>
        <v>#NAME?</v>
      </c>
      <c r="AF31" s="40" t="s">
        <v>168</v>
      </c>
      <c r="AG31" s="40">
        <f>DEVSQ(J6:J26)</f>
        <v>86422.285714285725</v>
      </c>
      <c r="AH31" s="40">
        <f>COUNT(J6:J26)-1</f>
        <v>20</v>
      </c>
      <c r="AI31" s="40">
        <f>AG31/AH31</f>
        <v>4321.1142857142859</v>
      </c>
      <c r="AJ31" s="40"/>
      <c r="AK31" s="40"/>
      <c r="AL31" s="40"/>
      <c r="AM31" s="40"/>
      <c r="AN31" s="40"/>
    </row>
    <row r="32" spans="1:60" x14ac:dyDescent="0.35">
      <c r="AA32" s="83" t="e">
        <f ca="1"/>
        <v>#NAME?</v>
      </c>
      <c r="AB32" s="37" t="e">
        <f ca="1"/>
        <v>#NAME?</v>
      </c>
      <c r="AC32" s="37" t="e">
        <f ca="1"/>
        <v>#NAME?</v>
      </c>
      <c r="AD32" s="84" t="e">
        <f ca="1"/>
        <v>#NAME?</v>
      </c>
    </row>
    <row r="33" spans="27:40" x14ac:dyDescent="0.35">
      <c r="AA33" s="85" t="e">
        <f ca="1"/>
        <v>#NAME?</v>
      </c>
      <c r="AB33" s="86" t="e">
        <f ca="1"/>
        <v>#NAME?</v>
      </c>
      <c r="AC33" s="86" t="e">
        <f ca="1"/>
        <v>#NAME?</v>
      </c>
      <c r="AD33" s="87" t="e">
        <f ca="1"/>
        <v>#NAME?</v>
      </c>
      <c r="AF33" t="s">
        <v>173</v>
      </c>
      <c r="AI33" t="str">
        <f>K5</f>
        <v>Diff  3</v>
      </c>
    </row>
    <row r="35" spans="27:40" ht="15" thickBot="1" x14ac:dyDescent="0.4">
      <c r="AF35" t="s">
        <v>174</v>
      </c>
      <c r="AK35" t="s">
        <v>175</v>
      </c>
      <c r="AL35" s="122">
        <v>1.2500000000000001E-2</v>
      </c>
    </row>
    <row r="36" spans="27:40" ht="15" thickTop="1" x14ac:dyDescent="0.35">
      <c r="AF36" s="94" t="s">
        <v>176</v>
      </c>
      <c r="AG36" s="94" t="s">
        <v>100</v>
      </c>
      <c r="AH36" s="94" t="s">
        <v>177</v>
      </c>
      <c r="AI36" s="94" t="s">
        <v>34</v>
      </c>
      <c r="AJ36" s="94" t="s">
        <v>178</v>
      </c>
      <c r="AK36" s="94" t="s">
        <v>179</v>
      </c>
      <c r="AL36" s="94" t="s">
        <v>180</v>
      </c>
      <c r="AM36" s="94" t="s">
        <v>181</v>
      </c>
      <c r="AN36" s="94" t="s">
        <v>182</v>
      </c>
    </row>
    <row r="37" spans="27:40" x14ac:dyDescent="0.35">
      <c r="AF37" t="e">
        <f t="array" aca="1" ref="AF37:AF39" ca="1">SortUnique(H6:H26)</f>
        <v>#NAME?</v>
      </c>
      <c r="AG37">
        <f ca="1">COUNTIF($H$6:$H$26,$AF37)</f>
        <v>0</v>
      </c>
      <c r="AH37">
        <f ca="1">SUMIF($H$6:$H$26,$AF37,$K$6:$K$26)</f>
        <v>0</v>
      </c>
      <c r="AI37" t="e">
        <f ca="1">AVERAGEIF($H$6:$H$26,$AF37,$K$6:$K$26)</f>
        <v>#DIV/0!</v>
      </c>
      <c r="AJ37" t="e">
        <f t="array" aca="1" ref="AJ37" ca="1">VAR(IF($H$6:$H$26=$AF37,$K$6:$K$26))</f>
        <v>#NAME?</v>
      </c>
      <c r="AK37" t="e">
        <f ca="1">($AG37-1)*AJ37</f>
        <v>#NAME?</v>
      </c>
      <c r="AL37" t="e">
        <f ca="1">SQRT(AI$44/AG37)</f>
        <v>#NAME?</v>
      </c>
      <c r="AM37" t="e">
        <f ca="1">AI37-AL37*TINV(AL$35,AG37-1)</f>
        <v>#DIV/0!</v>
      </c>
      <c r="AN37" t="e">
        <f ca="1">AI37+AL37*TINV(AL$35,AG37-1)</f>
        <v>#DIV/0!</v>
      </c>
    </row>
    <row r="38" spans="27:40" x14ac:dyDescent="0.35">
      <c r="AF38" t="e">
        <f ca="1"/>
        <v>#NAME?</v>
      </c>
      <c r="AG38">
        <f ca="1">COUNTIF($H$6:$H$26,$AF38)</f>
        <v>0</v>
      </c>
      <c r="AH38">
        <f ca="1">SUMIF($H$6:$H$26,$AF38,$K$6:$K$26)</f>
        <v>0</v>
      </c>
      <c r="AI38" t="e">
        <f ca="1">AVERAGEIF($H$6:$H$26,$AF38,$K$6:$K$26)</f>
        <v>#DIV/0!</v>
      </c>
      <c r="AJ38" t="e">
        <f t="array" aca="1" ref="AJ38" ca="1">VAR(IF($H$6:$H$26=$AF38,$K$6:$K$26))</f>
        <v>#NAME?</v>
      </c>
      <c r="AK38" t="e">
        <f ca="1">($AG38-1)*AJ38</f>
        <v>#NAME?</v>
      </c>
      <c r="AL38" t="e">
        <f ca="1">SQRT(AI$44/AG38)</f>
        <v>#NAME?</v>
      </c>
      <c r="AM38" t="e">
        <f ca="1">AI38-AL38*TINV(AL$35,AG38-1)</f>
        <v>#DIV/0!</v>
      </c>
      <c r="AN38" t="e">
        <f ca="1">AI38+AL38*TINV(AL$35,AG38-1)</f>
        <v>#DIV/0!</v>
      </c>
    </row>
    <row r="39" spans="27:40" x14ac:dyDescent="0.35">
      <c r="AF39" t="e">
        <f ca="1"/>
        <v>#NAME?</v>
      </c>
      <c r="AG39">
        <f ca="1">COUNTIF($H$6:$H$26,$AF39)</f>
        <v>0</v>
      </c>
      <c r="AH39">
        <f ca="1">SUMIF($H$6:$H$26,$AF39,$K$6:$K$26)</f>
        <v>0</v>
      </c>
      <c r="AI39" t="e">
        <f ca="1">AVERAGEIF($H$6:$H$26,$AF39,$K$6:$K$26)</f>
        <v>#DIV/0!</v>
      </c>
      <c r="AJ39" t="e">
        <f t="array" aca="1" ref="AJ39" ca="1">VAR(IF($H$6:$H$26=$AF39,$K$6:$K$26))</f>
        <v>#NAME?</v>
      </c>
      <c r="AK39" t="e">
        <f ca="1">($AG39-1)*AJ39</f>
        <v>#NAME?</v>
      </c>
      <c r="AL39" t="e">
        <f ca="1">SQRT(AI$44/AG39)</f>
        <v>#NAME?</v>
      </c>
      <c r="AM39" t="e">
        <f ca="1">AI39-AL39*TINV(AL$35,AG39-1)</f>
        <v>#DIV/0!</v>
      </c>
      <c r="AN39" t="e">
        <f ca="1">AI39+AL39*TINV(AL$35,AG39-1)</f>
        <v>#DIV/0!</v>
      </c>
    </row>
    <row r="40" spans="27:40" x14ac:dyDescent="0.35">
      <c r="AF40" s="202"/>
      <c r="AG40" s="202"/>
      <c r="AH40" s="202"/>
      <c r="AI40" s="202"/>
      <c r="AJ40" s="202"/>
      <c r="AK40" s="202"/>
      <c r="AL40" s="202"/>
      <c r="AM40" s="202"/>
      <c r="AN40" s="202"/>
    </row>
    <row r="41" spans="27:40" ht="15" thickBot="1" x14ac:dyDescent="0.4">
      <c r="AF41" t="s">
        <v>183</v>
      </c>
    </row>
    <row r="42" spans="27:40" ht="15" thickTop="1" x14ac:dyDescent="0.35">
      <c r="AF42" s="94" t="s">
        <v>184</v>
      </c>
      <c r="AG42" s="94" t="s">
        <v>179</v>
      </c>
      <c r="AH42" s="94" t="s">
        <v>62</v>
      </c>
      <c r="AI42" s="94" t="s">
        <v>185</v>
      </c>
      <c r="AJ42" s="94" t="s">
        <v>54</v>
      </c>
      <c r="AK42" s="94" t="s">
        <v>186</v>
      </c>
      <c r="AL42" s="94" t="s">
        <v>187</v>
      </c>
      <c r="AM42" s="94" t="s">
        <v>188</v>
      </c>
      <c r="AN42" s="94" t="s">
        <v>189</v>
      </c>
    </row>
    <row r="43" spans="27:40" x14ac:dyDescent="0.35">
      <c r="AF43" t="s">
        <v>190</v>
      </c>
      <c r="AG43" t="e">
        <f ca="1">AG45-AG44</f>
        <v>#NAME?</v>
      </c>
      <c r="AH43" t="e">
        <f ca="1">COUNTAU(H6:H26)-1</f>
        <v>#NAME?</v>
      </c>
      <c r="AI43" t="e">
        <f ca="1">AG43/AH43</f>
        <v>#NAME?</v>
      </c>
      <c r="AJ43" t="e">
        <f ca="1">AI43/AI44</f>
        <v>#NAME?</v>
      </c>
      <c r="AK43" t="e">
        <f ca="1">FDIST(AJ43,AH43,AH44)</f>
        <v>#NAME?</v>
      </c>
      <c r="AL43" t="e">
        <f ca="1">FINV(AL35,AH43,AH44)</f>
        <v>#NAME?</v>
      </c>
      <c r="AM43" t="e">
        <f ca="1">SQRT(DEVSQ(AI37:AI39)/(AI44*AH43))</f>
        <v>#DIV/0!</v>
      </c>
      <c r="AN43" t="e">
        <f ca="1">(AG45-AH45*AI44)/(AG45+AI44)</f>
        <v>#NAME?</v>
      </c>
    </row>
    <row r="44" spans="27:40" x14ac:dyDescent="0.35">
      <c r="AF44" t="s">
        <v>191</v>
      </c>
      <c r="AG44" t="e">
        <f ca="1">SUM(AK37:AK39)</f>
        <v>#NAME?</v>
      </c>
      <c r="AH44" t="e">
        <f ca="1">AH45-AH43</f>
        <v>#NAME?</v>
      </c>
      <c r="AI44" t="e">
        <f ca="1">AG44/AH44</f>
        <v>#NAME?</v>
      </c>
    </row>
    <row r="45" spans="27:40" x14ac:dyDescent="0.35">
      <c r="AF45" s="40" t="s">
        <v>168</v>
      </c>
      <c r="AG45" s="40">
        <f>DEVSQ(K6:K26)</f>
        <v>56100.571428571428</v>
      </c>
      <c r="AH45" s="40">
        <f>COUNT(K6:K26)-1</f>
        <v>20</v>
      </c>
      <c r="AI45" s="40">
        <f>AG45/AH45</f>
        <v>2805.0285714285715</v>
      </c>
      <c r="AJ45" s="40"/>
      <c r="AK45" s="40"/>
      <c r="AL45" s="40"/>
      <c r="AM45" s="40"/>
      <c r="AN45" s="40"/>
    </row>
    <row r="47" spans="27:40" x14ac:dyDescent="0.35">
      <c r="AF47" t="s">
        <v>173</v>
      </c>
      <c r="AI47" t="str">
        <f>L5</f>
        <v>Diff  4</v>
      </c>
    </row>
    <row r="49" spans="32:40" ht="15" thickBot="1" x14ac:dyDescent="0.4">
      <c r="AF49" t="s">
        <v>174</v>
      </c>
      <c r="AK49" t="s">
        <v>175</v>
      </c>
      <c r="AL49" s="122">
        <v>1.2500000000000001E-2</v>
      </c>
    </row>
    <row r="50" spans="32:40" ht="15" thickTop="1" x14ac:dyDescent="0.35">
      <c r="AF50" s="94" t="s">
        <v>176</v>
      </c>
      <c r="AG50" s="94" t="s">
        <v>100</v>
      </c>
      <c r="AH50" s="94" t="s">
        <v>177</v>
      </c>
      <c r="AI50" s="94" t="s">
        <v>34</v>
      </c>
      <c r="AJ50" s="94" t="s">
        <v>178</v>
      </c>
      <c r="AK50" s="94" t="s">
        <v>179</v>
      </c>
      <c r="AL50" s="94" t="s">
        <v>180</v>
      </c>
      <c r="AM50" s="94" t="s">
        <v>181</v>
      </c>
      <c r="AN50" s="94" t="s">
        <v>182</v>
      </c>
    </row>
    <row r="51" spans="32:40" x14ac:dyDescent="0.35">
      <c r="AF51" t="e">
        <f t="array" aca="1" ref="AF51:AF53" ca="1">SortUnique(H6:H26)</f>
        <v>#NAME?</v>
      </c>
      <c r="AG51">
        <f ca="1">COUNTIF($H$6:$H$26,$AF51)</f>
        <v>0</v>
      </c>
      <c r="AH51">
        <f ca="1">SUMIF($H$6:$H$26,$AF51,$L$6:$L$26)</f>
        <v>0</v>
      </c>
      <c r="AI51" t="e">
        <f ca="1">AVERAGEIF($H$6:$H$26,$AF51,$L$6:$L$26)</f>
        <v>#DIV/0!</v>
      </c>
      <c r="AJ51" t="e">
        <f t="array" aca="1" ref="AJ51" ca="1">VAR(IF($H$6:$H$26=$AF51,$L$6:$L$26))</f>
        <v>#NAME?</v>
      </c>
      <c r="AK51" t="e">
        <f ca="1">($AG51-1)*AJ51</f>
        <v>#NAME?</v>
      </c>
      <c r="AL51" t="e">
        <f ca="1">SQRT(AI$58/AG51)</f>
        <v>#NAME?</v>
      </c>
      <c r="AM51" t="e">
        <f ca="1">AI51-AL51*TINV(AL$49,AG51-1)</f>
        <v>#DIV/0!</v>
      </c>
      <c r="AN51" t="e">
        <f ca="1">AI51+AL51*TINV(AL$49,AG51-1)</f>
        <v>#DIV/0!</v>
      </c>
    </row>
    <row r="52" spans="32:40" x14ac:dyDescent="0.35">
      <c r="AF52" t="e">
        <f ca="1"/>
        <v>#NAME?</v>
      </c>
      <c r="AG52">
        <f ca="1">COUNTIF($H$6:$H$26,$AF52)</f>
        <v>0</v>
      </c>
      <c r="AH52">
        <f ca="1">SUMIF($H$6:$H$26,$AF52,$L$6:$L$26)</f>
        <v>0</v>
      </c>
      <c r="AI52" t="e">
        <f ca="1">AVERAGEIF($H$6:$H$26,$AF52,$L$6:$L$26)</f>
        <v>#DIV/0!</v>
      </c>
      <c r="AJ52" t="e">
        <f t="array" aca="1" ref="AJ52" ca="1">VAR(IF($H$6:$H$26=$AF52,$L$6:$L$26))</f>
        <v>#NAME?</v>
      </c>
      <c r="AK52" t="e">
        <f ca="1">($AG52-1)*AJ52</f>
        <v>#NAME?</v>
      </c>
      <c r="AL52" t="e">
        <f ca="1">SQRT(AI$58/AG52)</f>
        <v>#NAME?</v>
      </c>
      <c r="AM52" t="e">
        <f ca="1">AI52-AL52*TINV(AL$49,AG52-1)</f>
        <v>#DIV/0!</v>
      </c>
      <c r="AN52" t="e">
        <f ca="1">AI52+AL52*TINV(AL$49,AG52-1)</f>
        <v>#DIV/0!</v>
      </c>
    </row>
    <row r="53" spans="32:40" x14ac:dyDescent="0.35">
      <c r="AF53" t="e">
        <f ca="1"/>
        <v>#NAME?</v>
      </c>
      <c r="AG53">
        <f ca="1">COUNTIF($H$6:$H$26,$AF53)</f>
        <v>0</v>
      </c>
      <c r="AH53">
        <f ca="1">SUMIF($H$6:$H$26,$AF53,$L$6:$L$26)</f>
        <v>0</v>
      </c>
      <c r="AI53" t="e">
        <f ca="1">AVERAGEIF($H$6:$H$26,$AF53,$L$6:$L$26)</f>
        <v>#DIV/0!</v>
      </c>
      <c r="AJ53" t="e">
        <f t="array" aca="1" ref="AJ53" ca="1">VAR(IF($H$6:$H$26=$AF53,$L$6:$L$26))</f>
        <v>#NAME?</v>
      </c>
      <c r="AK53" t="e">
        <f ca="1">($AG53-1)*AJ53</f>
        <v>#NAME?</v>
      </c>
      <c r="AL53" t="e">
        <f ca="1">SQRT(AI$58/AG53)</f>
        <v>#NAME?</v>
      </c>
      <c r="AM53" t="e">
        <f ca="1">AI53-AL53*TINV(AL$49,AG53-1)</f>
        <v>#DIV/0!</v>
      </c>
      <c r="AN53" t="e">
        <f ca="1">AI53+AL53*TINV(AL$49,AG53-1)</f>
        <v>#DIV/0!</v>
      </c>
    </row>
    <row r="54" spans="32:40" x14ac:dyDescent="0.35">
      <c r="AF54" s="202"/>
      <c r="AG54" s="202"/>
      <c r="AH54" s="202"/>
      <c r="AI54" s="202"/>
      <c r="AJ54" s="202"/>
      <c r="AK54" s="202"/>
      <c r="AL54" s="202"/>
      <c r="AM54" s="202"/>
      <c r="AN54" s="202"/>
    </row>
    <row r="55" spans="32:40" ht="15" thickBot="1" x14ac:dyDescent="0.4">
      <c r="AF55" t="s">
        <v>183</v>
      </c>
    </row>
    <row r="56" spans="32:40" ht="15" thickTop="1" x14ac:dyDescent="0.35">
      <c r="AF56" s="94" t="s">
        <v>184</v>
      </c>
      <c r="AG56" s="94" t="s">
        <v>179</v>
      </c>
      <c r="AH56" s="94" t="s">
        <v>62</v>
      </c>
      <c r="AI56" s="94" t="s">
        <v>185</v>
      </c>
      <c r="AJ56" s="94" t="s">
        <v>54</v>
      </c>
      <c r="AK56" s="94" t="s">
        <v>186</v>
      </c>
      <c r="AL56" s="94" t="s">
        <v>187</v>
      </c>
      <c r="AM56" s="94" t="s">
        <v>188</v>
      </c>
      <c r="AN56" s="94" t="s">
        <v>189</v>
      </c>
    </row>
    <row r="57" spans="32:40" x14ac:dyDescent="0.35">
      <c r="AF57" t="s">
        <v>190</v>
      </c>
      <c r="AG57" t="e">
        <f ca="1">AG59-AG58</f>
        <v>#NAME?</v>
      </c>
      <c r="AH57" t="e">
        <f ca="1">COUNTAU(H6:H26)-1</f>
        <v>#NAME?</v>
      </c>
      <c r="AI57" t="e">
        <f ca="1">AG57/AH57</f>
        <v>#NAME?</v>
      </c>
      <c r="AJ57" t="e">
        <f ca="1">AI57/AI58</f>
        <v>#NAME?</v>
      </c>
      <c r="AK57" t="e">
        <f ca="1">FDIST(AJ57,AH57,AH58)</f>
        <v>#NAME?</v>
      </c>
      <c r="AL57" t="e">
        <f ca="1">FINV(AL49,AH57,AH58)</f>
        <v>#NAME?</v>
      </c>
      <c r="AM57" t="e">
        <f ca="1">SQRT(DEVSQ(AI51:AI53)/(AI58*AH57))</f>
        <v>#DIV/0!</v>
      </c>
      <c r="AN57" t="e">
        <f ca="1">(AG59-AH59*AI58)/(AG59+AI58)</f>
        <v>#NAME?</v>
      </c>
    </row>
    <row r="58" spans="32:40" x14ac:dyDescent="0.35">
      <c r="AF58" t="s">
        <v>191</v>
      </c>
      <c r="AG58" t="e">
        <f ca="1">SUM(AK51:AK53)</f>
        <v>#NAME?</v>
      </c>
      <c r="AH58" t="e">
        <f ca="1">AH59-AH57</f>
        <v>#NAME?</v>
      </c>
      <c r="AI58" t="e">
        <f ca="1">AG58/AH58</f>
        <v>#NAME?</v>
      </c>
    </row>
    <row r="59" spans="32:40" x14ac:dyDescent="0.35">
      <c r="AF59" s="40" t="s">
        <v>168</v>
      </c>
      <c r="AG59" s="40">
        <f>DEVSQ(L6:L26)</f>
        <v>97342.952380952382</v>
      </c>
      <c r="AH59" s="40">
        <f>COUNT(L6:L26)-1</f>
        <v>20</v>
      </c>
      <c r="AI59" s="40">
        <f>AG59/AH59</f>
        <v>4867.1476190476187</v>
      </c>
      <c r="AJ59" s="40"/>
      <c r="AK59" s="40"/>
      <c r="AL59" s="40"/>
      <c r="AM59" s="40"/>
      <c r="AN59" s="4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50"/>
  <dimension ref="A1:AB26"/>
  <sheetViews>
    <sheetView workbookViewId="0"/>
  </sheetViews>
  <sheetFormatPr defaultRowHeight="14.5" x14ac:dyDescent="0.35"/>
  <cols>
    <col min="2" max="3" width="6.54296875" customWidth="1"/>
    <col min="8" max="8" width="15.7265625" customWidth="1"/>
    <col min="19" max="19" width="6.453125" customWidth="1"/>
    <col min="20" max="20" width="15.7265625" customWidth="1"/>
  </cols>
  <sheetData>
    <row r="1" spans="1:28" x14ac:dyDescent="0.35">
      <c r="A1" s="42" t="s">
        <v>579</v>
      </c>
    </row>
    <row r="3" spans="1:28" x14ac:dyDescent="0.35">
      <c r="E3" t="s">
        <v>567</v>
      </c>
      <c r="H3" t="s">
        <v>147</v>
      </c>
      <c r="P3" t="s">
        <v>572</v>
      </c>
    </row>
    <row r="4" spans="1:28" ht="15" thickBot="1" x14ac:dyDescent="0.4"/>
    <row r="5" spans="1:28" ht="15" thickTop="1" x14ac:dyDescent="0.35">
      <c r="A5" s="74" t="s">
        <v>554</v>
      </c>
      <c r="B5" s="47" t="s">
        <v>555</v>
      </c>
      <c r="C5" s="47" t="s">
        <v>556</v>
      </c>
      <c r="E5" t="str">
        <f>A5</f>
        <v>Age</v>
      </c>
      <c r="F5" s="47" t="s">
        <v>568</v>
      </c>
      <c r="H5" s="94"/>
      <c r="I5" s="94" t="s">
        <v>148</v>
      </c>
      <c r="J5" s="94" t="s">
        <v>54</v>
      </c>
      <c r="K5" s="94" t="s">
        <v>55</v>
      </c>
      <c r="L5" s="94" t="s">
        <v>56</v>
      </c>
      <c r="M5" s="94" t="s">
        <v>65</v>
      </c>
      <c r="N5" s="94" t="s">
        <v>149</v>
      </c>
      <c r="P5" t="e">
        <f t="array" aca="1" ref="P5:R12" ca="1">StdAnova1(E6:F26)</f>
        <v>#NAME?</v>
      </c>
      <c r="Q5" t="e">
        <f ca="1"/>
        <v>#NAME?</v>
      </c>
      <c r="R5" t="e">
        <f ca="1"/>
        <v>#NAME?</v>
      </c>
      <c r="T5" t="s">
        <v>173</v>
      </c>
    </row>
    <row r="6" spans="1:28" x14ac:dyDescent="0.35">
      <c r="A6" s="37" t="s">
        <v>287</v>
      </c>
      <c r="B6" s="222">
        <v>250</v>
      </c>
      <c r="C6" s="224">
        <v>278</v>
      </c>
      <c r="E6" t="str">
        <f t="shared" ref="E6:E26" si="0">A6</f>
        <v>Young</v>
      </c>
      <c r="F6" s="190">
        <f>C6-B6</f>
        <v>28</v>
      </c>
      <c r="H6" t="s">
        <v>150</v>
      </c>
      <c r="I6" t="e">
        <f ca="1">MANOVA_PillaiTrace(E6:F26)</f>
        <v>#NAME?</v>
      </c>
      <c r="J6" t="e">
        <f ca="1">MANOVA_PillaiF(E6:F26)</f>
        <v>#NAME?</v>
      </c>
      <c r="K6" t="e">
        <f ca="1">MANOVA_Pillaidf1(E6:F26)</f>
        <v>#NAME?</v>
      </c>
      <c r="L6" t="e">
        <f ca="1">MANOVA_Pillaidf2(E6:F26)</f>
        <v>#NAME?</v>
      </c>
      <c r="M6" t="e">
        <f ca="1">F_DIST_RT(J6,K6,L6)</f>
        <v>#NAME?</v>
      </c>
      <c r="N6" t="e">
        <f ca="1">J6*K6/(J6*K6+L6)</f>
        <v>#NAME?</v>
      </c>
      <c r="P6" s="187" t="e">
        <f ca="1"/>
        <v>#NAME?</v>
      </c>
      <c r="Q6" s="232" t="e">
        <f ca="1"/>
        <v>#NAME?</v>
      </c>
      <c r="R6" s="189" t="e">
        <f ca="1"/>
        <v>#NAME?</v>
      </c>
    </row>
    <row r="7" spans="1:28" ht="15" thickBot="1" x14ac:dyDescent="0.4">
      <c r="A7" s="37" t="s">
        <v>287</v>
      </c>
      <c r="B7" s="225">
        <v>65</v>
      </c>
      <c r="C7" s="227">
        <v>207</v>
      </c>
      <c r="E7" t="str">
        <f t="shared" si="0"/>
        <v>Young</v>
      </c>
      <c r="F7" s="98">
        <f t="shared" ref="F7:F26" si="1">C7-B7</f>
        <v>142</v>
      </c>
      <c r="H7" t="s">
        <v>151</v>
      </c>
      <c r="I7" t="e">
        <f ca="1">MANOVA_WilksLambda(E6:F26)</f>
        <v>#NAME?</v>
      </c>
      <c r="J7" t="e">
        <f t="array" aca="1" ref="J7" ca="1">MANOVA_WilksF(E6:F26)</f>
        <v>#NAME?</v>
      </c>
      <c r="K7" t="e">
        <f ca="1">MANOVA_Wilksdf1(E6:F26)</f>
        <v>#NAME?</v>
      </c>
      <c r="L7" t="e">
        <f ca="1">MANOVA_Wilksdf2(E6:F26)</f>
        <v>#NAME?</v>
      </c>
      <c r="M7" t="e">
        <f ca="1">F_DIST_RT(J7,K7,L7)</f>
        <v>#NAME?</v>
      </c>
      <c r="N7" t="e">
        <f ca="1">J7*K7/(J7*K7+L7)</f>
        <v>#NAME?</v>
      </c>
      <c r="P7" s="83" t="e">
        <f ca="1"/>
        <v>#NAME?</v>
      </c>
      <c r="Q7" s="37" t="e">
        <f ca="1"/>
        <v>#NAME?</v>
      </c>
      <c r="R7" s="84" t="e">
        <f ca="1"/>
        <v>#NAME?</v>
      </c>
      <c r="T7" t="s">
        <v>174</v>
      </c>
      <c r="Y7" t="s">
        <v>175</v>
      </c>
      <c r="Z7">
        <v>0.05</v>
      </c>
    </row>
    <row r="8" spans="1:28" ht="15" thickTop="1" x14ac:dyDescent="0.35">
      <c r="A8" s="37" t="s">
        <v>287</v>
      </c>
      <c r="B8" s="225">
        <v>251</v>
      </c>
      <c r="C8" s="227">
        <v>261</v>
      </c>
      <c r="E8" t="str">
        <f t="shared" si="0"/>
        <v>Young</v>
      </c>
      <c r="F8" s="98">
        <f t="shared" si="1"/>
        <v>10</v>
      </c>
      <c r="H8" t="s">
        <v>152</v>
      </c>
      <c r="I8" t="e">
        <f ca="1">MANOVA_HotelTrace(E6:F26)</f>
        <v>#NAME?</v>
      </c>
      <c r="J8" t="e">
        <f ca="1">MANOVA_HotelF(E6:F26)</f>
        <v>#NAME?</v>
      </c>
      <c r="K8" t="e">
        <f ca="1">MANOVA_Hoteldf1(E6:F26)</f>
        <v>#NAME?</v>
      </c>
      <c r="L8" t="e">
        <f ca="1">MANOVA_Hoteldf2(E6:F26)</f>
        <v>#NAME?</v>
      </c>
      <c r="M8" t="e">
        <f ca="1">F_DIST_RT(J8,K8,L8)</f>
        <v>#NAME?</v>
      </c>
      <c r="N8" t="e">
        <f ca="1">J8*K8/(J8*K8+L8)</f>
        <v>#NAME?</v>
      </c>
      <c r="P8" s="83" t="e">
        <f ca="1"/>
        <v>#NAME?</v>
      </c>
      <c r="Q8" s="37" t="e">
        <f ca="1"/>
        <v>#NAME?</v>
      </c>
      <c r="R8" s="84" t="e">
        <f ca="1"/>
        <v>#NAME?</v>
      </c>
      <c r="T8" s="94" t="s">
        <v>176</v>
      </c>
      <c r="U8" s="94" t="s">
        <v>100</v>
      </c>
      <c r="V8" s="94" t="s">
        <v>177</v>
      </c>
      <c r="W8" s="94" t="s">
        <v>34</v>
      </c>
      <c r="X8" s="94" t="s">
        <v>178</v>
      </c>
      <c r="Y8" s="94" t="s">
        <v>179</v>
      </c>
      <c r="Z8" s="94" t="s">
        <v>180</v>
      </c>
      <c r="AA8" s="94" t="s">
        <v>181</v>
      </c>
      <c r="AB8" s="94" t="s">
        <v>182</v>
      </c>
    </row>
    <row r="9" spans="1:28" x14ac:dyDescent="0.35">
      <c r="A9" s="37" t="s">
        <v>287</v>
      </c>
      <c r="B9" s="225">
        <v>241</v>
      </c>
      <c r="C9" s="227">
        <v>314</v>
      </c>
      <c r="E9" t="str">
        <f t="shared" si="0"/>
        <v>Young</v>
      </c>
      <c r="F9" s="98">
        <f t="shared" si="1"/>
        <v>73</v>
      </c>
      <c r="H9" s="40" t="s">
        <v>153</v>
      </c>
      <c r="I9" s="40" t="e">
        <f ca="1">MANOVA_RoyRoot(E6:F26)</f>
        <v>#NAME?</v>
      </c>
      <c r="J9" s="40"/>
      <c r="K9" s="40"/>
      <c r="L9" s="40"/>
      <c r="M9" s="40"/>
      <c r="N9" s="40"/>
      <c r="P9" s="83" t="e">
        <f ca="1"/>
        <v>#NAME?</v>
      </c>
      <c r="Q9" s="37" t="e">
        <f ca="1"/>
        <v>#NAME?</v>
      </c>
      <c r="R9" s="84" t="e">
        <f ca="1"/>
        <v>#NAME?</v>
      </c>
      <c r="T9" t="e">
        <f ca="1">P5</f>
        <v>#NAME?</v>
      </c>
      <c r="U9">
        <f ca="1">COUNT(P6:P12)</f>
        <v>0</v>
      </c>
      <c r="V9" t="e">
        <f ca="1">SUM(P6:P12)</f>
        <v>#NAME?</v>
      </c>
      <c r="W9" t="e">
        <f ca="1">AVERAGE(P6:P12)</f>
        <v>#NAME?</v>
      </c>
      <c r="X9" t="e">
        <f ca="1">VAR(P6:P12)</f>
        <v>#NAME?</v>
      </c>
      <c r="Y9" t="e">
        <f ca="1">DEVSQ(P6:P12)</f>
        <v>#NAME?</v>
      </c>
      <c r="Z9" t="e">
        <f ca="1">SQRT(W16/U9)</f>
        <v>#NAME?</v>
      </c>
      <c r="AA9" t="e">
        <f ca="1">W9-Z9*TINV(Z7,U9-1)</f>
        <v>#NAME?</v>
      </c>
      <c r="AB9" t="e">
        <f ca="1">W9+Z9*TINV(Z7,U9-1)</f>
        <v>#NAME?</v>
      </c>
    </row>
    <row r="10" spans="1:28" x14ac:dyDescent="0.35">
      <c r="A10" s="37" t="s">
        <v>287</v>
      </c>
      <c r="B10" s="225">
        <v>154</v>
      </c>
      <c r="C10" s="227">
        <v>167</v>
      </c>
      <c r="E10" t="str">
        <f t="shared" si="0"/>
        <v>Young</v>
      </c>
      <c r="F10" s="98">
        <f t="shared" si="1"/>
        <v>13</v>
      </c>
      <c r="P10" s="83" t="e">
        <f ca="1"/>
        <v>#NAME?</v>
      </c>
      <c r="Q10" s="37" t="e">
        <f ca="1"/>
        <v>#NAME?</v>
      </c>
      <c r="R10" s="84" t="e">
        <f ca="1"/>
        <v>#NAME?</v>
      </c>
      <c r="T10" t="e">
        <f ca="1">Q5</f>
        <v>#NAME?</v>
      </c>
      <c r="U10">
        <f ca="1">COUNT(Q6:Q12)</f>
        <v>0</v>
      </c>
      <c r="V10" t="e">
        <f ca="1">SUM(Q6:Q12)</f>
        <v>#NAME?</v>
      </c>
      <c r="W10" t="e">
        <f ca="1">AVERAGE(Q6:Q12)</f>
        <v>#NAME?</v>
      </c>
      <c r="X10" t="e">
        <f ca="1">VAR(Q6:Q12)</f>
        <v>#NAME?</v>
      </c>
      <c r="Y10" t="e">
        <f ca="1">DEVSQ(Q6:Q12)</f>
        <v>#NAME?</v>
      </c>
      <c r="Z10" t="e">
        <f ca="1">SQRT(W16/U10)</f>
        <v>#NAME?</v>
      </c>
      <c r="AA10" t="e">
        <f ca="1">W10-Z10*TINV(Z7,U10-1)</f>
        <v>#NAME?</v>
      </c>
      <c r="AB10" t="e">
        <f ca="1">W10+Z10*TINV(Z7,U10-1)</f>
        <v>#NAME?</v>
      </c>
    </row>
    <row r="11" spans="1:28" x14ac:dyDescent="0.35">
      <c r="A11" s="37" t="s">
        <v>287</v>
      </c>
      <c r="B11" s="225">
        <v>103</v>
      </c>
      <c r="C11" s="227">
        <v>286</v>
      </c>
      <c r="E11" t="str">
        <f t="shared" si="0"/>
        <v>Young</v>
      </c>
      <c r="F11" s="98">
        <f t="shared" si="1"/>
        <v>183</v>
      </c>
      <c r="P11" s="83" t="e">
        <f ca="1"/>
        <v>#NAME?</v>
      </c>
      <c r="Q11" s="37" t="e">
        <f ca="1"/>
        <v>#NAME?</v>
      </c>
      <c r="R11" s="84" t="e">
        <f ca="1"/>
        <v>#NAME?</v>
      </c>
      <c r="T11" t="e">
        <f ca="1">R5</f>
        <v>#NAME?</v>
      </c>
      <c r="U11">
        <f ca="1">COUNT(R6:R12)</f>
        <v>0</v>
      </c>
      <c r="V11" t="e">
        <f ca="1">SUM(R6:R12)</f>
        <v>#NAME?</v>
      </c>
      <c r="W11" t="e">
        <f ca="1">AVERAGE(R6:R12)</f>
        <v>#NAME?</v>
      </c>
      <c r="X11" t="e">
        <f ca="1">VAR(R6:R12)</f>
        <v>#NAME?</v>
      </c>
      <c r="Y11" t="e">
        <f ca="1">DEVSQ(R6:R12)</f>
        <v>#NAME?</v>
      </c>
      <c r="Z11" t="e">
        <f ca="1">SQRT(W16/U11)</f>
        <v>#NAME?</v>
      </c>
      <c r="AA11" t="e">
        <f ca="1">W11-Z11*TINV(Z7,U11-1)</f>
        <v>#NAME?</v>
      </c>
      <c r="AB11" t="e">
        <f ca="1">W11+Z11*TINV(Z7,U11-1)</f>
        <v>#NAME?</v>
      </c>
    </row>
    <row r="12" spans="1:28" x14ac:dyDescent="0.35">
      <c r="A12" s="37" t="s">
        <v>287</v>
      </c>
      <c r="B12" s="228">
        <v>230</v>
      </c>
      <c r="C12" s="227">
        <v>306</v>
      </c>
      <c r="E12" t="str">
        <f t="shared" si="0"/>
        <v>Young</v>
      </c>
      <c r="F12" s="98">
        <f t="shared" si="1"/>
        <v>76</v>
      </c>
      <c r="P12" s="85" t="e">
        <f ca="1"/>
        <v>#NAME?</v>
      </c>
      <c r="Q12" s="86" t="e">
        <f ca="1"/>
        <v>#NAME?</v>
      </c>
      <c r="R12" s="87" t="e">
        <f ca="1"/>
        <v>#NAME?</v>
      </c>
      <c r="T12" s="202"/>
      <c r="U12" s="202"/>
      <c r="V12" s="202"/>
      <c r="W12" s="202"/>
      <c r="X12" s="202"/>
      <c r="Y12" s="202"/>
      <c r="Z12" s="202"/>
      <c r="AA12" s="202"/>
      <c r="AB12" s="202"/>
    </row>
    <row r="13" spans="1:28" ht="15" thickBot="1" x14ac:dyDescent="0.4">
      <c r="A13" s="207" t="s">
        <v>290</v>
      </c>
      <c r="B13" s="222">
        <v>54</v>
      </c>
      <c r="C13" s="224">
        <v>172</v>
      </c>
      <c r="E13" t="str">
        <f t="shared" si="0"/>
        <v>Middle</v>
      </c>
      <c r="F13" s="98">
        <f t="shared" si="1"/>
        <v>118</v>
      </c>
      <c r="T13" t="s">
        <v>183</v>
      </c>
    </row>
    <row r="14" spans="1:28" ht="15" thickTop="1" x14ac:dyDescent="0.35">
      <c r="A14" s="49" t="s">
        <v>290</v>
      </c>
      <c r="B14" s="225">
        <v>20</v>
      </c>
      <c r="C14" s="227">
        <v>116</v>
      </c>
      <c r="E14" t="str">
        <f t="shared" si="0"/>
        <v>Middle</v>
      </c>
      <c r="F14" s="98">
        <f t="shared" si="1"/>
        <v>96</v>
      </c>
      <c r="T14" s="94" t="s">
        <v>184</v>
      </c>
      <c r="U14" s="94" t="s">
        <v>179</v>
      </c>
      <c r="V14" s="94" t="s">
        <v>62</v>
      </c>
      <c r="W14" s="94" t="s">
        <v>185</v>
      </c>
      <c r="X14" s="94" t="s">
        <v>54</v>
      </c>
      <c r="Y14" s="94" t="s">
        <v>186</v>
      </c>
      <c r="Z14" s="94" t="s">
        <v>187</v>
      </c>
      <c r="AA14" s="94" t="s">
        <v>188</v>
      </c>
      <c r="AB14" s="94" t="s">
        <v>189</v>
      </c>
    </row>
    <row r="15" spans="1:28" x14ac:dyDescent="0.35">
      <c r="A15" s="49" t="s">
        <v>290</v>
      </c>
      <c r="B15" s="225">
        <v>41</v>
      </c>
      <c r="C15" s="227">
        <v>168</v>
      </c>
      <c r="E15" t="str">
        <f t="shared" si="0"/>
        <v>Middle</v>
      </c>
      <c r="F15" s="98">
        <f t="shared" si="1"/>
        <v>127</v>
      </c>
      <c r="T15" t="s">
        <v>190</v>
      </c>
      <c r="U15" t="e">
        <f ca="1">U17-U16</f>
        <v>#NAME?</v>
      </c>
      <c r="V15">
        <f ca="1">COUNTA(T9:T11)-1</f>
        <v>2</v>
      </c>
      <c r="W15" t="e">
        <f ca="1">U15/V15</f>
        <v>#NAME?</v>
      </c>
      <c r="X15" t="e">
        <f ca="1">W15/W16</f>
        <v>#NAME?</v>
      </c>
      <c r="Y15" t="e">
        <f ca="1">FDIST(X15,V15,V16)</f>
        <v>#NAME?</v>
      </c>
      <c r="Z15" t="e">
        <f ca="1">FINV(Z7,V15,V16)</f>
        <v>#NUM!</v>
      </c>
      <c r="AA15" t="e">
        <f ca="1">SQRT(DEVSQ(W9:W11)/(W16*V15))</f>
        <v>#NAME?</v>
      </c>
      <c r="AB15" t="e">
        <f ca="1">(U17-V17*W16)/(U17+W16)</f>
        <v>#NAME?</v>
      </c>
    </row>
    <row r="16" spans="1:28" x14ac:dyDescent="0.35">
      <c r="A16" s="49" t="s">
        <v>290</v>
      </c>
      <c r="B16" s="225">
        <v>200</v>
      </c>
      <c r="C16" s="227">
        <v>157</v>
      </c>
      <c r="E16" t="str">
        <f t="shared" si="0"/>
        <v>Middle</v>
      </c>
      <c r="F16" s="98">
        <f t="shared" si="1"/>
        <v>-43</v>
      </c>
      <c r="T16" t="s">
        <v>191</v>
      </c>
      <c r="U16" t="e">
        <f ca="1">SUM(Y9:Y11)</f>
        <v>#NAME?</v>
      </c>
      <c r="V16">
        <f ca="1">V17-V15</f>
        <v>-3</v>
      </c>
      <c r="W16" t="e">
        <f ca="1">U16/V16</f>
        <v>#NAME?</v>
      </c>
    </row>
    <row r="17" spans="1:28" x14ac:dyDescent="0.35">
      <c r="A17" s="49" t="s">
        <v>290</v>
      </c>
      <c r="B17" s="225">
        <v>34</v>
      </c>
      <c r="C17" s="227">
        <v>86</v>
      </c>
      <c r="E17" t="str">
        <f t="shared" si="0"/>
        <v>Middle</v>
      </c>
      <c r="F17" s="98">
        <f t="shared" si="1"/>
        <v>52</v>
      </c>
      <c r="T17" s="40" t="s">
        <v>168</v>
      </c>
      <c r="U17" s="40" t="e">
        <f ca="1">DEVSQ(P6:R12)</f>
        <v>#NAME?</v>
      </c>
      <c r="V17" s="40">
        <f ca="1">COUNT(P6:R12)-1</f>
        <v>-1</v>
      </c>
      <c r="W17" s="40" t="e">
        <f ca="1">U17/V17</f>
        <v>#NAME?</v>
      </c>
      <c r="X17" s="40"/>
      <c r="Y17" s="40"/>
      <c r="Z17" s="40"/>
      <c r="AA17" s="40"/>
      <c r="AB17" s="40"/>
    </row>
    <row r="18" spans="1:28" x14ac:dyDescent="0.35">
      <c r="A18" s="49" t="s">
        <v>290</v>
      </c>
      <c r="B18" s="225">
        <v>29</v>
      </c>
      <c r="C18" s="227">
        <v>81</v>
      </c>
      <c r="E18" t="str">
        <f t="shared" si="0"/>
        <v>Middle</v>
      </c>
      <c r="F18" s="98">
        <f t="shared" si="1"/>
        <v>52</v>
      </c>
    </row>
    <row r="19" spans="1:28" x14ac:dyDescent="0.35">
      <c r="A19" s="52" t="s">
        <v>290</v>
      </c>
      <c r="B19" s="228">
        <v>3</v>
      </c>
      <c r="C19" s="230">
        <v>54</v>
      </c>
      <c r="E19" t="str">
        <f t="shared" si="0"/>
        <v>Middle</v>
      </c>
      <c r="F19" s="98">
        <f t="shared" si="1"/>
        <v>51</v>
      </c>
    </row>
    <row r="20" spans="1:28" x14ac:dyDescent="0.35">
      <c r="A20" s="207" t="s">
        <v>288</v>
      </c>
      <c r="B20" s="225">
        <v>118</v>
      </c>
      <c r="C20" s="227">
        <v>124</v>
      </c>
      <c r="E20" t="str">
        <f t="shared" si="0"/>
        <v>Old</v>
      </c>
      <c r="F20" s="98">
        <f t="shared" si="1"/>
        <v>6</v>
      </c>
    </row>
    <row r="21" spans="1:28" x14ac:dyDescent="0.35">
      <c r="A21" s="49" t="s">
        <v>288</v>
      </c>
      <c r="B21" s="225">
        <v>83</v>
      </c>
      <c r="C21" s="227">
        <v>266</v>
      </c>
      <c r="E21" t="str">
        <f t="shared" si="0"/>
        <v>Old</v>
      </c>
      <c r="F21" s="98">
        <f t="shared" si="1"/>
        <v>183</v>
      </c>
    </row>
    <row r="22" spans="1:28" x14ac:dyDescent="0.35">
      <c r="A22" s="49" t="s">
        <v>288</v>
      </c>
      <c r="B22" s="225">
        <v>38</v>
      </c>
      <c r="C22" s="227">
        <v>207</v>
      </c>
      <c r="E22" t="str">
        <f t="shared" si="0"/>
        <v>Old</v>
      </c>
      <c r="F22" s="98">
        <f t="shared" si="1"/>
        <v>169</v>
      </c>
    </row>
    <row r="23" spans="1:28" x14ac:dyDescent="0.35">
      <c r="A23" s="49" t="s">
        <v>288</v>
      </c>
      <c r="B23" s="225">
        <v>71</v>
      </c>
      <c r="C23" s="227">
        <v>211</v>
      </c>
      <c r="E23" t="str">
        <f t="shared" si="0"/>
        <v>Old</v>
      </c>
      <c r="F23" s="98">
        <f t="shared" si="1"/>
        <v>140</v>
      </c>
    </row>
    <row r="24" spans="1:28" x14ac:dyDescent="0.35">
      <c r="A24" s="49" t="s">
        <v>288</v>
      </c>
      <c r="B24" s="225">
        <v>123</v>
      </c>
      <c r="C24" s="227">
        <v>331</v>
      </c>
      <c r="E24" t="str">
        <f t="shared" si="0"/>
        <v>Old</v>
      </c>
      <c r="F24" s="98">
        <f t="shared" si="1"/>
        <v>208</v>
      </c>
    </row>
    <row r="25" spans="1:28" x14ac:dyDescent="0.35">
      <c r="A25" s="49" t="s">
        <v>288</v>
      </c>
      <c r="B25" s="225">
        <v>71</v>
      </c>
      <c r="C25" s="227">
        <v>285</v>
      </c>
      <c r="E25" t="str">
        <f t="shared" si="0"/>
        <v>Old</v>
      </c>
      <c r="F25" s="98">
        <f t="shared" si="1"/>
        <v>214</v>
      </c>
    </row>
    <row r="26" spans="1:28" x14ac:dyDescent="0.35">
      <c r="A26" s="52" t="s">
        <v>288</v>
      </c>
      <c r="B26" s="228">
        <v>108</v>
      </c>
      <c r="C26" s="230">
        <v>247</v>
      </c>
      <c r="E26" t="str">
        <f t="shared" si="0"/>
        <v>Old</v>
      </c>
      <c r="F26" s="99">
        <f t="shared" si="1"/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9"/>
  <dimension ref="A1:I12"/>
  <sheetViews>
    <sheetView workbookViewId="0"/>
  </sheetViews>
  <sheetFormatPr defaultRowHeight="14.5" x14ac:dyDescent="0.35"/>
  <cols>
    <col min="3" max="3" width="3" customWidth="1"/>
    <col min="4" max="4" width="30" customWidth="1"/>
    <col min="6" max="6" width="10" customWidth="1"/>
    <col min="8" max="8" width="3.26953125" customWidth="1"/>
    <col min="9" max="9" width="31" customWidth="1"/>
  </cols>
  <sheetData>
    <row r="1" spans="1:9" x14ac:dyDescent="0.35">
      <c r="A1" s="42" t="s">
        <v>834</v>
      </c>
    </row>
    <row r="3" spans="1:9" x14ac:dyDescent="0.35">
      <c r="A3" t="s">
        <v>460</v>
      </c>
      <c r="B3" s="146">
        <v>0.5</v>
      </c>
      <c r="C3" s="37"/>
      <c r="F3" t="s">
        <v>460</v>
      </c>
      <c r="G3" s="146">
        <v>0.5</v>
      </c>
    </row>
    <row r="4" spans="1:9" x14ac:dyDescent="0.35">
      <c r="A4" t="s">
        <v>52</v>
      </c>
      <c r="B4" s="173">
        <v>50</v>
      </c>
      <c r="C4" s="37"/>
      <c r="F4" t="s">
        <v>822</v>
      </c>
      <c r="G4" s="173">
        <v>0.95</v>
      </c>
    </row>
    <row r="5" spans="1:9" x14ac:dyDescent="0.35">
      <c r="A5" t="s">
        <v>53</v>
      </c>
      <c r="B5" s="173">
        <v>3</v>
      </c>
      <c r="C5" s="37"/>
      <c r="F5" t="s">
        <v>53</v>
      </c>
      <c r="G5" s="173">
        <v>3</v>
      </c>
    </row>
    <row r="6" spans="1:9" x14ac:dyDescent="0.35">
      <c r="A6" t="s">
        <v>833</v>
      </c>
      <c r="B6" s="173">
        <f>B4-B5</f>
        <v>47</v>
      </c>
      <c r="C6" s="37"/>
      <c r="D6" s="37" t="e">
        <f ca="1">FTEXT(B6)</f>
        <v>#NAME?</v>
      </c>
      <c r="F6" t="s">
        <v>220</v>
      </c>
      <c r="G6" s="173">
        <v>0.05</v>
      </c>
    </row>
    <row r="7" spans="1:9" x14ac:dyDescent="0.35">
      <c r="A7" t="s">
        <v>821</v>
      </c>
      <c r="B7" s="173">
        <f>B3^2*B4</f>
        <v>12.5</v>
      </c>
      <c r="C7" s="37"/>
      <c r="D7" s="37" t="e">
        <f ca="1">FTEXT(B7)</f>
        <v>#NAME?</v>
      </c>
      <c r="F7" t="s">
        <v>52</v>
      </c>
      <c r="G7" s="173" t="e">
        <f ca="1">Hotel1_SIZE(G3,G5,G4)</f>
        <v>#NAME?</v>
      </c>
      <c r="I7" t="e">
        <f ca="1">FTEXT(G7:G15)</f>
        <v>#NAME?</v>
      </c>
    </row>
    <row r="8" spans="1:9" x14ac:dyDescent="0.35">
      <c r="A8" t="s">
        <v>220</v>
      </c>
      <c r="B8" s="173">
        <v>0.05</v>
      </c>
      <c r="C8" s="37"/>
      <c r="D8" s="37"/>
      <c r="F8" t="s">
        <v>833</v>
      </c>
      <c r="G8" s="173" t="e">
        <f ca="1">G7-G5</f>
        <v>#NAME?</v>
      </c>
      <c r="I8" t="e">
        <f ca="1">FTEXT(G8:G16)</f>
        <v>#NAME?</v>
      </c>
    </row>
    <row r="9" spans="1:9" x14ac:dyDescent="0.35">
      <c r="A9" t="s">
        <v>827</v>
      </c>
      <c r="B9" s="173" t="e">
        <f ca="1">F_INV_RT(B8,B5,B6)</f>
        <v>#NAME?</v>
      </c>
      <c r="C9" s="37"/>
      <c r="D9" s="37" t="e">
        <f ca="1">FTEXT(B9)</f>
        <v>#NAME?</v>
      </c>
      <c r="F9" t="s">
        <v>821</v>
      </c>
      <c r="G9" s="173" t="e">
        <f ca="1">G3^2*G7</f>
        <v>#NAME?</v>
      </c>
      <c r="I9" t="e">
        <f ca="1">FTEXT(G9:G17)</f>
        <v>#NAME?</v>
      </c>
    </row>
    <row r="10" spans="1:9" x14ac:dyDescent="0.35">
      <c r="A10" t="s">
        <v>822</v>
      </c>
      <c r="B10" s="52" t="e">
        <f ca="1">1 - NF_DIST(B9, B5, B6, B7,TRUE)</f>
        <v>#NAME?</v>
      </c>
      <c r="C10" s="37"/>
      <c r="D10" s="37" t="e">
        <f ca="1">FTEXT(B10)</f>
        <v>#NAME?</v>
      </c>
      <c r="F10" t="s">
        <v>827</v>
      </c>
      <c r="G10" s="173" t="e">
        <f ca="1">F_INV_RT(G6,G5,G8)</f>
        <v>#NAME?</v>
      </c>
      <c r="I10" t="e">
        <f ca="1">FTEXT(G10:G18)</f>
        <v>#NAME?</v>
      </c>
    </row>
    <row r="11" spans="1:9" x14ac:dyDescent="0.35">
      <c r="D11" s="37"/>
      <c r="F11" t="s">
        <v>835</v>
      </c>
      <c r="G11" s="52" t="e">
        <f ca="1">1 - NF_DIST(G10, G5, G8, G9,TRUE)</f>
        <v>#NAME?</v>
      </c>
      <c r="I11" t="e">
        <f ca="1">FTEXT(G11:G19)</f>
        <v>#NAME?</v>
      </c>
    </row>
    <row r="12" spans="1:9" x14ac:dyDescent="0.35">
      <c r="B12" s="393" t="e">
        <f ca="1">Hotel1_POWER(B3,B4,B5)</f>
        <v>#NAME?</v>
      </c>
      <c r="C12" s="37"/>
      <c r="D12" s="37" t="e">
        <f ca="1">FTEXT(B12)</f>
        <v>#NAME?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80"/>
  <dimension ref="A1:I13"/>
  <sheetViews>
    <sheetView workbookViewId="0"/>
  </sheetViews>
  <sheetFormatPr defaultRowHeight="14.5" x14ac:dyDescent="0.35"/>
  <cols>
    <col min="3" max="3" width="3.1796875" customWidth="1"/>
    <col min="4" max="4" width="30.453125" customWidth="1"/>
    <col min="5" max="5" width="9.1796875" customWidth="1"/>
    <col min="6" max="6" width="10" customWidth="1"/>
    <col min="8" max="8" width="3.1796875" customWidth="1"/>
    <col min="9" max="9" width="33.453125" customWidth="1"/>
  </cols>
  <sheetData>
    <row r="1" spans="1:9" x14ac:dyDescent="0.35">
      <c r="A1" s="42" t="s">
        <v>836</v>
      </c>
    </row>
    <row r="3" spans="1:9" x14ac:dyDescent="0.35">
      <c r="A3" t="s">
        <v>460</v>
      </c>
      <c r="B3" s="146">
        <v>0.5</v>
      </c>
      <c r="C3" s="37"/>
      <c r="D3" s="37"/>
      <c r="F3" t="s">
        <v>460</v>
      </c>
      <c r="G3" s="146">
        <v>0.5</v>
      </c>
    </row>
    <row r="4" spans="1:9" x14ac:dyDescent="0.35">
      <c r="A4" t="s">
        <v>103</v>
      </c>
      <c r="B4" s="173">
        <v>70</v>
      </c>
      <c r="C4" s="37"/>
      <c r="D4" s="37"/>
      <c r="F4" t="s">
        <v>822</v>
      </c>
      <c r="G4" s="173">
        <v>0.95</v>
      </c>
    </row>
    <row r="5" spans="1:9" x14ac:dyDescent="0.35">
      <c r="A5" t="s">
        <v>104</v>
      </c>
      <c r="B5" s="173">
        <v>50</v>
      </c>
      <c r="C5" s="37"/>
      <c r="D5" s="37"/>
      <c r="F5" t="s">
        <v>837</v>
      </c>
      <c r="G5" s="173">
        <v>1</v>
      </c>
    </row>
    <row r="6" spans="1:9" x14ac:dyDescent="0.35">
      <c r="A6" t="s">
        <v>53</v>
      </c>
      <c r="B6" s="173">
        <v>3</v>
      </c>
      <c r="C6" s="37"/>
      <c r="D6" s="37"/>
      <c r="F6" t="s">
        <v>53</v>
      </c>
      <c r="G6" s="173">
        <v>3</v>
      </c>
    </row>
    <row r="7" spans="1:9" x14ac:dyDescent="0.35">
      <c r="A7" t="s">
        <v>833</v>
      </c>
      <c r="B7" s="173">
        <f>B4+B5-B6-1</f>
        <v>116</v>
      </c>
      <c r="C7" s="37"/>
      <c r="D7" s="37" t="e">
        <f ca="1">FTEXT(B7)</f>
        <v>#NAME?</v>
      </c>
      <c r="F7" t="s">
        <v>220</v>
      </c>
      <c r="G7" s="173">
        <v>0.05</v>
      </c>
    </row>
    <row r="8" spans="1:9" x14ac:dyDescent="0.35">
      <c r="A8" t="s">
        <v>821</v>
      </c>
      <c r="B8" s="173">
        <f>B3^2*B4*B5/(B4+B5)</f>
        <v>7.291666666666667</v>
      </c>
      <c r="C8" s="37"/>
      <c r="D8" s="37" t="e">
        <f ca="1">FTEXT(B8)</f>
        <v>#NAME?</v>
      </c>
      <c r="F8" t="s">
        <v>103</v>
      </c>
      <c r="G8" s="173" t="e">
        <f ca="1">Hotel2_SIZE(G3,G6,G4,G7,G5)</f>
        <v>#NAME?</v>
      </c>
      <c r="I8" t="e">
        <f ca="1">FTEXT(G8)</f>
        <v>#NAME?</v>
      </c>
    </row>
    <row r="9" spans="1:9" x14ac:dyDescent="0.35">
      <c r="A9" t="s">
        <v>220</v>
      </c>
      <c r="B9" s="173">
        <v>0.05</v>
      </c>
      <c r="C9" s="37"/>
      <c r="D9" s="37"/>
      <c r="F9" t="s">
        <v>104</v>
      </c>
      <c r="G9" s="173" t="e">
        <f ca="1">G8*G5</f>
        <v>#NAME?</v>
      </c>
      <c r="I9" t="e">
        <f ca="1">FTEXT(G9)</f>
        <v>#NAME?</v>
      </c>
    </row>
    <row r="10" spans="1:9" x14ac:dyDescent="0.35">
      <c r="A10" t="s">
        <v>827</v>
      </c>
      <c r="B10" s="173" t="e">
        <f ca="1">F_INV_RT(B9,B6,B7)</f>
        <v>#NAME?</v>
      </c>
      <c r="C10" s="37"/>
      <c r="D10" s="37" t="e">
        <f ca="1">FTEXT(B10)</f>
        <v>#NAME?</v>
      </c>
      <c r="F10" t="s">
        <v>833</v>
      </c>
      <c r="G10" s="173" t="e">
        <f ca="1">G8+G9-G6-1</f>
        <v>#NAME?</v>
      </c>
      <c r="I10" t="e">
        <f ca="1">FTEXT(G10)</f>
        <v>#NAME?</v>
      </c>
    </row>
    <row r="11" spans="1:9" x14ac:dyDescent="0.35">
      <c r="A11" t="s">
        <v>822</v>
      </c>
      <c r="B11" s="52" t="e">
        <f ca="1">1 - NF_DIST(B10, B6, B7, B8,TRUE)</f>
        <v>#NAME?</v>
      </c>
      <c r="C11" s="37"/>
      <c r="D11" s="37" t="e">
        <f ca="1">FTEXT(B11)</f>
        <v>#NAME?</v>
      </c>
      <c r="F11" t="s">
        <v>821</v>
      </c>
      <c r="G11" s="173" t="e">
        <f ca="1">G3^2*G8*G9/(G8+G9)</f>
        <v>#NAME?</v>
      </c>
      <c r="I11" t="e">
        <f ca="1">FTEXT(G11)</f>
        <v>#NAME?</v>
      </c>
    </row>
    <row r="12" spans="1:9" x14ac:dyDescent="0.35">
      <c r="D12" s="37"/>
      <c r="F12" t="s">
        <v>827</v>
      </c>
      <c r="G12" s="173" t="e">
        <f ca="1">F_INV_RT(G7,G6,G10)</f>
        <v>#NAME?</v>
      </c>
      <c r="I12" t="e">
        <f ca="1">FTEXT(G12)</f>
        <v>#NAME?</v>
      </c>
    </row>
    <row r="13" spans="1:9" x14ac:dyDescent="0.35">
      <c r="B13" s="393" t="e">
        <f ca="1">Hotel2_POWER(B3,B4,B5,B6)</f>
        <v>#NAME?</v>
      </c>
      <c r="C13" s="37"/>
      <c r="D13" s="37" t="e">
        <f ca="1">FTEXT(B13)</f>
        <v>#NAME?</v>
      </c>
      <c r="F13" t="s">
        <v>835</v>
      </c>
      <c r="G13" s="52" t="e">
        <f ca="1">1 - NF_DIST(G12, G6, G10, G11,TRUE)</f>
        <v>#NAME?</v>
      </c>
      <c r="I13" t="e">
        <f ca="1">FTEXT(G13)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1"/>
  <dimension ref="A1:N20"/>
  <sheetViews>
    <sheetView workbookViewId="0"/>
  </sheetViews>
  <sheetFormatPr defaultRowHeight="14.5" x14ac:dyDescent="0.35"/>
  <cols>
    <col min="4" max="4" width="5.7265625" customWidth="1"/>
    <col min="5" max="6" width="10.81640625" customWidth="1"/>
    <col min="7" max="7" width="5.26953125" customWidth="1"/>
    <col min="8" max="13" width="10.81640625" customWidth="1"/>
  </cols>
  <sheetData>
    <row r="1" spans="1:14" x14ac:dyDescent="0.35">
      <c r="A1" s="42" t="s">
        <v>108</v>
      </c>
    </row>
    <row r="3" spans="1:14" x14ac:dyDescent="0.3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</row>
    <row r="4" spans="1:14" x14ac:dyDescent="0.3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14" x14ac:dyDescent="0.35">
      <c r="A5" s="33" t="e">
        <f ca="1">'Hotel 2'!I11</f>
        <v>#NAME?</v>
      </c>
      <c r="B5" s="34" t="e">
        <f ca="1">'Hotel 2'!J11</f>
        <v>#NAME?</v>
      </c>
      <c r="C5" s="35" t="e">
        <f ca="1">'Hotel 2'!K11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</row>
    <row r="6" spans="1:14" x14ac:dyDescent="0.35">
      <c r="A6" s="36" t="e">
        <f ca="1">'Hotel 2'!I12</f>
        <v>#NAME?</v>
      </c>
      <c r="B6" s="37" t="e">
        <f ca="1">'Hotel 2'!J12</f>
        <v>#NAME?</v>
      </c>
      <c r="C6" s="38" t="e">
        <f ca="1">'Hotel 2'!K12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</row>
    <row r="7" spans="1:14" x14ac:dyDescent="0.35">
      <c r="A7" s="39" t="e">
        <f ca="1">'Hotel 2'!I13</f>
        <v>#NAME?</v>
      </c>
      <c r="B7" s="40" t="e">
        <f ca="1">'Hotel 2'!J13</f>
        <v>#NAME?</v>
      </c>
      <c r="C7" s="41" t="e">
        <f ca="1">'Hotel 2'!K13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</row>
    <row r="9" spans="1:14" x14ac:dyDescent="0.35">
      <c r="A9" t="str">
        <f>'Hotel 2a'!M9</f>
        <v>Covariance - Placebo</v>
      </c>
    </row>
    <row r="11" spans="1:14" x14ac:dyDescent="0.35">
      <c r="A11" s="33" t="e">
        <f ca="1">'Hotel 2'!M11</f>
        <v>#NAME?</v>
      </c>
      <c r="B11" s="34" t="e">
        <f ca="1">'Hotel 2'!N11</f>
        <v>#NAME?</v>
      </c>
      <c r="C11" s="35" t="e">
        <f ca="1">'Hotel 2'!O11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14" x14ac:dyDescent="0.35">
      <c r="A12" s="36" t="e">
        <f ca="1">'Hotel 2'!M12</f>
        <v>#NAME?</v>
      </c>
      <c r="B12" s="37" t="e">
        <f ca="1">'Hotel 2'!N12</f>
        <v>#NAME?</v>
      </c>
      <c r="C12" s="38" t="e">
        <f ca="1">'Hotel 2'!O12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</row>
    <row r="13" spans="1:14" x14ac:dyDescent="0.35">
      <c r="A13" s="39" t="e">
        <f ca="1">'Hotel 2'!M13</f>
        <v>#NAME?</v>
      </c>
      <c r="B13" s="40" t="e">
        <f ca="1">'Hotel 2'!N13</f>
        <v>#NAME?</v>
      </c>
      <c r="C13" s="41" t="e">
        <f ca="1">'Hotel 2'!O13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</row>
    <row r="14" spans="1:14" x14ac:dyDescent="0.3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</row>
    <row r="15" spans="1:14" x14ac:dyDescent="0.3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14" x14ac:dyDescent="0.35">
      <c r="E16" s="71" t="s">
        <v>57</v>
      </c>
      <c r="F16" s="49">
        <v>1E-3</v>
      </c>
      <c r="H16" t="s">
        <v>119</v>
      </c>
      <c r="I16" s="49" t="e">
        <f ca="1">I12*F11/(F14*(I14-F11))</f>
        <v>#NAME?</v>
      </c>
    </row>
    <row r="17" spans="1:9" x14ac:dyDescent="0.35">
      <c r="A17" s="33" t="e">
        <f ca="1">'Hotel 2'!Q11</f>
        <v>#NAME?</v>
      </c>
      <c r="B17" s="34" t="e">
        <f ca="1">'Hotel 2'!R11</f>
        <v>#NAME?</v>
      </c>
      <c r="C17" s="35" t="e">
        <f ca="1">'Hotel 2'!S11</f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35">
      <c r="A18" s="36" t="e">
        <f ca="1">'Hotel 2'!Q12</f>
        <v>#NAME?</v>
      </c>
      <c r="B18" s="37" t="e">
        <f ca="1">'Hotel 2'!R12</f>
        <v>#NAME?</v>
      </c>
      <c r="C18" s="38" t="e">
        <f ca="1">'Hotel 2'!S12</f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35">
      <c r="A19" s="39" t="e">
        <f ca="1">'Hotel 2'!Q13</f>
        <v>#NAME?</v>
      </c>
      <c r="B19" s="40" t="e">
        <f ca="1">'Hotel 2'!R13</f>
        <v>#NAME?</v>
      </c>
      <c r="C19" s="41" t="e">
        <f ca="1">'Hotel 2'!S13</f>
        <v>#NAME?</v>
      </c>
      <c r="H19" t="s">
        <v>58</v>
      </c>
      <c r="I19" s="49" t="e">
        <f ca="1">FINV(F16,F14,I12)</f>
        <v>#NUM!</v>
      </c>
    </row>
    <row r="20" spans="1:9" x14ac:dyDescent="0.3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"/>
  <dimension ref="A1:N20"/>
  <sheetViews>
    <sheetView workbookViewId="0"/>
  </sheetViews>
  <sheetFormatPr defaultRowHeight="14.5" x14ac:dyDescent="0.35"/>
  <cols>
    <col min="4" max="4" width="5.7265625" customWidth="1"/>
    <col min="5" max="6" width="10.81640625" customWidth="1"/>
    <col min="7" max="7" width="6.453125" customWidth="1"/>
    <col min="8" max="13" width="10.81640625" customWidth="1"/>
  </cols>
  <sheetData>
    <row r="1" spans="1:14" x14ac:dyDescent="0.35">
      <c r="A1" s="42" t="s">
        <v>108</v>
      </c>
    </row>
    <row r="3" spans="1:14" x14ac:dyDescent="0.3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</row>
    <row r="4" spans="1:14" x14ac:dyDescent="0.3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14" x14ac:dyDescent="0.35">
      <c r="A5" s="33" t="e">
        <f ca="1">'Hotel 2a'!I11</f>
        <v>#NAME?</v>
      </c>
      <c r="B5" s="34" t="e">
        <f ca="1">'Hotel 2a'!J11</f>
        <v>#NAME?</v>
      </c>
      <c r="C5" s="35" t="e">
        <f ca="1">'Hotel 2a'!K11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</row>
    <row r="6" spans="1:14" x14ac:dyDescent="0.35">
      <c r="A6" s="36" t="e">
        <f ca="1">'Hotel 2a'!I12</f>
        <v>#NAME?</v>
      </c>
      <c r="B6" s="37" t="e">
        <f ca="1">'Hotel 2a'!J12</f>
        <v>#NAME?</v>
      </c>
      <c r="C6" s="38" t="e">
        <f ca="1">'Hotel 2a'!K12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</row>
    <row r="7" spans="1:14" x14ac:dyDescent="0.35">
      <c r="A7" s="39" t="e">
        <f ca="1">'Hotel 2a'!I13</f>
        <v>#NAME?</v>
      </c>
      <c r="B7" s="40" t="e">
        <f ca="1">'Hotel 2a'!J13</f>
        <v>#NAME?</v>
      </c>
      <c r="C7" s="41" t="e">
        <f ca="1">'Hotel 2a'!K13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</row>
    <row r="9" spans="1:14" x14ac:dyDescent="0.35">
      <c r="A9" t="str">
        <f>'Hotel 2a'!M9</f>
        <v>Covariance - Placebo</v>
      </c>
    </row>
    <row r="11" spans="1:14" x14ac:dyDescent="0.35">
      <c r="A11" s="33" t="e">
        <f ca="1">'Hotel 2a'!M11</f>
        <v>#NAME?</v>
      </c>
      <c r="B11" s="34" t="e">
        <f ca="1">'Hotel 2a'!N11</f>
        <v>#NAME?</v>
      </c>
      <c r="C11" s="35" t="e">
        <f ca="1">'Hotel 2a'!O11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14" x14ac:dyDescent="0.35">
      <c r="A12" s="36" t="e">
        <f ca="1">'Hotel 2a'!M12</f>
        <v>#NAME?</v>
      </c>
      <c r="B12" s="37" t="e">
        <f ca="1">'Hotel 2a'!N12</f>
        <v>#NAME?</v>
      </c>
      <c r="C12" s="38" t="e">
        <f ca="1">'Hotel 2a'!O12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</row>
    <row r="13" spans="1:14" x14ac:dyDescent="0.35">
      <c r="A13" s="39" t="e">
        <f ca="1">'Hotel 2a'!M13</f>
        <v>#NAME?</v>
      </c>
      <c r="B13" s="40" t="e">
        <f ca="1">'Hotel 2a'!N13</f>
        <v>#NAME?</v>
      </c>
      <c r="C13" s="41" t="e">
        <f ca="1">'Hotel 2a'!O13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</row>
    <row r="14" spans="1:14" x14ac:dyDescent="0.3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</row>
    <row r="15" spans="1:14" x14ac:dyDescent="0.3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14" x14ac:dyDescent="0.35">
      <c r="E16" s="71" t="s">
        <v>57</v>
      </c>
      <c r="F16" s="49">
        <v>1E-3</v>
      </c>
      <c r="H16" t="s">
        <v>119</v>
      </c>
      <c r="I16" s="49" t="e">
        <f ca="1">I12*F11/(F14*(I14-F11))</f>
        <v>#NAME?</v>
      </c>
    </row>
    <row r="17" spans="1:9" x14ac:dyDescent="0.35">
      <c r="A17" s="33" t="e">
        <f ca="1">'Hotel 2a'!Q11</f>
        <v>#NAME?</v>
      </c>
      <c r="B17" s="34" t="e">
        <f ca="1">'Hotel 2a'!R11</f>
        <v>#NAME?</v>
      </c>
      <c r="C17" s="35" t="e">
        <f ca="1">'Hotel 2a'!S11</f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35">
      <c r="A18" s="36" t="e">
        <f ca="1">'Hotel 2a'!Q12</f>
        <v>#NAME?</v>
      </c>
      <c r="B18" s="37" t="e">
        <f ca="1">'Hotel 2a'!R12</f>
        <v>#NAME?</v>
      </c>
      <c r="C18" s="38" t="e">
        <f ca="1">'Hotel 2a'!S12</f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35">
      <c r="A19" s="39" t="e">
        <f ca="1">'Hotel 2a'!Q13</f>
        <v>#NAME?</v>
      </c>
      <c r="B19" s="40" t="e">
        <f ca="1">'Hotel 2a'!R13</f>
        <v>#NAME?</v>
      </c>
      <c r="C19" s="41" t="e">
        <f ca="1">'Hotel 2a'!S13</f>
        <v>#NAME?</v>
      </c>
      <c r="H19" t="s">
        <v>58</v>
      </c>
      <c r="I19" s="49" t="e">
        <f ca="1">FINV(F16,F14,I12)</f>
        <v>#NUM!</v>
      </c>
    </row>
    <row r="20" spans="1:9" x14ac:dyDescent="0.3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3"/>
  <dimension ref="A1:W20"/>
  <sheetViews>
    <sheetView workbookViewId="0"/>
  </sheetViews>
  <sheetFormatPr defaultRowHeight="14.5" x14ac:dyDescent="0.35"/>
  <cols>
    <col min="5" max="6" width="10.81640625" customWidth="1"/>
    <col min="7" max="7" width="6.453125" customWidth="1"/>
    <col min="8" max="8" width="10.81640625" customWidth="1"/>
    <col min="9" max="13" width="8.54296875" customWidth="1"/>
    <col min="15" max="15" width="9.7265625" customWidth="1"/>
    <col min="16" max="17" width="7.54296875" customWidth="1"/>
  </cols>
  <sheetData>
    <row r="1" spans="1:23" x14ac:dyDescent="0.35">
      <c r="A1" s="42" t="s">
        <v>108</v>
      </c>
      <c r="P1" t="s">
        <v>126</v>
      </c>
    </row>
    <row r="3" spans="1:23" x14ac:dyDescent="0.35">
      <c r="A3" t="str">
        <f>'Hotel 2a'!I9</f>
        <v>Covariance - Drug</v>
      </c>
      <c r="E3" t="s">
        <v>108</v>
      </c>
      <c r="I3" s="32" t="s">
        <v>121</v>
      </c>
      <c r="J3" s="32" t="s">
        <v>123</v>
      </c>
      <c r="K3" s="32" t="s">
        <v>124</v>
      </c>
      <c r="L3" s="32" t="s">
        <v>109</v>
      </c>
      <c r="M3" s="32" t="s">
        <v>110</v>
      </c>
      <c r="N3" s="32" t="s">
        <v>122</v>
      </c>
      <c r="P3" t="s">
        <v>128</v>
      </c>
      <c r="S3" t="s">
        <v>295</v>
      </c>
      <c r="V3" t="s">
        <v>294</v>
      </c>
    </row>
    <row r="4" spans="1:23" x14ac:dyDescent="0.35">
      <c r="H4" t="s">
        <v>90</v>
      </c>
      <c r="I4" s="72">
        <f>'Hotel 2a'!J7-1</f>
        <v>19</v>
      </c>
      <c r="J4" s="34">
        <f>1/I4</f>
        <v>5.2631578947368418E-2</v>
      </c>
      <c r="K4" s="34">
        <f>J4^2</f>
        <v>2.7700831024930744E-3</v>
      </c>
      <c r="L4" s="34" t="e">
        <f ca="1">MDETERM(A5:C7)</f>
        <v>#NAME?</v>
      </c>
      <c r="M4" s="34" t="e">
        <f ca="1">LN(L4)</f>
        <v>#NAME?</v>
      </c>
      <c r="N4" s="34" t="e">
        <f ca="1">M4*I4</f>
        <v>#NAME?</v>
      </c>
    </row>
    <row r="5" spans="1:23" x14ac:dyDescent="0.35">
      <c r="A5" s="33" t="e">
        <f ca="1">'Hotel 3a'!I11</f>
        <v>#NAME?</v>
      </c>
      <c r="B5" s="34" t="e">
        <f ca="1">'Hotel 3a'!J11</f>
        <v>#NAME?</v>
      </c>
      <c r="C5" s="35" t="e">
        <f ca="1">'Hotel 3a'!K11</f>
        <v>#NAME?</v>
      </c>
      <c r="E5" t="s">
        <v>203</v>
      </c>
      <c r="F5" s="48">
        <f>COUNTA(H4:H5)</f>
        <v>2</v>
      </c>
      <c r="H5" t="s">
        <v>94</v>
      </c>
      <c r="I5" s="73">
        <f>'Hotel 2a'!K7-1</f>
        <v>17</v>
      </c>
      <c r="J5" s="37">
        <f>1/I5</f>
        <v>5.8823529411764705E-2</v>
      </c>
      <c r="K5" s="37">
        <f>J5^2</f>
        <v>3.4602076124567475E-3</v>
      </c>
      <c r="L5" s="37" t="e">
        <f ca="1">MDETERM(A11:C13)</f>
        <v>#NAME?</v>
      </c>
      <c r="M5" s="37" t="e">
        <f ca="1">LN(L5)</f>
        <v>#NAME?</v>
      </c>
      <c r="N5" s="37" t="e">
        <f ca="1">M5*I5</f>
        <v>#NAME?</v>
      </c>
      <c r="P5" s="33" t="e">
        <f ca="1">A5</f>
        <v>#NAME?</v>
      </c>
      <c r="Q5" s="35">
        <f>I4+1</f>
        <v>20</v>
      </c>
      <c r="S5" t="s">
        <v>113</v>
      </c>
      <c r="T5" s="146" t="e">
        <f ca="1">BOXM(P5:Q6,F6)</f>
        <v>#NAME?</v>
      </c>
      <c r="V5" t="s">
        <v>113</v>
      </c>
      <c r="W5" s="146" t="e">
        <f ca="1">BOXM(P5:Q6,F6)</f>
        <v>#NAME?</v>
      </c>
    </row>
    <row r="6" spans="1:23" x14ac:dyDescent="0.35">
      <c r="A6" s="36" t="e">
        <f ca="1">'Hotel 3a'!I12</f>
        <v>#NAME?</v>
      </c>
      <c r="B6" s="37" t="e">
        <f ca="1">'Hotel 3a'!J12</f>
        <v>#NAME?</v>
      </c>
      <c r="C6" s="38" t="e">
        <f ca="1">'Hotel 3a'!K12</f>
        <v>#NAME?</v>
      </c>
      <c r="E6" t="s">
        <v>53</v>
      </c>
      <c r="F6" s="52">
        <f ca="1">COUNT(A5:C5)</f>
        <v>0</v>
      </c>
      <c r="H6" t="s">
        <v>112</v>
      </c>
      <c r="I6" s="74">
        <f>SUM(I4:I5)</f>
        <v>36</v>
      </c>
      <c r="J6" s="40">
        <f>1/I6</f>
        <v>2.7777777777777776E-2</v>
      </c>
      <c r="K6" s="40">
        <f>J6^2</f>
        <v>7.716049382716049E-4</v>
      </c>
      <c r="L6" s="40" t="e">
        <f ca="1">MDETERM(A17:C19)</f>
        <v>#NAME?</v>
      </c>
      <c r="M6" s="40" t="e">
        <f ca="1">LN(L6)</f>
        <v>#NAME?</v>
      </c>
      <c r="N6" s="37" t="e">
        <f ca="1">M6*I6</f>
        <v>#NAME?</v>
      </c>
      <c r="P6" s="39" t="e">
        <f ca="1">A11</f>
        <v>#NAME?</v>
      </c>
      <c r="Q6" s="41">
        <f>I5+1</f>
        <v>18</v>
      </c>
      <c r="S6" t="s">
        <v>62</v>
      </c>
      <c r="T6" s="49" t="e">
        <f ca="1">BOXdf1(P5:Q6,3)</f>
        <v>#NAME?</v>
      </c>
      <c r="V6" t="s">
        <v>131</v>
      </c>
      <c r="W6" s="49" t="e">
        <f ca="1">BOXF(P5:Q6,3)</f>
        <v>#NAME?</v>
      </c>
    </row>
    <row r="7" spans="1:23" x14ac:dyDescent="0.35">
      <c r="A7" s="39" t="e">
        <f ca="1">'Hotel 3a'!I13</f>
        <v>#NAME?</v>
      </c>
      <c r="B7" s="40" t="e">
        <f ca="1">'Hotel 3a'!J13</f>
        <v>#NAME?</v>
      </c>
      <c r="C7" s="41" t="e">
        <f ca="1">'Hotel 3a'!K13</f>
        <v>#NAME?</v>
      </c>
      <c r="H7" t="s">
        <v>96</v>
      </c>
      <c r="I7" s="47"/>
      <c r="J7" s="34">
        <f>SUM(J4:J5)-J6</f>
        <v>8.3677330581355347E-2</v>
      </c>
      <c r="K7" s="34">
        <f>SUM(K4:K5)-K6</f>
        <v>5.458685776678217E-3</v>
      </c>
      <c r="L7" s="34"/>
      <c r="M7" s="64"/>
      <c r="N7" s="34" t="e">
        <f ca="1">N6-SUM(N4:N5)</f>
        <v>#NAME?</v>
      </c>
      <c r="S7" t="s">
        <v>65</v>
      </c>
      <c r="T7" s="52" t="e">
        <f ca="1">BOXTEST(P5:Q6,3,FALSE)</f>
        <v>#NAME?</v>
      </c>
      <c r="V7" t="s">
        <v>55</v>
      </c>
      <c r="W7" s="49" t="e">
        <f ca="1">BOXdf1(P5:Q6,3)</f>
        <v>#NAME?</v>
      </c>
    </row>
    <row r="8" spans="1:23" x14ac:dyDescent="0.35">
      <c r="P8" s="78" t="s">
        <v>129</v>
      </c>
      <c r="Q8" s="80">
        <v>20</v>
      </c>
      <c r="V8" t="s">
        <v>56</v>
      </c>
      <c r="W8" s="49" t="e">
        <f ca="1">BOXdf2(P5:Q6,3)</f>
        <v>#NAME?</v>
      </c>
    </row>
    <row r="9" spans="1:23" x14ac:dyDescent="0.35">
      <c r="A9" t="str">
        <f>'Hotel 2a'!M9</f>
        <v>Covariance - Placebo</v>
      </c>
      <c r="P9" s="79" t="s">
        <v>130</v>
      </c>
      <c r="Q9" s="81">
        <v>18</v>
      </c>
      <c r="V9" t="s">
        <v>65</v>
      </c>
      <c r="W9" s="52" t="e">
        <f ca="1">BOXTEST(P5:Q6,3)</f>
        <v>#NAME?</v>
      </c>
    </row>
    <row r="10" spans="1:23" x14ac:dyDescent="0.35">
      <c r="S10" t="s">
        <v>127</v>
      </c>
    </row>
    <row r="11" spans="1:23" x14ac:dyDescent="0.35">
      <c r="A11" s="33" t="e">
        <f ca="1">'Hotel 3a'!M11</f>
        <v>#NAME?</v>
      </c>
      <c r="B11" s="34" t="e">
        <f ca="1">'Hotel 3a'!N11</f>
        <v>#NAME?</v>
      </c>
      <c r="C11" s="35" t="e">
        <f ca="1">'Hotel 3a'!O11</f>
        <v>#NAME?</v>
      </c>
      <c r="E11" t="s">
        <v>113</v>
      </c>
      <c r="F11" s="48" t="e">
        <f ca="1">N7</f>
        <v>#NAME?</v>
      </c>
      <c r="H11" t="s">
        <v>283</v>
      </c>
      <c r="I11" s="48">
        <f ca="1">(F6-1)*(F6+2)/(6*(F5-1))*K7</f>
        <v>-1.8195619255594055E-3</v>
      </c>
    </row>
    <row r="12" spans="1:23" x14ac:dyDescent="0.35">
      <c r="A12" s="36" t="e">
        <f ca="1">'Hotel 3a'!M12</f>
        <v>#NAME?</v>
      </c>
      <c r="B12" s="37" t="e">
        <f ca="1">'Hotel 3a'!N12</f>
        <v>#NAME?</v>
      </c>
      <c r="C12" s="38" t="e">
        <f ca="1">'Hotel 3a'!O12</f>
        <v>#NAME?</v>
      </c>
      <c r="E12" t="s">
        <v>114</v>
      </c>
      <c r="F12" s="49">
        <f ca="1">(2*F6^2+3*F6-1)/(6*(F6+1)*(F5-1))*J7</f>
        <v>-1.3946221763559224E-2</v>
      </c>
      <c r="H12" t="s">
        <v>56</v>
      </c>
      <c r="I12" s="49">
        <f ca="1">(F14+2)/ABS(I11-F12^2)</f>
        <v>993.01955560932277</v>
      </c>
      <c r="S12" s="33" t="e">
        <f t="array" aca="1" ref="S12:U14" ca="1">COVPooled(P5:Q6,3)</f>
        <v>#NAME?</v>
      </c>
      <c r="T12" s="34" t="e">
        <f ca="1"/>
        <v>#NAME?</v>
      </c>
      <c r="U12" s="35" t="e">
        <f ca="1"/>
        <v>#NAME?</v>
      </c>
    </row>
    <row r="13" spans="1:23" x14ac:dyDescent="0.35">
      <c r="A13" s="39" t="e">
        <f ca="1">'Hotel 3a'!M13</f>
        <v>#NAME?</v>
      </c>
      <c r="B13" s="40" t="e">
        <f ca="1">'Hotel 3a'!N13</f>
        <v>#NAME?</v>
      </c>
      <c r="C13" s="41" t="e">
        <f ca="1">'Hotel 3a'!O13</f>
        <v>#NAME?</v>
      </c>
      <c r="E13" s="71" t="s">
        <v>115</v>
      </c>
      <c r="F13" s="49" t="e">
        <f ca="1">F11*(1-F12)</f>
        <v>#NAME?</v>
      </c>
      <c r="H13" t="s">
        <v>116</v>
      </c>
      <c r="I13" s="49">
        <f ca="1">F14/(1-F12-F14/I12)</f>
        <v>0</v>
      </c>
      <c r="S13" s="36" t="e">
        <f ca="1"/>
        <v>#NAME?</v>
      </c>
      <c r="T13" s="37" t="e">
        <f ca="1"/>
        <v>#NAME?</v>
      </c>
      <c r="U13" s="38" t="e">
        <f ca="1"/>
        <v>#NAME?</v>
      </c>
    </row>
    <row r="14" spans="1:23" x14ac:dyDescent="0.35">
      <c r="E14" s="71" t="s">
        <v>62</v>
      </c>
      <c r="F14" s="49">
        <f ca="1">F6*(F6+1)*(F5-1)/2</f>
        <v>0</v>
      </c>
      <c r="H14" t="s">
        <v>117</v>
      </c>
      <c r="I14" s="49">
        <f ca="1">I12/(1-F12+2/I12)</f>
        <v>977.41966333228845</v>
      </c>
      <c r="S14" s="39" t="e">
        <f ca="1"/>
        <v>#NAME?</v>
      </c>
      <c r="T14" s="40" t="e">
        <f ca="1"/>
        <v>#NAME?</v>
      </c>
      <c r="U14" s="41" t="e">
        <f ca="1"/>
        <v>#NAME?</v>
      </c>
    </row>
    <row r="15" spans="1:23" x14ac:dyDescent="0.35">
      <c r="A15" t="str">
        <f>'Hotel 2a'!Q9</f>
        <v>Covariance - Pooled</v>
      </c>
      <c r="E15" s="71" t="s">
        <v>65</v>
      </c>
      <c r="F15" s="49" t="e">
        <f ca="1">CHIDIST(F13,F14)</f>
        <v>#NAME?</v>
      </c>
      <c r="H15" t="s">
        <v>118</v>
      </c>
      <c r="I15" s="49" t="e">
        <f ca="1">F11/I13</f>
        <v>#NAME?</v>
      </c>
    </row>
    <row r="16" spans="1:23" x14ac:dyDescent="0.35">
      <c r="E16" s="71" t="s">
        <v>57</v>
      </c>
      <c r="F16" s="49">
        <v>0.05</v>
      </c>
      <c r="H16" t="s">
        <v>119</v>
      </c>
      <c r="I16" s="49" t="e">
        <f ca="1">I12*F11/(F14*(I14-F11))</f>
        <v>#NAME?</v>
      </c>
    </row>
    <row r="17" spans="1:9" x14ac:dyDescent="0.35">
      <c r="A17" s="33" t="e">
        <f t="array" ref="A17:C19" ca="1">(A5:C7*I4+A11:C13*I5)/I6</f>
        <v>#NAME?</v>
      </c>
      <c r="B17" s="34" t="e">
        <f ca="1"/>
        <v>#NAME?</v>
      </c>
      <c r="C17" s="35" t="e">
        <f ca="1"/>
        <v>#NAME?</v>
      </c>
      <c r="E17" s="71" t="s">
        <v>120</v>
      </c>
      <c r="F17" s="49" t="e">
        <f ca="1">CHIINV(F16,F14)</f>
        <v>#NUM!</v>
      </c>
      <c r="H17" t="s">
        <v>54</v>
      </c>
      <c r="I17" s="49" t="e">
        <f ca="1">IF(I11&gt;F12^2,I15,I16)</f>
        <v>#NAME?</v>
      </c>
    </row>
    <row r="18" spans="1:9" x14ac:dyDescent="0.35">
      <c r="A18" s="36" t="e">
        <f ca="1"/>
        <v>#NAME?</v>
      </c>
      <c r="B18" s="37" t="e">
        <f ca="1"/>
        <v>#NAME?</v>
      </c>
      <c r="C18" s="38" t="e">
        <f ca="1"/>
        <v>#NAME?</v>
      </c>
      <c r="E18" s="71" t="s">
        <v>60</v>
      </c>
      <c r="F18" s="51" t="e">
        <f ca="1">IF(F15&lt;F16,"yes","no")</f>
        <v>#NAME?</v>
      </c>
      <c r="H18" t="s">
        <v>65</v>
      </c>
      <c r="I18" s="49" t="e">
        <f ca="1">FDIST(I17,F14,I12)</f>
        <v>#NAME?</v>
      </c>
    </row>
    <row r="19" spans="1:9" x14ac:dyDescent="0.35">
      <c r="A19" s="39" t="e">
        <f ca="1"/>
        <v>#NAME?</v>
      </c>
      <c r="B19" s="40" t="e">
        <f ca="1"/>
        <v>#NAME?</v>
      </c>
      <c r="C19" s="41" t="e">
        <f ca="1"/>
        <v>#NAME?</v>
      </c>
      <c r="H19" t="s">
        <v>58</v>
      </c>
      <c r="I19" s="49" t="e">
        <f ca="1">FINV(F16,F14,I12)</f>
        <v>#NUM!</v>
      </c>
    </row>
    <row r="20" spans="1:9" x14ac:dyDescent="0.35">
      <c r="H20" t="s">
        <v>60</v>
      </c>
      <c r="I20" s="51" t="e">
        <f ca="1">IF(I18&lt;F16,"yes","no")</f>
        <v>#NAME?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0"/>
  <dimension ref="A1:L19"/>
  <sheetViews>
    <sheetView workbookViewId="0"/>
  </sheetViews>
  <sheetFormatPr defaultRowHeight="14.5" x14ac:dyDescent="0.35"/>
  <cols>
    <col min="5" max="6" width="7.54296875" customWidth="1"/>
  </cols>
  <sheetData>
    <row r="1" spans="1:12" x14ac:dyDescent="0.35">
      <c r="A1" s="42" t="s">
        <v>108</v>
      </c>
      <c r="E1" t="s">
        <v>126</v>
      </c>
    </row>
    <row r="3" spans="1:12" x14ac:dyDescent="0.35">
      <c r="A3" t="str">
        <f>'Hotel 2a'!I9</f>
        <v>Covariance - Drug</v>
      </c>
      <c r="E3" t="s">
        <v>128</v>
      </c>
      <c r="H3" t="s">
        <v>295</v>
      </c>
      <c r="K3" t="s">
        <v>294</v>
      </c>
    </row>
    <row r="5" spans="1:12" x14ac:dyDescent="0.35">
      <c r="A5" s="33" t="e">
        <f ca="1">'Hotel 3a'!I11</f>
        <v>#NAME?</v>
      </c>
      <c r="B5" s="34" t="e">
        <f ca="1">'Hotel 3a'!J11</f>
        <v>#NAME?</v>
      </c>
      <c r="C5" s="35" t="e">
        <f ca="1">'Hotel 3a'!K11</f>
        <v>#NAME?</v>
      </c>
      <c r="E5" s="138" t="e">
        <f ca="1">A5</f>
        <v>#NAME?</v>
      </c>
      <c r="F5" s="140">
        <f>'Hotel 2a'!J7</f>
        <v>20</v>
      </c>
      <c r="H5" t="s">
        <v>113</v>
      </c>
      <c r="I5" s="146" t="e">
        <f ca="1">BOXM(E5:F6,F8)</f>
        <v>#NAME?</v>
      </c>
      <c r="K5" t="s">
        <v>113</v>
      </c>
      <c r="L5" s="146" t="e">
        <f ca="1">BOXM(E5:F6,F8)</f>
        <v>#NAME?</v>
      </c>
    </row>
    <row r="6" spans="1:12" x14ac:dyDescent="0.35">
      <c r="A6" s="36" t="e">
        <f ca="1">'Hotel 3a'!I12</f>
        <v>#NAME?</v>
      </c>
      <c r="B6" s="37" t="e">
        <f ca="1">'Hotel 3a'!J12</f>
        <v>#NAME?</v>
      </c>
      <c r="C6" s="38" t="e">
        <f ca="1">'Hotel 3a'!K12</f>
        <v>#NAME?</v>
      </c>
      <c r="E6" s="39" t="e">
        <f ca="1">A11</f>
        <v>#NAME?</v>
      </c>
      <c r="F6" s="41">
        <f>'Hotel 2a'!K7</f>
        <v>18</v>
      </c>
      <c r="H6" t="s">
        <v>62</v>
      </c>
      <c r="I6" s="49" t="e">
        <f ca="1">BOXdf1(E5:F6,F8)</f>
        <v>#NAME?</v>
      </c>
      <c r="K6" t="s">
        <v>131</v>
      </c>
      <c r="L6" s="49" t="e">
        <f ca="1">BOXF(E5:F6,F8)</f>
        <v>#NAME?</v>
      </c>
    </row>
    <row r="7" spans="1:12" x14ac:dyDescent="0.35">
      <c r="A7" s="39" t="e">
        <f ca="1">'Hotel 3a'!I13</f>
        <v>#NAME?</v>
      </c>
      <c r="B7" s="40" t="e">
        <f ca="1">'Hotel 3a'!J13</f>
        <v>#NAME?</v>
      </c>
      <c r="C7" s="41" t="e">
        <f ca="1">'Hotel 3a'!K13</f>
        <v>#NAME?</v>
      </c>
      <c r="H7" t="s">
        <v>65</v>
      </c>
      <c r="I7" s="52" t="e">
        <f ca="1">BOXTEST(E5:F6,F8,FALSE)</f>
        <v>#NAME?</v>
      </c>
      <c r="K7" t="s">
        <v>55</v>
      </c>
      <c r="L7" s="49" t="e">
        <f ca="1">BOXdf1(E5:F6,F8)</f>
        <v>#NAME?</v>
      </c>
    </row>
    <row r="8" spans="1:12" x14ac:dyDescent="0.35">
      <c r="E8" t="s">
        <v>53</v>
      </c>
      <c r="F8" s="146">
        <f ca="1">COUNT(A5:C5)</f>
        <v>0</v>
      </c>
      <c r="K8" t="s">
        <v>56</v>
      </c>
      <c r="L8" s="49" t="e">
        <f ca="1">BOXdf2(E5:F6,F8)</f>
        <v>#NAME?</v>
      </c>
    </row>
    <row r="9" spans="1:12" x14ac:dyDescent="0.35">
      <c r="A9" t="str">
        <f>'Hotel 2a'!M9</f>
        <v>Covariance - Placebo</v>
      </c>
      <c r="E9" t="s">
        <v>203</v>
      </c>
      <c r="F9" s="52">
        <v>2</v>
      </c>
      <c r="K9" t="s">
        <v>65</v>
      </c>
      <c r="L9" s="52" t="e">
        <f ca="1">BOXTEST(E5:F6,F8)</f>
        <v>#NAME?</v>
      </c>
    </row>
    <row r="10" spans="1:12" x14ac:dyDescent="0.35">
      <c r="H10" t="s">
        <v>127</v>
      </c>
    </row>
    <row r="11" spans="1:12" x14ac:dyDescent="0.35">
      <c r="A11" s="33" t="e">
        <f ca="1">'Hotel 3a'!M11</f>
        <v>#NAME?</v>
      </c>
      <c r="B11" s="34" t="e">
        <f ca="1">'Hotel 3a'!N11</f>
        <v>#NAME?</v>
      </c>
      <c r="C11" s="35" t="e">
        <f ca="1">'Hotel 3a'!O11</f>
        <v>#NAME?</v>
      </c>
    </row>
    <row r="12" spans="1:12" x14ac:dyDescent="0.35">
      <c r="A12" s="36" t="e">
        <f ca="1">'Hotel 3a'!M12</f>
        <v>#NAME?</v>
      </c>
      <c r="B12" s="37" t="e">
        <f ca="1">'Hotel 3a'!N12</f>
        <v>#NAME?</v>
      </c>
      <c r="C12" s="38" t="e">
        <f ca="1">'Hotel 3a'!O12</f>
        <v>#NAME?</v>
      </c>
      <c r="E12" s="78" t="s">
        <v>129</v>
      </c>
      <c r="F12" s="80">
        <v>20</v>
      </c>
      <c r="H12" s="33" t="e">
        <f t="array" aca="1" ref="H12:J14" ca="1">COVPooled(E5:F6,F8)</f>
        <v>#NAME?</v>
      </c>
      <c r="I12" s="34" t="e">
        <f ca="1"/>
        <v>#NAME?</v>
      </c>
      <c r="J12" s="35" t="e">
        <f ca="1"/>
        <v>#NAME?</v>
      </c>
    </row>
    <row r="13" spans="1:12" x14ac:dyDescent="0.35">
      <c r="A13" s="39" t="e">
        <f ca="1">'Hotel 3a'!M13</f>
        <v>#NAME?</v>
      </c>
      <c r="B13" s="40" t="e">
        <f ca="1">'Hotel 3a'!N13</f>
        <v>#NAME?</v>
      </c>
      <c r="C13" s="41" t="e">
        <f ca="1">'Hotel 3a'!O13</f>
        <v>#NAME?</v>
      </c>
      <c r="E13" s="79" t="s">
        <v>130</v>
      </c>
      <c r="F13" s="81">
        <v>18</v>
      </c>
      <c r="H13" s="36" t="e">
        <f ca="1"/>
        <v>#NAME?</v>
      </c>
      <c r="I13" s="37" t="e">
        <f ca="1"/>
        <v>#NAME?</v>
      </c>
      <c r="J13" s="38" t="e">
        <f ca="1"/>
        <v>#NAME?</v>
      </c>
    </row>
    <row r="14" spans="1:12" x14ac:dyDescent="0.35">
      <c r="H14" s="39" t="e">
        <f ca="1"/>
        <v>#NAME?</v>
      </c>
      <c r="I14" s="40" t="e">
        <f ca="1"/>
        <v>#NAME?</v>
      </c>
      <c r="J14" s="41" t="e">
        <f ca="1"/>
        <v>#NAME?</v>
      </c>
    </row>
    <row r="15" spans="1:12" x14ac:dyDescent="0.35">
      <c r="A15" t="str">
        <f>'Hotel 2a'!Q9</f>
        <v>Covariance - Pooled</v>
      </c>
    </row>
    <row r="17" spans="1:3" x14ac:dyDescent="0.35">
      <c r="A17" s="33" t="e">
        <f t="array" ref="A17:C19" ca="1">(A5:C7*(F5-1)+A11:C13*(F6-1))/(SUM(F5:F6)-F9)</f>
        <v>#NAME?</v>
      </c>
      <c r="B17" s="34" t="e">
        <f ca="1"/>
        <v>#NAME?</v>
      </c>
      <c r="C17" s="35" t="e">
        <f ca="1"/>
        <v>#NAME?</v>
      </c>
    </row>
    <row r="18" spans="1:3" x14ac:dyDescent="0.35">
      <c r="A18" s="36" t="e">
        <f ca="1"/>
        <v>#NAME?</v>
      </c>
      <c r="B18" s="37" t="e">
        <f ca="1"/>
        <v>#NAME?</v>
      </c>
      <c r="C18" s="38" t="e">
        <f ca="1"/>
        <v>#NAME?</v>
      </c>
    </row>
    <row r="19" spans="1:3" x14ac:dyDescent="0.35">
      <c r="A19" s="39" t="e">
        <f ca="1"/>
        <v>#NAME?</v>
      </c>
      <c r="B19" s="40" t="e">
        <f ca="1"/>
        <v>#NAME?</v>
      </c>
      <c r="C19" s="41" t="e">
        <f ca="1"/>
        <v>#NAME?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0"/>
  <dimension ref="A1:AP35"/>
  <sheetViews>
    <sheetView workbookViewId="0">
      <selection activeCell="F1" sqref="F1"/>
    </sheetView>
  </sheetViews>
  <sheetFormatPr defaultRowHeight="14.5" x14ac:dyDescent="0.35"/>
  <cols>
    <col min="13" max="13" width="11" bestFit="1" customWidth="1"/>
    <col min="27" max="27" width="4.453125" customWidth="1"/>
    <col min="31" max="31" width="4" customWidth="1"/>
  </cols>
  <sheetData>
    <row r="1" spans="1:42" x14ac:dyDescent="0.35">
      <c r="A1" s="42" t="s">
        <v>147</v>
      </c>
      <c r="P1" t="s">
        <v>169</v>
      </c>
      <c r="X1" t="s">
        <v>199</v>
      </c>
      <c r="AI1" t="s">
        <v>151</v>
      </c>
      <c r="AL1" t="s">
        <v>200</v>
      </c>
      <c r="AO1" t="s">
        <v>201</v>
      </c>
    </row>
    <row r="3" spans="1:42" ht="16.5" x14ac:dyDescent="0.35">
      <c r="B3" s="47" t="s">
        <v>144</v>
      </c>
      <c r="C3" s="47" t="s">
        <v>145</v>
      </c>
      <c r="D3" s="47" t="s">
        <v>146</v>
      </c>
      <c r="F3" t="s">
        <v>165</v>
      </c>
      <c r="L3" s="70" t="s">
        <v>154</v>
      </c>
      <c r="P3" t="s">
        <v>154</v>
      </c>
      <c r="T3" t="s">
        <v>156</v>
      </c>
      <c r="X3" t="s">
        <v>192</v>
      </c>
      <c r="AB3" t="s">
        <v>193</v>
      </c>
      <c r="AI3" s="110" t="s">
        <v>52</v>
      </c>
      <c r="AJ3" s="112">
        <f>COUNTA(A4:A35)</f>
        <v>32</v>
      </c>
      <c r="AL3" s="110" t="s">
        <v>52</v>
      </c>
      <c r="AM3" s="112">
        <f>AJ3</f>
        <v>32</v>
      </c>
      <c r="AN3" s="37"/>
      <c r="AO3" s="110" t="s">
        <v>202</v>
      </c>
      <c r="AP3" s="112" t="e">
        <f ca="1">AG6</f>
        <v>#NAME?</v>
      </c>
    </row>
    <row r="4" spans="1:42" x14ac:dyDescent="0.35">
      <c r="A4" t="s">
        <v>158</v>
      </c>
      <c r="B4" s="75">
        <v>76.7</v>
      </c>
      <c r="C4" s="100">
        <v>29.5</v>
      </c>
      <c r="D4" s="101">
        <v>7.5</v>
      </c>
      <c r="L4" s="110">
        <f t="array" ref="L4:N6">MMULT(TRANSPOSE(B4:D35-G10:I10),B4:D35-G10:I10)</f>
        <v>4968.8671874999991</v>
      </c>
      <c r="M4" s="111">
        <v>776.69031249999966</v>
      </c>
      <c r="N4" s="112">
        <v>-110.1915625</v>
      </c>
      <c r="X4" s="110" t="e">
        <f t="array" aca="1" ref="X4:Z6" ca="1">MMULT(L9:N11,MINVERSE(L14:N16))</f>
        <v>#NAME?</v>
      </c>
      <c r="Y4" s="111" t="e">
        <f ca="1"/>
        <v>#NAME?</v>
      </c>
      <c r="Z4" s="112" t="e">
        <f ca="1"/>
        <v>#NAME?</v>
      </c>
      <c r="AB4" s="110">
        <f t="array" ref="AB4:AD6">MMULT(L9:N11,MINVERSE(L4:N6))</f>
        <v>0.23176419132955128</v>
      </c>
      <c r="AC4" s="111">
        <v>-0.1093494842342259</v>
      </c>
      <c r="AD4" s="112">
        <v>1.4089904837612559</v>
      </c>
      <c r="AF4" t="s">
        <v>194</v>
      </c>
      <c r="AG4" s="48" t="e">
        <f ca="1">MDETERM(L14:N16)/MDETERM(L4:N6)</f>
        <v>#NAME?</v>
      </c>
      <c r="AI4" s="123" t="s">
        <v>53</v>
      </c>
      <c r="AJ4" s="90">
        <f>COUNTA(B3:D3)</f>
        <v>3</v>
      </c>
      <c r="AL4" s="123" t="s">
        <v>53</v>
      </c>
      <c r="AM4" s="90">
        <f>AJ4</f>
        <v>3</v>
      </c>
      <c r="AN4" s="37"/>
      <c r="AO4" s="123" t="s">
        <v>54</v>
      </c>
      <c r="AP4" s="90" t="e">
        <f ca="1">(2*AM8+AM6+1)*AP3/(2*AM7+AM6+1)/(AM6-AP3)</f>
        <v>#NAME?</v>
      </c>
    </row>
    <row r="5" spans="1:42" x14ac:dyDescent="0.35">
      <c r="A5" t="s">
        <v>158</v>
      </c>
      <c r="B5" s="102">
        <v>60.5</v>
      </c>
      <c r="C5" s="103">
        <v>32.1</v>
      </c>
      <c r="D5" s="104">
        <v>6.3</v>
      </c>
      <c r="G5" s="47" t="s">
        <v>144</v>
      </c>
      <c r="H5" s="47" t="s">
        <v>145</v>
      </c>
      <c r="I5" s="47" t="s">
        <v>146</v>
      </c>
      <c r="J5" s="113" t="s">
        <v>167</v>
      </c>
      <c r="L5" s="36">
        <v>776.69031249999966</v>
      </c>
      <c r="M5" s="37">
        <v>2955.8921874999996</v>
      </c>
      <c r="N5" s="90">
        <v>146.33906250000001</v>
      </c>
      <c r="P5" t="s">
        <v>158</v>
      </c>
      <c r="T5" t="s">
        <v>158</v>
      </c>
      <c r="X5" s="36" t="e">
        <f ca="1"/>
        <v>#NAME?</v>
      </c>
      <c r="Y5" s="37" t="e">
        <f ca="1"/>
        <v>#NAME?</v>
      </c>
      <c r="Z5" s="90" t="e">
        <f ca="1"/>
        <v>#NAME?</v>
      </c>
      <c r="AB5" s="36">
        <v>1.0854098128861733E-2</v>
      </c>
      <c r="AC5" s="37">
        <v>3.1470155153552379E-2</v>
      </c>
      <c r="AD5" s="90">
        <v>0.13976636535163384</v>
      </c>
      <c r="AF5" t="s">
        <v>195</v>
      </c>
      <c r="AG5" s="49" t="e">
        <f ca="1">TRACE(X4:Z6)</f>
        <v>#NAME?</v>
      </c>
      <c r="AI5" s="123" t="s">
        <v>203</v>
      </c>
      <c r="AJ5" s="90">
        <f>COUNTA(F6:F9)</f>
        <v>4</v>
      </c>
      <c r="AL5" s="123" t="s">
        <v>203</v>
      </c>
      <c r="AM5" s="90">
        <f>AJ5</f>
        <v>4</v>
      </c>
      <c r="AN5" s="37"/>
      <c r="AO5" s="123" t="s">
        <v>55</v>
      </c>
      <c r="AP5" s="90">
        <f>AM11</f>
        <v>9</v>
      </c>
    </row>
    <row r="6" spans="1:42" x14ac:dyDescent="0.35">
      <c r="A6" t="s">
        <v>158</v>
      </c>
      <c r="B6" s="102">
        <v>96.1</v>
      </c>
      <c r="C6" s="103">
        <v>40.700000000000003</v>
      </c>
      <c r="D6" s="104">
        <v>4.2</v>
      </c>
      <c r="F6" s="60" t="s">
        <v>158</v>
      </c>
      <c r="G6" s="110">
        <f t="shared" ref="G6:I9" si="0">AVERAGEIF($A$4:$A$35,$F6,B$4:B$35)</f>
        <v>69.712500000000006</v>
      </c>
      <c r="H6" s="111">
        <f t="shared" si="0"/>
        <v>32.737499999999997</v>
      </c>
      <c r="I6" s="112">
        <f t="shared" si="0"/>
        <v>6.3874999999999984</v>
      </c>
      <c r="J6">
        <f>COUNTIF($A$4:$A$35,F6)</f>
        <v>8</v>
      </c>
      <c r="L6" s="39">
        <v>-110.1915625</v>
      </c>
      <c r="M6" s="40">
        <v>146.33906250000001</v>
      </c>
      <c r="N6" s="41">
        <v>144.78468750000002</v>
      </c>
      <c r="P6" s="110">
        <f t="array" ref="P6:R8">MMULT(TRANSPOSE(B4:D11-G10:I10),B4:D11-G10:I10)</f>
        <v>2325.2738281250004</v>
      </c>
      <c r="Q6" s="111">
        <v>588.32304687500005</v>
      </c>
      <c r="R6" s="112">
        <v>-63.113359374999803</v>
      </c>
      <c r="T6" s="110">
        <f t="array" ref="T6:V8">MMULT(TRANSPOSE(B4:D11-G6:I6),B4:D11-G6:I6)</f>
        <v>1799.9887499999993</v>
      </c>
      <c r="U6" s="111">
        <v>486.42624999999981</v>
      </c>
      <c r="V6" s="112">
        <v>-174.32874999999993</v>
      </c>
      <c r="X6" s="39" t="e">
        <f ca="1"/>
        <v>#NAME?</v>
      </c>
      <c r="Y6" s="40" t="e">
        <f ca="1"/>
        <v>#NAME?</v>
      </c>
      <c r="Z6" s="41" t="e">
        <f ca="1"/>
        <v>#NAME?</v>
      </c>
      <c r="AB6" s="39">
        <v>4.1254499723941837E-2</v>
      </c>
      <c r="AC6" s="40">
        <v>-1.627043233193725E-2</v>
      </c>
      <c r="AD6" s="41">
        <v>0.27126718838041697</v>
      </c>
      <c r="AF6" t="s">
        <v>196</v>
      </c>
      <c r="AG6" s="52" t="e">
        <f ca="1">TRACE(AB4:AD6)</f>
        <v>#NAME?</v>
      </c>
      <c r="AI6" s="123" t="s">
        <v>204</v>
      </c>
      <c r="AJ6" s="90">
        <f>AJ3-AJ5-(AJ4-AJ5+2)/2</f>
        <v>27.5</v>
      </c>
      <c r="AL6" s="123" t="s">
        <v>61</v>
      </c>
      <c r="AM6" s="90">
        <f>MIN(AJ4,AJ5-1)</f>
        <v>3</v>
      </c>
      <c r="AN6" s="37"/>
      <c r="AO6" s="123" t="s">
        <v>56</v>
      </c>
      <c r="AP6" s="90">
        <f>AM6*(2*AM8+AM6+1)</f>
        <v>84</v>
      </c>
    </row>
    <row r="7" spans="1:42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60" t="s">
        <v>159</v>
      </c>
      <c r="G7" s="36">
        <f t="shared" si="0"/>
        <v>62.575000000000003</v>
      </c>
      <c r="H7" s="37">
        <f t="shared" si="0"/>
        <v>28.2</v>
      </c>
      <c r="I7" s="90">
        <f t="shared" si="0"/>
        <v>4.3500000000000005</v>
      </c>
      <c r="J7">
        <f>COUNTIF($A$4:$A$35,F7)</f>
        <v>8</v>
      </c>
      <c r="P7" s="36">
        <v>588.32304687500005</v>
      </c>
      <c r="Q7" s="37">
        <v>400.8450781250001</v>
      </c>
      <c r="R7" s="90">
        <v>17.347734375000051</v>
      </c>
      <c r="T7" s="36">
        <v>486.42624999999981</v>
      </c>
      <c r="U7" s="37">
        <v>381.07875000000007</v>
      </c>
      <c r="V7" s="90">
        <v>-4.2262500000000047</v>
      </c>
      <c r="AI7" s="123" t="s">
        <v>205</v>
      </c>
      <c r="AJ7" s="90">
        <f>AJ4^2*(AJ5-1)^2-4</f>
        <v>77</v>
      </c>
      <c r="AL7" s="123" t="s">
        <v>64</v>
      </c>
      <c r="AM7" s="90">
        <f>(ABS(AJ4-AJ5+1)-1)/2</f>
        <v>-0.5</v>
      </c>
      <c r="AN7" s="37"/>
      <c r="AO7" s="123" t="s">
        <v>57</v>
      </c>
      <c r="AP7" s="90">
        <v>0.05</v>
      </c>
    </row>
    <row r="8" spans="1:42" x14ac:dyDescent="0.35">
      <c r="A8" t="s">
        <v>158</v>
      </c>
      <c r="B8" s="102">
        <v>50.2</v>
      </c>
      <c r="C8" s="103">
        <v>34.1</v>
      </c>
      <c r="D8" s="104">
        <v>11.7</v>
      </c>
      <c r="F8" s="60" t="s">
        <v>161</v>
      </c>
      <c r="G8" s="36">
        <f t="shared" si="0"/>
        <v>55.3125</v>
      </c>
      <c r="H8" s="37">
        <f t="shared" si="0"/>
        <v>30.637499999999996</v>
      </c>
      <c r="I8" s="90">
        <f t="shared" si="0"/>
        <v>3.8624999999999998</v>
      </c>
      <c r="J8">
        <f>COUNTIF($A$4:$A$35,F8)</f>
        <v>8</v>
      </c>
      <c r="L8" t="s">
        <v>155</v>
      </c>
      <c r="P8" s="39">
        <v>-63.113359374999803</v>
      </c>
      <c r="Q8" s="40">
        <v>17.347734375000051</v>
      </c>
      <c r="R8" s="41">
        <v>65.815703125000013</v>
      </c>
      <c r="T8" s="39">
        <v>-174.32874999999993</v>
      </c>
      <c r="U8" s="40">
        <v>-4.2262500000000047</v>
      </c>
      <c r="V8" s="41">
        <v>42.268749999999983</v>
      </c>
      <c r="X8" t="s">
        <v>198</v>
      </c>
      <c r="AI8" s="123" t="s">
        <v>206</v>
      </c>
      <c r="AJ8" s="90">
        <f>AJ4^2+(AJ5-1)^2-5</f>
        <v>13</v>
      </c>
      <c r="AL8" s="123" t="s">
        <v>207</v>
      </c>
      <c r="AM8" s="90">
        <f>(AM3-AM5-AM4-1)/2</f>
        <v>12</v>
      </c>
      <c r="AN8" s="37"/>
      <c r="AO8" s="123" t="s">
        <v>58</v>
      </c>
      <c r="AP8" s="90">
        <f>FINV(AP7,AP5,AP6)</f>
        <v>1.9933120301272056</v>
      </c>
    </row>
    <row r="9" spans="1:42" ht="16.5" x14ac:dyDescent="0.35">
      <c r="A9" t="s">
        <v>158</v>
      </c>
      <c r="B9" s="102">
        <v>55</v>
      </c>
      <c r="C9" s="103">
        <v>31.1</v>
      </c>
      <c r="D9" s="104">
        <v>6.9</v>
      </c>
      <c r="F9" s="60" t="s">
        <v>160</v>
      </c>
      <c r="G9" s="39">
        <f t="shared" si="0"/>
        <v>58.837499999999999</v>
      </c>
      <c r="H9" s="40">
        <f t="shared" si="0"/>
        <v>33.087500000000006</v>
      </c>
      <c r="I9" s="41">
        <f t="shared" si="0"/>
        <v>4.0875000000000004</v>
      </c>
      <c r="J9">
        <f>COUNTIF($A$4:$A$35,F9)</f>
        <v>8</v>
      </c>
      <c r="L9" s="110">
        <f t="array" ref="L9:N11">MMULT(TRANSPOSE(G15:I18),G15:I18*J15:J18)</f>
        <v>911.41593750000084</v>
      </c>
      <c r="M9" s="111">
        <v>62.974062499999881</v>
      </c>
      <c r="N9" s="112">
        <v>162.45968749999994</v>
      </c>
      <c r="AI9" s="123" t="s">
        <v>208</v>
      </c>
      <c r="AJ9" s="90">
        <f>IF(AJ8&gt;0,SQRT(AJ7/AJ8),1)</f>
        <v>2.433737233777904</v>
      </c>
      <c r="AL9" s="123" t="s">
        <v>51</v>
      </c>
      <c r="AM9" s="90" t="e">
        <f ca="1">AG5</f>
        <v>#NAME?</v>
      </c>
      <c r="AN9" s="37"/>
      <c r="AO9" s="91" t="s">
        <v>59</v>
      </c>
      <c r="AP9" s="93" t="e">
        <f ca="1">FDIST(AP4,AP5,AP6)</f>
        <v>#NAME?</v>
      </c>
    </row>
    <row r="10" spans="1:42" ht="16.5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s">
        <v>216</v>
      </c>
      <c r="G10" s="114">
        <f>AVERAGE(B4:B35)</f>
        <v>61.609374999999993</v>
      </c>
      <c r="H10" s="115">
        <f>AVERAGE(C4:C35)</f>
        <v>31.165624999999999</v>
      </c>
      <c r="I10" s="116">
        <f>AVERAGE(D4:D35)</f>
        <v>4.6718749999999991</v>
      </c>
      <c r="L10" s="36">
        <v>62.974062499999881</v>
      </c>
      <c r="M10" s="37">
        <v>121.90593750000016</v>
      </c>
      <c r="N10" s="90">
        <v>23.645312499999932</v>
      </c>
      <c r="P10" t="s">
        <v>159</v>
      </c>
      <c r="T10" t="s">
        <v>159</v>
      </c>
      <c r="X10" t="s">
        <v>192</v>
      </c>
      <c r="AI10" s="123" t="s">
        <v>114</v>
      </c>
      <c r="AJ10" s="90">
        <f>(AJ4*(AJ5-1)-2)/2</f>
        <v>3.5</v>
      </c>
      <c r="AL10" s="123" t="s">
        <v>54</v>
      </c>
      <c r="AM10" s="90" t="e">
        <f ca="1">AM9*AM12/(AM11*AM6)</f>
        <v>#NAME?</v>
      </c>
      <c r="AN10" s="37"/>
      <c r="AO10" s="37"/>
    </row>
    <row r="11" spans="1:42" x14ac:dyDescent="0.35">
      <c r="A11" t="s">
        <v>158</v>
      </c>
      <c r="B11" s="102">
        <v>65.7</v>
      </c>
      <c r="C11" s="103">
        <v>27.7</v>
      </c>
      <c r="D11" s="104">
        <v>5.3</v>
      </c>
      <c r="L11" s="91">
        <v>162.45968749999994</v>
      </c>
      <c r="M11" s="92">
        <v>23.645312499999932</v>
      </c>
      <c r="N11" s="93">
        <v>32.348437499999953</v>
      </c>
      <c r="P11" s="110">
        <f t="array" ref="P11:R13">MMULT(TRANSPOSE(B12:D19-G10:I10),B12:D19-G10:I10)</f>
        <v>474.07445312500033</v>
      </c>
      <c r="Q11" s="111">
        <v>-25.90945312500024</v>
      </c>
      <c r="R11" s="112">
        <v>-46.756484375000049</v>
      </c>
      <c r="T11" s="110">
        <f t="array" ref="T11:V13">MMULT(TRANSPOSE(B12:D19-G7:I7),B12:D19-G7:I7)</f>
        <v>466.61500000000012</v>
      </c>
      <c r="U11" s="111">
        <v>-3.0000000000000533</v>
      </c>
      <c r="V11" s="112">
        <v>-44.270000000000024</v>
      </c>
      <c r="X11" s="110" t="e">
        <f t="array" ref="X11:Z13" ca="1">X4:Z6</f>
        <v>#NAME?</v>
      </c>
      <c r="Y11" s="111" t="e">
        <f ca="1"/>
        <v>#NAME?</v>
      </c>
      <c r="Z11" s="112" t="e">
        <f ca="1"/>
        <v>#NAME?</v>
      </c>
      <c r="AB11" t="s">
        <v>194</v>
      </c>
      <c r="AC11" s="48" t="e">
        <f t="array" ref="AC11" ca="1">1/PRODUCT(1+X15:Z15)</f>
        <v>#NAME?</v>
      </c>
      <c r="AI11" s="124" t="s">
        <v>209</v>
      </c>
      <c r="AJ11" s="90" t="e">
        <f ca="1">AG4</f>
        <v>#NAME?</v>
      </c>
      <c r="AL11" s="123" t="s">
        <v>55</v>
      </c>
      <c r="AM11" s="90">
        <f>AM6*(2*AM7+AM6+1)</f>
        <v>9</v>
      </c>
      <c r="AN11" s="37"/>
      <c r="AO11" s="37"/>
    </row>
    <row r="12" spans="1:42" ht="16.5" x14ac:dyDescent="0.35">
      <c r="A12" t="s">
        <v>159</v>
      </c>
      <c r="B12" s="102">
        <v>67.3</v>
      </c>
      <c r="C12" s="103">
        <v>48.3</v>
      </c>
      <c r="D12" s="104">
        <v>5.5</v>
      </c>
      <c r="F12" t="s">
        <v>166</v>
      </c>
      <c r="P12" s="36">
        <v>-25.90945312500024</v>
      </c>
      <c r="Q12" s="37">
        <v>1051.2194531249997</v>
      </c>
      <c r="R12" s="90">
        <v>68.376484374999976</v>
      </c>
      <c r="T12" s="36">
        <v>-3.0000000000000533</v>
      </c>
      <c r="U12" s="37">
        <v>980.86</v>
      </c>
      <c r="V12" s="90">
        <v>60.739999999999995</v>
      </c>
      <c r="X12" s="36" t="e">
        <f ca="1"/>
        <v>#NAME?</v>
      </c>
      <c r="Y12" s="37" t="e">
        <f ca="1"/>
        <v>#NAME?</v>
      </c>
      <c r="Z12" s="90" t="e">
        <f ca="1"/>
        <v>#NAME?</v>
      </c>
      <c r="AB12" t="s">
        <v>195</v>
      </c>
      <c r="AC12" s="49" t="e">
        <f ca="1">SUM(X15:Z15)</f>
        <v>#NAME?</v>
      </c>
      <c r="AI12" s="123" t="s">
        <v>210</v>
      </c>
      <c r="AJ12" s="90" t="e">
        <f ca="1">AJ11^(-1/AJ9)-1</f>
        <v>#NAME?</v>
      </c>
      <c r="AL12" s="123" t="s">
        <v>56</v>
      </c>
      <c r="AM12" s="90">
        <f>2*(AM6*AM8+1)</f>
        <v>74</v>
      </c>
      <c r="AN12" s="37"/>
      <c r="AO12" s="37"/>
    </row>
    <row r="13" spans="1:42" x14ac:dyDescent="0.35">
      <c r="A13" t="s">
        <v>159</v>
      </c>
      <c r="B13" s="102">
        <v>61.3</v>
      </c>
      <c r="C13" s="103">
        <v>28.9</v>
      </c>
      <c r="D13" s="104">
        <v>6.9</v>
      </c>
      <c r="L13" t="s">
        <v>156</v>
      </c>
      <c r="P13" s="39">
        <v>-46.756484375000049</v>
      </c>
      <c r="Q13" s="40">
        <v>68.376484374999976</v>
      </c>
      <c r="R13" s="41">
        <v>22.288828124999998</v>
      </c>
      <c r="T13" s="39">
        <v>-44.270000000000024</v>
      </c>
      <c r="U13" s="40">
        <v>60.739999999999995</v>
      </c>
      <c r="V13" s="41">
        <v>21.46</v>
      </c>
      <c r="X13" s="39" t="e">
        <f ca="1"/>
        <v>#NAME?</v>
      </c>
      <c r="Y13" s="40" t="e">
        <f ca="1"/>
        <v>#NAME?</v>
      </c>
      <c r="Z13" s="41" t="e">
        <f ca="1"/>
        <v>#NAME?</v>
      </c>
      <c r="AB13" t="s">
        <v>196</v>
      </c>
      <c r="AC13" s="49" t="e">
        <f t="array" ref="AC13" ca="1">SUM(X15:Z15/(1+X15:Z15))</f>
        <v>#NAME?</v>
      </c>
      <c r="AI13" s="123" t="s">
        <v>54</v>
      </c>
      <c r="AJ13" s="90" t="e">
        <f ca="1">AJ12*AJ15/AJ14</f>
        <v>#NAME?</v>
      </c>
      <c r="AL13" s="125" t="s">
        <v>57</v>
      </c>
      <c r="AM13" s="90">
        <v>0.05</v>
      </c>
      <c r="AN13" s="37"/>
      <c r="AO13" s="37"/>
    </row>
    <row r="14" spans="1:42" x14ac:dyDescent="0.35">
      <c r="A14" t="s">
        <v>159</v>
      </c>
      <c r="B14" s="102">
        <v>58.2</v>
      </c>
      <c r="C14" s="103">
        <v>42.5</v>
      </c>
      <c r="D14" s="104">
        <v>4.8</v>
      </c>
      <c r="G14" s="47" t="s">
        <v>144</v>
      </c>
      <c r="H14" s="47" t="s">
        <v>145</v>
      </c>
      <c r="I14" s="47" t="s">
        <v>146</v>
      </c>
      <c r="J14" s="113" t="s">
        <v>167</v>
      </c>
      <c r="L14" s="110" t="e">
        <f t="shared" ref="L14:N16" ca="1" si="1">P32-L9</f>
        <v>#NAME?</v>
      </c>
      <c r="M14" s="111" t="e">
        <f t="shared" ca="1" si="1"/>
        <v>#NAME?</v>
      </c>
      <c r="N14" s="112" t="e">
        <f t="shared" ca="1" si="1"/>
        <v>#NAME?</v>
      </c>
      <c r="AB14" t="s">
        <v>197</v>
      </c>
      <c r="AC14" s="52" t="e">
        <f ca="1">X15</f>
        <v>#NAME?</v>
      </c>
      <c r="AI14" s="123" t="s">
        <v>55</v>
      </c>
      <c r="AJ14" s="90">
        <f>AJ4*(AJ5-1)</f>
        <v>9</v>
      </c>
      <c r="AL14" s="123" t="s">
        <v>58</v>
      </c>
      <c r="AM14" s="90">
        <f>FINV(AM13,AM11,AM12)</f>
        <v>2.0090248999382183</v>
      </c>
      <c r="AN14" s="37"/>
      <c r="AO14" s="37"/>
    </row>
    <row r="15" spans="1:42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60" t="s">
        <v>158</v>
      </c>
      <c r="G15" s="117">
        <f t="shared" ref="G15:I18" si="2">G6-G$10</f>
        <v>8.1031250000000128</v>
      </c>
      <c r="H15" s="118">
        <f t="shared" si="2"/>
        <v>1.5718749999999986</v>
      </c>
      <c r="I15" s="119">
        <f t="shared" si="2"/>
        <v>1.7156249999999993</v>
      </c>
      <c r="J15">
        <f>COUNTIF($A$4:$A$35,F15)</f>
        <v>8</v>
      </c>
      <c r="K15" s="113"/>
      <c r="L15" s="36" t="e">
        <f t="shared" ca="1" si="1"/>
        <v>#NAME?</v>
      </c>
      <c r="M15" s="37" t="e">
        <f t="shared" ca="1" si="1"/>
        <v>#NAME?</v>
      </c>
      <c r="N15" s="90" t="e">
        <f t="shared" ca="1" si="1"/>
        <v>#NAME?</v>
      </c>
      <c r="P15" t="s">
        <v>161</v>
      </c>
      <c r="T15" t="s">
        <v>161</v>
      </c>
      <c r="X15" s="53" t="e">
        <f t="array" aca="1" ref="X15:Z15" ca="1">eVALUES(X11:Z13)</f>
        <v>#NAME?</v>
      </c>
      <c r="Y15" s="108" t="e">
        <f ca="1"/>
        <v>#NAME?</v>
      </c>
      <c r="Z15" s="109" t="e">
        <f ca="1"/>
        <v>#NAME?</v>
      </c>
      <c r="AI15" s="123" t="s">
        <v>56</v>
      </c>
      <c r="AJ15" s="90">
        <f>AJ6*AJ9-AJ10</f>
        <v>63.427773928892364</v>
      </c>
      <c r="AL15" s="91" t="s">
        <v>59</v>
      </c>
      <c r="AM15" s="93" t="e">
        <f ca="1">FDIST(AM10,AM11,AM12)</f>
        <v>#NAME?</v>
      </c>
      <c r="AN15" s="37"/>
      <c r="AO15" s="37"/>
    </row>
    <row r="16" spans="1:42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60" t="s">
        <v>159</v>
      </c>
      <c r="G16" s="76">
        <f t="shared" si="2"/>
        <v>0.96562500000000995</v>
      </c>
      <c r="H16" s="103">
        <f t="shared" si="2"/>
        <v>-2.9656249999999993</v>
      </c>
      <c r="I16" s="104">
        <f t="shared" si="2"/>
        <v>-0.32187499999999858</v>
      </c>
      <c r="J16">
        <f>COUNTIF($A$4:$A$35,F16)</f>
        <v>8</v>
      </c>
      <c r="L16" s="91" t="e">
        <f t="shared" ca="1" si="1"/>
        <v>#NAME?</v>
      </c>
      <c r="M16" s="92" t="e">
        <f t="shared" ca="1" si="1"/>
        <v>#NAME?</v>
      </c>
      <c r="N16" s="93" t="e">
        <f t="shared" ca="1" si="1"/>
        <v>#NAME?</v>
      </c>
      <c r="P16" s="110">
        <f t="array" ref="P16:R18">MMULT(TRANSPOSE(B20:D27-G10:I10),B20:D27-G10:I10)</f>
        <v>1309.4338281249991</v>
      </c>
      <c r="Q16" s="111">
        <v>-4.5694531250001376</v>
      </c>
      <c r="R16" s="112">
        <v>58.876015624999887</v>
      </c>
      <c r="T16" s="110">
        <f t="array" ref="T16:V18">MMULT(TRANSPOSE(B20:D27-G8:I8),B20:D27-G8:I8)</f>
        <v>992.22874999999976</v>
      </c>
      <c r="U16" s="111">
        <v>-31.17375000000002</v>
      </c>
      <c r="V16" s="112">
        <v>18.103749999999966</v>
      </c>
      <c r="AI16" s="125" t="s">
        <v>57</v>
      </c>
      <c r="AJ16" s="90">
        <v>0.05</v>
      </c>
    </row>
    <row r="17" spans="1:36" x14ac:dyDescent="0.35">
      <c r="A17" t="s">
        <v>159</v>
      </c>
      <c r="B17" s="102">
        <v>55.4</v>
      </c>
      <c r="C17" s="103">
        <v>29.1</v>
      </c>
      <c r="D17" s="104">
        <v>5</v>
      </c>
      <c r="F17" s="60" t="s">
        <v>161</v>
      </c>
      <c r="G17" s="76">
        <f t="shared" si="2"/>
        <v>-6.2968749999999929</v>
      </c>
      <c r="H17" s="103">
        <f t="shared" si="2"/>
        <v>-0.52812500000000284</v>
      </c>
      <c r="I17" s="104">
        <f t="shared" si="2"/>
        <v>-0.80937499999999929</v>
      </c>
      <c r="J17">
        <f>COUNTIF($A$4:$A$35,F17)</f>
        <v>8</v>
      </c>
      <c r="P17" s="36">
        <v>-4.5694531250001376</v>
      </c>
      <c r="Q17" s="37">
        <v>576.65007812499994</v>
      </c>
      <c r="R17" s="90">
        <v>20.050859375000002</v>
      </c>
      <c r="T17" s="36">
        <v>-31.17375000000002</v>
      </c>
      <c r="U17" s="37">
        <v>574.41874999999993</v>
      </c>
      <c r="V17" s="90">
        <v>16.631250000000012</v>
      </c>
      <c r="AI17" s="123" t="s">
        <v>58</v>
      </c>
      <c r="AJ17" s="90">
        <f>FINV(AJ16,AJ14,AJ15)</f>
        <v>2.0322422110018468</v>
      </c>
    </row>
    <row r="18" spans="1:36" x14ac:dyDescent="0.35">
      <c r="A18" t="s">
        <v>159</v>
      </c>
      <c r="B18" s="102">
        <v>50.5</v>
      </c>
      <c r="C18" s="103">
        <v>18</v>
      </c>
      <c r="D18" s="104">
        <v>4.8</v>
      </c>
      <c r="F18" s="60" t="s">
        <v>160</v>
      </c>
      <c r="G18" s="77">
        <f t="shared" si="2"/>
        <v>-2.7718749999999943</v>
      </c>
      <c r="H18" s="120">
        <f t="shared" si="2"/>
        <v>1.9218750000000071</v>
      </c>
      <c r="I18" s="121">
        <f t="shared" si="2"/>
        <v>-0.58437499999999876</v>
      </c>
      <c r="J18">
        <f>COUNTIF($A$4:$A$35,F18)</f>
        <v>8</v>
      </c>
      <c r="P18" s="39">
        <v>58.876015624999887</v>
      </c>
      <c r="Q18" s="40">
        <v>20.050859375000002</v>
      </c>
      <c r="R18" s="41">
        <v>29.339453124999988</v>
      </c>
      <c r="T18" s="39">
        <v>18.103749999999966</v>
      </c>
      <c r="U18" s="40">
        <v>16.631250000000012</v>
      </c>
      <c r="V18" s="41">
        <v>24.098749999999999</v>
      </c>
      <c r="AI18" s="91" t="s">
        <v>59</v>
      </c>
      <c r="AJ18" s="93" t="e">
        <f ca="1">FDIST(AJ13,AJ14,AJ15)</f>
        <v>#NAME?</v>
      </c>
    </row>
    <row r="19" spans="1:36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36" x14ac:dyDescent="0.35">
      <c r="A20" t="s">
        <v>161</v>
      </c>
      <c r="B20" s="102">
        <v>62.8</v>
      </c>
      <c r="C20" s="103">
        <v>25.9</v>
      </c>
      <c r="D20" s="104">
        <v>2.9</v>
      </c>
      <c r="P20" t="s">
        <v>160</v>
      </c>
      <c r="T20" t="s">
        <v>160</v>
      </c>
    </row>
    <row r="21" spans="1:36" x14ac:dyDescent="0.35">
      <c r="A21" t="s">
        <v>161</v>
      </c>
      <c r="B21" s="102">
        <v>45</v>
      </c>
      <c r="C21" s="103">
        <v>15.9</v>
      </c>
      <c r="D21" s="104">
        <v>1.2</v>
      </c>
      <c r="P21" s="110">
        <f t="array" ref="P21:R23">MMULT(TRANSPOSE(B28:D35-G10:I10),B28:D35-G10:I10)</f>
        <v>860.08507812499988</v>
      </c>
      <c r="Q21" s="111">
        <v>218.8461718750001</v>
      </c>
      <c r="R21" s="112">
        <v>-59.19773437500006</v>
      </c>
      <c r="T21" s="110">
        <f t="array" ref="T21:V23">MMULT(TRANSPOSE(B28:D35-G9:I9),B28:D35-G9:I9)</f>
        <v>798.6187500000002</v>
      </c>
      <c r="U21" s="111">
        <v>261.46375000000006</v>
      </c>
      <c r="V21" s="112">
        <v>-72.156250000000014</v>
      </c>
    </row>
    <row r="22" spans="1:36" x14ac:dyDescent="0.35">
      <c r="A22" t="s">
        <v>161</v>
      </c>
      <c r="B22" s="102">
        <v>47.8</v>
      </c>
      <c r="C22" s="103">
        <v>36.1</v>
      </c>
      <c r="D22" s="104">
        <v>4.0999999999999996</v>
      </c>
      <c r="P22" s="36">
        <v>218.8461718750001</v>
      </c>
      <c r="Q22" s="37">
        <v>927.17757812500008</v>
      </c>
      <c r="R22" s="90">
        <v>40.563984375000011</v>
      </c>
      <c r="T22" s="36">
        <v>261.46375000000006</v>
      </c>
      <c r="U22" s="37">
        <v>897.62875000000008</v>
      </c>
      <c r="V22" s="90">
        <v>49.548750000000005</v>
      </c>
    </row>
    <row r="23" spans="1:36" x14ac:dyDescent="0.35">
      <c r="A23" t="s">
        <v>161</v>
      </c>
      <c r="B23" s="102">
        <v>75.599999999999994</v>
      </c>
      <c r="C23" s="103">
        <v>27.7</v>
      </c>
      <c r="D23" s="104">
        <v>6.3</v>
      </c>
      <c r="P23" s="39">
        <v>-59.19773437500006</v>
      </c>
      <c r="Q23" s="40">
        <v>40.563984375000011</v>
      </c>
      <c r="R23" s="41">
        <v>27.340703124999994</v>
      </c>
      <c r="T23" s="39">
        <v>-72.156250000000014</v>
      </c>
      <c r="U23" s="40">
        <v>49.548750000000005</v>
      </c>
      <c r="V23" s="41">
        <v>24.608750000000001</v>
      </c>
    </row>
    <row r="24" spans="1:36" x14ac:dyDescent="0.35">
      <c r="A24" t="s">
        <v>161</v>
      </c>
      <c r="B24" s="102">
        <v>46.6</v>
      </c>
      <c r="C24" s="103">
        <v>46.9</v>
      </c>
      <c r="D24" s="104">
        <v>3.6</v>
      </c>
    </row>
    <row r="25" spans="1:36" x14ac:dyDescent="0.35">
      <c r="A25" t="s">
        <v>161</v>
      </c>
      <c r="B25" s="102">
        <v>50.6</v>
      </c>
      <c r="C25" s="103">
        <v>29.7</v>
      </c>
      <c r="D25" s="104">
        <v>4.7</v>
      </c>
      <c r="P25" t="s">
        <v>168</v>
      </c>
      <c r="T25" t="s">
        <v>168</v>
      </c>
    </row>
    <row r="26" spans="1:36" x14ac:dyDescent="0.35">
      <c r="A26" t="s">
        <v>161</v>
      </c>
      <c r="B26" s="102">
        <v>45.7</v>
      </c>
      <c r="C26" s="103">
        <v>27.6</v>
      </c>
      <c r="D26" s="104">
        <v>6.2</v>
      </c>
      <c r="P26" s="110">
        <f t="array" ref="P26:R28">P6:R8+P11:R13+P16:R18+P21:R23</f>
        <v>4968.8671875</v>
      </c>
      <c r="Q26" s="111">
        <v>776.69031249999978</v>
      </c>
      <c r="R26" s="112">
        <v>-110.19156250000003</v>
      </c>
      <c r="T26" s="110">
        <f t="array" ref="T26:V28">T6:V8+T11:V13+T16:V18+T21:V23</f>
        <v>4057.4512499999992</v>
      </c>
      <c r="U26" s="111">
        <v>713.71624999999972</v>
      </c>
      <c r="V26" s="112">
        <v>-272.65125</v>
      </c>
    </row>
    <row r="27" spans="1:36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P27" s="36">
        <v>776.69031249999978</v>
      </c>
      <c r="Q27" s="37">
        <v>2955.8921874999996</v>
      </c>
      <c r="R27" s="90">
        <v>146.33906250000004</v>
      </c>
      <c r="T27" s="36">
        <v>713.71624999999972</v>
      </c>
      <c r="U27" s="37">
        <v>2833.9862499999999</v>
      </c>
      <c r="V27" s="90">
        <v>122.69374999999999</v>
      </c>
    </row>
    <row r="28" spans="1:36" x14ac:dyDescent="0.35">
      <c r="A28" t="s">
        <v>160</v>
      </c>
      <c r="B28" s="102">
        <v>52.5</v>
      </c>
      <c r="C28" s="103">
        <v>39</v>
      </c>
      <c r="D28" s="104">
        <v>3.1</v>
      </c>
      <c r="P28" s="39">
        <v>-110.19156250000003</v>
      </c>
      <c r="Q28" s="40">
        <v>146.33906250000004</v>
      </c>
      <c r="R28" s="41">
        <v>144.78468749999999</v>
      </c>
      <c r="T28" s="39">
        <v>-272.65125</v>
      </c>
      <c r="U28" s="40">
        <v>122.69374999999999</v>
      </c>
      <c r="V28" s="41">
        <v>112.43624999999999</v>
      </c>
    </row>
    <row r="29" spans="1:36" x14ac:dyDescent="0.35">
      <c r="A29" t="s">
        <v>160</v>
      </c>
      <c r="B29" s="102">
        <v>80</v>
      </c>
      <c r="C29" s="103">
        <v>54.2</v>
      </c>
      <c r="D29" s="104">
        <v>4</v>
      </c>
    </row>
    <row r="30" spans="1:36" x14ac:dyDescent="0.35">
      <c r="A30" t="s">
        <v>160</v>
      </c>
      <c r="B30" s="102">
        <v>54.7</v>
      </c>
      <c r="C30" s="103">
        <v>32.1</v>
      </c>
      <c r="D30" s="104">
        <v>5.7</v>
      </c>
      <c r="P30" t="s">
        <v>170</v>
      </c>
      <c r="T30" t="s">
        <v>170</v>
      </c>
    </row>
    <row r="31" spans="1:36" x14ac:dyDescent="0.35">
      <c r="A31" t="s">
        <v>160</v>
      </c>
      <c r="B31" s="102">
        <v>63.5</v>
      </c>
      <c r="C31" s="103">
        <v>25.6</v>
      </c>
      <c r="D31" s="104">
        <v>3</v>
      </c>
    </row>
    <row r="32" spans="1:36" x14ac:dyDescent="0.35">
      <c r="A32" t="s">
        <v>160</v>
      </c>
      <c r="B32" s="102">
        <v>46.3</v>
      </c>
      <c r="C32" s="103">
        <v>31.8</v>
      </c>
      <c r="D32" s="104">
        <v>7.4</v>
      </c>
      <c r="P32" s="110" t="e">
        <f t="array" aca="1" ref="P32:R34" ca="1">COV(B4:D35)*(COUNT(B4:B35)-1)</f>
        <v>#NAME?</v>
      </c>
      <c r="Q32" s="111" t="e">
        <f ca="1"/>
        <v>#NAME?</v>
      </c>
      <c r="R32" s="112" t="e">
        <f ca="1"/>
        <v>#NAME?</v>
      </c>
      <c r="T32" s="110" t="e">
        <f t="array" aca="1" ref="T32:V34" ca="1">COVPooled(A4:D35)*(COUNT(B4:B35)-COUNT(G6:G9))</f>
        <v>#NAME?</v>
      </c>
      <c r="U32" s="111" t="e">
        <f ca="1"/>
        <v>#NAME?</v>
      </c>
      <c r="V32" s="112" t="e">
        <f ca="1"/>
        <v>#NAME?</v>
      </c>
    </row>
    <row r="33" spans="1:22" x14ac:dyDescent="0.35">
      <c r="A33" t="s">
        <v>160</v>
      </c>
      <c r="B33" s="102">
        <v>61.5</v>
      </c>
      <c r="C33" s="103">
        <v>16.8</v>
      </c>
      <c r="D33" s="104">
        <v>1.9</v>
      </c>
      <c r="P33" s="36" t="e">
        <f ca="1"/>
        <v>#NAME?</v>
      </c>
      <c r="Q33" s="37" t="e">
        <f ca="1"/>
        <v>#NAME?</v>
      </c>
      <c r="R33" s="90" t="e">
        <f ca="1"/>
        <v>#NAME?</v>
      </c>
      <c r="T33" s="36" t="e">
        <f ca="1"/>
        <v>#NAME?</v>
      </c>
      <c r="U33" s="37" t="e">
        <f ca="1"/>
        <v>#NAME?</v>
      </c>
      <c r="V33" s="90" t="e">
        <f ca="1"/>
        <v>#NAME?</v>
      </c>
    </row>
    <row r="34" spans="1:22" x14ac:dyDescent="0.35">
      <c r="A34" t="s">
        <v>160</v>
      </c>
      <c r="B34" s="102">
        <v>62.9</v>
      </c>
      <c r="C34" s="103">
        <v>25.8</v>
      </c>
      <c r="D34" s="104">
        <v>2.4</v>
      </c>
      <c r="P34" s="91" t="e">
        <f ca="1"/>
        <v>#NAME?</v>
      </c>
      <c r="Q34" s="92" t="e">
        <f ca="1"/>
        <v>#NAME?</v>
      </c>
      <c r="R34" s="93" t="e">
        <f ca="1"/>
        <v>#NAME?</v>
      </c>
      <c r="T34" s="91" t="e">
        <f ca="1"/>
        <v>#NAME?</v>
      </c>
      <c r="U34" s="92" t="e">
        <f ca="1"/>
        <v>#NAME?</v>
      </c>
      <c r="V34" s="93" t="e">
        <f ca="1"/>
        <v>#NAME?</v>
      </c>
    </row>
    <row r="35" spans="1:22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T35"/>
  <sheetViews>
    <sheetView zoomScaleNormal="100" workbookViewId="0"/>
  </sheetViews>
  <sheetFormatPr defaultRowHeight="14.5" x14ac:dyDescent="0.35"/>
  <cols>
    <col min="6" max="6" width="16.1796875" customWidth="1"/>
  </cols>
  <sheetData>
    <row r="1" spans="1:20" x14ac:dyDescent="0.35">
      <c r="A1" s="42" t="s">
        <v>171</v>
      </c>
      <c r="F1" t="s">
        <v>147</v>
      </c>
      <c r="N1" t="s">
        <v>232</v>
      </c>
      <c r="R1" t="s">
        <v>233</v>
      </c>
    </row>
    <row r="2" spans="1:20" ht="15" thickBot="1" x14ac:dyDescent="0.4"/>
    <row r="3" spans="1:20" ht="15" thickTop="1" x14ac:dyDescent="0.35">
      <c r="B3" s="47" t="s">
        <v>144</v>
      </c>
      <c r="C3" s="47" t="s">
        <v>145</v>
      </c>
      <c r="D3" s="47" t="s">
        <v>146</v>
      </c>
      <c r="F3" s="94"/>
      <c r="G3" s="94" t="s">
        <v>148</v>
      </c>
      <c r="H3" s="94" t="s">
        <v>54</v>
      </c>
      <c r="I3" s="94" t="s">
        <v>55</v>
      </c>
      <c r="J3" s="94" t="s">
        <v>56</v>
      </c>
      <c r="K3" s="94" t="s">
        <v>65</v>
      </c>
      <c r="L3" s="94" t="s">
        <v>149</v>
      </c>
      <c r="N3" t="s">
        <v>154</v>
      </c>
      <c r="R3" t="s">
        <v>160</v>
      </c>
    </row>
    <row r="4" spans="1:20" x14ac:dyDescent="0.35">
      <c r="A4" t="s">
        <v>158</v>
      </c>
      <c r="B4" s="75">
        <v>76.7</v>
      </c>
      <c r="C4" s="100">
        <v>29.5</v>
      </c>
      <c r="D4" s="101">
        <v>7.5</v>
      </c>
      <c r="F4" t="s">
        <v>150</v>
      </c>
      <c r="G4" t="e">
        <f ca="1">MANOVA_PillaiTrace(A4:D35)</f>
        <v>#NAME?</v>
      </c>
      <c r="H4" t="e">
        <f ca="1">MANOVA_PillaiF(A4:D35)</f>
        <v>#NAME?</v>
      </c>
      <c r="I4" t="e">
        <f ca="1">MANOVA_Pillaidf1(A4:D35)</f>
        <v>#NAME?</v>
      </c>
      <c r="J4" t="e">
        <f ca="1">MANOVA_Pillaidf2(A4:D35)</f>
        <v>#NAME?</v>
      </c>
      <c r="K4" t="e">
        <f ca="1">F_DIST_RT(H4,I4,J4)</f>
        <v>#NAME?</v>
      </c>
      <c r="L4" t="e">
        <f ca="1">H4*I4/(H4*I4+J4)</f>
        <v>#NAME?</v>
      </c>
      <c r="N4" s="130" t="e">
        <f t="array" aca="1" ref="N4:P6" ca="1">COVP(B4:D35)*COUNT(B4:B35)</f>
        <v>#NAME?</v>
      </c>
      <c r="O4" s="141" t="e">
        <f ca="1"/>
        <v>#NAME?</v>
      </c>
      <c r="P4" s="82" t="e">
        <f ca="1"/>
        <v>#NAME?</v>
      </c>
      <c r="R4" s="130" t="e">
        <f t="array" aca="1" ref="R4:T6" ca="1">ExtractCov(A4:D35,R3)</f>
        <v>#NAME?</v>
      </c>
      <c r="S4" s="141" t="e">
        <f ca="1"/>
        <v>#NAME?</v>
      </c>
      <c r="T4" s="82" t="e">
        <f ca="1"/>
        <v>#NAME?</v>
      </c>
    </row>
    <row r="5" spans="1:20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151</v>
      </c>
      <c r="G5" t="e">
        <f ca="1">MANOVA_WilksLambda(A4:D35)</f>
        <v>#NAME?</v>
      </c>
      <c r="H5" t="e">
        <f ca="1">MANOVA_WilksF(A4:D35)</f>
        <v>#NAME?</v>
      </c>
      <c r="I5" t="e">
        <f ca="1">MANOVA_Wilksdf1(A4:D35)</f>
        <v>#NAME?</v>
      </c>
      <c r="J5" t="e">
        <f ca="1">MANOVA_Wilksdf2(A4:D35)</f>
        <v>#NAME?</v>
      </c>
      <c r="K5" t="e">
        <f ca="1">F_DIST_RT(H5,I5,J5)</f>
        <v>#NAME?</v>
      </c>
      <c r="L5" t="e">
        <f ca="1">H5*I5/(H5*I5+J5)</f>
        <v>#NAME?</v>
      </c>
      <c r="N5" s="83" t="e">
        <f ca="1"/>
        <v>#NAME?</v>
      </c>
      <c r="O5" s="37" t="e">
        <f ca="1"/>
        <v>#NAME?</v>
      </c>
      <c r="P5" s="84" t="e">
        <f ca="1"/>
        <v>#NAME?</v>
      </c>
      <c r="R5" s="83" t="e">
        <f ca="1"/>
        <v>#NAME?</v>
      </c>
      <c r="S5" s="37" t="e">
        <f ca="1"/>
        <v>#NAME?</v>
      </c>
      <c r="T5" s="84" t="e">
        <f ca="1"/>
        <v>#NAME?</v>
      </c>
    </row>
    <row r="6" spans="1:20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152</v>
      </c>
      <c r="G6" t="e">
        <f ca="1">MANOVA_HotelTrace(A4:D35)</f>
        <v>#NAME?</v>
      </c>
      <c r="H6" t="e">
        <f ca="1">MANOVA_HotelF(A4:D35)</f>
        <v>#NAME?</v>
      </c>
      <c r="I6" t="e">
        <f ca="1">MANOVA_Hoteldf1(A4:D35)</f>
        <v>#NAME?</v>
      </c>
      <c r="J6" t="e">
        <f ca="1">MANOVA_Hoteldf2(A4:D35)</f>
        <v>#NAME?</v>
      </c>
      <c r="K6" t="e">
        <f ca="1">F_DIST_RT(H6,I6,J6)</f>
        <v>#NAME?</v>
      </c>
      <c r="L6" t="e">
        <f ca="1">H6*I6/(H6*I6+J6)</f>
        <v>#NAME?</v>
      </c>
      <c r="N6" s="85" t="e">
        <f ca="1"/>
        <v>#NAME?</v>
      </c>
      <c r="O6" s="86" t="e">
        <f ca="1"/>
        <v>#NAME?</v>
      </c>
      <c r="P6" s="87" t="e">
        <f ca="1"/>
        <v>#NAME?</v>
      </c>
      <c r="R6" s="85" t="e">
        <f ca="1"/>
        <v>#NAME?</v>
      </c>
      <c r="S6" s="86" t="e">
        <f ca="1"/>
        <v>#NAME?</v>
      </c>
      <c r="T6" s="87" t="e">
        <f ca="1"/>
        <v>#NAME?</v>
      </c>
    </row>
    <row r="7" spans="1:20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40" t="s">
        <v>153</v>
      </c>
      <c r="G7" s="40" t="e">
        <f ca="1">MANOVA_RoyRoot(A4:D35)</f>
        <v>#NAME?</v>
      </c>
      <c r="H7" s="40"/>
      <c r="I7" s="40"/>
      <c r="J7" s="40"/>
      <c r="K7" s="40"/>
      <c r="L7" s="40"/>
    </row>
    <row r="8" spans="1:20" x14ac:dyDescent="0.35">
      <c r="A8" t="s">
        <v>158</v>
      </c>
      <c r="B8" s="102">
        <v>50.2</v>
      </c>
      <c r="C8" s="103">
        <v>34.1</v>
      </c>
      <c r="D8" s="104">
        <v>11.7</v>
      </c>
      <c r="N8" t="s">
        <v>155</v>
      </c>
      <c r="R8" t="s">
        <v>158</v>
      </c>
    </row>
    <row r="9" spans="1:20" x14ac:dyDescent="0.35">
      <c r="A9" t="s">
        <v>158</v>
      </c>
      <c r="B9" s="102">
        <v>55</v>
      </c>
      <c r="C9" s="103">
        <v>31.1</v>
      </c>
      <c r="D9" s="104">
        <v>6.9</v>
      </c>
      <c r="N9" s="130" t="e">
        <f t="array" ref="N9:P11" ca="1">N4:P6-N14:P16</f>
        <v>#NAME?</v>
      </c>
      <c r="O9" s="141" t="e">
        <f ca="1"/>
        <v>#NAME?</v>
      </c>
      <c r="P9" s="82" t="e">
        <f ca="1"/>
        <v>#NAME?</v>
      </c>
      <c r="R9" s="130" t="e">
        <f t="array" aca="1" ref="R9:T11" ca="1">ExtractCov(A4:D35,R8)</f>
        <v>#NAME?</v>
      </c>
      <c r="S9" s="141" t="e">
        <f ca="1"/>
        <v>#NAME?</v>
      </c>
      <c r="T9" s="82" t="e">
        <f ca="1"/>
        <v>#NAME?</v>
      </c>
    </row>
    <row r="10" spans="1:20" x14ac:dyDescent="0.35">
      <c r="A10" t="s">
        <v>158</v>
      </c>
      <c r="B10" s="102">
        <v>65.400000000000006</v>
      </c>
      <c r="C10" s="103">
        <v>21.6</v>
      </c>
      <c r="D10" s="104">
        <v>4.3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s="83" t="e">
        <f ca="1"/>
        <v>#NAME?</v>
      </c>
      <c r="S10" s="37" t="e">
        <f ca="1"/>
        <v>#NAME?</v>
      </c>
      <c r="T10" s="84" t="e">
        <f ca="1"/>
        <v>#NAME?</v>
      </c>
    </row>
    <row r="11" spans="1:20" x14ac:dyDescent="0.35">
      <c r="A11" t="s">
        <v>158</v>
      </c>
      <c r="B11" s="102">
        <v>65.7</v>
      </c>
      <c r="C11" s="103">
        <v>27.7</v>
      </c>
      <c r="D11" s="104">
        <v>5.3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s="85" t="e">
        <f ca="1"/>
        <v>#NAME?</v>
      </c>
      <c r="S11" s="86" t="e">
        <f ca="1"/>
        <v>#NAME?</v>
      </c>
      <c r="T11" s="87" t="e">
        <f ca="1"/>
        <v>#NAME?</v>
      </c>
    </row>
    <row r="12" spans="1:20" x14ac:dyDescent="0.35">
      <c r="A12" t="s">
        <v>159</v>
      </c>
      <c r="B12" s="102">
        <v>67.3</v>
      </c>
      <c r="C12" s="103">
        <v>48.3</v>
      </c>
      <c r="D12" s="104">
        <v>5.5</v>
      </c>
    </row>
    <row r="13" spans="1:20" x14ac:dyDescent="0.35">
      <c r="A13" t="s">
        <v>159</v>
      </c>
      <c r="B13" s="102">
        <v>61.3</v>
      </c>
      <c r="C13" s="103">
        <v>28.9</v>
      </c>
      <c r="D13" s="104">
        <v>6.9</v>
      </c>
      <c r="N13" t="s">
        <v>156</v>
      </c>
      <c r="R13" t="s">
        <v>161</v>
      </c>
    </row>
    <row r="14" spans="1:20" x14ac:dyDescent="0.35">
      <c r="A14" t="s">
        <v>159</v>
      </c>
      <c r="B14" s="102">
        <v>58.2</v>
      </c>
      <c r="C14" s="103">
        <v>42.5</v>
      </c>
      <c r="D14" s="104">
        <v>4.8</v>
      </c>
      <c r="N14" s="130" t="e">
        <f t="array" aca="1" ref="N14:P16" ca="1">COVPooled(A4:D35)*(COUNT(B4:B35)-COUNTAU(A4:A35))</f>
        <v>#NAME?</v>
      </c>
      <c r="O14" s="141" t="e">
        <f ca="1"/>
        <v>#NAME?</v>
      </c>
      <c r="P14" s="82" t="e">
        <f ca="1"/>
        <v>#NAME?</v>
      </c>
      <c r="R14" s="130" t="e">
        <f t="array" aca="1" ref="R14:T16" ca="1">ExtractCov(A4:D35,R13)</f>
        <v>#NAME?</v>
      </c>
      <c r="S14" s="141" t="e">
        <f ca="1"/>
        <v>#NAME?</v>
      </c>
      <c r="T14" s="82" t="e">
        <f ca="1"/>
        <v>#NAME?</v>
      </c>
    </row>
    <row r="15" spans="1:20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N15" s="83" t="e">
        <f ca="1"/>
        <v>#NAME?</v>
      </c>
      <c r="O15" s="37" t="e">
        <f ca="1"/>
        <v>#NAME?</v>
      </c>
      <c r="P15" s="84" t="e">
        <f ca="1"/>
        <v>#NAME?</v>
      </c>
      <c r="R15" s="83" t="e">
        <f ca="1"/>
        <v>#NAME?</v>
      </c>
      <c r="S15" s="37" t="e">
        <f ca="1"/>
        <v>#NAME?</v>
      </c>
      <c r="T15" s="84" t="e">
        <f ca="1"/>
        <v>#NAME?</v>
      </c>
    </row>
    <row r="16" spans="1:20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N16" s="85" t="e">
        <f ca="1"/>
        <v>#NAME?</v>
      </c>
      <c r="O16" s="86" t="e">
        <f ca="1"/>
        <v>#NAME?</v>
      </c>
      <c r="P16" s="87" t="e">
        <f ca="1"/>
        <v>#NAME?</v>
      </c>
      <c r="R16" s="85" t="e">
        <f ca="1"/>
        <v>#NAME?</v>
      </c>
      <c r="S16" s="86" t="e">
        <f ca="1"/>
        <v>#NAME?</v>
      </c>
      <c r="T16" s="87" t="e">
        <f ca="1"/>
        <v>#NAME?</v>
      </c>
    </row>
    <row r="17" spans="1:20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20" x14ac:dyDescent="0.3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</row>
    <row r="19" spans="1:20" x14ac:dyDescent="0.35">
      <c r="A19" t="s">
        <v>159</v>
      </c>
      <c r="B19" s="102">
        <v>64.099999999999994</v>
      </c>
      <c r="C19" s="103">
        <v>14.5</v>
      </c>
      <c r="D19" s="104">
        <v>3.7</v>
      </c>
      <c r="R19" s="130" t="e">
        <f t="array" aca="1" ref="R19:T21" ca="1">ExtractCov(A4:D35,R18)</f>
        <v>#NAME?</v>
      </c>
      <c r="S19" s="141" t="e">
        <f ca="1"/>
        <v>#NAME?</v>
      </c>
      <c r="T19" s="82" t="e">
        <f ca="1"/>
        <v>#NAME?</v>
      </c>
    </row>
    <row r="20" spans="1:20" x14ac:dyDescent="0.35">
      <c r="A20" t="s">
        <v>161</v>
      </c>
      <c r="B20" s="102">
        <v>62.8</v>
      </c>
      <c r="C20" s="103">
        <v>25.9</v>
      </c>
      <c r="D20" s="104">
        <v>2.9</v>
      </c>
      <c r="R20" s="83" t="e">
        <f ca="1"/>
        <v>#NAME?</v>
      </c>
      <c r="S20" s="37" t="e">
        <f ca="1"/>
        <v>#NAME?</v>
      </c>
      <c r="T20" s="84" t="e">
        <f ca="1"/>
        <v>#NAME?</v>
      </c>
    </row>
    <row r="21" spans="1:20" x14ac:dyDescent="0.35">
      <c r="A21" t="s">
        <v>161</v>
      </c>
      <c r="B21" s="102">
        <v>45</v>
      </c>
      <c r="C21" s="103">
        <v>15.9</v>
      </c>
      <c r="D21" s="104">
        <v>1.2</v>
      </c>
      <c r="R21" s="85" t="e">
        <f ca="1"/>
        <v>#NAME?</v>
      </c>
      <c r="S21" s="86" t="e">
        <f ca="1"/>
        <v>#NAME?</v>
      </c>
      <c r="T21" s="87" t="e">
        <f ca="1"/>
        <v>#NAME?</v>
      </c>
    </row>
    <row r="22" spans="1:20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20" x14ac:dyDescent="0.35">
      <c r="A23" t="s">
        <v>161</v>
      </c>
      <c r="B23" s="102">
        <v>75.599999999999994</v>
      </c>
      <c r="C23" s="103">
        <v>27.7</v>
      </c>
      <c r="D23" s="104">
        <v>6.3</v>
      </c>
      <c r="R23" t="s">
        <v>157</v>
      </c>
    </row>
    <row r="24" spans="1:20" x14ac:dyDescent="0.35">
      <c r="A24" t="s">
        <v>161</v>
      </c>
      <c r="B24" s="102">
        <v>46.6</v>
      </c>
      <c r="C24" s="103">
        <v>46.9</v>
      </c>
      <c r="D24" s="104">
        <v>3.6</v>
      </c>
      <c r="R24" s="130" t="e">
        <f t="array" aca="1" ref="R24:T26" ca="1">COVPooled(A4:D35)</f>
        <v>#NAME?</v>
      </c>
      <c r="S24" s="141" t="e">
        <f ca="1"/>
        <v>#NAME?</v>
      </c>
      <c r="T24" s="82" t="e">
        <f ca="1"/>
        <v>#NAME?</v>
      </c>
    </row>
    <row r="25" spans="1:20" x14ac:dyDescent="0.35">
      <c r="A25" t="s">
        <v>161</v>
      </c>
      <c r="B25" s="102">
        <v>50.6</v>
      </c>
      <c r="C25" s="103">
        <v>29.7</v>
      </c>
      <c r="D25" s="104">
        <v>4.7</v>
      </c>
      <c r="R25" s="83" t="e">
        <f ca="1"/>
        <v>#NAME?</v>
      </c>
      <c r="S25" s="37" t="e">
        <f ca="1"/>
        <v>#NAME?</v>
      </c>
      <c r="T25" s="84" t="e">
        <f ca="1"/>
        <v>#NAME?</v>
      </c>
    </row>
    <row r="26" spans="1:20" x14ac:dyDescent="0.35">
      <c r="A26" t="s">
        <v>161</v>
      </c>
      <c r="B26" s="102">
        <v>45.7</v>
      </c>
      <c r="C26" s="103">
        <v>27.6</v>
      </c>
      <c r="D26" s="104">
        <v>6.2</v>
      </c>
      <c r="R26" s="85" t="e">
        <f ca="1"/>
        <v>#NAME?</v>
      </c>
      <c r="S26" s="86" t="e">
        <f ca="1"/>
        <v>#NAME?</v>
      </c>
      <c r="T26" s="87" t="e">
        <f ca="1"/>
        <v>#NAME?</v>
      </c>
    </row>
    <row r="27" spans="1:20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20" x14ac:dyDescent="0.35">
      <c r="A28" t="s">
        <v>160</v>
      </c>
      <c r="B28" s="102">
        <v>52.5</v>
      </c>
      <c r="C28" s="103">
        <v>39</v>
      </c>
      <c r="D28" s="104">
        <v>3.1</v>
      </c>
      <c r="R28" t="s">
        <v>231</v>
      </c>
    </row>
    <row r="29" spans="1:20" x14ac:dyDescent="0.35">
      <c r="A29" t="s">
        <v>160</v>
      </c>
      <c r="B29" s="102">
        <v>80</v>
      </c>
      <c r="C29" s="103">
        <v>54.2</v>
      </c>
      <c r="D29" s="104">
        <v>4</v>
      </c>
      <c r="R29" s="130" t="e">
        <f t="array" aca="1" ref="R29:T31" ca="1">CORR(B4:D35)</f>
        <v>#NAME?</v>
      </c>
      <c r="S29" s="141" t="e">
        <f ca="1"/>
        <v>#NAME?</v>
      </c>
      <c r="T29" s="82" t="e">
        <f ca="1"/>
        <v>#NAME?</v>
      </c>
    </row>
    <row r="30" spans="1:20" x14ac:dyDescent="0.35">
      <c r="A30" t="s">
        <v>160</v>
      </c>
      <c r="B30" s="102">
        <v>54.7</v>
      </c>
      <c r="C30" s="103">
        <v>32.1</v>
      </c>
      <c r="D30" s="104">
        <v>5.7</v>
      </c>
      <c r="R30" s="83" t="e">
        <f ca="1"/>
        <v>#NAME?</v>
      </c>
      <c r="S30" s="37" t="e">
        <f ca="1"/>
        <v>#NAME?</v>
      </c>
      <c r="T30" s="84" t="e">
        <f ca="1"/>
        <v>#NAME?</v>
      </c>
    </row>
    <row r="31" spans="1:20" x14ac:dyDescent="0.35">
      <c r="A31" t="s">
        <v>160</v>
      </c>
      <c r="B31" s="102">
        <v>63.5</v>
      </c>
      <c r="C31" s="103">
        <v>25.6</v>
      </c>
      <c r="D31" s="104">
        <v>3</v>
      </c>
      <c r="R31" s="85" t="e">
        <f ca="1"/>
        <v>#NAME?</v>
      </c>
      <c r="S31" s="86" t="e">
        <f ca="1"/>
        <v>#NAME?</v>
      </c>
      <c r="T31" s="87" t="e">
        <f ca="1"/>
        <v>#NAME?</v>
      </c>
    </row>
    <row r="32" spans="1:20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1"/>
  <dimension ref="A1:Q35"/>
  <sheetViews>
    <sheetView workbookViewId="0"/>
  </sheetViews>
  <sheetFormatPr defaultRowHeight="14.5" x14ac:dyDescent="0.35"/>
  <sheetData>
    <row r="1" spans="1:17" x14ac:dyDescent="0.35">
      <c r="A1" s="42" t="s">
        <v>237</v>
      </c>
      <c r="F1" t="s">
        <v>239</v>
      </c>
      <c r="J1" t="s">
        <v>238</v>
      </c>
      <c r="N1" t="s">
        <v>241</v>
      </c>
    </row>
    <row r="3" spans="1:17" x14ac:dyDescent="0.35">
      <c r="B3" s="47" t="s">
        <v>144</v>
      </c>
      <c r="C3" s="47" t="s">
        <v>145</v>
      </c>
      <c r="D3" s="47" t="s">
        <v>146</v>
      </c>
      <c r="F3" s="138" t="e">
        <f t="array" aca="1" ref="F3:H5" ca="1">COV(J16:L23)</f>
        <v>#NAME?</v>
      </c>
      <c r="G3" s="139" t="e">
        <f ca="1"/>
        <v>#NAME?</v>
      </c>
      <c r="H3" s="140" t="e">
        <f ca="1"/>
        <v>#NAME?</v>
      </c>
      <c r="J3" s="37" t="e">
        <f t="array" aca="1" ref="J3:L11" ca="1">ExtractRows(A3:D35,"clay")</f>
        <v>#NAME?</v>
      </c>
      <c r="K3" s="37" t="e">
        <f ca="1"/>
        <v>#NAME?</v>
      </c>
      <c r="L3" s="37" t="e">
        <f ca="1"/>
        <v>#NAME?</v>
      </c>
      <c r="N3" t="e">
        <f t="array" aca="1" ref="N3:Q12" ca="1">ExtractCol(A3:D35,C3)</f>
        <v>#NAME?</v>
      </c>
      <c r="O3" t="e">
        <f ca="1"/>
        <v>#NAME?</v>
      </c>
      <c r="P3" t="e">
        <f ca="1"/>
        <v>#NAME?</v>
      </c>
      <c r="Q3" t="e">
        <f ca="1"/>
        <v>#NAME?</v>
      </c>
    </row>
    <row r="4" spans="1:17" x14ac:dyDescent="0.35">
      <c r="A4" t="s">
        <v>158</v>
      </c>
      <c r="B4" s="75">
        <v>76.7</v>
      </c>
      <c r="C4" s="100">
        <v>29.5</v>
      </c>
      <c r="D4" s="101">
        <v>7.5</v>
      </c>
      <c r="F4" s="36" t="e">
        <f ca="1"/>
        <v>#NAME?</v>
      </c>
      <c r="G4" s="37" t="e">
        <f ca="1"/>
        <v>#NAME?</v>
      </c>
      <c r="H4" s="38" t="e">
        <f ca="1"/>
        <v>#NAME?</v>
      </c>
      <c r="J4" s="138" t="e">
        <f ca="1"/>
        <v>#NAME?</v>
      </c>
      <c r="K4" s="139" t="e">
        <f ca="1"/>
        <v>#NAME?</v>
      </c>
      <c r="L4" s="140" t="e">
        <f ca="1"/>
        <v>#NAME?</v>
      </c>
      <c r="N4" s="138" t="e">
        <f ca="1"/>
        <v>#NAME?</v>
      </c>
      <c r="O4" s="139" t="e">
        <f ca="1"/>
        <v>#NAME?</v>
      </c>
      <c r="P4" s="139" t="e">
        <f ca="1"/>
        <v>#NAME?</v>
      </c>
      <c r="Q4" s="140" t="e">
        <f ca="1"/>
        <v>#NAME?</v>
      </c>
    </row>
    <row r="5" spans="1:17" x14ac:dyDescent="0.35">
      <c r="A5" t="s">
        <v>158</v>
      </c>
      <c r="B5" s="102">
        <v>60.5</v>
      </c>
      <c r="C5" s="103">
        <v>32.1</v>
      </c>
      <c r="D5" s="104">
        <v>6.3</v>
      </c>
      <c r="F5" s="39" t="e">
        <f ca="1"/>
        <v>#NAME?</v>
      </c>
      <c r="G5" s="40" t="e">
        <f ca="1"/>
        <v>#NAME?</v>
      </c>
      <c r="H5" s="41" t="e">
        <f ca="1"/>
        <v>#NAME?</v>
      </c>
      <c r="J5" s="36" t="e">
        <f ca="1"/>
        <v>#NAME?</v>
      </c>
      <c r="K5" s="37" t="e">
        <f ca="1"/>
        <v>#NAME?</v>
      </c>
      <c r="L5" s="90" t="e">
        <f ca="1"/>
        <v>#NAME?</v>
      </c>
      <c r="N5" s="36" t="e">
        <f ca="1"/>
        <v>#NAME?</v>
      </c>
      <c r="O5" s="37" t="e">
        <f ca="1"/>
        <v>#NAME?</v>
      </c>
      <c r="P5" s="37" t="e">
        <f ca="1"/>
        <v>#NAME?</v>
      </c>
      <c r="Q5" s="38" t="e">
        <f ca="1"/>
        <v>#NAME?</v>
      </c>
    </row>
    <row r="6" spans="1:17" x14ac:dyDescent="0.35">
      <c r="A6" t="s">
        <v>158</v>
      </c>
      <c r="B6" s="102">
        <v>96.1</v>
      </c>
      <c r="C6" s="103">
        <v>40.700000000000003</v>
      </c>
      <c r="D6" s="104">
        <v>4.2</v>
      </c>
      <c r="J6" s="36" t="e">
        <f ca="1"/>
        <v>#NAME?</v>
      </c>
      <c r="K6" s="37" t="e">
        <f ca="1"/>
        <v>#NAME?</v>
      </c>
      <c r="L6" s="90" t="e">
        <f ca="1"/>
        <v>#NAME?</v>
      </c>
      <c r="N6" s="36" t="e">
        <f ca="1"/>
        <v>#NAME?</v>
      </c>
      <c r="O6" s="37" t="e">
        <f ca="1"/>
        <v>#NAME?</v>
      </c>
      <c r="P6" s="37" t="e">
        <f ca="1"/>
        <v>#NAME?</v>
      </c>
      <c r="Q6" s="38" t="e">
        <f ca="1"/>
        <v>#NAME?</v>
      </c>
    </row>
    <row r="7" spans="1:17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138" t="e">
        <f t="array" aca="1" ref="F7:H9" ca="1">ExtractCov(A3:D35,"clay")</f>
        <v>#NAME?</v>
      </c>
      <c r="G7" s="139" t="e">
        <f ca="1"/>
        <v>#NAME?</v>
      </c>
      <c r="H7" s="140" t="e">
        <f ca="1"/>
        <v>#NAME?</v>
      </c>
      <c r="J7" s="36" t="e">
        <f ca="1"/>
        <v>#NAME?</v>
      </c>
      <c r="K7" s="37" t="e">
        <f ca="1"/>
        <v>#NAME?</v>
      </c>
      <c r="L7" s="90" t="e">
        <f ca="1"/>
        <v>#NAME?</v>
      </c>
      <c r="N7" s="36" t="e">
        <f ca="1"/>
        <v>#NAME?</v>
      </c>
      <c r="O7" s="37" t="e">
        <f ca="1"/>
        <v>#NAME?</v>
      </c>
      <c r="P7" s="37" t="e">
        <f ca="1"/>
        <v>#NAME?</v>
      </c>
      <c r="Q7" s="38" t="e">
        <f ca="1"/>
        <v>#NAME?</v>
      </c>
    </row>
    <row r="8" spans="1:17" x14ac:dyDescent="0.3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8" t="e">
        <f ca="1"/>
        <v>#NAME?</v>
      </c>
      <c r="J8" s="36" t="e">
        <f ca="1"/>
        <v>#NAME?</v>
      </c>
      <c r="K8" s="37" t="e">
        <f ca="1"/>
        <v>#NAME?</v>
      </c>
      <c r="L8" s="90" t="e">
        <f ca="1"/>
        <v>#NAME?</v>
      </c>
      <c r="N8" s="36" t="e">
        <f ca="1"/>
        <v>#NAME?</v>
      </c>
      <c r="O8" s="37" t="e">
        <f ca="1"/>
        <v>#NAME?</v>
      </c>
      <c r="P8" s="37" t="e">
        <f ca="1"/>
        <v>#NAME?</v>
      </c>
      <c r="Q8" s="38" t="e">
        <f ca="1"/>
        <v>#NAME?</v>
      </c>
    </row>
    <row r="9" spans="1:17" x14ac:dyDescent="0.35">
      <c r="A9" t="s">
        <v>158</v>
      </c>
      <c r="B9" s="102">
        <v>55</v>
      </c>
      <c r="C9" s="103">
        <v>31.1</v>
      </c>
      <c r="D9" s="104">
        <v>6.9</v>
      </c>
      <c r="F9" s="39" t="e">
        <f ca="1"/>
        <v>#NAME?</v>
      </c>
      <c r="G9" s="40" t="e">
        <f ca="1"/>
        <v>#NAME?</v>
      </c>
      <c r="H9" s="41" t="e">
        <f ca="1"/>
        <v>#NAME?</v>
      </c>
      <c r="J9" s="36" t="e">
        <f ca="1"/>
        <v>#NAME?</v>
      </c>
      <c r="K9" s="37" t="e">
        <f ca="1"/>
        <v>#NAME?</v>
      </c>
      <c r="L9" s="90" t="e">
        <f ca="1"/>
        <v>#NAME?</v>
      </c>
      <c r="N9" s="36" t="e">
        <f ca="1"/>
        <v>#NAME?</v>
      </c>
      <c r="O9" s="37" t="e">
        <f ca="1"/>
        <v>#NAME?</v>
      </c>
      <c r="P9" s="37" t="e">
        <f ca="1"/>
        <v>#NAME?</v>
      </c>
      <c r="Q9" s="38" t="e">
        <f ca="1"/>
        <v>#NAME?</v>
      </c>
    </row>
    <row r="10" spans="1:17" x14ac:dyDescent="0.35">
      <c r="A10" t="s">
        <v>158</v>
      </c>
      <c r="B10" s="102">
        <v>65.400000000000006</v>
      </c>
      <c r="C10" s="103">
        <v>21.6</v>
      </c>
      <c r="D10" s="104">
        <v>4.3</v>
      </c>
      <c r="J10" s="36" t="e">
        <f ca="1"/>
        <v>#NAME?</v>
      </c>
      <c r="K10" s="37" t="e">
        <f ca="1"/>
        <v>#NAME?</v>
      </c>
      <c r="L10" s="90" t="e">
        <f ca="1"/>
        <v>#NAME?</v>
      </c>
      <c r="N10" s="36" t="e">
        <f ca="1"/>
        <v>#NAME?</v>
      </c>
      <c r="O10" s="37" t="e">
        <f ca="1"/>
        <v>#NAME?</v>
      </c>
      <c r="P10" s="37" t="e">
        <f ca="1"/>
        <v>#NAME?</v>
      </c>
      <c r="Q10" s="38" t="e">
        <f ca="1"/>
        <v>#NAME?</v>
      </c>
    </row>
    <row r="11" spans="1:17" x14ac:dyDescent="0.35">
      <c r="A11" t="s">
        <v>158</v>
      </c>
      <c r="B11" s="102">
        <v>65.7</v>
      </c>
      <c r="C11" s="103">
        <v>27.7</v>
      </c>
      <c r="D11" s="104">
        <v>5.3</v>
      </c>
      <c r="F11" t="s">
        <v>240</v>
      </c>
      <c r="J11" s="39" t="e">
        <f ca="1"/>
        <v>#NAME?</v>
      </c>
      <c r="K11" s="40" t="e">
        <f ca="1"/>
        <v>#NAME?</v>
      </c>
      <c r="L11" s="41" t="e">
        <f ca="1"/>
        <v>#NAME?</v>
      </c>
      <c r="N11" s="39" t="e">
        <f ca="1"/>
        <v>#NAME?</v>
      </c>
      <c r="O11" s="40" t="e">
        <f ca="1"/>
        <v>#NAME?</v>
      </c>
      <c r="P11" s="40" t="e">
        <f ca="1"/>
        <v>#NAME?</v>
      </c>
      <c r="Q11" s="41" t="e">
        <f ca="1"/>
        <v>#NAME?</v>
      </c>
    </row>
    <row r="12" spans="1:17" x14ac:dyDescent="0.35">
      <c r="A12" t="s">
        <v>159</v>
      </c>
      <c r="B12" s="102">
        <v>67.3</v>
      </c>
      <c r="C12" s="103">
        <v>48.3</v>
      </c>
      <c r="D12" s="104">
        <v>5.5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</row>
    <row r="13" spans="1:17" x14ac:dyDescent="0.35">
      <c r="A13" t="s">
        <v>159</v>
      </c>
      <c r="B13" s="102">
        <v>61.3</v>
      </c>
      <c r="C13" s="103">
        <v>28.9</v>
      </c>
      <c r="D13" s="104">
        <v>6.9</v>
      </c>
      <c r="F13" s="138" t="e">
        <f t="array" aca="1" ref="F13:H15" ca="1">ExtractCov(A3:D35)</f>
        <v>#NAME?</v>
      </c>
      <c r="G13" s="139" t="e">
        <f ca="1"/>
        <v>#NAME?</v>
      </c>
      <c r="H13" s="140" t="e">
        <f ca="1"/>
        <v>#NAME?</v>
      </c>
      <c r="J13" t="s">
        <v>238</v>
      </c>
    </row>
    <row r="14" spans="1:17" x14ac:dyDescent="0.35">
      <c r="A14" t="s">
        <v>159</v>
      </c>
      <c r="B14" s="102">
        <v>58.2</v>
      </c>
      <c r="C14" s="103">
        <v>42.5</v>
      </c>
      <c r="D14" s="104">
        <v>4.8</v>
      </c>
      <c r="F14" s="36" t="e">
        <f ca="1"/>
        <v>#NAME?</v>
      </c>
      <c r="G14" s="37" t="e">
        <f ca="1"/>
        <v>#NAME?</v>
      </c>
      <c r="H14" s="38" t="e">
        <f ca="1"/>
        <v>#NAME?</v>
      </c>
    </row>
    <row r="15" spans="1:17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39" t="e">
        <f ca="1"/>
        <v>#NAME?</v>
      </c>
      <c r="G15" s="40" t="e">
        <f ca="1"/>
        <v>#NAME?</v>
      </c>
      <c r="H15" s="41" t="e">
        <f ca="1"/>
        <v>#NAME?</v>
      </c>
      <c r="J15" t="e">
        <f t="array" aca="1" ref="J15:L24" ca="1">ExtractRows(A3:D35,"clay",TRUE)</f>
        <v>#NAME?</v>
      </c>
      <c r="K15" t="e">
        <f ca="1"/>
        <v>#NAME?</v>
      </c>
      <c r="L15" t="e">
        <f ca="1"/>
        <v>#NAME?</v>
      </c>
    </row>
    <row r="16" spans="1:17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J16" s="138" t="e">
        <f ca="1"/>
        <v>#NAME?</v>
      </c>
      <c r="K16" s="139" t="e">
        <f ca="1"/>
        <v>#NAME?</v>
      </c>
      <c r="L16" s="140" t="e">
        <f ca="1"/>
        <v>#NAME?</v>
      </c>
    </row>
    <row r="17" spans="1:12" x14ac:dyDescent="0.35">
      <c r="A17" t="s">
        <v>159</v>
      </c>
      <c r="B17" s="102">
        <v>55.4</v>
      </c>
      <c r="C17" s="103">
        <v>29.1</v>
      </c>
      <c r="D17" s="104">
        <v>5</v>
      </c>
      <c r="J17" s="36" t="e">
        <f ca="1"/>
        <v>#NAME?</v>
      </c>
      <c r="K17" s="37" t="e">
        <f ca="1"/>
        <v>#NAME?</v>
      </c>
      <c r="L17" s="38" t="e">
        <f ca="1"/>
        <v>#NAME?</v>
      </c>
    </row>
    <row r="18" spans="1:12" x14ac:dyDescent="0.35">
      <c r="A18" t="s">
        <v>159</v>
      </c>
      <c r="B18" s="102">
        <v>50.5</v>
      </c>
      <c r="C18" s="103">
        <v>18</v>
      </c>
      <c r="D18" s="104">
        <v>4.8</v>
      </c>
      <c r="J18" s="36" t="e">
        <f ca="1"/>
        <v>#NAME?</v>
      </c>
      <c r="K18" s="37" t="e">
        <f ca="1"/>
        <v>#NAME?</v>
      </c>
      <c r="L18" s="38" t="e">
        <f ca="1"/>
        <v>#NAME?</v>
      </c>
    </row>
    <row r="19" spans="1:12" x14ac:dyDescent="0.35">
      <c r="A19" t="s">
        <v>159</v>
      </c>
      <c r="B19" s="102">
        <v>64.099999999999994</v>
      </c>
      <c r="C19" s="103">
        <v>14.5</v>
      </c>
      <c r="D19" s="104">
        <v>3.7</v>
      </c>
      <c r="J19" s="36" t="e">
        <f ca="1"/>
        <v>#NAME?</v>
      </c>
      <c r="K19" s="37" t="e">
        <f ca="1"/>
        <v>#NAME?</v>
      </c>
      <c r="L19" s="38" t="e">
        <f ca="1"/>
        <v>#NAME?</v>
      </c>
    </row>
    <row r="20" spans="1:12" x14ac:dyDescent="0.35">
      <c r="A20" t="s">
        <v>161</v>
      </c>
      <c r="B20" s="102">
        <v>62.8</v>
      </c>
      <c r="C20" s="103">
        <v>25.9</v>
      </c>
      <c r="D20" s="104">
        <v>2.9</v>
      </c>
      <c r="J20" s="36" t="e">
        <f ca="1"/>
        <v>#NAME?</v>
      </c>
      <c r="K20" s="37" t="e">
        <f ca="1"/>
        <v>#NAME?</v>
      </c>
      <c r="L20" s="38" t="e">
        <f ca="1"/>
        <v>#NAME?</v>
      </c>
    </row>
    <row r="21" spans="1:12" x14ac:dyDescent="0.35">
      <c r="A21" t="s">
        <v>161</v>
      </c>
      <c r="B21" s="102">
        <v>45</v>
      </c>
      <c r="C21" s="103">
        <v>15.9</v>
      </c>
      <c r="D21" s="104">
        <v>1.2</v>
      </c>
      <c r="J21" s="36" t="e">
        <f ca="1"/>
        <v>#NAME?</v>
      </c>
      <c r="K21" s="37" t="e">
        <f ca="1"/>
        <v>#NAME?</v>
      </c>
      <c r="L21" s="38" t="e">
        <f ca="1"/>
        <v>#NAME?</v>
      </c>
    </row>
    <row r="22" spans="1:12" x14ac:dyDescent="0.35">
      <c r="A22" t="s">
        <v>161</v>
      </c>
      <c r="B22" s="102">
        <v>47.8</v>
      </c>
      <c r="C22" s="103">
        <v>36.1</v>
      </c>
      <c r="D22" s="104">
        <v>4.0999999999999996</v>
      </c>
      <c r="J22" s="36" t="e">
        <f ca="1"/>
        <v>#NAME?</v>
      </c>
      <c r="K22" s="37" t="e">
        <f ca="1"/>
        <v>#NAME?</v>
      </c>
      <c r="L22" s="38" t="e">
        <f ca="1"/>
        <v>#NAME?</v>
      </c>
    </row>
    <row r="23" spans="1:12" x14ac:dyDescent="0.35">
      <c r="A23" t="s">
        <v>161</v>
      </c>
      <c r="B23" s="102">
        <v>75.599999999999994</v>
      </c>
      <c r="C23" s="103">
        <v>27.7</v>
      </c>
      <c r="D23" s="104">
        <v>6.3</v>
      </c>
      <c r="J23" s="36" t="e">
        <f ca="1"/>
        <v>#NAME?</v>
      </c>
      <c r="K23" s="37" t="e">
        <f ca="1"/>
        <v>#NAME?</v>
      </c>
      <c r="L23" s="38" t="e">
        <f ca="1"/>
        <v>#NAME?</v>
      </c>
    </row>
    <row r="24" spans="1:12" x14ac:dyDescent="0.35">
      <c r="A24" t="s">
        <v>161</v>
      </c>
      <c r="B24" s="102">
        <v>46.6</v>
      </c>
      <c r="C24" s="103">
        <v>46.9</v>
      </c>
      <c r="D24" s="104">
        <v>3.6</v>
      </c>
      <c r="J24" s="39" t="e">
        <f ca="1"/>
        <v>#NAME?</v>
      </c>
      <c r="K24" s="40" t="e">
        <f ca="1"/>
        <v>#NAME?</v>
      </c>
      <c r="L24" s="41" t="e">
        <f ca="1"/>
        <v>#NAME?</v>
      </c>
    </row>
    <row r="25" spans="1:12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12" x14ac:dyDescent="0.35">
      <c r="A26" t="s">
        <v>161</v>
      </c>
      <c r="B26" s="102">
        <v>45.7</v>
      </c>
      <c r="C26" s="103">
        <v>27.6</v>
      </c>
      <c r="D26" s="104">
        <v>6.2</v>
      </c>
      <c r="J26" s="138" t="e">
        <f t="array" aca="1" ref="J26:L35" ca="1">ExtractRows(A4:D35,A28,FALSE)</f>
        <v>#NAME?</v>
      </c>
      <c r="K26" s="139" t="e">
        <f ca="1"/>
        <v>#NAME?</v>
      </c>
      <c r="L26" s="140" t="e">
        <f ca="1"/>
        <v>#NAME?</v>
      </c>
    </row>
    <row r="27" spans="1:12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J27" s="36" t="e">
        <f ca="1"/>
        <v>#NAME?</v>
      </c>
      <c r="K27" s="37" t="e">
        <f ca="1"/>
        <v>#NAME?</v>
      </c>
      <c r="L27" s="90" t="e">
        <f ca="1"/>
        <v>#NAME?</v>
      </c>
    </row>
    <row r="28" spans="1:12" x14ac:dyDescent="0.35">
      <c r="A28" t="s">
        <v>160</v>
      </c>
      <c r="B28" s="102">
        <v>52.5</v>
      </c>
      <c r="C28" s="103">
        <v>39</v>
      </c>
      <c r="D28" s="104">
        <v>3.1</v>
      </c>
      <c r="J28" s="36" t="e">
        <f ca="1"/>
        <v>#NAME?</v>
      </c>
      <c r="K28" s="37" t="e">
        <f ca="1"/>
        <v>#NAME?</v>
      </c>
      <c r="L28" s="90" t="e">
        <f ca="1"/>
        <v>#NAME?</v>
      </c>
    </row>
    <row r="29" spans="1:12" x14ac:dyDescent="0.35">
      <c r="A29" t="s">
        <v>160</v>
      </c>
      <c r="B29" s="102">
        <v>80</v>
      </c>
      <c r="C29" s="103">
        <v>54.2</v>
      </c>
      <c r="D29" s="104">
        <v>4</v>
      </c>
      <c r="J29" s="36" t="e">
        <f ca="1"/>
        <v>#NAME?</v>
      </c>
      <c r="K29" s="37" t="e">
        <f ca="1"/>
        <v>#NAME?</v>
      </c>
      <c r="L29" s="90" t="e">
        <f ca="1"/>
        <v>#NAME?</v>
      </c>
    </row>
    <row r="30" spans="1:12" x14ac:dyDescent="0.35">
      <c r="A30" t="s">
        <v>160</v>
      </c>
      <c r="B30" s="102">
        <v>54.7</v>
      </c>
      <c r="C30" s="103">
        <v>32.1</v>
      </c>
      <c r="D30" s="104">
        <v>5.7</v>
      </c>
      <c r="J30" s="36" t="e">
        <f ca="1"/>
        <v>#NAME?</v>
      </c>
      <c r="K30" s="37" t="e">
        <f ca="1"/>
        <v>#NAME?</v>
      </c>
      <c r="L30" s="90" t="e">
        <f ca="1"/>
        <v>#NAME?</v>
      </c>
    </row>
    <row r="31" spans="1:12" x14ac:dyDescent="0.35">
      <c r="A31" t="s">
        <v>160</v>
      </c>
      <c r="B31" s="102">
        <v>63.5</v>
      </c>
      <c r="C31" s="103">
        <v>25.6</v>
      </c>
      <c r="D31" s="104">
        <v>3</v>
      </c>
      <c r="J31" s="36" t="e">
        <f ca="1"/>
        <v>#NAME?</v>
      </c>
      <c r="K31" s="37" t="e">
        <f ca="1"/>
        <v>#NAME?</v>
      </c>
      <c r="L31" s="90" t="e">
        <f ca="1"/>
        <v>#NAME?</v>
      </c>
    </row>
    <row r="32" spans="1:12" x14ac:dyDescent="0.35">
      <c r="A32" t="s">
        <v>160</v>
      </c>
      <c r="B32" s="102">
        <v>46.3</v>
      </c>
      <c r="C32" s="103">
        <v>31.8</v>
      </c>
      <c r="D32" s="104">
        <v>7.4</v>
      </c>
      <c r="J32" s="36" t="e">
        <f ca="1"/>
        <v>#NAME?</v>
      </c>
      <c r="K32" s="37" t="e">
        <f ca="1"/>
        <v>#NAME?</v>
      </c>
      <c r="L32" s="90" t="e">
        <f ca="1"/>
        <v>#NAME?</v>
      </c>
    </row>
    <row r="33" spans="1:12" x14ac:dyDescent="0.35">
      <c r="A33" t="s">
        <v>160</v>
      </c>
      <c r="B33" s="102">
        <v>61.5</v>
      </c>
      <c r="C33" s="103">
        <v>16.8</v>
      </c>
      <c r="D33" s="104">
        <v>1.9</v>
      </c>
      <c r="J33" s="36" t="e">
        <f ca="1"/>
        <v>#NAME?</v>
      </c>
      <c r="K33" s="37" t="e">
        <f ca="1"/>
        <v>#NAME?</v>
      </c>
      <c r="L33" s="90" t="e">
        <f ca="1"/>
        <v>#NAME?</v>
      </c>
    </row>
    <row r="34" spans="1:12" x14ac:dyDescent="0.35">
      <c r="A34" t="s">
        <v>160</v>
      </c>
      <c r="B34" s="102">
        <v>62.9</v>
      </c>
      <c r="C34" s="103">
        <v>25.8</v>
      </c>
      <c r="D34" s="104">
        <v>2.4</v>
      </c>
      <c r="J34" s="36" t="e">
        <f ca="1"/>
        <v>#NAME?</v>
      </c>
      <c r="K34" s="37" t="e">
        <f ca="1"/>
        <v>#NAME?</v>
      </c>
      <c r="L34" s="90" t="e">
        <f ca="1"/>
        <v>#NAME?</v>
      </c>
    </row>
    <row r="35" spans="1:12" x14ac:dyDescent="0.35">
      <c r="A35" t="s">
        <v>160</v>
      </c>
      <c r="B35" s="105">
        <v>49.3</v>
      </c>
      <c r="C35" s="106">
        <v>39.4</v>
      </c>
      <c r="D35" s="107">
        <v>5.2</v>
      </c>
      <c r="J35" s="39" t="e">
        <f ca="1"/>
        <v>#NAME?</v>
      </c>
      <c r="K35" s="40" t="e">
        <f ca="1"/>
        <v>#NAME?</v>
      </c>
      <c r="L35" s="41" t="e">
        <f ca="1"/>
        <v>#NAME?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AP119"/>
  <sheetViews>
    <sheetView zoomScaleNormal="100" workbookViewId="0"/>
  </sheetViews>
  <sheetFormatPr defaultRowHeight="14.5" x14ac:dyDescent="0.35"/>
  <cols>
    <col min="4" max="4" width="11" customWidth="1"/>
    <col min="7" max="7" width="9.1796875" customWidth="1"/>
  </cols>
  <sheetData>
    <row r="1" spans="1:42" x14ac:dyDescent="0.35">
      <c r="A1" s="42" t="s">
        <v>248</v>
      </c>
      <c r="F1" s="42" t="s">
        <v>260</v>
      </c>
      <c r="Z1" t="s">
        <v>249</v>
      </c>
      <c r="AM1" t="s">
        <v>250</v>
      </c>
    </row>
    <row r="3" spans="1:42" x14ac:dyDescent="0.35">
      <c r="B3" s="47" t="s">
        <v>144</v>
      </c>
      <c r="C3" s="47" t="s">
        <v>145</v>
      </c>
      <c r="D3" s="47" t="s">
        <v>146</v>
      </c>
      <c r="F3" t="s">
        <v>162</v>
      </c>
      <c r="Z3" t="s">
        <v>242</v>
      </c>
      <c r="AM3" t="s">
        <v>100</v>
      </c>
      <c r="AN3">
        <f ca="1">COUNT(F6:F13)</f>
        <v>0</v>
      </c>
      <c r="AO3">
        <f ca="1">2*AN3</f>
        <v>0</v>
      </c>
    </row>
    <row r="4" spans="1:42" x14ac:dyDescent="0.35">
      <c r="A4" t="s">
        <v>158</v>
      </c>
      <c r="B4" s="75">
        <v>76.7</v>
      </c>
      <c r="C4" s="100">
        <v>29.5</v>
      </c>
      <c r="D4" s="101">
        <v>7.5</v>
      </c>
      <c r="AM4" t="s">
        <v>34</v>
      </c>
      <c r="AN4" t="e">
        <f ca="1">AVERAGE(F6:F13)</f>
        <v>#NAME?</v>
      </c>
    </row>
    <row r="5" spans="1:42" x14ac:dyDescent="0.35">
      <c r="A5" t="s">
        <v>158</v>
      </c>
      <c r="B5" s="102">
        <v>60.5</v>
      </c>
      <c r="C5" s="103">
        <v>32.1</v>
      </c>
      <c r="D5" s="104">
        <v>6.3</v>
      </c>
      <c r="F5" s="47" t="e">
        <f t="array" aca="1" ref="F5:I13" ca="1">ExtractCol(A3:D35,"water")</f>
        <v>#NAME?</v>
      </c>
      <c r="G5" s="47" t="e">
        <f ca="1"/>
        <v>#NAME?</v>
      </c>
      <c r="H5" s="47" t="e">
        <f ca="1"/>
        <v>#NAME?</v>
      </c>
      <c r="I5" s="47" t="e">
        <f ca="1"/>
        <v>#NAME?</v>
      </c>
      <c r="L5" t="e">
        <f ca="1">F5</f>
        <v>#NAME?</v>
      </c>
      <c r="M5" t="e">
        <f ca="1">G5</f>
        <v>#NAME?</v>
      </c>
      <c r="N5" t="e">
        <f ca="1">H5</f>
        <v>#NAME?</v>
      </c>
      <c r="O5" t="e">
        <f ca="1">I5</f>
        <v>#NAME?</v>
      </c>
      <c r="Z5" t="s">
        <v>100</v>
      </c>
      <c r="AA5">
        <f>COUNT(B4:B35)</f>
        <v>32</v>
      </c>
      <c r="AB5">
        <f>2*AA5</f>
        <v>64</v>
      </c>
      <c r="AM5" t="s">
        <v>243</v>
      </c>
      <c r="AN5" t="e">
        <f ca="1">STDEV(F6:F13)</f>
        <v>#NAME?</v>
      </c>
    </row>
    <row r="6" spans="1:42" x14ac:dyDescent="0.35">
      <c r="A6" t="s">
        <v>158</v>
      </c>
      <c r="B6" s="102">
        <v>96.1</v>
      </c>
      <c r="C6" s="103">
        <v>40.700000000000003</v>
      </c>
      <c r="D6" s="104">
        <v>4.2</v>
      </c>
      <c r="F6" s="33" t="e">
        <f ca="1"/>
        <v>#NAME?</v>
      </c>
      <c r="G6" s="88" t="e">
        <f ca="1"/>
        <v>#NAME?</v>
      </c>
      <c r="H6" s="88" t="e">
        <f ca="1"/>
        <v>#NAME?</v>
      </c>
      <c r="I6" s="89" t="e">
        <f ca="1"/>
        <v>#NAME?</v>
      </c>
      <c r="K6" t="s">
        <v>139</v>
      </c>
      <c r="L6" s="95" t="e">
        <f ca="1">MIN(F6:F13)</f>
        <v>#NAME?</v>
      </c>
      <c r="M6" s="96" t="e">
        <f ca="1">MIN(G6:G13)</f>
        <v>#NAME?</v>
      </c>
      <c r="N6" s="96" t="e">
        <f ca="1">MIN(H6:H13)</f>
        <v>#NAME?</v>
      </c>
      <c r="O6" s="97" t="e">
        <f ca="1">MIN(I6:I13)</f>
        <v>#NAME?</v>
      </c>
      <c r="Z6" t="s">
        <v>34</v>
      </c>
      <c r="AA6" s="142">
        <f>AVERAGE(B4:B35)</f>
        <v>61.609374999999993</v>
      </c>
    </row>
    <row r="7" spans="1:42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140</v>
      </c>
      <c r="L7" s="83" t="e">
        <f ca="1">QUARTILE(F6:F13,1)-L6</f>
        <v>#NAME?</v>
      </c>
      <c r="M7" s="37" t="e">
        <f ca="1">QUARTILE(G6:G13,1)-M6</f>
        <v>#NAME?</v>
      </c>
      <c r="N7" s="37" t="e">
        <f ca="1">QUARTILE(H6:H13,1)-N6</f>
        <v>#NAME?</v>
      </c>
      <c r="O7" s="84" t="e">
        <f ca="1">QUARTILE(I6:I13,1)-O6</f>
        <v>#NAME?</v>
      </c>
      <c r="Z7" t="s">
        <v>243</v>
      </c>
      <c r="AA7">
        <f>STDEV(B4:B35)</f>
        <v>12.660412248677076</v>
      </c>
      <c r="AM7" t="s">
        <v>244</v>
      </c>
      <c r="AN7" t="s">
        <v>245</v>
      </c>
      <c r="AO7" t="s">
        <v>246</v>
      </c>
      <c r="AP7" t="s">
        <v>247</v>
      </c>
    </row>
    <row r="8" spans="1:42" x14ac:dyDescent="0.3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141</v>
      </c>
      <c r="L8" s="83" t="e">
        <f ca="1">MEDIAN(F6:F13)-QUARTILE(F6:F13,1)</f>
        <v>#NAME?</v>
      </c>
      <c r="M8" s="37" t="e">
        <f ca="1">MEDIAN(G6:G13)-QUARTILE(G6:G13,1)</f>
        <v>#NAME?</v>
      </c>
      <c r="N8" s="37" t="e">
        <f ca="1">MEDIAN(H6:H13)-QUARTILE(H6:H13,1)</f>
        <v>#NAME?</v>
      </c>
      <c r="O8" s="84" t="e">
        <f ca="1">MEDIAN(I6:I13)-QUARTILE(I6:I13,1)</f>
        <v>#NAME?</v>
      </c>
      <c r="AM8">
        <v>1</v>
      </c>
      <c r="AN8" t="e">
        <f t="array" aca="1" ref="AN8:AN15" ca="1">QSORT(F6:F13)</f>
        <v>#NAME?</v>
      </c>
      <c r="AO8" t="e">
        <f ca="1">NORMSINV(AM8/AO$3)</f>
        <v>#DIV/0!</v>
      </c>
      <c r="AP8" t="e">
        <f ca="1">STANDARDIZE(AN8,AN$4,AN$5)</f>
        <v>#NAME?</v>
      </c>
    </row>
    <row r="9" spans="1:42" x14ac:dyDescent="0.35">
      <c r="A9" t="s">
        <v>158</v>
      </c>
      <c r="B9" s="102">
        <v>55</v>
      </c>
      <c r="C9" s="103">
        <v>31.1</v>
      </c>
      <c r="D9" s="104">
        <v>6.9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K9" t="s">
        <v>142</v>
      </c>
      <c r="L9" s="83" t="e">
        <f ca="1">QUARTILE(F6:F13,3)-MEDIAN(F6:F13)</f>
        <v>#NAME?</v>
      </c>
      <c r="M9" s="37" t="e">
        <f ca="1">QUARTILE(G6:G13,3)-MEDIAN(G6:G13)</f>
        <v>#NAME?</v>
      </c>
      <c r="N9" s="37" t="e">
        <f ca="1">QUARTILE(H6:H13,3)-MEDIAN(H6:H13)</f>
        <v>#NAME?</v>
      </c>
      <c r="O9" s="84" t="e">
        <f ca="1">QUARTILE(I6:I13,3)-MEDIAN(I6:I13)</f>
        <v>#NAME?</v>
      </c>
      <c r="Z9" t="s">
        <v>244</v>
      </c>
      <c r="AA9" t="s">
        <v>245</v>
      </c>
      <c r="AB9" t="s">
        <v>246</v>
      </c>
      <c r="AC9" t="s">
        <v>247</v>
      </c>
      <c r="AM9">
        <f>AM8+2</f>
        <v>3</v>
      </c>
      <c r="AN9" t="e">
        <f ca="1"/>
        <v>#NAME?</v>
      </c>
      <c r="AO9" t="e">
        <f t="shared" ref="AO9:AO15" ca="1" si="0">NORMSINV(AM9/AO$3)</f>
        <v>#DIV/0!</v>
      </c>
      <c r="AP9" t="e">
        <f t="shared" ref="AP9:AP15" ca="1" si="1">STANDARDIZE(AN9,AN$4,AN$5)</f>
        <v>#NAME?</v>
      </c>
    </row>
    <row r="10" spans="1:42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K10" t="s">
        <v>143</v>
      </c>
      <c r="L10" s="85" t="e">
        <f ca="1">MAX(F6:F13)-QUARTILE(F6:F13,3)</f>
        <v>#NAME?</v>
      </c>
      <c r="M10" s="86" t="e">
        <f ca="1">MAX(G6:G13)-QUARTILE(G6:G13,3)</f>
        <v>#NAME?</v>
      </c>
      <c r="N10" s="86" t="e">
        <f ca="1">MAX(H6:H13)-QUARTILE(H6:H13,3)</f>
        <v>#NAME?</v>
      </c>
      <c r="O10" s="87" t="e">
        <f ca="1">MAX(I6:I13)-QUARTILE(I6:I13,3)</f>
        <v>#NAME?</v>
      </c>
      <c r="Z10">
        <v>1</v>
      </c>
      <c r="AA10" t="e">
        <f t="array" aca="1" ref="AA10:AA41" ca="1">QSORT(B4:B35)</f>
        <v>#NAME?</v>
      </c>
      <c r="AB10">
        <f>NORMSINV(Z10/AB$5)</f>
        <v>-2.1538746940614555</v>
      </c>
      <c r="AC10" t="e">
        <f ca="1">STANDARDIZE(AA10,AA$6,AA$7)</f>
        <v>#NAME?</v>
      </c>
      <c r="AM10">
        <f t="shared" ref="AM10:AM15" si="2">AM9+2</f>
        <v>5</v>
      </c>
      <c r="AN10" t="e">
        <f ca="1"/>
        <v>#NAME?</v>
      </c>
      <c r="AO10" t="e">
        <f t="shared" ca="1" si="0"/>
        <v>#DIV/0!</v>
      </c>
      <c r="AP10" t="e">
        <f t="shared" ca="1" si="1"/>
        <v>#NAME?</v>
      </c>
    </row>
    <row r="11" spans="1:42" x14ac:dyDescent="0.35">
      <c r="A11" t="s">
        <v>158</v>
      </c>
      <c r="B11" s="102">
        <v>65.7</v>
      </c>
      <c r="C11" s="103">
        <v>27.7</v>
      </c>
      <c r="D11" s="104">
        <v>5.3</v>
      </c>
      <c r="F11" s="36" t="e">
        <f ca="1"/>
        <v>#NAME?</v>
      </c>
      <c r="G11" s="37" t="e">
        <f ca="1"/>
        <v>#NAME?</v>
      </c>
      <c r="H11" s="37" t="e">
        <f ca="1"/>
        <v>#NAME?</v>
      </c>
      <c r="I11" s="38" t="e">
        <f ca="1"/>
        <v>#NAME?</v>
      </c>
      <c r="Z11">
        <f>Z10+2</f>
        <v>3</v>
      </c>
      <c r="AA11" t="e">
        <f ca="1"/>
        <v>#NAME?</v>
      </c>
      <c r="AB11">
        <f t="shared" ref="AB11:AB41" si="3">NORMSINV(Z11/AB$5)</f>
        <v>-1.6759397227734436</v>
      </c>
      <c r="AC11" t="e">
        <f t="shared" ref="AC11:AC41" ca="1" si="4">STANDARDIZE(AA11,AA$6,AA$7)</f>
        <v>#NAME?</v>
      </c>
      <c r="AM11">
        <f t="shared" si="2"/>
        <v>7</v>
      </c>
      <c r="AN11" t="e">
        <f ca="1"/>
        <v>#NAME?</v>
      </c>
      <c r="AO11" t="e">
        <f t="shared" ca="1" si="0"/>
        <v>#DIV/0!</v>
      </c>
      <c r="AP11" t="e">
        <f t="shared" ca="1" si="1"/>
        <v>#NAME?</v>
      </c>
    </row>
    <row r="12" spans="1:42" x14ac:dyDescent="0.35">
      <c r="A12" t="s">
        <v>159</v>
      </c>
      <c r="B12" s="102">
        <v>67.3</v>
      </c>
      <c r="C12" s="103">
        <v>48.3</v>
      </c>
      <c r="D12" s="104">
        <v>5.5</v>
      </c>
      <c r="F12" s="36" t="e">
        <f ca="1"/>
        <v>#NAME?</v>
      </c>
      <c r="G12" s="37" t="e">
        <f ca="1"/>
        <v>#NAME?</v>
      </c>
      <c r="H12" s="37" t="e">
        <f ca="1"/>
        <v>#NAME?</v>
      </c>
      <c r="I12" s="38" t="e">
        <f ca="1"/>
        <v>#NAME?</v>
      </c>
      <c r="Z12">
        <f t="shared" ref="Z12:Z41" si="5">Z11+2</f>
        <v>5</v>
      </c>
      <c r="AA12" t="e">
        <f ca="1"/>
        <v>#NAME?</v>
      </c>
      <c r="AB12">
        <f t="shared" si="3"/>
        <v>-1.4177971379962682</v>
      </c>
      <c r="AC12" t="e">
        <f t="shared" ca="1" si="4"/>
        <v>#NAME?</v>
      </c>
      <c r="AM12">
        <f t="shared" si="2"/>
        <v>9</v>
      </c>
      <c r="AN12" t="e">
        <f ca="1"/>
        <v>#NAME?</v>
      </c>
      <c r="AO12" t="e">
        <f t="shared" ca="1" si="0"/>
        <v>#DIV/0!</v>
      </c>
      <c r="AP12" t="e">
        <f t="shared" ca="1" si="1"/>
        <v>#NAME?</v>
      </c>
    </row>
    <row r="13" spans="1:42" x14ac:dyDescent="0.35">
      <c r="A13" t="s">
        <v>159</v>
      </c>
      <c r="B13" s="102">
        <v>61.3</v>
      </c>
      <c r="C13" s="103">
        <v>28.9</v>
      </c>
      <c r="D13" s="104">
        <v>6.9</v>
      </c>
      <c r="F13" s="39" t="e">
        <f ca="1"/>
        <v>#NAME?</v>
      </c>
      <c r="G13" s="40" t="e">
        <f ca="1"/>
        <v>#NAME?</v>
      </c>
      <c r="H13" s="40" t="e">
        <f ca="1"/>
        <v>#NAME?</v>
      </c>
      <c r="I13" s="41" t="e">
        <f ca="1"/>
        <v>#NAME?</v>
      </c>
      <c r="Z13">
        <f t="shared" si="5"/>
        <v>7</v>
      </c>
      <c r="AA13" t="e">
        <f ca="1"/>
        <v>#NAME?</v>
      </c>
      <c r="AB13">
        <f t="shared" si="3"/>
        <v>-1.229858759216589</v>
      </c>
      <c r="AC13" t="e">
        <f t="shared" ca="1" si="4"/>
        <v>#NAME?</v>
      </c>
      <c r="AM13">
        <f t="shared" si="2"/>
        <v>11</v>
      </c>
      <c r="AN13" t="e">
        <f ca="1"/>
        <v>#NAME?</v>
      </c>
      <c r="AO13" t="e">
        <f t="shared" ca="1" si="0"/>
        <v>#DIV/0!</v>
      </c>
      <c r="AP13" t="e">
        <f t="shared" ca="1" si="1"/>
        <v>#NAME?</v>
      </c>
    </row>
    <row r="14" spans="1:42" x14ac:dyDescent="0.35">
      <c r="A14" t="s">
        <v>159</v>
      </c>
      <c r="B14" s="102">
        <v>58.2</v>
      </c>
      <c r="C14" s="103">
        <v>42.5</v>
      </c>
      <c r="D14" s="104">
        <v>4.8</v>
      </c>
      <c r="Z14">
        <f t="shared" si="5"/>
        <v>9</v>
      </c>
      <c r="AA14" t="e">
        <f ca="1"/>
        <v>#NAME?</v>
      </c>
      <c r="AB14">
        <f t="shared" si="3"/>
        <v>-1.0775155670402805</v>
      </c>
      <c r="AC14" t="e">
        <f t="shared" ca="1" si="4"/>
        <v>#NAME?</v>
      </c>
      <c r="AM14">
        <f t="shared" si="2"/>
        <v>13</v>
      </c>
      <c r="AN14" t="e">
        <f ca="1"/>
        <v>#NAME?</v>
      </c>
      <c r="AO14" t="e">
        <f t="shared" ca="1" si="0"/>
        <v>#DIV/0!</v>
      </c>
      <c r="AP14" t="e">
        <f t="shared" ca="1" si="1"/>
        <v>#NAME?</v>
      </c>
    </row>
    <row r="15" spans="1:42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Z15">
        <f t="shared" si="5"/>
        <v>11</v>
      </c>
      <c r="AA15" t="e">
        <f ca="1"/>
        <v>#NAME?</v>
      </c>
      <c r="AB15">
        <f t="shared" si="3"/>
        <v>-0.94678175630104722</v>
      </c>
      <c r="AC15" t="e">
        <f t="shared" ca="1" si="4"/>
        <v>#NAME?</v>
      </c>
      <c r="AM15">
        <f t="shared" si="2"/>
        <v>15</v>
      </c>
      <c r="AN15" t="e">
        <f ca="1"/>
        <v>#NAME?</v>
      </c>
      <c r="AO15" t="e">
        <f t="shared" ca="1" si="0"/>
        <v>#DIV/0!</v>
      </c>
      <c r="AP15" t="e">
        <f t="shared" ca="1" si="1"/>
        <v>#NAME?</v>
      </c>
    </row>
    <row r="16" spans="1:42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Z16">
        <f t="shared" si="5"/>
        <v>13</v>
      </c>
      <c r="AA16" t="e">
        <f ca="1"/>
        <v>#NAME?</v>
      </c>
      <c r="AB16">
        <f t="shared" si="3"/>
        <v>-0.83051087820540004</v>
      </c>
      <c r="AC16" t="e">
        <f t="shared" ca="1" si="4"/>
        <v>#NAME?</v>
      </c>
    </row>
    <row r="17" spans="1:29" x14ac:dyDescent="0.35">
      <c r="A17" t="s">
        <v>159</v>
      </c>
      <c r="B17" s="102">
        <v>55.4</v>
      </c>
      <c r="C17" s="103">
        <v>29.1</v>
      </c>
      <c r="D17" s="104">
        <v>5</v>
      </c>
      <c r="F17" t="s">
        <v>163</v>
      </c>
      <c r="Z17">
        <f t="shared" si="5"/>
        <v>15</v>
      </c>
      <c r="AA17" t="e">
        <f ca="1"/>
        <v>#NAME?</v>
      </c>
      <c r="AB17">
        <f t="shared" si="3"/>
        <v>-0.72451438349236563</v>
      </c>
      <c r="AC17" t="e">
        <f t="shared" ca="1" si="4"/>
        <v>#NAME?</v>
      </c>
    </row>
    <row r="18" spans="1:29" x14ac:dyDescent="0.35">
      <c r="A18" t="s">
        <v>159</v>
      </c>
      <c r="B18" s="102">
        <v>50.5</v>
      </c>
      <c r="C18" s="103">
        <v>18</v>
      </c>
      <c r="D18" s="104">
        <v>4.8</v>
      </c>
      <c r="Z18">
        <f t="shared" si="5"/>
        <v>17</v>
      </c>
      <c r="AA18" t="e">
        <f ca="1"/>
        <v>#NAME?</v>
      </c>
      <c r="AB18">
        <f t="shared" si="3"/>
        <v>-0.62609901234642129</v>
      </c>
      <c r="AC18" t="e">
        <f t="shared" ca="1" si="4"/>
        <v>#NAME?</v>
      </c>
    </row>
    <row r="19" spans="1:29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s="56" t="e">
        <f t="array" aca="1" ref="F19:I27" ca="1">ExtractCol(A3:D35,"yield")</f>
        <v>#NAME?</v>
      </c>
      <c r="G19" s="56" t="e">
        <f ca="1"/>
        <v>#NAME?</v>
      </c>
      <c r="H19" s="56" t="e">
        <f ca="1"/>
        <v>#NAME?</v>
      </c>
      <c r="I19" s="56" t="e">
        <f ca="1"/>
        <v>#NAME?</v>
      </c>
      <c r="L19" t="e">
        <f ca="1">F19</f>
        <v>#NAME?</v>
      </c>
      <c r="M19" t="e">
        <f ca="1">G19</f>
        <v>#NAME?</v>
      </c>
      <c r="N19" t="e">
        <f ca="1">H19</f>
        <v>#NAME?</v>
      </c>
      <c r="O19" t="e">
        <f ca="1">I19</f>
        <v>#NAME?</v>
      </c>
      <c r="Z19">
        <f t="shared" si="5"/>
        <v>19</v>
      </c>
      <c r="AA19" t="e">
        <f ca="1"/>
        <v>#NAME?</v>
      </c>
      <c r="AB19">
        <f t="shared" si="3"/>
        <v>-0.5334097062412807</v>
      </c>
      <c r="AC19" t="e">
        <f t="shared" ca="1" si="4"/>
        <v>#NAME?</v>
      </c>
    </row>
    <row r="20" spans="1:29" x14ac:dyDescent="0.35">
      <c r="A20" t="s">
        <v>161</v>
      </c>
      <c r="B20" s="102">
        <v>62.8</v>
      </c>
      <c r="C20" s="103">
        <v>25.9</v>
      </c>
      <c r="D20" s="104">
        <v>2.9</v>
      </c>
      <c r="F20" s="33" t="e">
        <f ca="1"/>
        <v>#NAME?</v>
      </c>
      <c r="G20" s="88" t="e">
        <f ca="1"/>
        <v>#NAME?</v>
      </c>
      <c r="H20" s="88" t="e">
        <f ca="1"/>
        <v>#NAME?</v>
      </c>
      <c r="I20" s="89" t="e">
        <f ca="1"/>
        <v>#NAME?</v>
      </c>
      <c r="K20" t="s">
        <v>139</v>
      </c>
      <c r="L20" s="95" t="e">
        <f ca="1">MIN(F20:F27)</f>
        <v>#NAME?</v>
      </c>
      <c r="M20" s="96" t="e">
        <f ca="1">MIN(G20:G27)</f>
        <v>#NAME?</v>
      </c>
      <c r="N20" s="96" t="e">
        <f ca="1">MIN(H20:H27)</f>
        <v>#NAME?</v>
      </c>
      <c r="O20" s="97" t="e">
        <f ca="1">MIN(I20:I27)</f>
        <v>#NAME?</v>
      </c>
      <c r="Z20">
        <f t="shared" si="5"/>
        <v>21</v>
      </c>
      <c r="AA20" t="e">
        <f ca="1"/>
        <v>#NAME?</v>
      </c>
      <c r="AB20">
        <f t="shared" si="3"/>
        <v>-0.44509652498551644</v>
      </c>
      <c r="AC20" t="e">
        <f t="shared" ca="1" si="4"/>
        <v>#NAME?</v>
      </c>
    </row>
    <row r="21" spans="1:29" x14ac:dyDescent="0.35">
      <c r="A21" t="s">
        <v>161</v>
      </c>
      <c r="B21" s="102">
        <v>45</v>
      </c>
      <c r="C21" s="103">
        <v>15.9</v>
      </c>
      <c r="D21" s="104">
        <v>1.2</v>
      </c>
      <c r="F21" s="36" t="e">
        <f ca="1"/>
        <v>#NAME?</v>
      </c>
      <c r="G21" s="37" t="e">
        <f ca="1"/>
        <v>#NAME?</v>
      </c>
      <c r="H21" s="37" t="e">
        <f ca="1"/>
        <v>#NAME?</v>
      </c>
      <c r="I21" s="38" t="e">
        <f ca="1"/>
        <v>#NAME?</v>
      </c>
      <c r="K21" t="s">
        <v>140</v>
      </c>
      <c r="L21" s="83" t="e">
        <f ca="1">QUARTILE(F20:F27,1)-L20</f>
        <v>#NAME?</v>
      </c>
      <c r="M21" s="37" t="e">
        <f ca="1">QUARTILE(G20:G27,1)-M20</f>
        <v>#NAME?</v>
      </c>
      <c r="N21" s="37" t="e">
        <f ca="1">QUARTILE(H20:H27,1)-N20</f>
        <v>#NAME?</v>
      </c>
      <c r="O21" s="84" t="e">
        <f ca="1">QUARTILE(I20:I27,1)-O20</f>
        <v>#NAME?</v>
      </c>
      <c r="Z21">
        <f t="shared" si="5"/>
        <v>23</v>
      </c>
      <c r="AA21" t="e">
        <f ca="1"/>
        <v>#NAME?</v>
      </c>
      <c r="AB21">
        <f t="shared" si="3"/>
        <v>-0.36012989178956933</v>
      </c>
      <c r="AC21" t="e">
        <f t="shared" ca="1" si="4"/>
        <v>#NAME?</v>
      </c>
    </row>
    <row r="22" spans="1:29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s="36" t="e">
        <f ca="1"/>
        <v>#NAME?</v>
      </c>
      <c r="G22" s="37" t="e">
        <f ca="1"/>
        <v>#NAME?</v>
      </c>
      <c r="H22" s="37" t="e">
        <f ca="1"/>
        <v>#NAME?</v>
      </c>
      <c r="I22" s="38" t="e">
        <f ca="1"/>
        <v>#NAME?</v>
      </c>
      <c r="K22" t="s">
        <v>141</v>
      </c>
      <c r="L22" s="83" t="e">
        <f ca="1">MEDIAN(F20:F27)-QUARTILE(F20:F27,1)</f>
        <v>#NAME?</v>
      </c>
      <c r="M22" s="37" t="e">
        <f ca="1">MEDIAN(G20:G27)-QUARTILE(G20:G27,1)</f>
        <v>#NAME?</v>
      </c>
      <c r="N22" s="37" t="e">
        <f ca="1">MEDIAN(H20:H27)-QUARTILE(H20:H27,1)</f>
        <v>#NAME?</v>
      </c>
      <c r="O22" s="84" t="e">
        <f ca="1">MEDIAN(I20:I27)-QUARTILE(I20:I27,1)</f>
        <v>#NAME?</v>
      </c>
      <c r="Z22">
        <f t="shared" si="5"/>
        <v>25</v>
      </c>
      <c r="AA22" t="e">
        <f ca="1"/>
        <v>#NAME?</v>
      </c>
      <c r="AB22">
        <f t="shared" si="3"/>
        <v>-0.27769043982157676</v>
      </c>
      <c r="AC22" t="e">
        <f t="shared" ca="1" si="4"/>
        <v>#NAME?</v>
      </c>
    </row>
    <row r="23" spans="1:29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s="36" t="e">
        <f ca="1"/>
        <v>#NAME?</v>
      </c>
      <c r="G23" s="37" t="e">
        <f ca="1"/>
        <v>#NAME?</v>
      </c>
      <c r="H23" s="37" t="e">
        <f ca="1"/>
        <v>#NAME?</v>
      </c>
      <c r="I23" s="38" t="e">
        <f ca="1"/>
        <v>#NAME?</v>
      </c>
      <c r="K23" t="s">
        <v>142</v>
      </c>
      <c r="L23" s="83" t="e">
        <f ca="1">QUARTILE(F20:F27,3)-MEDIAN(F20:F27)</f>
        <v>#NAME?</v>
      </c>
      <c r="M23" s="37" t="e">
        <f ca="1">QUARTILE(G20:G27,3)-MEDIAN(G20:G27)</f>
        <v>#NAME?</v>
      </c>
      <c r="N23" s="37" t="e">
        <f ca="1">QUARTILE(H20:H27,3)-MEDIAN(H20:H27)</f>
        <v>#NAME?</v>
      </c>
      <c r="O23" s="84" t="e">
        <f ca="1">QUARTILE(I20:I27,3)-MEDIAN(I20:I27)</f>
        <v>#NAME?</v>
      </c>
      <c r="Z23">
        <f t="shared" si="5"/>
        <v>27</v>
      </c>
      <c r="AA23" t="e">
        <f ca="1"/>
        <v>#NAME?</v>
      </c>
      <c r="AB23">
        <f t="shared" si="3"/>
        <v>-0.19709908429431236</v>
      </c>
      <c r="AC23" t="e">
        <f t="shared" ca="1" si="4"/>
        <v>#NAME?</v>
      </c>
    </row>
    <row r="24" spans="1:29" x14ac:dyDescent="0.35">
      <c r="A24" t="s">
        <v>161</v>
      </c>
      <c r="B24" s="102">
        <v>46.6</v>
      </c>
      <c r="C24" s="103">
        <v>46.9</v>
      </c>
      <c r="D24" s="104">
        <v>3.6</v>
      </c>
      <c r="F24" s="36" t="e">
        <f ca="1"/>
        <v>#NAME?</v>
      </c>
      <c r="G24" s="37" t="e">
        <f ca="1"/>
        <v>#NAME?</v>
      </c>
      <c r="H24" s="37" t="e">
        <f ca="1"/>
        <v>#NAME?</v>
      </c>
      <c r="I24" s="38" t="e">
        <f ca="1"/>
        <v>#NAME?</v>
      </c>
      <c r="K24" t="s">
        <v>143</v>
      </c>
      <c r="L24" s="85" t="e">
        <f ca="1">MAX(F20:F27)-QUARTILE(F20:F27,3)</f>
        <v>#NAME?</v>
      </c>
      <c r="M24" s="86" t="e">
        <f ca="1">MAX(G20:G27)-QUARTILE(G20:G27,3)</f>
        <v>#NAME?</v>
      </c>
      <c r="N24" s="86" t="e">
        <f ca="1">MAX(H20:H27)-QUARTILE(H20:H27,3)</f>
        <v>#NAME?</v>
      </c>
      <c r="O24" s="87" t="e">
        <f ca="1">MAX(I20:I27)-QUARTILE(I20:I27,3)</f>
        <v>#NAME?</v>
      </c>
      <c r="Z24">
        <f t="shared" si="5"/>
        <v>29</v>
      </c>
      <c r="AA24" t="e">
        <f ca="1"/>
        <v>#NAME?</v>
      </c>
      <c r="AB24">
        <f t="shared" si="3"/>
        <v>-0.11776987457909528</v>
      </c>
      <c r="AC24" t="e">
        <f t="shared" ca="1" si="4"/>
        <v>#NAME?</v>
      </c>
    </row>
    <row r="25" spans="1:29" x14ac:dyDescent="0.35">
      <c r="A25" t="s">
        <v>161</v>
      </c>
      <c r="B25" s="102">
        <v>50.6</v>
      </c>
      <c r="C25" s="103">
        <v>29.7</v>
      </c>
      <c r="D25" s="104">
        <v>4.7</v>
      </c>
      <c r="F25" s="36" t="e">
        <f ca="1"/>
        <v>#NAME?</v>
      </c>
      <c r="G25" s="37" t="e">
        <f ca="1"/>
        <v>#NAME?</v>
      </c>
      <c r="H25" s="37" t="e">
        <f ca="1"/>
        <v>#NAME?</v>
      </c>
      <c r="I25" s="38" t="e">
        <f ca="1"/>
        <v>#NAME?</v>
      </c>
      <c r="Z25">
        <f t="shared" si="5"/>
        <v>31</v>
      </c>
      <c r="AA25" t="e">
        <f ca="1"/>
        <v>#NAME?</v>
      </c>
      <c r="AB25">
        <f t="shared" si="3"/>
        <v>-3.9176085503097632E-2</v>
      </c>
      <c r="AC25" t="e">
        <f t="shared" ca="1" si="4"/>
        <v>#NAME?</v>
      </c>
    </row>
    <row r="26" spans="1:29" x14ac:dyDescent="0.35">
      <c r="A26" t="s">
        <v>161</v>
      </c>
      <c r="B26" s="102">
        <v>45.7</v>
      </c>
      <c r="C26" s="103">
        <v>27.6</v>
      </c>
      <c r="D26" s="104">
        <v>6.2</v>
      </c>
      <c r="F26" s="36" t="e">
        <f ca="1"/>
        <v>#NAME?</v>
      </c>
      <c r="G26" s="37" t="e">
        <f ca="1"/>
        <v>#NAME?</v>
      </c>
      <c r="H26" s="37" t="e">
        <f ca="1"/>
        <v>#NAME?</v>
      </c>
      <c r="I26" s="38" t="e">
        <f ca="1"/>
        <v>#NAME?</v>
      </c>
      <c r="Z26">
        <f t="shared" si="5"/>
        <v>33</v>
      </c>
      <c r="AA26" t="e">
        <f ca="1"/>
        <v>#NAME?</v>
      </c>
      <c r="AB26">
        <f t="shared" si="3"/>
        <v>3.9176085503097632E-2</v>
      </c>
      <c r="AC26" t="e">
        <f t="shared" ca="1" si="4"/>
        <v>#NAME?</v>
      </c>
    </row>
    <row r="27" spans="1:29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s="39" t="e">
        <f ca="1"/>
        <v>#NAME?</v>
      </c>
      <c r="G27" s="40" t="e">
        <f ca="1"/>
        <v>#NAME?</v>
      </c>
      <c r="H27" s="40" t="e">
        <f ca="1"/>
        <v>#NAME?</v>
      </c>
      <c r="I27" s="41" t="e">
        <f ca="1"/>
        <v>#NAME?</v>
      </c>
      <c r="Z27">
        <f t="shared" si="5"/>
        <v>35</v>
      </c>
      <c r="AA27" t="e">
        <f ca="1"/>
        <v>#NAME?</v>
      </c>
      <c r="AB27">
        <f t="shared" si="3"/>
        <v>0.11776987457909528</v>
      </c>
      <c r="AC27" t="e">
        <f t="shared" ca="1" si="4"/>
        <v>#NAME?</v>
      </c>
    </row>
    <row r="28" spans="1:29" x14ac:dyDescent="0.35">
      <c r="A28" t="s">
        <v>160</v>
      </c>
      <c r="B28" s="102">
        <v>52.5</v>
      </c>
      <c r="C28" s="103">
        <v>39</v>
      </c>
      <c r="D28" s="104">
        <v>3.1</v>
      </c>
      <c r="Z28">
        <f t="shared" si="5"/>
        <v>37</v>
      </c>
      <c r="AA28" t="e">
        <f ca="1"/>
        <v>#NAME?</v>
      </c>
      <c r="AB28">
        <f t="shared" si="3"/>
        <v>0.19709908429431236</v>
      </c>
      <c r="AC28" t="e">
        <f t="shared" ca="1" si="4"/>
        <v>#NAME?</v>
      </c>
    </row>
    <row r="29" spans="1:29" x14ac:dyDescent="0.35">
      <c r="A29" t="s">
        <v>160</v>
      </c>
      <c r="B29" s="102">
        <v>80</v>
      </c>
      <c r="C29" s="103">
        <v>54.2</v>
      </c>
      <c r="D29" s="104">
        <v>4</v>
      </c>
      <c r="Z29">
        <f t="shared" si="5"/>
        <v>39</v>
      </c>
      <c r="AA29" t="e">
        <f ca="1"/>
        <v>#NAME?</v>
      </c>
      <c r="AB29">
        <f t="shared" si="3"/>
        <v>0.27769043982157676</v>
      </c>
      <c r="AC29" t="e">
        <f t="shared" ca="1" si="4"/>
        <v>#NAME?</v>
      </c>
    </row>
    <row r="30" spans="1:29" x14ac:dyDescent="0.35">
      <c r="A30" t="s">
        <v>160</v>
      </c>
      <c r="B30" s="102">
        <v>54.7</v>
      </c>
      <c r="C30" s="103">
        <v>32.1</v>
      </c>
      <c r="D30" s="104">
        <v>5.7</v>
      </c>
      <c r="Z30">
        <f t="shared" si="5"/>
        <v>41</v>
      </c>
      <c r="AA30" t="e">
        <f ca="1"/>
        <v>#NAME?</v>
      </c>
      <c r="AB30">
        <f t="shared" si="3"/>
        <v>0.36012989178956933</v>
      </c>
      <c r="AC30" t="e">
        <f t="shared" ca="1" si="4"/>
        <v>#NAME?</v>
      </c>
    </row>
    <row r="31" spans="1:29" x14ac:dyDescent="0.35">
      <c r="A31" t="s">
        <v>160</v>
      </c>
      <c r="B31" s="102">
        <v>63.5</v>
      </c>
      <c r="C31" s="103">
        <v>25.6</v>
      </c>
      <c r="D31" s="104">
        <v>3</v>
      </c>
      <c r="F31" s="47" t="s">
        <v>164</v>
      </c>
      <c r="Z31">
        <f t="shared" si="5"/>
        <v>43</v>
      </c>
      <c r="AA31" t="e">
        <f ca="1"/>
        <v>#NAME?</v>
      </c>
      <c r="AB31">
        <f t="shared" si="3"/>
        <v>0.44509652498551644</v>
      </c>
      <c r="AC31" t="e">
        <f t="shared" ca="1" si="4"/>
        <v>#NAME?</v>
      </c>
    </row>
    <row r="32" spans="1:29" x14ac:dyDescent="0.35">
      <c r="A32" t="s">
        <v>160</v>
      </c>
      <c r="B32" s="102">
        <v>46.3</v>
      </c>
      <c r="C32" s="103">
        <v>31.8</v>
      </c>
      <c r="D32" s="104">
        <v>7.4</v>
      </c>
      <c r="Z32">
        <f t="shared" si="5"/>
        <v>45</v>
      </c>
      <c r="AA32" t="e">
        <f ca="1"/>
        <v>#NAME?</v>
      </c>
      <c r="AB32">
        <f t="shared" si="3"/>
        <v>0.5334097062412807</v>
      </c>
      <c r="AC32" t="e">
        <f t="shared" ca="1" si="4"/>
        <v>#NAME?</v>
      </c>
    </row>
    <row r="33" spans="1:29" x14ac:dyDescent="0.35">
      <c r="A33" t="s">
        <v>160</v>
      </c>
      <c r="B33" s="102">
        <v>61.5</v>
      </c>
      <c r="C33" s="103">
        <v>16.8</v>
      </c>
      <c r="D33" s="104">
        <v>1.9</v>
      </c>
      <c r="F33" s="47" t="e">
        <f t="array" aca="1" ref="F33:I41" ca="1">ExtractCol(A3:D35,"herbicide")</f>
        <v>#NAME?</v>
      </c>
      <c r="G33" s="47" t="e">
        <f ca="1"/>
        <v>#NAME?</v>
      </c>
      <c r="H33" s="47" t="e">
        <f ca="1"/>
        <v>#NAME?</v>
      </c>
      <c r="I33" s="47" t="e">
        <f ca="1"/>
        <v>#NAME?</v>
      </c>
      <c r="L33" t="e">
        <f ca="1">F33</f>
        <v>#NAME?</v>
      </c>
      <c r="M33" t="e">
        <f ca="1">G33</f>
        <v>#NAME?</v>
      </c>
      <c r="N33" t="e">
        <f ca="1">H33</f>
        <v>#NAME?</v>
      </c>
      <c r="O33" t="e">
        <f ca="1">I33</f>
        <v>#NAME?</v>
      </c>
      <c r="Z33">
        <f t="shared" si="5"/>
        <v>47</v>
      </c>
      <c r="AA33" t="e">
        <f ca="1"/>
        <v>#NAME?</v>
      </c>
      <c r="AB33">
        <f t="shared" si="3"/>
        <v>0.62609901234642129</v>
      </c>
      <c r="AC33" t="e">
        <f t="shared" ca="1" si="4"/>
        <v>#NAME?</v>
      </c>
    </row>
    <row r="34" spans="1:29" x14ac:dyDescent="0.35">
      <c r="A34" t="s">
        <v>160</v>
      </c>
      <c r="B34" s="102">
        <v>62.9</v>
      </c>
      <c r="C34" s="103">
        <v>25.8</v>
      </c>
      <c r="D34" s="104">
        <v>2.4</v>
      </c>
      <c r="F34" s="33" t="e">
        <f ca="1"/>
        <v>#NAME?</v>
      </c>
      <c r="G34" s="88" t="e">
        <f ca="1"/>
        <v>#NAME?</v>
      </c>
      <c r="H34" s="88" t="e">
        <f ca="1"/>
        <v>#NAME?</v>
      </c>
      <c r="I34" s="89" t="e">
        <f ca="1"/>
        <v>#NAME?</v>
      </c>
      <c r="K34" t="s">
        <v>139</v>
      </c>
      <c r="L34" s="95" t="e">
        <f ca="1">MIN(F34:F41)</f>
        <v>#NAME?</v>
      </c>
      <c r="M34" s="96" t="e">
        <f ca="1">MIN(G34:G41)</f>
        <v>#NAME?</v>
      </c>
      <c r="N34" s="96" t="e">
        <f ca="1">MIN(H34:H41)</f>
        <v>#NAME?</v>
      </c>
      <c r="O34" s="97" t="e">
        <f ca="1">MIN(I34:I41)</f>
        <v>#NAME?</v>
      </c>
      <c r="Z34">
        <f t="shared" si="5"/>
        <v>49</v>
      </c>
      <c r="AA34" t="e">
        <f ca="1"/>
        <v>#NAME?</v>
      </c>
      <c r="AB34">
        <f t="shared" si="3"/>
        <v>0.72451438349236563</v>
      </c>
      <c r="AC34" t="e">
        <f t="shared" ca="1" si="4"/>
        <v>#NAME?</v>
      </c>
    </row>
    <row r="35" spans="1:29" x14ac:dyDescent="0.35">
      <c r="A35" t="s">
        <v>160</v>
      </c>
      <c r="B35" s="105">
        <v>49.3</v>
      </c>
      <c r="C35" s="106">
        <v>39.4</v>
      </c>
      <c r="D35" s="107">
        <v>5.2</v>
      </c>
      <c r="F35" s="36" t="e">
        <f ca="1"/>
        <v>#NAME?</v>
      </c>
      <c r="G35" s="37" t="e">
        <f ca="1"/>
        <v>#NAME?</v>
      </c>
      <c r="H35" s="37" t="e">
        <f ca="1"/>
        <v>#NAME?</v>
      </c>
      <c r="I35" s="38" t="e">
        <f ca="1"/>
        <v>#NAME?</v>
      </c>
      <c r="K35" t="s">
        <v>140</v>
      </c>
      <c r="L35" s="83" t="e">
        <f ca="1">QUARTILE(F34:F41,1)-L34</f>
        <v>#NAME?</v>
      </c>
      <c r="M35" s="37" t="e">
        <f ca="1">QUARTILE(G34:G41,1)-M34</f>
        <v>#NAME?</v>
      </c>
      <c r="N35" s="37" t="e">
        <f ca="1">QUARTILE(H34:H41,1)-N34</f>
        <v>#NAME?</v>
      </c>
      <c r="O35" s="84" t="e">
        <f ca="1">QUARTILE(I34:I41,1)-O34</f>
        <v>#NAME?</v>
      </c>
      <c r="Z35">
        <f t="shared" si="5"/>
        <v>51</v>
      </c>
      <c r="AA35" t="e">
        <f ca="1"/>
        <v>#NAME?</v>
      </c>
      <c r="AB35">
        <f t="shared" si="3"/>
        <v>0.83051087820540004</v>
      </c>
      <c r="AC35" t="e">
        <f t="shared" ca="1" si="4"/>
        <v>#NAME?</v>
      </c>
    </row>
    <row r="36" spans="1:29" x14ac:dyDescent="0.35">
      <c r="F36" s="36" t="e">
        <f ca="1"/>
        <v>#NAME?</v>
      </c>
      <c r="G36" s="37" t="e">
        <f ca="1"/>
        <v>#NAME?</v>
      </c>
      <c r="H36" s="37" t="e">
        <f ca="1"/>
        <v>#NAME?</v>
      </c>
      <c r="I36" s="38" t="e">
        <f ca="1"/>
        <v>#NAME?</v>
      </c>
      <c r="K36" t="s">
        <v>141</v>
      </c>
      <c r="L36" s="83" t="e">
        <f ca="1">MEDIAN(F34:F41)-QUARTILE(F34:F41,1)</f>
        <v>#NAME?</v>
      </c>
      <c r="M36" s="37" t="e">
        <f ca="1">MEDIAN(G34:G41)-QUARTILE(G34:G41,1)</f>
        <v>#NAME?</v>
      </c>
      <c r="N36" s="37" t="e">
        <f ca="1">MEDIAN(H34:H41)-QUARTILE(H34:H41,1)</f>
        <v>#NAME?</v>
      </c>
      <c r="O36" s="84" t="e">
        <f ca="1">MEDIAN(I34:I41)-QUARTILE(I34:I41,1)</f>
        <v>#NAME?</v>
      </c>
      <c r="Z36">
        <f t="shared" si="5"/>
        <v>53</v>
      </c>
      <c r="AA36" t="e">
        <f ca="1"/>
        <v>#NAME?</v>
      </c>
      <c r="AB36">
        <f t="shared" si="3"/>
        <v>0.94678175630104722</v>
      </c>
      <c r="AC36" t="e">
        <f t="shared" ca="1" si="4"/>
        <v>#NAME?</v>
      </c>
    </row>
    <row r="37" spans="1:29" x14ac:dyDescent="0.35">
      <c r="F37" s="36" t="e">
        <f ca="1"/>
        <v>#NAME?</v>
      </c>
      <c r="G37" s="37" t="e">
        <f ca="1"/>
        <v>#NAME?</v>
      </c>
      <c r="H37" s="37" t="e">
        <f ca="1"/>
        <v>#NAME?</v>
      </c>
      <c r="I37" s="38" t="e">
        <f ca="1"/>
        <v>#NAME?</v>
      </c>
      <c r="K37" t="s">
        <v>142</v>
      </c>
      <c r="L37" s="83" t="e">
        <f ca="1">QUARTILE(F34:F41,3)-MEDIAN(F34:F41)</f>
        <v>#NAME?</v>
      </c>
      <c r="M37" s="37" t="e">
        <f ca="1">QUARTILE(G34:G41,3)-MEDIAN(G34:G41)</f>
        <v>#NAME?</v>
      </c>
      <c r="N37" s="37" t="e">
        <f ca="1">QUARTILE(H34:H41,3)-MEDIAN(H34:H41)</f>
        <v>#NAME?</v>
      </c>
      <c r="O37" s="84" t="e">
        <f ca="1">QUARTILE(I34:I41,3)-MEDIAN(I34:I41)</f>
        <v>#NAME?</v>
      </c>
      <c r="Z37">
        <f t="shared" si="5"/>
        <v>55</v>
      </c>
      <c r="AA37" t="e">
        <f ca="1"/>
        <v>#NAME?</v>
      </c>
      <c r="AB37">
        <f t="shared" si="3"/>
        <v>1.0775155670402805</v>
      </c>
      <c r="AC37" t="e">
        <f t="shared" ca="1" si="4"/>
        <v>#NAME?</v>
      </c>
    </row>
    <row r="38" spans="1:29" x14ac:dyDescent="0.35">
      <c r="F38" s="36" t="e">
        <f ca="1"/>
        <v>#NAME?</v>
      </c>
      <c r="G38" s="37" t="e">
        <f ca="1"/>
        <v>#NAME?</v>
      </c>
      <c r="H38" s="37" t="e">
        <f ca="1"/>
        <v>#NAME?</v>
      </c>
      <c r="I38" s="38" t="e">
        <f ca="1"/>
        <v>#NAME?</v>
      </c>
      <c r="K38" t="s">
        <v>143</v>
      </c>
      <c r="L38" s="85" t="e">
        <f ca="1">MAX(F34:F41)-QUARTILE(F34:F41,3)</f>
        <v>#NAME?</v>
      </c>
      <c r="M38" s="86" t="e">
        <f ca="1">MAX(G34:G41)-QUARTILE(G34:G41,3)</f>
        <v>#NAME?</v>
      </c>
      <c r="N38" s="86" t="e">
        <f ca="1">MAX(H34:H41)-QUARTILE(H34:H41,3)</f>
        <v>#NAME?</v>
      </c>
      <c r="O38" s="87" t="e">
        <f ca="1">MAX(I34:I41)-QUARTILE(I34:I41,3)</f>
        <v>#NAME?</v>
      </c>
      <c r="Z38">
        <f t="shared" si="5"/>
        <v>57</v>
      </c>
      <c r="AA38" t="e">
        <f ca="1"/>
        <v>#NAME?</v>
      </c>
      <c r="AB38">
        <f t="shared" si="3"/>
        <v>1.229858759216589</v>
      </c>
      <c r="AC38" t="e">
        <f t="shared" ca="1" si="4"/>
        <v>#NAME?</v>
      </c>
    </row>
    <row r="39" spans="1:29" x14ac:dyDescent="0.35">
      <c r="F39" s="36" t="e">
        <f ca="1"/>
        <v>#NAME?</v>
      </c>
      <c r="G39" s="37" t="e">
        <f ca="1"/>
        <v>#NAME?</v>
      </c>
      <c r="H39" s="37" t="e">
        <f ca="1"/>
        <v>#NAME?</v>
      </c>
      <c r="I39" s="38" t="e">
        <f ca="1"/>
        <v>#NAME?</v>
      </c>
      <c r="Z39">
        <f t="shared" si="5"/>
        <v>59</v>
      </c>
      <c r="AA39" t="e">
        <f ca="1"/>
        <v>#NAME?</v>
      </c>
      <c r="AB39">
        <f t="shared" si="3"/>
        <v>1.4177971379962682</v>
      </c>
      <c r="AC39" t="e">
        <f t="shared" ca="1" si="4"/>
        <v>#NAME?</v>
      </c>
    </row>
    <row r="40" spans="1:29" x14ac:dyDescent="0.35">
      <c r="F40" s="36" t="e">
        <f ca="1"/>
        <v>#NAME?</v>
      </c>
      <c r="G40" s="37" t="e">
        <f ca="1"/>
        <v>#NAME?</v>
      </c>
      <c r="H40" s="37" t="e">
        <f ca="1"/>
        <v>#NAME?</v>
      </c>
      <c r="I40" s="38" t="e">
        <f ca="1"/>
        <v>#NAME?</v>
      </c>
      <c r="S40" t="s">
        <v>251</v>
      </c>
      <c r="Z40">
        <f t="shared" si="5"/>
        <v>61</v>
      </c>
      <c r="AA40" t="e">
        <f ca="1"/>
        <v>#NAME?</v>
      </c>
      <c r="AB40">
        <f t="shared" si="3"/>
        <v>1.6759397227734436</v>
      </c>
      <c r="AC40" t="e">
        <f t="shared" ca="1" si="4"/>
        <v>#NAME?</v>
      </c>
    </row>
    <row r="41" spans="1:29" x14ac:dyDescent="0.35">
      <c r="F41" s="39" t="e">
        <f ca="1"/>
        <v>#NAME?</v>
      </c>
      <c r="G41" s="40" t="e">
        <f ca="1"/>
        <v>#NAME?</v>
      </c>
      <c r="H41" s="40" t="e">
        <f ca="1"/>
        <v>#NAME?</v>
      </c>
      <c r="I41" s="41" t="e">
        <f ca="1"/>
        <v>#NAME?</v>
      </c>
      <c r="Z41">
        <f t="shared" si="5"/>
        <v>63</v>
      </c>
      <c r="AA41" t="e">
        <f ca="1"/>
        <v>#NAME?</v>
      </c>
      <c r="AB41">
        <f t="shared" si="3"/>
        <v>2.1538746940614555</v>
      </c>
      <c r="AC41" t="e">
        <f t="shared" ca="1" si="4"/>
        <v>#NAME?</v>
      </c>
    </row>
    <row r="42" spans="1:29" x14ac:dyDescent="0.35">
      <c r="F42" t="s">
        <v>48</v>
      </c>
      <c r="G42" t="e">
        <f ca="1">AVERAGE(G34:G41)</f>
        <v>#NAME?</v>
      </c>
    </row>
    <row r="43" spans="1:29" x14ac:dyDescent="0.35">
      <c r="F43" t="s">
        <v>49</v>
      </c>
      <c r="G43" t="e">
        <f ca="1">STDEV(G34:G41)</f>
        <v>#NAME?</v>
      </c>
    </row>
    <row r="44" spans="1:29" x14ac:dyDescent="0.35">
      <c r="F44" t="s">
        <v>215</v>
      </c>
      <c r="G44" t="e">
        <f ca="1">STANDARDIZE(G38,G42,G43)</f>
        <v>#NAME?</v>
      </c>
    </row>
    <row r="47" spans="1:29" x14ac:dyDescent="0.35">
      <c r="A47" s="42" t="s">
        <v>211</v>
      </c>
    </row>
    <row r="49" spans="1:15" ht="15" customHeight="1" x14ac:dyDescent="0.35">
      <c r="B49" s="47" t="s">
        <v>144</v>
      </c>
      <c r="C49" s="47" t="s">
        <v>145</v>
      </c>
      <c r="D49" s="47" t="s">
        <v>146</v>
      </c>
      <c r="F49" s="32" t="s">
        <v>212</v>
      </c>
      <c r="G49" s="32" t="s">
        <v>65</v>
      </c>
      <c r="I49" s="70" t="s">
        <v>213</v>
      </c>
      <c r="M49" t="s">
        <v>213</v>
      </c>
    </row>
    <row r="50" spans="1:15" x14ac:dyDescent="0.35">
      <c r="A50" t="s">
        <v>158</v>
      </c>
      <c r="B50" s="75">
        <v>76.7</v>
      </c>
      <c r="C50" s="100">
        <v>29.5</v>
      </c>
      <c r="D50" s="101">
        <v>7.5</v>
      </c>
      <c r="F50" s="33" t="e">
        <f t="array" aca="1" ref="F50" ca="1">MMULT(B50:D50-$B$83:$D$83,MMULT($I$55:$K$57,TRANSPOSE(B50:D50-$B$83:$D$83)))</f>
        <v>#NAME?</v>
      </c>
      <c r="G50" s="48" t="e">
        <f ca="1">CHIDIST(F50,COUNTA($B$49:$D$49))</f>
        <v>#NAME?</v>
      </c>
      <c r="I50" s="33" t="e">
        <f t="array" aca="1" ref="I50:K52" ca="1">COV(B50:D81)</f>
        <v>#NAME?</v>
      </c>
      <c r="J50" s="111" t="e">
        <f ca="1"/>
        <v>#NAME?</v>
      </c>
      <c r="K50" s="112" t="e">
        <f ca="1"/>
        <v>#NAME?</v>
      </c>
      <c r="M50" s="33">
        <f t="array" ref="M50:O52">MMULT(TRANSPOSE(B50:D81-B83:D83),B50:D81-B83:D83)/(COUNT(B50:B81)-1)</f>
        <v>160.28603830645159</v>
      </c>
      <c r="N50" s="111">
        <v>25.054526209677409</v>
      </c>
      <c r="O50" s="112">
        <v>-3.5545665322580646</v>
      </c>
    </row>
    <row r="51" spans="1:15" x14ac:dyDescent="0.35">
      <c r="A51" t="s">
        <v>158</v>
      </c>
      <c r="B51" s="102">
        <v>60.5</v>
      </c>
      <c r="C51" s="103">
        <v>32.1</v>
      </c>
      <c r="D51" s="104">
        <v>6.3</v>
      </c>
      <c r="F51" s="36" t="e">
        <f t="array" aca="1" ref="F51" ca="1">MMULT(B51:D51-$B$83:$D$83,MMULT($I$55:$K$57,TRANSPOSE(B51:D51-$B$83:$D$83)))</f>
        <v>#NAME?</v>
      </c>
      <c r="G51" s="49" t="e">
        <f t="shared" ref="G51:G81" ca="1" si="6">CHIDIST(F51,COUNTA($B$49:$D$49))</f>
        <v>#NAME?</v>
      </c>
      <c r="I51" s="36" t="e">
        <f ca="1"/>
        <v>#NAME?</v>
      </c>
      <c r="J51" s="37" t="e">
        <f ca="1"/>
        <v>#NAME?</v>
      </c>
      <c r="K51" s="90" t="e">
        <f ca="1"/>
        <v>#NAME?</v>
      </c>
      <c r="M51" s="36">
        <v>25.054526209677409</v>
      </c>
      <c r="N51" s="37">
        <v>95.35136088709676</v>
      </c>
      <c r="O51" s="90">
        <v>4.7206149193548388</v>
      </c>
    </row>
    <row r="52" spans="1:15" x14ac:dyDescent="0.35">
      <c r="A52" t="s">
        <v>158</v>
      </c>
      <c r="B52" s="102">
        <v>96.1</v>
      </c>
      <c r="C52" s="103">
        <v>40.700000000000003</v>
      </c>
      <c r="D52" s="104">
        <v>4.2</v>
      </c>
      <c r="F52" s="36" t="e">
        <f t="array" aca="1" ref="F52" ca="1">MMULT(B52:D52-$B$83:$D$83,MMULT($I$55:$K$57,TRANSPOSE(B52:D52-$B$83:$D$83)))</f>
        <v>#NAME?</v>
      </c>
      <c r="G52" s="49" t="e">
        <f t="shared" ca="1" si="6"/>
        <v>#NAME?</v>
      </c>
      <c r="I52" s="91" t="e">
        <f ca="1"/>
        <v>#NAME?</v>
      </c>
      <c r="J52" s="92" t="e">
        <f ca="1"/>
        <v>#NAME?</v>
      </c>
      <c r="K52" s="93" t="e">
        <f ca="1"/>
        <v>#NAME?</v>
      </c>
      <c r="M52" s="91">
        <v>-3.5545665322580646</v>
      </c>
      <c r="N52" s="92">
        <v>4.7206149193548388</v>
      </c>
      <c r="O52" s="93">
        <v>4.670473790322581</v>
      </c>
    </row>
    <row r="53" spans="1:15" x14ac:dyDescent="0.35">
      <c r="A53" t="s">
        <v>158</v>
      </c>
      <c r="B53" s="102">
        <v>88.1</v>
      </c>
      <c r="C53" s="103">
        <v>45.1</v>
      </c>
      <c r="D53" s="104">
        <v>4.9000000000000004</v>
      </c>
      <c r="F53" s="36" t="e">
        <f t="array" aca="1" ref="F53" ca="1">MMULT(B53:D53-$B$83:$D$83,MMULT($I$55:$K$57,TRANSPOSE(B53:D53-$B$83:$D$83)))</f>
        <v>#NAME?</v>
      </c>
      <c r="G53" s="49" t="e">
        <f t="shared" ca="1" si="6"/>
        <v>#NAME?</v>
      </c>
    </row>
    <row r="54" spans="1:15" x14ac:dyDescent="0.35">
      <c r="A54" t="s">
        <v>158</v>
      </c>
      <c r="B54" s="102">
        <v>50.2</v>
      </c>
      <c r="C54" s="103">
        <v>34.1</v>
      </c>
      <c r="D54" s="104">
        <v>11.7</v>
      </c>
      <c r="F54" s="36" t="e">
        <f t="array" aca="1" ref="F54" ca="1">MMULT(B54:D54-$B$83:$D$83,MMULT($I$55:$K$57,TRANSPOSE(B54:D54-$B$83:$D$83)))</f>
        <v>#NAME?</v>
      </c>
      <c r="G54" s="49" t="e">
        <f t="shared" ca="1" si="6"/>
        <v>#NAME?</v>
      </c>
      <c r="I54" t="s">
        <v>214</v>
      </c>
    </row>
    <row r="55" spans="1:15" x14ac:dyDescent="0.35">
      <c r="A55" t="s">
        <v>158</v>
      </c>
      <c r="B55" s="102">
        <v>55</v>
      </c>
      <c r="C55" s="103">
        <v>31.1</v>
      </c>
      <c r="D55" s="104">
        <v>6.9</v>
      </c>
      <c r="F55" s="36" t="e">
        <f t="array" aca="1" ref="F55" ca="1">MMULT(B55:D55-$B$83:$D$83,MMULT($I$55:$K$57,TRANSPOSE(B55:D55-$B$83:$D$83)))</f>
        <v>#NAME?</v>
      </c>
      <c r="G55" s="49" t="e">
        <f t="shared" ca="1" si="6"/>
        <v>#NAME?</v>
      </c>
      <c r="I55" s="33" t="e">
        <f t="array" aca="1" ref="I55:K57" ca="1">MINVERSE(I50:K52)</f>
        <v>#NAME?</v>
      </c>
      <c r="J55" s="111" t="e">
        <f ca="1"/>
        <v>#NAME?</v>
      </c>
      <c r="K55" s="112" t="e">
        <f ca="1"/>
        <v>#NAME?</v>
      </c>
    </row>
    <row r="56" spans="1:15" x14ac:dyDescent="0.35">
      <c r="A56" t="s">
        <v>158</v>
      </c>
      <c r="B56" s="102">
        <v>65.400000000000006</v>
      </c>
      <c r="C56" s="103">
        <v>21.6</v>
      </c>
      <c r="D56" s="104">
        <v>4.3</v>
      </c>
      <c r="F56" s="36" t="e">
        <f t="array" aca="1" ref="F56" ca="1">MMULT(B56:D56-$B$83:$D$83,MMULT($I$55:$K$57,TRANSPOSE(B56:D56-$B$83:$D$83)))</f>
        <v>#NAME?</v>
      </c>
      <c r="G56" s="49" t="e">
        <f t="shared" ca="1" si="6"/>
        <v>#NAME?</v>
      </c>
      <c r="I56" s="36" t="e">
        <f ca="1"/>
        <v>#NAME?</v>
      </c>
      <c r="J56" s="37" t="e">
        <f ca="1"/>
        <v>#NAME?</v>
      </c>
      <c r="K56" s="90" t="e">
        <f ca="1"/>
        <v>#NAME?</v>
      </c>
    </row>
    <row r="57" spans="1:15" x14ac:dyDescent="0.35">
      <c r="A57" t="s">
        <v>158</v>
      </c>
      <c r="B57" s="102">
        <v>65.7</v>
      </c>
      <c r="C57" s="103">
        <v>27.7</v>
      </c>
      <c r="D57" s="104">
        <v>5.3</v>
      </c>
      <c r="F57" s="36" t="e">
        <f t="array" aca="1" ref="F57" ca="1">MMULT(B57:D57-$B$83:$D$83,MMULT($I$55:$K$57,TRANSPOSE(B57:D57-$B$83:$D$83)))</f>
        <v>#NAME?</v>
      </c>
      <c r="G57" s="49" t="e">
        <f t="shared" ca="1" si="6"/>
        <v>#NAME?</v>
      </c>
      <c r="I57" s="91" t="e">
        <f ca="1"/>
        <v>#NAME?</v>
      </c>
      <c r="J57" s="92" t="e">
        <f ca="1"/>
        <v>#NAME?</v>
      </c>
      <c r="K57" s="93" t="e">
        <f ca="1"/>
        <v>#NAME?</v>
      </c>
    </row>
    <row r="58" spans="1:15" x14ac:dyDescent="0.35">
      <c r="A58" t="s">
        <v>159</v>
      </c>
      <c r="B58" s="102">
        <v>67.3</v>
      </c>
      <c r="C58" s="103">
        <v>48.3</v>
      </c>
      <c r="D58" s="104">
        <v>5.5</v>
      </c>
      <c r="F58" s="36" t="e">
        <f t="array" aca="1" ref="F58" ca="1">MMULT(B58:D58-$B$83:$D$83,MMULT($I$55:$K$57,TRANSPOSE(B58:D58-$B$83:$D$83)))</f>
        <v>#NAME?</v>
      </c>
      <c r="G58" s="49" t="e">
        <f t="shared" ca="1" si="6"/>
        <v>#NAME?</v>
      </c>
    </row>
    <row r="59" spans="1:15" x14ac:dyDescent="0.35">
      <c r="A59" t="s">
        <v>159</v>
      </c>
      <c r="B59" s="102">
        <v>61.3</v>
      </c>
      <c r="C59" s="103">
        <v>28.9</v>
      </c>
      <c r="D59" s="104">
        <v>6.9</v>
      </c>
      <c r="F59" s="36" t="e">
        <f t="array" aca="1" ref="F59" ca="1">MMULT(B59:D59-$B$83:$D$83,MMULT($I$55:$K$57,TRANSPOSE(B59:D59-$B$83:$D$83)))</f>
        <v>#NAME?</v>
      </c>
      <c r="G59" s="49" t="e">
        <f t="shared" ca="1" si="6"/>
        <v>#NAME?</v>
      </c>
    </row>
    <row r="60" spans="1:15" x14ac:dyDescent="0.35">
      <c r="A60" t="s">
        <v>159</v>
      </c>
      <c r="B60" s="102">
        <v>58.2</v>
      </c>
      <c r="C60" s="103">
        <v>42.5</v>
      </c>
      <c r="D60" s="104">
        <v>4.8</v>
      </c>
      <c r="F60" s="36" t="e">
        <f t="array" aca="1" ref="F60" ca="1">MMULT(B60:D60-$B$83:$D$83,MMULT($I$55:$K$57,TRANSPOSE(B60:D60-$B$83:$D$83)))</f>
        <v>#NAME?</v>
      </c>
      <c r="G60" s="49" t="e">
        <f t="shared" ca="1" si="6"/>
        <v>#NAME?</v>
      </c>
    </row>
    <row r="61" spans="1:15" x14ac:dyDescent="0.35">
      <c r="A61" t="s">
        <v>159</v>
      </c>
      <c r="B61" s="102">
        <v>76.900000000000006</v>
      </c>
      <c r="C61" s="103">
        <v>20.399999999999999</v>
      </c>
      <c r="D61" s="104">
        <v>3</v>
      </c>
      <c r="F61" s="36" t="e">
        <f t="array" aca="1" ref="F61" ca="1">MMULT(B61:D61-$B$83:$D$83,MMULT($I$55:$K$57,TRANSPOSE(B61:D61-$B$83:$D$83)))</f>
        <v>#NAME?</v>
      </c>
      <c r="G61" s="49" t="e">
        <f t="shared" ca="1" si="6"/>
        <v>#NAME?</v>
      </c>
    </row>
    <row r="62" spans="1:15" x14ac:dyDescent="0.35">
      <c r="A62" t="s">
        <v>159</v>
      </c>
      <c r="B62" s="102">
        <v>66.900000000000006</v>
      </c>
      <c r="C62" s="103">
        <v>23.9</v>
      </c>
      <c r="D62" s="104">
        <v>1.1000000000000001</v>
      </c>
      <c r="F62" s="36" t="e">
        <f t="array" aca="1" ref="F62" ca="1">MMULT(B62:D62-$B$83:$D$83,MMULT($I$55:$K$57,TRANSPOSE(B62:D62-$B$83:$D$83)))</f>
        <v>#NAME?</v>
      </c>
      <c r="G62" s="49" t="e">
        <f t="shared" ca="1" si="6"/>
        <v>#NAME?</v>
      </c>
    </row>
    <row r="63" spans="1:15" x14ac:dyDescent="0.35">
      <c r="A63" t="s">
        <v>159</v>
      </c>
      <c r="B63" s="102">
        <v>55.4</v>
      </c>
      <c r="C63" s="103">
        <v>29.1</v>
      </c>
      <c r="D63" s="104">
        <v>5</v>
      </c>
      <c r="F63" s="36" t="e">
        <f t="array" aca="1" ref="F63" ca="1">MMULT(B63:D63-$B$83:$D$83,MMULT($I$55:$K$57,TRANSPOSE(B63:D63-$B$83:$D$83)))</f>
        <v>#NAME?</v>
      </c>
      <c r="G63" s="49" t="e">
        <f t="shared" ca="1" si="6"/>
        <v>#NAME?</v>
      </c>
    </row>
    <row r="64" spans="1:15" x14ac:dyDescent="0.35">
      <c r="A64" t="s">
        <v>159</v>
      </c>
      <c r="B64" s="102">
        <v>50.5</v>
      </c>
      <c r="C64" s="103">
        <v>18</v>
      </c>
      <c r="D64" s="104">
        <v>4.8</v>
      </c>
      <c r="F64" s="36" t="e">
        <f t="array" aca="1" ref="F64" ca="1">MMULT(B64:D64-$B$83:$D$83,MMULT($I$55:$K$57,TRANSPOSE(B64:D64-$B$83:$D$83)))</f>
        <v>#NAME?</v>
      </c>
      <c r="G64" s="49" t="e">
        <f t="shared" ca="1" si="6"/>
        <v>#NAME?</v>
      </c>
    </row>
    <row r="65" spans="1:7" x14ac:dyDescent="0.35">
      <c r="A65" t="s">
        <v>159</v>
      </c>
      <c r="B65" s="102">
        <v>64.099999999999994</v>
      </c>
      <c r="C65" s="103">
        <v>14.5</v>
      </c>
      <c r="D65" s="104">
        <v>3.7</v>
      </c>
      <c r="F65" s="36" t="e">
        <f t="array" aca="1" ref="F65" ca="1">MMULT(B65:D65-$B$83:$D$83,MMULT($I$55:$K$57,TRANSPOSE(B65:D65-$B$83:$D$83)))</f>
        <v>#NAME?</v>
      </c>
      <c r="G65" s="49" t="e">
        <f t="shared" ca="1" si="6"/>
        <v>#NAME?</v>
      </c>
    </row>
    <row r="66" spans="1:7" x14ac:dyDescent="0.35">
      <c r="A66" t="s">
        <v>161</v>
      </c>
      <c r="B66" s="102">
        <v>62.8</v>
      </c>
      <c r="C66" s="103">
        <v>25.9</v>
      </c>
      <c r="D66" s="104">
        <v>2.9</v>
      </c>
      <c r="F66" s="36" t="e">
        <f t="array" aca="1" ref="F66" ca="1">MMULT(B66:D66-$B$83:$D$83,MMULT($I$55:$K$57,TRANSPOSE(B66:D66-$B$83:$D$83)))</f>
        <v>#NAME?</v>
      </c>
      <c r="G66" s="49" t="e">
        <f t="shared" ca="1" si="6"/>
        <v>#NAME?</v>
      </c>
    </row>
    <row r="67" spans="1:7" x14ac:dyDescent="0.35">
      <c r="A67" t="s">
        <v>161</v>
      </c>
      <c r="B67" s="102">
        <v>45</v>
      </c>
      <c r="C67" s="103">
        <v>15.9</v>
      </c>
      <c r="D67" s="104">
        <v>1.2</v>
      </c>
      <c r="F67" s="36" t="e">
        <f t="array" aca="1" ref="F67" ca="1">MMULT(B67:D67-$B$83:$D$83,MMULT($I$55:$K$57,TRANSPOSE(B67:D67-$B$83:$D$83)))</f>
        <v>#NAME?</v>
      </c>
      <c r="G67" s="49" t="e">
        <f t="shared" ca="1" si="6"/>
        <v>#NAME?</v>
      </c>
    </row>
    <row r="68" spans="1:7" x14ac:dyDescent="0.35">
      <c r="A68" t="s">
        <v>161</v>
      </c>
      <c r="B68" s="102">
        <v>47.8</v>
      </c>
      <c r="C68" s="103">
        <v>36.1</v>
      </c>
      <c r="D68" s="104">
        <v>4.0999999999999996</v>
      </c>
      <c r="F68" s="36" t="e">
        <f t="array" aca="1" ref="F68" ca="1">MMULT(B68:D68-$B$83:$D$83,MMULT($I$55:$K$57,TRANSPOSE(B68:D68-$B$83:$D$83)))</f>
        <v>#NAME?</v>
      </c>
      <c r="G68" s="49" t="e">
        <f t="shared" ca="1" si="6"/>
        <v>#NAME?</v>
      </c>
    </row>
    <row r="69" spans="1:7" x14ac:dyDescent="0.35">
      <c r="A69" t="s">
        <v>161</v>
      </c>
      <c r="B69" s="102">
        <v>75.599999999999994</v>
      </c>
      <c r="C69" s="103">
        <v>27.7</v>
      </c>
      <c r="D69" s="104">
        <v>6.3</v>
      </c>
      <c r="F69" s="36" t="e">
        <f t="array" aca="1" ref="F69" ca="1">MMULT(B69:D69-$B$83:$D$83,MMULT($I$55:$K$57,TRANSPOSE(B69:D69-$B$83:$D$83)))</f>
        <v>#NAME?</v>
      </c>
      <c r="G69" s="49" t="e">
        <f t="shared" ca="1" si="6"/>
        <v>#NAME?</v>
      </c>
    </row>
    <row r="70" spans="1:7" x14ac:dyDescent="0.35">
      <c r="A70" t="s">
        <v>161</v>
      </c>
      <c r="B70" s="102">
        <v>46.6</v>
      </c>
      <c r="C70" s="103">
        <v>46.9</v>
      </c>
      <c r="D70" s="104">
        <v>3.6</v>
      </c>
      <c r="F70" s="36" t="e">
        <f t="array" aca="1" ref="F70" ca="1">MMULT(B70:D70-$B$83:$D$83,MMULT($I$55:$K$57,TRANSPOSE(B70:D70-$B$83:$D$83)))</f>
        <v>#NAME?</v>
      </c>
      <c r="G70" s="49" t="e">
        <f t="shared" ca="1" si="6"/>
        <v>#NAME?</v>
      </c>
    </row>
    <row r="71" spans="1:7" x14ac:dyDescent="0.35">
      <c r="A71" t="s">
        <v>161</v>
      </c>
      <c r="B71" s="102">
        <v>50.6</v>
      </c>
      <c r="C71" s="103">
        <v>29.7</v>
      </c>
      <c r="D71" s="104">
        <v>4.7</v>
      </c>
      <c r="F71" s="36" t="e">
        <f t="array" aca="1" ref="F71" ca="1">MMULT(B71:D71-$B$83:$D$83,MMULT($I$55:$K$57,TRANSPOSE(B71:D71-$B$83:$D$83)))</f>
        <v>#NAME?</v>
      </c>
      <c r="G71" s="49" t="e">
        <f t="shared" ca="1" si="6"/>
        <v>#NAME?</v>
      </c>
    </row>
    <row r="72" spans="1:7" x14ac:dyDescent="0.35">
      <c r="A72" t="s">
        <v>161</v>
      </c>
      <c r="B72" s="102">
        <v>45.7</v>
      </c>
      <c r="C72" s="103">
        <v>27.6</v>
      </c>
      <c r="D72" s="104">
        <v>6.2</v>
      </c>
      <c r="F72" s="36" t="e">
        <f t="array" aca="1" ref="F72" ca="1">MMULT(B72:D72-$B$83:$D$83,MMULT($I$55:$K$57,TRANSPOSE(B72:D72-$B$83:$D$83)))</f>
        <v>#NAME?</v>
      </c>
      <c r="G72" s="49" t="e">
        <f t="shared" ca="1" si="6"/>
        <v>#NAME?</v>
      </c>
    </row>
    <row r="73" spans="1:7" x14ac:dyDescent="0.35">
      <c r="A73" t="s">
        <v>161</v>
      </c>
      <c r="B73" s="102">
        <v>68.400000000000006</v>
      </c>
      <c r="C73" s="103">
        <v>35.299999999999997</v>
      </c>
      <c r="D73" s="104">
        <v>1.9</v>
      </c>
      <c r="F73" s="36" t="e">
        <f t="array" aca="1" ref="F73" ca="1">MMULT(B73:D73-$B$83:$D$83,MMULT($I$55:$K$57,TRANSPOSE(B73:D73-$B$83:$D$83)))</f>
        <v>#NAME?</v>
      </c>
      <c r="G73" s="49" t="e">
        <f t="shared" ca="1" si="6"/>
        <v>#NAME?</v>
      </c>
    </row>
    <row r="74" spans="1:7" x14ac:dyDescent="0.35">
      <c r="A74" t="s">
        <v>160</v>
      </c>
      <c r="B74" s="102">
        <v>52.5</v>
      </c>
      <c r="C74" s="103">
        <v>39</v>
      </c>
      <c r="D74" s="104">
        <v>3.1</v>
      </c>
      <c r="F74" s="36" t="e">
        <f t="array" aca="1" ref="F74" ca="1">MMULT(B74:D74-$B$83:$D$83,MMULT($I$55:$K$57,TRANSPOSE(B74:D74-$B$83:$D$83)))</f>
        <v>#NAME?</v>
      </c>
      <c r="G74" s="49" t="e">
        <f t="shared" ca="1" si="6"/>
        <v>#NAME?</v>
      </c>
    </row>
    <row r="75" spans="1:7" x14ac:dyDescent="0.35">
      <c r="A75" t="s">
        <v>160</v>
      </c>
      <c r="B75" s="102">
        <v>80</v>
      </c>
      <c r="C75" s="103">
        <v>54.2</v>
      </c>
      <c r="D75" s="104">
        <v>4</v>
      </c>
      <c r="F75" s="36" t="e">
        <f t="array" aca="1" ref="F75" ca="1">MMULT(B75:D75-$B$83:$D$83,MMULT($I$55:$K$57,TRANSPOSE(B75:D75-$B$83:$D$83)))</f>
        <v>#NAME?</v>
      </c>
      <c r="G75" s="49" t="e">
        <f t="shared" ca="1" si="6"/>
        <v>#NAME?</v>
      </c>
    </row>
    <row r="76" spans="1:7" x14ac:dyDescent="0.35">
      <c r="A76" t="s">
        <v>160</v>
      </c>
      <c r="B76" s="102">
        <v>54.7</v>
      </c>
      <c r="C76" s="103">
        <v>32.1</v>
      </c>
      <c r="D76" s="104">
        <v>5.7</v>
      </c>
      <c r="F76" s="36" t="e">
        <f t="array" aca="1" ref="F76" ca="1">MMULT(B76:D76-$B$83:$D$83,MMULT($I$55:$K$57,TRANSPOSE(B76:D76-$B$83:$D$83)))</f>
        <v>#NAME?</v>
      </c>
      <c r="G76" s="49" t="e">
        <f t="shared" ca="1" si="6"/>
        <v>#NAME?</v>
      </c>
    </row>
    <row r="77" spans="1:7" x14ac:dyDescent="0.35">
      <c r="A77" t="s">
        <v>160</v>
      </c>
      <c r="B77" s="102">
        <v>63.5</v>
      </c>
      <c r="C77" s="103">
        <v>25.6</v>
      </c>
      <c r="D77" s="104">
        <v>3</v>
      </c>
      <c r="F77" s="36" t="e">
        <f t="array" aca="1" ref="F77" ca="1">MMULT(B77:D77-$B$83:$D$83,MMULT($I$55:$K$57,TRANSPOSE(B77:D77-$B$83:$D$83)))</f>
        <v>#NAME?</v>
      </c>
      <c r="G77" s="49" t="e">
        <f t="shared" ca="1" si="6"/>
        <v>#NAME?</v>
      </c>
    </row>
    <row r="78" spans="1:7" x14ac:dyDescent="0.35">
      <c r="A78" t="s">
        <v>160</v>
      </c>
      <c r="B78" s="102">
        <v>46.3</v>
      </c>
      <c r="C78" s="103">
        <v>31.8</v>
      </c>
      <c r="D78" s="104">
        <v>7.4</v>
      </c>
      <c r="F78" s="36" t="e">
        <f t="array" aca="1" ref="F78" ca="1">MMULT(B78:D78-$B$83:$D$83,MMULT($I$55:$K$57,TRANSPOSE(B78:D78-$B$83:$D$83)))</f>
        <v>#NAME?</v>
      </c>
      <c r="G78" s="49" t="e">
        <f t="shared" ca="1" si="6"/>
        <v>#NAME?</v>
      </c>
    </row>
    <row r="79" spans="1:7" x14ac:dyDescent="0.35">
      <c r="A79" t="s">
        <v>160</v>
      </c>
      <c r="B79" s="102">
        <v>61.5</v>
      </c>
      <c r="C79" s="103">
        <v>16.8</v>
      </c>
      <c r="D79" s="104">
        <v>1.9</v>
      </c>
      <c r="F79" s="36" t="e">
        <f t="array" aca="1" ref="F79" ca="1">MMULT(B79:D79-$B$83:$D$83,MMULT($I$55:$K$57,TRANSPOSE(B79:D79-$B$83:$D$83)))</f>
        <v>#NAME?</v>
      </c>
      <c r="G79" s="49" t="e">
        <f t="shared" ca="1" si="6"/>
        <v>#NAME?</v>
      </c>
    </row>
    <row r="80" spans="1:7" x14ac:dyDescent="0.35">
      <c r="A80" t="s">
        <v>160</v>
      </c>
      <c r="B80" s="102">
        <v>62.9</v>
      </c>
      <c r="C80" s="103">
        <v>25.8</v>
      </c>
      <c r="D80" s="104">
        <v>2.4</v>
      </c>
      <c r="F80" s="36" t="e">
        <f t="array" aca="1" ref="F80" ca="1">MMULT(B80:D80-$B$83:$D$83,MMULT($I$55:$K$57,TRANSPOSE(B80:D80-$B$83:$D$83)))</f>
        <v>#NAME?</v>
      </c>
      <c r="G80" s="49" t="e">
        <f t="shared" ca="1" si="6"/>
        <v>#NAME?</v>
      </c>
    </row>
    <row r="81" spans="1:11" x14ac:dyDescent="0.35">
      <c r="A81" t="s">
        <v>160</v>
      </c>
      <c r="B81" s="105">
        <v>49.3</v>
      </c>
      <c r="C81" s="106">
        <v>39.4</v>
      </c>
      <c r="D81" s="107">
        <v>5.2</v>
      </c>
      <c r="F81" s="91" t="e">
        <f t="array" aca="1" ref="F81" ca="1">MMULT(B81:D81-$B$83:$D$83,MMULT($I$55:$K$57,TRANSPOSE(B81:D81-$B$83:$D$83)))</f>
        <v>#NAME?</v>
      </c>
      <c r="G81" s="52" t="e">
        <f t="shared" ca="1" si="6"/>
        <v>#NAME?</v>
      </c>
    </row>
    <row r="82" spans="1:11" ht="3" customHeight="1" x14ac:dyDescent="0.35"/>
    <row r="83" spans="1:11" x14ac:dyDescent="0.35">
      <c r="A83" t="s">
        <v>48</v>
      </c>
      <c r="B83" s="114">
        <f>AVERAGE(B50:B81)</f>
        <v>61.609374999999993</v>
      </c>
      <c r="C83" s="115">
        <f>AVERAGE(C50:C81)</f>
        <v>31.165624999999999</v>
      </c>
      <c r="D83" s="116">
        <f>AVERAGE(D50:D81)</f>
        <v>4.6718749999999991</v>
      </c>
    </row>
    <row r="85" spans="1:11" ht="15" customHeight="1" x14ac:dyDescent="0.35">
      <c r="B85" s="47" t="s">
        <v>144</v>
      </c>
      <c r="C85" s="47" t="s">
        <v>145</v>
      </c>
      <c r="D85" s="47" t="s">
        <v>146</v>
      </c>
      <c r="F85" s="32" t="s">
        <v>212</v>
      </c>
      <c r="G85" s="32" t="s">
        <v>65</v>
      </c>
      <c r="I85" s="70" t="s">
        <v>213</v>
      </c>
    </row>
    <row r="86" spans="1:11" x14ac:dyDescent="0.35">
      <c r="A86" t="s">
        <v>158</v>
      </c>
      <c r="B86" s="75">
        <v>176.7</v>
      </c>
      <c r="C86" s="100">
        <v>29.5</v>
      </c>
      <c r="D86" s="101">
        <v>7.5</v>
      </c>
      <c r="F86" s="33" t="e">
        <f t="array" aca="1" ref="F86" ca="1">MMULT(B86:D86-$B$83:$D$83,MMULT($I$55:$K$57,TRANSPOSE(B86:D86-$B$83:$D$83)))</f>
        <v>#NAME?</v>
      </c>
      <c r="G86" s="48" t="e">
        <f ca="1">CHIDIST(F86,COUNTA($B$49:$D$49))</f>
        <v>#NAME?</v>
      </c>
      <c r="I86" s="33" t="e">
        <f t="array" aca="1" ref="I86:K88" ca="1">COV(B86:D117)</f>
        <v>#NAME?</v>
      </c>
      <c r="J86" s="111" t="e">
        <f ca="1"/>
        <v>#NAME?</v>
      </c>
      <c r="K86" s="112" t="e">
        <f ca="1"/>
        <v>#NAME?</v>
      </c>
    </row>
    <row r="87" spans="1:11" x14ac:dyDescent="0.35">
      <c r="A87" t="s">
        <v>158</v>
      </c>
      <c r="B87" s="102">
        <v>60.5</v>
      </c>
      <c r="C87" s="103">
        <v>32.1</v>
      </c>
      <c r="D87" s="104">
        <v>6.3</v>
      </c>
      <c r="F87" s="36" t="e">
        <f t="array" aca="1" ref="F87" ca="1">MMULT(B87:D87-$B$83:$D$83,MMULT($I$55:$K$57,TRANSPOSE(B87:D87-$B$83:$D$83)))</f>
        <v>#NAME?</v>
      </c>
      <c r="G87" s="49" t="e">
        <f t="shared" ref="G87:G117" ca="1" si="7">CHIDIST(F87,COUNTA($B$49:$D$49))</f>
        <v>#NAME?</v>
      </c>
      <c r="I87" s="36" t="e">
        <f ca="1"/>
        <v>#NAME?</v>
      </c>
      <c r="J87" s="37" t="e">
        <f ca="1"/>
        <v>#NAME?</v>
      </c>
      <c r="K87" s="90" t="e">
        <f ca="1"/>
        <v>#NAME?</v>
      </c>
    </row>
    <row r="88" spans="1:11" x14ac:dyDescent="0.35">
      <c r="A88" t="s">
        <v>158</v>
      </c>
      <c r="B88" s="102">
        <v>96.1</v>
      </c>
      <c r="C88" s="103">
        <v>40.700000000000003</v>
      </c>
      <c r="D88" s="104">
        <v>4.2</v>
      </c>
      <c r="F88" s="36" t="e">
        <f t="array" aca="1" ref="F88" ca="1">MMULT(B88:D88-$B$83:$D$83,MMULT($I$55:$K$57,TRANSPOSE(B88:D88-$B$83:$D$83)))</f>
        <v>#NAME?</v>
      </c>
      <c r="G88" s="49" t="e">
        <f t="shared" ca="1" si="7"/>
        <v>#NAME?</v>
      </c>
      <c r="I88" s="91" t="e">
        <f ca="1"/>
        <v>#NAME?</v>
      </c>
      <c r="J88" s="92" t="e">
        <f ca="1"/>
        <v>#NAME?</v>
      </c>
      <c r="K88" s="93" t="e">
        <f ca="1"/>
        <v>#NAME?</v>
      </c>
    </row>
    <row r="89" spans="1:11" x14ac:dyDescent="0.35">
      <c r="A89" t="s">
        <v>158</v>
      </c>
      <c r="B89" s="102">
        <v>88.1</v>
      </c>
      <c r="C89" s="103">
        <v>45.1</v>
      </c>
      <c r="D89" s="104">
        <v>4.9000000000000004</v>
      </c>
      <c r="F89" s="36" t="e">
        <f t="array" aca="1" ref="F89" ca="1">MMULT(B89:D89-$B$83:$D$83,MMULT($I$55:$K$57,TRANSPOSE(B89:D89-$B$83:$D$83)))</f>
        <v>#NAME?</v>
      </c>
      <c r="G89" s="49" t="e">
        <f t="shared" ca="1" si="7"/>
        <v>#NAME?</v>
      </c>
    </row>
    <row r="90" spans="1:11" x14ac:dyDescent="0.35">
      <c r="A90" t="s">
        <v>158</v>
      </c>
      <c r="B90" s="102">
        <v>50.2</v>
      </c>
      <c r="C90" s="103">
        <v>34.1</v>
      </c>
      <c r="D90" s="104">
        <v>11.7</v>
      </c>
      <c r="F90" s="36" t="e">
        <f t="array" aca="1" ref="F90" ca="1">MMULT(B90:D90-$B$83:$D$83,MMULT($I$55:$K$57,TRANSPOSE(B90:D90-$B$83:$D$83)))</f>
        <v>#NAME?</v>
      </c>
      <c r="G90" s="49" t="e">
        <f t="shared" ca="1" si="7"/>
        <v>#NAME?</v>
      </c>
      <c r="I90" t="s">
        <v>214</v>
      </c>
    </row>
    <row r="91" spans="1:11" x14ac:dyDescent="0.35">
      <c r="A91" t="s">
        <v>158</v>
      </c>
      <c r="B91" s="102">
        <v>55</v>
      </c>
      <c r="C91" s="103">
        <v>31.1</v>
      </c>
      <c r="D91" s="104">
        <v>6.9</v>
      </c>
      <c r="F91" s="36" t="e">
        <f t="array" aca="1" ref="F91" ca="1">MMULT(B91:D91-$B$83:$D$83,MMULT($I$55:$K$57,TRANSPOSE(B91:D91-$B$83:$D$83)))</f>
        <v>#NAME?</v>
      </c>
      <c r="G91" s="49" t="e">
        <f t="shared" ca="1" si="7"/>
        <v>#NAME?</v>
      </c>
      <c r="I91" s="33" t="e">
        <f t="array" aca="1" ref="I91:K93" ca="1">MINVERSE(I86:K88)</f>
        <v>#NAME?</v>
      </c>
      <c r="J91" s="111" t="e">
        <f ca="1"/>
        <v>#NAME?</v>
      </c>
      <c r="K91" s="112" t="e">
        <f ca="1"/>
        <v>#NAME?</v>
      </c>
    </row>
    <row r="92" spans="1:11" x14ac:dyDescent="0.35">
      <c r="A92" t="s">
        <v>158</v>
      </c>
      <c r="B92" s="102">
        <v>65.400000000000006</v>
      </c>
      <c r="C92" s="103">
        <v>21.6</v>
      </c>
      <c r="D92" s="104">
        <v>4.3</v>
      </c>
      <c r="F92" s="36" t="e">
        <f t="array" aca="1" ref="F92" ca="1">MMULT(B92:D92-$B$83:$D$83,MMULT($I$55:$K$57,TRANSPOSE(B92:D92-$B$83:$D$83)))</f>
        <v>#NAME?</v>
      </c>
      <c r="G92" s="49" t="e">
        <f t="shared" ca="1" si="7"/>
        <v>#NAME?</v>
      </c>
      <c r="I92" s="36" t="e">
        <f ca="1"/>
        <v>#NAME?</v>
      </c>
      <c r="J92" s="37" t="e">
        <f ca="1"/>
        <v>#NAME?</v>
      </c>
      <c r="K92" s="90" t="e">
        <f ca="1"/>
        <v>#NAME?</v>
      </c>
    </row>
    <row r="93" spans="1:11" x14ac:dyDescent="0.35">
      <c r="A93" t="s">
        <v>158</v>
      </c>
      <c r="B93" s="102">
        <v>65.7</v>
      </c>
      <c r="C93" s="103">
        <v>27.7</v>
      </c>
      <c r="D93" s="104">
        <v>5.3</v>
      </c>
      <c r="F93" s="36" t="e">
        <f t="array" aca="1" ref="F93" ca="1">MMULT(B93:D93-$B$83:$D$83,MMULT($I$55:$K$57,TRANSPOSE(B93:D93-$B$83:$D$83)))</f>
        <v>#NAME?</v>
      </c>
      <c r="G93" s="49" t="e">
        <f t="shared" ca="1" si="7"/>
        <v>#NAME?</v>
      </c>
      <c r="I93" s="91" t="e">
        <f ca="1"/>
        <v>#NAME?</v>
      </c>
      <c r="J93" s="92" t="e">
        <f ca="1"/>
        <v>#NAME?</v>
      </c>
      <c r="K93" s="93" t="e">
        <f ca="1"/>
        <v>#NAME?</v>
      </c>
    </row>
    <row r="94" spans="1:11" x14ac:dyDescent="0.35">
      <c r="A94" t="s">
        <v>159</v>
      </c>
      <c r="B94" s="102">
        <v>67.3</v>
      </c>
      <c r="C94" s="103">
        <v>48.3</v>
      </c>
      <c r="D94" s="104">
        <v>5.5</v>
      </c>
      <c r="F94" s="36" t="e">
        <f t="array" aca="1" ref="F94" ca="1">MMULT(B94:D94-$B$83:$D$83,MMULT($I$55:$K$57,TRANSPOSE(B94:D94-$B$83:$D$83)))</f>
        <v>#NAME?</v>
      </c>
      <c r="G94" s="49" t="e">
        <f t="shared" ca="1" si="7"/>
        <v>#NAME?</v>
      </c>
    </row>
    <row r="95" spans="1:11" x14ac:dyDescent="0.35">
      <c r="A95" t="s">
        <v>159</v>
      </c>
      <c r="B95" s="102">
        <v>61.3</v>
      </c>
      <c r="C95" s="103">
        <v>28.9</v>
      </c>
      <c r="D95" s="104">
        <v>6.9</v>
      </c>
      <c r="F95" s="36" t="e">
        <f t="array" aca="1" ref="F95" ca="1">MMULT(B95:D95-$B$83:$D$83,MMULT($I$55:$K$57,TRANSPOSE(B95:D95-$B$83:$D$83)))</f>
        <v>#NAME?</v>
      </c>
      <c r="G95" s="49" t="e">
        <f t="shared" ca="1" si="7"/>
        <v>#NAME?</v>
      </c>
    </row>
    <row r="96" spans="1:11" x14ac:dyDescent="0.35">
      <c r="A96" t="s">
        <v>159</v>
      </c>
      <c r="B96" s="102">
        <v>58.2</v>
      </c>
      <c r="C96" s="103">
        <v>42.5</v>
      </c>
      <c r="D96" s="104">
        <v>4.8</v>
      </c>
      <c r="F96" s="36" t="e">
        <f t="array" aca="1" ref="F96" ca="1">MMULT(B96:D96-$B$83:$D$83,MMULT($I$55:$K$57,TRANSPOSE(B96:D96-$B$83:$D$83)))</f>
        <v>#NAME?</v>
      </c>
      <c r="G96" s="49" t="e">
        <f t="shared" ca="1" si="7"/>
        <v>#NAME?</v>
      </c>
    </row>
    <row r="97" spans="1:7" x14ac:dyDescent="0.35">
      <c r="A97" t="s">
        <v>159</v>
      </c>
      <c r="B97" s="102">
        <v>76.900000000000006</v>
      </c>
      <c r="C97" s="103">
        <v>20.399999999999999</v>
      </c>
      <c r="D97" s="104">
        <v>3</v>
      </c>
      <c r="F97" s="36" t="e">
        <f t="array" aca="1" ref="F97" ca="1">MMULT(B97:D97-$B$83:$D$83,MMULT($I$55:$K$57,TRANSPOSE(B97:D97-$B$83:$D$83)))</f>
        <v>#NAME?</v>
      </c>
      <c r="G97" s="49" t="e">
        <f t="shared" ca="1" si="7"/>
        <v>#NAME?</v>
      </c>
    </row>
    <row r="98" spans="1:7" x14ac:dyDescent="0.35">
      <c r="A98" t="s">
        <v>159</v>
      </c>
      <c r="B98" s="102">
        <v>66.900000000000006</v>
      </c>
      <c r="C98" s="103">
        <v>23.9</v>
      </c>
      <c r="D98" s="104">
        <v>1.1000000000000001</v>
      </c>
      <c r="F98" s="36" t="e">
        <f t="array" aca="1" ref="F98" ca="1">MMULT(B98:D98-$B$83:$D$83,MMULT($I$55:$K$57,TRANSPOSE(B98:D98-$B$83:$D$83)))</f>
        <v>#NAME?</v>
      </c>
      <c r="G98" s="49" t="e">
        <f t="shared" ca="1" si="7"/>
        <v>#NAME?</v>
      </c>
    </row>
    <row r="99" spans="1:7" x14ac:dyDescent="0.35">
      <c r="A99" t="s">
        <v>159</v>
      </c>
      <c r="B99" s="102">
        <v>55.4</v>
      </c>
      <c r="C99" s="103">
        <v>29.1</v>
      </c>
      <c r="D99" s="104">
        <v>5</v>
      </c>
      <c r="F99" s="36" t="e">
        <f t="array" aca="1" ref="F99" ca="1">MMULT(B99:D99-$B$83:$D$83,MMULT($I$55:$K$57,TRANSPOSE(B99:D99-$B$83:$D$83)))</f>
        <v>#NAME?</v>
      </c>
      <c r="G99" s="49" t="e">
        <f t="shared" ca="1" si="7"/>
        <v>#NAME?</v>
      </c>
    </row>
    <row r="100" spans="1:7" x14ac:dyDescent="0.35">
      <c r="A100" t="s">
        <v>159</v>
      </c>
      <c r="B100" s="102">
        <v>50.5</v>
      </c>
      <c r="C100" s="103">
        <v>18</v>
      </c>
      <c r="D100" s="104">
        <v>4.8</v>
      </c>
      <c r="F100" s="36" t="e">
        <f t="array" aca="1" ref="F100" ca="1">MMULT(B100:D100-$B$83:$D$83,MMULT($I$55:$K$57,TRANSPOSE(B100:D100-$B$83:$D$83)))</f>
        <v>#NAME?</v>
      </c>
      <c r="G100" s="49" t="e">
        <f t="shared" ca="1" si="7"/>
        <v>#NAME?</v>
      </c>
    </row>
    <row r="101" spans="1:7" x14ac:dyDescent="0.35">
      <c r="A101" t="s">
        <v>159</v>
      </c>
      <c r="B101" s="102">
        <v>64.099999999999994</v>
      </c>
      <c r="C101" s="103">
        <v>14.5</v>
      </c>
      <c r="D101" s="104">
        <v>3.7</v>
      </c>
      <c r="F101" s="36" t="e">
        <f t="array" aca="1" ref="F101" ca="1">MMULT(B101:D101-$B$83:$D$83,MMULT($I$55:$K$57,TRANSPOSE(B101:D101-$B$83:$D$83)))</f>
        <v>#NAME?</v>
      </c>
      <c r="G101" s="49" t="e">
        <f t="shared" ca="1" si="7"/>
        <v>#NAME?</v>
      </c>
    </row>
    <row r="102" spans="1:7" x14ac:dyDescent="0.35">
      <c r="A102" t="s">
        <v>161</v>
      </c>
      <c r="B102" s="102">
        <v>62.8</v>
      </c>
      <c r="C102" s="103">
        <v>25.9</v>
      </c>
      <c r="D102" s="104">
        <v>2.9</v>
      </c>
      <c r="F102" s="36" t="e">
        <f t="array" aca="1" ref="F102" ca="1">MMULT(B102:D102-$B$83:$D$83,MMULT($I$55:$K$57,TRANSPOSE(B102:D102-$B$83:$D$83)))</f>
        <v>#NAME?</v>
      </c>
      <c r="G102" s="49" t="e">
        <f t="shared" ca="1" si="7"/>
        <v>#NAME?</v>
      </c>
    </row>
    <row r="103" spans="1:7" x14ac:dyDescent="0.35">
      <c r="A103" t="s">
        <v>161</v>
      </c>
      <c r="B103" s="102">
        <v>45</v>
      </c>
      <c r="C103" s="103">
        <v>15.9</v>
      </c>
      <c r="D103" s="104">
        <v>1.2</v>
      </c>
      <c r="F103" s="36" t="e">
        <f t="array" aca="1" ref="F103" ca="1">MMULT(B103:D103-$B$83:$D$83,MMULT($I$55:$K$57,TRANSPOSE(B103:D103-$B$83:$D$83)))</f>
        <v>#NAME?</v>
      </c>
      <c r="G103" s="49" t="e">
        <f t="shared" ca="1" si="7"/>
        <v>#NAME?</v>
      </c>
    </row>
    <row r="104" spans="1:7" x14ac:dyDescent="0.35">
      <c r="A104" t="s">
        <v>161</v>
      </c>
      <c r="B104" s="102">
        <v>47.8</v>
      </c>
      <c r="C104" s="103">
        <v>36.1</v>
      </c>
      <c r="D104" s="104">
        <v>4.0999999999999996</v>
      </c>
      <c r="F104" s="36" t="e">
        <f t="array" aca="1" ref="F104" ca="1">MMULT(B104:D104-$B$83:$D$83,MMULT($I$55:$K$57,TRANSPOSE(B104:D104-$B$83:$D$83)))</f>
        <v>#NAME?</v>
      </c>
      <c r="G104" s="49" t="e">
        <f t="shared" ca="1" si="7"/>
        <v>#NAME?</v>
      </c>
    </row>
    <row r="105" spans="1:7" x14ac:dyDescent="0.35">
      <c r="A105" t="s">
        <v>161</v>
      </c>
      <c r="B105" s="102">
        <v>75.599999999999994</v>
      </c>
      <c r="C105" s="103">
        <v>27.7</v>
      </c>
      <c r="D105" s="104">
        <v>6.3</v>
      </c>
      <c r="F105" s="36" t="e">
        <f t="array" aca="1" ref="F105" ca="1">MMULT(B105:D105-$B$83:$D$83,MMULT($I$55:$K$57,TRANSPOSE(B105:D105-$B$83:$D$83)))</f>
        <v>#NAME?</v>
      </c>
      <c r="G105" s="49" t="e">
        <f t="shared" ca="1" si="7"/>
        <v>#NAME?</v>
      </c>
    </row>
    <row r="106" spans="1:7" x14ac:dyDescent="0.35">
      <c r="A106" t="s">
        <v>161</v>
      </c>
      <c r="B106" s="102">
        <v>46.6</v>
      </c>
      <c r="C106" s="103">
        <v>46.9</v>
      </c>
      <c r="D106" s="104">
        <v>3.6</v>
      </c>
      <c r="F106" s="36" t="e">
        <f t="array" aca="1" ref="F106" ca="1">MMULT(B106:D106-$B$83:$D$83,MMULT($I$55:$K$57,TRANSPOSE(B106:D106-$B$83:$D$83)))</f>
        <v>#NAME?</v>
      </c>
      <c r="G106" s="49" t="e">
        <f t="shared" ca="1" si="7"/>
        <v>#NAME?</v>
      </c>
    </row>
    <row r="107" spans="1:7" x14ac:dyDescent="0.35">
      <c r="A107" t="s">
        <v>161</v>
      </c>
      <c r="B107" s="102">
        <v>50.6</v>
      </c>
      <c r="C107" s="103">
        <v>29.7</v>
      </c>
      <c r="D107" s="104">
        <v>4.7</v>
      </c>
      <c r="F107" s="36" t="e">
        <f t="array" aca="1" ref="F107" ca="1">MMULT(B107:D107-$B$83:$D$83,MMULT($I$55:$K$57,TRANSPOSE(B107:D107-$B$83:$D$83)))</f>
        <v>#NAME?</v>
      </c>
      <c r="G107" s="49" t="e">
        <f t="shared" ca="1" si="7"/>
        <v>#NAME?</v>
      </c>
    </row>
    <row r="108" spans="1:7" x14ac:dyDescent="0.35">
      <c r="A108" t="s">
        <v>161</v>
      </c>
      <c r="B108" s="102">
        <v>45.7</v>
      </c>
      <c r="C108" s="103">
        <v>27.6</v>
      </c>
      <c r="D108" s="104">
        <v>6.2</v>
      </c>
      <c r="F108" s="36" t="e">
        <f t="array" aca="1" ref="F108" ca="1">MMULT(B108:D108-$B$83:$D$83,MMULT($I$55:$K$57,TRANSPOSE(B108:D108-$B$83:$D$83)))</f>
        <v>#NAME?</v>
      </c>
      <c r="G108" s="49" t="e">
        <f t="shared" ca="1" si="7"/>
        <v>#NAME?</v>
      </c>
    </row>
    <row r="109" spans="1:7" x14ac:dyDescent="0.35">
      <c r="A109" t="s">
        <v>161</v>
      </c>
      <c r="B109" s="102">
        <v>68.400000000000006</v>
      </c>
      <c r="C109" s="103">
        <v>35.299999999999997</v>
      </c>
      <c r="D109" s="104">
        <v>1.9</v>
      </c>
      <c r="F109" s="36" t="e">
        <f t="array" aca="1" ref="F109" ca="1">MMULT(B109:D109-$B$83:$D$83,MMULT($I$55:$K$57,TRANSPOSE(B109:D109-$B$83:$D$83)))</f>
        <v>#NAME?</v>
      </c>
      <c r="G109" s="49" t="e">
        <f t="shared" ca="1" si="7"/>
        <v>#NAME?</v>
      </c>
    </row>
    <row r="110" spans="1:7" x14ac:dyDescent="0.35">
      <c r="A110" t="s">
        <v>160</v>
      </c>
      <c r="B110" s="102">
        <v>52.5</v>
      </c>
      <c r="C110" s="103">
        <v>39</v>
      </c>
      <c r="D110" s="104">
        <v>3.1</v>
      </c>
      <c r="F110" s="36" t="e">
        <f t="array" aca="1" ref="F110" ca="1">MMULT(B110:D110-$B$83:$D$83,MMULT($I$55:$K$57,TRANSPOSE(B110:D110-$B$83:$D$83)))</f>
        <v>#NAME?</v>
      </c>
      <c r="G110" s="49" t="e">
        <f t="shared" ca="1" si="7"/>
        <v>#NAME?</v>
      </c>
    </row>
    <row r="111" spans="1:7" x14ac:dyDescent="0.35">
      <c r="A111" t="s">
        <v>160</v>
      </c>
      <c r="B111" s="102">
        <v>80</v>
      </c>
      <c r="C111" s="103">
        <v>54.2</v>
      </c>
      <c r="D111" s="104">
        <v>4</v>
      </c>
      <c r="F111" s="36" t="e">
        <f t="array" aca="1" ref="F111" ca="1">MMULT(B111:D111-$B$83:$D$83,MMULT($I$55:$K$57,TRANSPOSE(B111:D111-$B$83:$D$83)))</f>
        <v>#NAME?</v>
      </c>
      <c r="G111" s="49" t="e">
        <f t="shared" ca="1" si="7"/>
        <v>#NAME?</v>
      </c>
    </row>
    <row r="112" spans="1:7" x14ac:dyDescent="0.35">
      <c r="A112" t="s">
        <v>160</v>
      </c>
      <c r="B112" s="102">
        <v>54.7</v>
      </c>
      <c r="C112" s="103">
        <v>32.1</v>
      </c>
      <c r="D112" s="104">
        <v>5.7</v>
      </c>
      <c r="F112" s="36" t="e">
        <f t="array" aca="1" ref="F112" ca="1">MMULT(B112:D112-$B$83:$D$83,MMULT($I$55:$K$57,TRANSPOSE(B112:D112-$B$83:$D$83)))</f>
        <v>#NAME?</v>
      </c>
      <c r="G112" s="49" t="e">
        <f t="shared" ca="1" si="7"/>
        <v>#NAME?</v>
      </c>
    </row>
    <row r="113" spans="1:7" x14ac:dyDescent="0.35">
      <c r="A113" t="s">
        <v>160</v>
      </c>
      <c r="B113" s="102">
        <v>63.5</v>
      </c>
      <c r="C113" s="103">
        <v>25.6</v>
      </c>
      <c r="D113" s="104">
        <v>3</v>
      </c>
      <c r="F113" s="36" t="e">
        <f t="array" aca="1" ref="F113" ca="1">MMULT(B113:D113-$B$83:$D$83,MMULT($I$55:$K$57,TRANSPOSE(B113:D113-$B$83:$D$83)))</f>
        <v>#NAME?</v>
      </c>
      <c r="G113" s="49" t="e">
        <f t="shared" ca="1" si="7"/>
        <v>#NAME?</v>
      </c>
    </row>
    <row r="114" spans="1:7" x14ac:dyDescent="0.35">
      <c r="A114" t="s">
        <v>160</v>
      </c>
      <c r="B114" s="102">
        <v>46.3</v>
      </c>
      <c r="C114" s="103">
        <v>31.8</v>
      </c>
      <c r="D114" s="104">
        <v>7.4</v>
      </c>
      <c r="F114" s="36" t="e">
        <f t="array" aca="1" ref="F114" ca="1">MMULT(B114:D114-$B$83:$D$83,MMULT($I$55:$K$57,TRANSPOSE(B114:D114-$B$83:$D$83)))</f>
        <v>#NAME?</v>
      </c>
      <c r="G114" s="49" t="e">
        <f t="shared" ca="1" si="7"/>
        <v>#NAME?</v>
      </c>
    </row>
    <row r="115" spans="1:7" x14ac:dyDescent="0.35">
      <c r="A115" t="s">
        <v>160</v>
      </c>
      <c r="B115" s="102">
        <v>61.5</v>
      </c>
      <c r="C115" s="103">
        <v>16.8</v>
      </c>
      <c r="D115" s="104">
        <v>1.9</v>
      </c>
      <c r="F115" s="36" t="e">
        <f t="array" aca="1" ref="F115" ca="1">MMULT(B115:D115-$B$83:$D$83,MMULT($I$55:$K$57,TRANSPOSE(B115:D115-$B$83:$D$83)))</f>
        <v>#NAME?</v>
      </c>
      <c r="G115" s="49" t="e">
        <f t="shared" ca="1" si="7"/>
        <v>#NAME?</v>
      </c>
    </row>
    <row r="116" spans="1:7" x14ac:dyDescent="0.35">
      <c r="A116" t="s">
        <v>160</v>
      </c>
      <c r="B116" s="102">
        <v>62.9</v>
      </c>
      <c r="C116" s="103">
        <v>25.8</v>
      </c>
      <c r="D116" s="104">
        <v>2.4</v>
      </c>
      <c r="F116" s="36" t="e">
        <f t="array" aca="1" ref="F116" ca="1">MMULT(B116:D116-$B$83:$D$83,MMULT($I$55:$K$57,TRANSPOSE(B116:D116-$B$83:$D$83)))</f>
        <v>#NAME?</v>
      </c>
      <c r="G116" s="49" t="e">
        <f t="shared" ca="1" si="7"/>
        <v>#NAME?</v>
      </c>
    </row>
    <row r="117" spans="1:7" x14ac:dyDescent="0.35">
      <c r="A117" t="s">
        <v>160</v>
      </c>
      <c r="B117" s="105">
        <v>49.3</v>
      </c>
      <c r="C117" s="106">
        <v>39.4</v>
      </c>
      <c r="D117" s="107">
        <v>5.2</v>
      </c>
      <c r="F117" s="91" t="e">
        <f t="array" aca="1" ref="F117" ca="1">MMULT(B117:D117-$B$83:$D$83,MMULT($I$55:$K$57,TRANSPOSE(B117:D117-$B$83:$D$83)))</f>
        <v>#NAME?</v>
      </c>
      <c r="G117" s="52" t="e">
        <f t="shared" ca="1" si="7"/>
        <v>#NAME?</v>
      </c>
    </row>
    <row r="119" spans="1:7" x14ac:dyDescent="0.35">
      <c r="A119" t="s">
        <v>48</v>
      </c>
      <c r="B119" s="114">
        <f>AVERAGE(B86:B117)</f>
        <v>64.734374999999986</v>
      </c>
      <c r="C119" s="115">
        <f>AVERAGE(C86:C117)</f>
        <v>31.165624999999999</v>
      </c>
      <c r="D119" s="116">
        <f>AVERAGE(D86:D117)</f>
        <v>4.6718749999999991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4"/>
  <dimension ref="A1:AA67"/>
  <sheetViews>
    <sheetView zoomScaleNormal="100" workbookViewId="0"/>
  </sheetViews>
  <sheetFormatPr defaultRowHeight="14.5" x14ac:dyDescent="0.35"/>
  <cols>
    <col min="4" max="4" width="11" customWidth="1"/>
    <col min="6" max="9" width="7.7265625" customWidth="1"/>
    <col min="10" max="10" width="4.453125" customWidth="1"/>
    <col min="11" max="11" width="19" customWidth="1"/>
    <col min="16" max="16" width="5.1796875" customWidth="1"/>
    <col min="22" max="22" width="5.54296875" customWidth="1"/>
  </cols>
  <sheetData>
    <row r="1" spans="1:27" x14ac:dyDescent="0.35">
      <c r="A1" s="42" t="s">
        <v>259</v>
      </c>
      <c r="F1" s="46" t="s">
        <v>260</v>
      </c>
      <c r="K1" t="s">
        <v>261</v>
      </c>
      <c r="Q1" t="s">
        <v>254</v>
      </c>
      <c r="W1" t="s">
        <v>277</v>
      </c>
    </row>
    <row r="3" spans="1:27" x14ac:dyDescent="0.35">
      <c r="B3" s="47" t="s">
        <v>144</v>
      </c>
      <c r="C3" s="47" t="s">
        <v>145</v>
      </c>
      <c r="D3" s="47" t="s">
        <v>146</v>
      </c>
      <c r="F3" t="s">
        <v>162</v>
      </c>
      <c r="K3" s="144"/>
      <c r="L3" s="144" t="e">
        <f ca="1">F5</f>
        <v>#NAME?</v>
      </c>
      <c r="M3" s="144" t="e">
        <f ca="1">G5</f>
        <v>#NAME?</v>
      </c>
      <c r="N3" s="144" t="e">
        <f ca="1">H5</f>
        <v>#NAME?</v>
      </c>
      <c r="O3" s="144" t="e">
        <f ca="1">I5</f>
        <v>#NAME?</v>
      </c>
      <c r="R3" s="143" t="e">
        <f ca="1">F5</f>
        <v>#NAME?</v>
      </c>
      <c r="S3" s="143" t="e">
        <f ca="1">G5</f>
        <v>#NAME?</v>
      </c>
      <c r="T3" s="143" t="e">
        <f ca="1">H5</f>
        <v>#NAME?</v>
      </c>
      <c r="U3" s="143" t="e">
        <f ca="1">I5</f>
        <v>#NAME?</v>
      </c>
      <c r="W3" s="144"/>
      <c r="X3" s="144" t="e">
        <f ca="1">F5</f>
        <v>#NAME?</v>
      </c>
      <c r="Y3" s="144" t="e">
        <f ca="1">G5</f>
        <v>#NAME?</v>
      </c>
      <c r="Z3" s="144" t="e">
        <f ca="1">H5</f>
        <v>#NAME?</v>
      </c>
      <c r="AA3" s="144" t="e">
        <f ca="1">I5</f>
        <v>#NAME?</v>
      </c>
    </row>
    <row r="4" spans="1:27" x14ac:dyDescent="0.35">
      <c r="A4" t="s">
        <v>158</v>
      </c>
      <c r="B4" s="75">
        <v>76.7</v>
      </c>
      <c r="C4" s="100">
        <v>29.5</v>
      </c>
      <c r="D4" s="101">
        <v>7.5</v>
      </c>
      <c r="K4" t="s">
        <v>34</v>
      </c>
      <c r="L4" t="e">
        <f ca="1">AVERAGE(F6:F13)</f>
        <v>#NAME?</v>
      </c>
      <c r="M4" t="e">
        <f ca="1">AVERAGE(G6:G13)</f>
        <v>#NAME?</v>
      </c>
      <c r="N4" t="e">
        <f ca="1">AVERAGE(H6:H13)</f>
        <v>#NAME?</v>
      </c>
      <c r="O4" t="e">
        <f ca="1">AVERAGE(I6:I13)</f>
        <v>#NAME?</v>
      </c>
      <c r="Q4" t="s">
        <v>139</v>
      </c>
      <c r="R4" s="130" t="e">
        <f ca="1">MIN(F6:F13)</f>
        <v>#NAME?</v>
      </c>
      <c r="S4" s="141" t="e">
        <f ca="1">MIN(G6:G13)</f>
        <v>#NAME?</v>
      </c>
      <c r="T4" s="141" t="e">
        <f ca="1">MIN(H6:H13)</f>
        <v>#NAME?</v>
      </c>
      <c r="U4" s="131" t="e">
        <f ca="1">MIN(I6:I13)</f>
        <v>#NAME?</v>
      </c>
      <c r="W4" t="s">
        <v>278</v>
      </c>
      <c r="X4" t="e">
        <f ca="1">SHAPIRO(F6:F13)</f>
        <v>#NAME?</v>
      </c>
      <c r="Y4" t="e">
        <f ca="1">SHAPIRO(G6:G13)</f>
        <v>#NAME?</v>
      </c>
      <c r="Z4" t="e">
        <f ca="1">SHAPIRO(H6:H13)</f>
        <v>#NAME?</v>
      </c>
      <c r="AA4" t="e">
        <f ca="1">SHAPIRO(I6:I13)</f>
        <v>#NAME?</v>
      </c>
    </row>
    <row r="5" spans="1:27" x14ac:dyDescent="0.35">
      <c r="A5" t="s">
        <v>158</v>
      </c>
      <c r="B5" s="102">
        <v>60.5</v>
      </c>
      <c r="C5" s="103">
        <v>32.1</v>
      </c>
      <c r="D5" s="104">
        <v>6.3</v>
      </c>
      <c r="F5" s="47" t="e">
        <f t="array" aca="1" ref="F5:I13" ca="1">ExtractCol(A3:D35,"water")</f>
        <v>#NAME?</v>
      </c>
      <c r="G5" s="47" t="e">
        <f ca="1"/>
        <v>#NAME?</v>
      </c>
      <c r="H5" s="47" t="e">
        <f ca="1"/>
        <v>#NAME?</v>
      </c>
      <c r="I5" s="47" t="e">
        <f ca="1"/>
        <v>#NAME?</v>
      </c>
      <c r="K5" t="s">
        <v>262</v>
      </c>
      <c r="L5" t="e">
        <f ca="1">STDEV(F6:F13)/SQRT(COUNT(F6:F13))</f>
        <v>#NAME?</v>
      </c>
      <c r="M5" t="e">
        <f ca="1">STDEV(G6:G13)/SQRT(COUNT(G6:G13))</f>
        <v>#NAME?</v>
      </c>
      <c r="N5" t="e">
        <f ca="1">STDEV(H6:H13)/SQRT(COUNT(H6:H13))</f>
        <v>#NAME?</v>
      </c>
      <c r="O5" t="e">
        <f ca="1">STDEV(I6:I13)/SQRT(COUNT(I6:I13))</f>
        <v>#NAME?</v>
      </c>
      <c r="Q5" t="s">
        <v>140</v>
      </c>
      <c r="R5" s="83" t="e">
        <f ca="1">QUARTILE(F6:F13,1)-R4</f>
        <v>#NAME?</v>
      </c>
      <c r="S5" s="37" t="e">
        <f ca="1">QUARTILE(G6:G13,1)-S4</f>
        <v>#NAME?</v>
      </c>
      <c r="T5" s="37" t="e">
        <f ca="1">QUARTILE(H6:H13,1)-T4</f>
        <v>#NAME?</v>
      </c>
      <c r="U5" s="84" t="e">
        <f ca="1">QUARTILE(I6:I13,1)-U4</f>
        <v>#NAME?</v>
      </c>
      <c r="W5" t="s">
        <v>65</v>
      </c>
      <c r="X5" t="e">
        <f ca="1">SWTEST(F6:F13)</f>
        <v>#NAME?</v>
      </c>
      <c r="Y5" t="e">
        <f ca="1">SWTEST(G6:G13)</f>
        <v>#NAME?</v>
      </c>
      <c r="Z5" t="e">
        <f ca="1">SWTEST(H6:H13)</f>
        <v>#NAME?</v>
      </c>
      <c r="AA5" t="e">
        <f ca="1">SWTEST(I6:I13)</f>
        <v>#NAME?</v>
      </c>
    </row>
    <row r="6" spans="1:27" x14ac:dyDescent="0.35">
      <c r="A6" t="s">
        <v>158</v>
      </c>
      <c r="B6" s="102">
        <v>96.1</v>
      </c>
      <c r="C6" s="103">
        <v>40.700000000000003</v>
      </c>
      <c r="D6" s="104">
        <v>4.2</v>
      </c>
      <c r="F6" s="33" t="e">
        <f ca="1"/>
        <v>#NAME?</v>
      </c>
      <c r="G6" s="88" t="e">
        <f ca="1"/>
        <v>#NAME?</v>
      </c>
      <c r="H6" s="88" t="e">
        <f ca="1"/>
        <v>#NAME?</v>
      </c>
      <c r="I6" s="89" t="e">
        <f ca="1"/>
        <v>#NAME?</v>
      </c>
      <c r="K6" t="s">
        <v>263</v>
      </c>
      <c r="L6" t="e">
        <f ca="1">MEDIAN(F6:F13)</f>
        <v>#NAME?</v>
      </c>
      <c r="M6" t="e">
        <f ca="1">MEDIAN(G6:G13)</f>
        <v>#NAME?</v>
      </c>
      <c r="N6" t="e">
        <f ca="1">MEDIAN(H6:H13)</f>
        <v>#NAME?</v>
      </c>
      <c r="O6" t="e">
        <f ca="1">MEDIAN(I6:I13)</f>
        <v>#NAME?</v>
      </c>
      <c r="Q6" t="s">
        <v>141</v>
      </c>
      <c r="R6" s="83" t="e">
        <f ca="1">MEDIAN(F6:F13)-QUARTILE(F6:F13,1)</f>
        <v>#NAME?</v>
      </c>
      <c r="S6" s="37" t="e">
        <f ca="1">MEDIAN(G6:G13)-QUARTILE(G6:G13,1)</f>
        <v>#NAME?</v>
      </c>
      <c r="T6" s="37" t="e">
        <f ca="1">MEDIAN(H6:H13)-QUARTILE(H6:H13,1)</f>
        <v>#NAME?</v>
      </c>
      <c r="U6" s="84" t="e">
        <f ca="1">MEDIAN(I6:I13)-QUARTILE(I6:I13,1)</f>
        <v>#NAME?</v>
      </c>
      <c r="W6" t="s">
        <v>220</v>
      </c>
      <c r="X6">
        <v>0.05</v>
      </c>
      <c r="Y6">
        <v>0.05</v>
      </c>
      <c r="Z6">
        <v>0.05</v>
      </c>
      <c r="AA6">
        <v>0.05</v>
      </c>
    </row>
    <row r="7" spans="1:27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264</v>
      </c>
      <c r="L7" t="e">
        <f ca="1">MODE(F6:F13)</f>
        <v>#NAME?</v>
      </c>
      <c r="M7" t="e">
        <f ca="1">MODE(G6:G13)</f>
        <v>#NAME?</v>
      </c>
      <c r="N7" t="e">
        <f ca="1">MODE(H6:H13)</f>
        <v>#NAME?</v>
      </c>
      <c r="O7" t="e">
        <f ca="1">MODE(I6:I13)</f>
        <v>#NAME?</v>
      </c>
      <c r="Q7" t="s">
        <v>142</v>
      </c>
      <c r="R7" s="83" t="e">
        <f ca="1">QUARTILE(F6:F13,3)-MEDIAN(F6:F13)</f>
        <v>#NAME?</v>
      </c>
      <c r="S7" s="37" t="e">
        <f ca="1">QUARTILE(G6:G13,3)-MEDIAN(G6:G13)</f>
        <v>#NAME?</v>
      </c>
      <c r="T7" s="37" t="e">
        <f ca="1">QUARTILE(H6:H13,3)-MEDIAN(H6:H13)</f>
        <v>#NAME?</v>
      </c>
      <c r="U7" s="84" t="e">
        <f ca="1">QUARTILE(I6:I13,3)-MEDIAN(I6:I13)</f>
        <v>#NAME?</v>
      </c>
      <c r="W7" s="40" t="s">
        <v>279</v>
      </c>
      <c r="X7" s="58" t="e">
        <f ca="1">IF(X5&lt;X6,"no","yes")</f>
        <v>#NAME?</v>
      </c>
      <c r="Y7" s="58" t="e">
        <f ca="1">IF(Y5&lt;Y6,"no","yes")</f>
        <v>#NAME?</v>
      </c>
      <c r="Z7" s="58" t="e">
        <f ca="1">IF(Z5&lt;Z6,"no","yes")</f>
        <v>#NAME?</v>
      </c>
      <c r="AA7" s="58" t="e">
        <f ca="1">IF(AA5&lt;AA6,"no","yes")</f>
        <v>#NAME?</v>
      </c>
    </row>
    <row r="8" spans="1:27" x14ac:dyDescent="0.35">
      <c r="A8" t="s">
        <v>158</v>
      </c>
      <c r="B8" s="102">
        <v>50.2</v>
      </c>
      <c r="C8" s="103">
        <v>34.1</v>
      </c>
      <c r="D8" s="104">
        <v>11.7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265</v>
      </c>
      <c r="L8" t="e">
        <f ca="1">STDEV(F6:F13)</f>
        <v>#NAME?</v>
      </c>
      <c r="M8" t="e">
        <f ca="1">STDEV(G6:G13)</f>
        <v>#NAME?</v>
      </c>
      <c r="N8" t="e">
        <f ca="1">STDEV(H6:H13)</f>
        <v>#NAME?</v>
      </c>
      <c r="O8" t="e">
        <f ca="1">STDEV(I6:I13)</f>
        <v>#NAME?</v>
      </c>
      <c r="Q8" t="s">
        <v>143</v>
      </c>
      <c r="R8" s="85" t="e">
        <f ca="1">MAX(F6:F13)-QUARTILE(F6:F13,3)</f>
        <v>#NAME?</v>
      </c>
      <c r="S8" s="86" t="e">
        <f ca="1">MAX(G6:G13)-QUARTILE(G6:G13,3)</f>
        <v>#NAME?</v>
      </c>
      <c r="T8" s="86" t="e">
        <f ca="1">MAX(H6:H13)-QUARTILE(H6:H13,3)</f>
        <v>#NAME?</v>
      </c>
      <c r="U8" s="87" t="e">
        <f ca="1">MAX(I6:I13)-QUARTILE(I6:I13,3)</f>
        <v>#NAME?</v>
      </c>
    </row>
    <row r="9" spans="1:27" x14ac:dyDescent="0.35">
      <c r="A9" t="s">
        <v>158</v>
      </c>
      <c r="B9" s="102">
        <v>55</v>
      </c>
      <c r="C9" s="103">
        <v>31.1</v>
      </c>
      <c r="D9" s="104">
        <v>6.9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K9" t="s">
        <v>266</v>
      </c>
      <c r="L9" t="e">
        <f ca="1">VAR(F6:F13)</f>
        <v>#NAME?</v>
      </c>
      <c r="M9" t="e">
        <f ca="1">VAR(G6:G13)</f>
        <v>#NAME?</v>
      </c>
      <c r="N9" t="e">
        <f ca="1">VAR(H6:H13)</f>
        <v>#NAME?</v>
      </c>
      <c r="O9" t="e">
        <f ca="1">VAR(I6:I13)</f>
        <v>#NAME?</v>
      </c>
    </row>
    <row r="10" spans="1:27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K10" t="s">
        <v>267</v>
      </c>
      <c r="L10" t="e">
        <f ca="1">KURT(F6:F13)</f>
        <v>#NAME?</v>
      </c>
      <c r="M10" t="e">
        <f ca="1">KURT(G6:G13)</f>
        <v>#NAME?</v>
      </c>
      <c r="N10" t="e">
        <f ca="1">KURT(H6:H13)</f>
        <v>#NAME?</v>
      </c>
      <c r="O10" t="e">
        <f ca="1">KURT(I6:I13)</f>
        <v>#NAME?</v>
      </c>
    </row>
    <row r="11" spans="1:27" x14ac:dyDescent="0.35">
      <c r="A11" t="s">
        <v>158</v>
      </c>
      <c r="B11" s="102">
        <v>65.7</v>
      </c>
      <c r="C11" s="103">
        <v>27.7</v>
      </c>
      <c r="D11" s="104">
        <v>5.3</v>
      </c>
      <c r="F11" s="36" t="e">
        <f ca="1"/>
        <v>#NAME?</v>
      </c>
      <c r="G11" s="37" t="e">
        <f ca="1"/>
        <v>#NAME?</v>
      </c>
      <c r="H11" s="37" t="e">
        <f ca="1"/>
        <v>#NAME?</v>
      </c>
      <c r="I11" s="38" t="e">
        <f ca="1"/>
        <v>#NAME?</v>
      </c>
      <c r="K11" t="s">
        <v>268</v>
      </c>
      <c r="L11" t="e">
        <f ca="1">SKEW(F6:F13)</f>
        <v>#NAME?</v>
      </c>
      <c r="M11" t="e">
        <f ca="1">SKEW(G6:G13)</f>
        <v>#NAME?</v>
      </c>
      <c r="N11" t="e">
        <f ca="1">SKEW(H6:H13)</f>
        <v>#NAME?</v>
      </c>
      <c r="O11" t="e">
        <f ca="1">SKEW(I6:I13)</f>
        <v>#NAME?</v>
      </c>
    </row>
    <row r="12" spans="1:27" x14ac:dyDescent="0.35">
      <c r="A12" t="s">
        <v>159</v>
      </c>
      <c r="B12" s="102">
        <v>67.3</v>
      </c>
      <c r="C12" s="103">
        <v>48.3</v>
      </c>
      <c r="D12" s="104">
        <v>5.5</v>
      </c>
      <c r="F12" s="36" t="e">
        <f ca="1"/>
        <v>#NAME?</v>
      </c>
      <c r="G12" s="37" t="e">
        <f ca="1"/>
        <v>#NAME?</v>
      </c>
      <c r="H12" s="37" t="e">
        <f ca="1"/>
        <v>#NAME?</v>
      </c>
      <c r="I12" s="38" t="e">
        <f ca="1"/>
        <v>#NAME?</v>
      </c>
      <c r="K12" t="s">
        <v>269</v>
      </c>
      <c r="L12" t="e">
        <f ca="1">L13-L14</f>
        <v>#NAME?</v>
      </c>
      <c r="M12" t="e">
        <f ca="1">M13-M14</f>
        <v>#NAME?</v>
      </c>
      <c r="N12" t="e">
        <f ca="1">N13-N14</f>
        <v>#NAME?</v>
      </c>
      <c r="O12" t="e">
        <f ca="1">O13-O14</f>
        <v>#NAME?</v>
      </c>
    </row>
    <row r="13" spans="1:27" x14ac:dyDescent="0.35">
      <c r="A13" t="s">
        <v>159</v>
      </c>
      <c r="B13" s="102">
        <v>61.3</v>
      </c>
      <c r="C13" s="103">
        <v>28.9</v>
      </c>
      <c r="D13" s="104">
        <v>6.9</v>
      </c>
      <c r="F13" s="39" t="e">
        <f ca="1"/>
        <v>#NAME?</v>
      </c>
      <c r="G13" s="40" t="e">
        <f ca="1"/>
        <v>#NAME?</v>
      </c>
      <c r="H13" s="40" t="e">
        <f ca="1"/>
        <v>#NAME?</v>
      </c>
      <c r="I13" s="41" t="e">
        <f ca="1"/>
        <v>#NAME?</v>
      </c>
      <c r="K13" t="s">
        <v>270</v>
      </c>
      <c r="L13" t="e">
        <f ca="1">MAX(F6:F13)</f>
        <v>#NAME?</v>
      </c>
      <c r="M13" t="e">
        <f ca="1">MAX(G6:G13)</f>
        <v>#NAME?</v>
      </c>
      <c r="N13" t="e">
        <f ca="1">MAX(H6:H13)</f>
        <v>#NAME?</v>
      </c>
      <c r="O13" t="e">
        <f ca="1">MAX(I6:I13)</f>
        <v>#NAME?</v>
      </c>
    </row>
    <row r="14" spans="1:27" x14ac:dyDescent="0.35">
      <c r="A14" t="s">
        <v>159</v>
      </c>
      <c r="B14" s="102">
        <v>58.2</v>
      </c>
      <c r="C14" s="103">
        <v>42.5</v>
      </c>
      <c r="D14" s="104">
        <v>4.8</v>
      </c>
      <c r="K14" t="s">
        <v>271</v>
      </c>
      <c r="L14" t="e">
        <f ca="1">MIN(F6:F13)</f>
        <v>#NAME?</v>
      </c>
      <c r="M14" t="e">
        <f ca="1">MIN(G6:G13)</f>
        <v>#NAME?</v>
      </c>
      <c r="N14" t="e">
        <f ca="1">MIN(H6:H13)</f>
        <v>#NAME?</v>
      </c>
      <c r="O14" t="e">
        <f ca="1">MIN(I6:I13)</f>
        <v>#NAME?</v>
      </c>
    </row>
    <row r="15" spans="1:27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K15" t="s">
        <v>177</v>
      </c>
      <c r="L15" t="e">
        <f ca="1">SUM(F6:F13)</f>
        <v>#NAME?</v>
      </c>
      <c r="M15" t="e">
        <f ca="1">SUM(G6:G13)</f>
        <v>#NAME?</v>
      </c>
      <c r="N15" t="e">
        <f ca="1">SUM(H6:H13)</f>
        <v>#NAME?</v>
      </c>
      <c r="O15" t="e">
        <f ca="1">SUM(I6:I13)</f>
        <v>#NAME?</v>
      </c>
    </row>
    <row r="16" spans="1:27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K16" t="s">
        <v>100</v>
      </c>
      <c r="L16">
        <f ca="1">COUNT(F6:F13)</f>
        <v>0</v>
      </c>
      <c r="M16">
        <f ca="1">COUNT(G6:G13)</f>
        <v>0</v>
      </c>
      <c r="N16">
        <f ca="1">COUNT(H6:H13)</f>
        <v>0</v>
      </c>
      <c r="O16">
        <f ca="1">COUNT(I6:I13)</f>
        <v>0</v>
      </c>
    </row>
    <row r="17" spans="1:27" x14ac:dyDescent="0.35">
      <c r="A17" t="s">
        <v>159</v>
      </c>
      <c r="B17" s="102">
        <v>55.4</v>
      </c>
      <c r="C17" s="103">
        <v>29.1</v>
      </c>
      <c r="D17" s="104">
        <v>5</v>
      </c>
      <c r="K17" t="s">
        <v>272</v>
      </c>
      <c r="L17" t="e">
        <f ca="1">GEOMEAN(F6:F13)</f>
        <v>#NAME?</v>
      </c>
      <c r="M17" t="e">
        <f ca="1">GEOMEAN(G6:G13)</f>
        <v>#NAME?</v>
      </c>
      <c r="N17" t="e">
        <f ca="1">GEOMEAN(H6:H13)</f>
        <v>#NAME?</v>
      </c>
      <c r="O17" t="e">
        <f ca="1">GEOMEAN(I6:I13)</f>
        <v>#NAME?</v>
      </c>
    </row>
    <row r="18" spans="1:27" x14ac:dyDescent="0.35">
      <c r="A18" t="s">
        <v>159</v>
      </c>
      <c r="B18" s="102">
        <v>50.5</v>
      </c>
      <c r="C18" s="103">
        <v>18</v>
      </c>
      <c r="D18" s="104">
        <v>4.8</v>
      </c>
      <c r="K18" t="s">
        <v>273</v>
      </c>
      <c r="L18" t="e">
        <f ca="1">HARMEAN(F6:F13)</f>
        <v>#NAME?</v>
      </c>
      <c r="M18" t="e">
        <f ca="1">HARMEAN(G6:G13)</f>
        <v>#NAME?</v>
      </c>
      <c r="N18" t="e">
        <f ca="1">HARMEAN(H6:H13)</f>
        <v>#NAME?</v>
      </c>
      <c r="O18" t="e">
        <f ca="1">HARMEAN(I6:I13)</f>
        <v>#NAME?</v>
      </c>
    </row>
    <row r="19" spans="1:27" x14ac:dyDescent="0.35">
      <c r="A19" t="s">
        <v>159</v>
      </c>
      <c r="B19" s="102">
        <v>64.099999999999994</v>
      </c>
      <c r="C19" s="103">
        <v>14.5</v>
      </c>
      <c r="D19" s="104">
        <v>3.7</v>
      </c>
      <c r="K19" t="s">
        <v>274</v>
      </c>
      <c r="L19" t="e">
        <f ca="1">AVEDEV(F6:F13)</f>
        <v>#NAME?</v>
      </c>
      <c r="M19" t="e">
        <f ca="1">AVEDEV(G6:G13)</f>
        <v>#NAME?</v>
      </c>
      <c r="N19" t="e">
        <f ca="1">AVEDEV(H6:H13)</f>
        <v>#NAME?</v>
      </c>
      <c r="O19" t="e">
        <f ca="1">AVEDEV(I6:I13)</f>
        <v>#NAME?</v>
      </c>
    </row>
    <row r="20" spans="1:27" x14ac:dyDescent="0.35">
      <c r="A20" t="s">
        <v>161</v>
      </c>
      <c r="B20" s="102">
        <v>62.8</v>
      </c>
      <c r="C20" s="103">
        <v>25.9</v>
      </c>
      <c r="D20" s="104">
        <v>2.9</v>
      </c>
      <c r="K20" t="s">
        <v>275</v>
      </c>
      <c r="L20" t="e">
        <f ca="1">MAD(F6:F13)</f>
        <v>#NAME?</v>
      </c>
      <c r="M20" t="e">
        <f ca="1">MAD(G6:G13)</f>
        <v>#NAME?</v>
      </c>
      <c r="N20" t="e">
        <f ca="1">MAD(H6:H13)</f>
        <v>#NAME?</v>
      </c>
      <c r="O20" t="e">
        <f ca="1">MAD(I6:I13)</f>
        <v>#NAME?</v>
      </c>
    </row>
    <row r="21" spans="1:27" x14ac:dyDescent="0.35">
      <c r="A21" t="s">
        <v>161</v>
      </c>
      <c r="B21" s="102">
        <v>45</v>
      </c>
      <c r="C21" s="103">
        <v>15.9</v>
      </c>
      <c r="D21" s="104">
        <v>1.2</v>
      </c>
      <c r="K21" s="40" t="s">
        <v>276</v>
      </c>
      <c r="L21" s="40" t="e">
        <f ca="1">IQR(F6:F13)</f>
        <v>#NAME?</v>
      </c>
      <c r="M21" s="40" t="e">
        <f ca="1">IQR(G6:G13)</f>
        <v>#NAME?</v>
      </c>
      <c r="N21" s="40" t="e">
        <f ca="1">IQR(H6:H13)</f>
        <v>#NAME?</v>
      </c>
      <c r="O21" s="40" t="e">
        <f ca="1">IQR(I6:I13)</f>
        <v>#NAME?</v>
      </c>
    </row>
    <row r="22" spans="1:27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27" x14ac:dyDescent="0.35">
      <c r="A23" t="s">
        <v>161</v>
      </c>
      <c r="B23" s="102">
        <v>75.599999999999994</v>
      </c>
      <c r="C23" s="103">
        <v>27.7</v>
      </c>
      <c r="D23" s="104">
        <v>6.3</v>
      </c>
    </row>
    <row r="24" spans="1:27" x14ac:dyDescent="0.35">
      <c r="A24" t="s">
        <v>161</v>
      </c>
      <c r="B24" s="102">
        <v>46.6</v>
      </c>
      <c r="C24" s="103">
        <v>46.9</v>
      </c>
      <c r="D24" s="104">
        <v>3.6</v>
      </c>
      <c r="F24" t="s">
        <v>163</v>
      </c>
      <c r="K24" t="s">
        <v>261</v>
      </c>
      <c r="Q24" t="s">
        <v>254</v>
      </c>
      <c r="W24" t="s">
        <v>277</v>
      </c>
    </row>
    <row r="25" spans="1:27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27" x14ac:dyDescent="0.35">
      <c r="A26" t="s">
        <v>161</v>
      </c>
      <c r="B26" s="102">
        <v>45.7</v>
      </c>
      <c r="C26" s="103">
        <v>27.6</v>
      </c>
      <c r="D26" s="104">
        <v>6.2</v>
      </c>
      <c r="F26" s="56" t="e">
        <f t="array" aca="1" ref="F26:I34" ca="1">ExtractCol(A3:D35,"yield")</f>
        <v>#NAME?</v>
      </c>
      <c r="G26" s="56" t="e">
        <f ca="1"/>
        <v>#NAME?</v>
      </c>
      <c r="H26" s="56" t="e">
        <f ca="1"/>
        <v>#NAME?</v>
      </c>
      <c r="I26" s="56" t="e">
        <f ca="1"/>
        <v>#NAME?</v>
      </c>
      <c r="K26" s="144"/>
      <c r="L26" s="144" t="e">
        <f ca="1">F26</f>
        <v>#NAME?</v>
      </c>
      <c r="M26" s="144" t="e">
        <f ca="1">G26</f>
        <v>#NAME?</v>
      </c>
      <c r="N26" s="144" t="e">
        <f ca="1">H26</f>
        <v>#NAME?</v>
      </c>
      <c r="O26" s="144" t="e">
        <f ca="1">I26</f>
        <v>#NAME?</v>
      </c>
      <c r="R26" s="143" t="e">
        <f ca="1">F26</f>
        <v>#NAME?</v>
      </c>
      <c r="S26" s="143" t="e">
        <f ca="1">G26</f>
        <v>#NAME?</v>
      </c>
      <c r="T26" s="143" t="e">
        <f ca="1">H26</f>
        <v>#NAME?</v>
      </c>
      <c r="U26" s="143" t="e">
        <f ca="1">I26</f>
        <v>#NAME?</v>
      </c>
      <c r="W26" s="144"/>
      <c r="X26" s="144" t="e">
        <f ca="1">F26</f>
        <v>#NAME?</v>
      </c>
      <c r="Y26" s="144" t="e">
        <f ca="1">G26</f>
        <v>#NAME?</v>
      </c>
      <c r="Z26" s="144" t="e">
        <f ca="1">H26</f>
        <v>#NAME?</v>
      </c>
      <c r="AA26" s="144" t="e">
        <f ca="1">I26</f>
        <v>#NAME?</v>
      </c>
    </row>
    <row r="27" spans="1:27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s="33" t="e">
        <f ca="1"/>
        <v>#NAME?</v>
      </c>
      <c r="G27" s="88" t="e">
        <f ca="1"/>
        <v>#NAME?</v>
      </c>
      <c r="H27" s="88" t="e">
        <f ca="1"/>
        <v>#NAME?</v>
      </c>
      <c r="I27" s="89" t="e">
        <f ca="1"/>
        <v>#NAME?</v>
      </c>
      <c r="K27" t="s">
        <v>34</v>
      </c>
      <c r="L27" t="e">
        <f ca="1">AVERAGE(F27:F34)</f>
        <v>#NAME?</v>
      </c>
      <c r="M27" t="e">
        <f ca="1">AVERAGE(G27:G34)</f>
        <v>#NAME?</v>
      </c>
      <c r="N27" t="e">
        <f ca="1">AVERAGE(H27:H34)</f>
        <v>#NAME?</v>
      </c>
      <c r="O27" t="e">
        <f ca="1">AVERAGE(I27:I34)</f>
        <v>#NAME?</v>
      </c>
      <c r="Q27" t="s">
        <v>139</v>
      </c>
      <c r="R27" s="130" t="e">
        <f ca="1">MIN(F27:F34)</f>
        <v>#NAME?</v>
      </c>
      <c r="S27" s="141" t="e">
        <f ca="1">MIN(G27:G34)</f>
        <v>#NAME?</v>
      </c>
      <c r="T27" s="141" t="e">
        <f ca="1">MIN(H27:H34)</f>
        <v>#NAME?</v>
      </c>
      <c r="U27" s="131" t="e">
        <f ca="1">MIN(I27:I34)</f>
        <v>#NAME?</v>
      </c>
      <c r="W27" t="s">
        <v>278</v>
      </c>
      <c r="X27" t="e">
        <f ca="1">SHAPIRO(F27:F34)</f>
        <v>#NAME?</v>
      </c>
      <c r="Y27" t="e">
        <f ca="1">SHAPIRO(G27:G34)</f>
        <v>#NAME?</v>
      </c>
      <c r="Z27" t="e">
        <f ca="1">SHAPIRO(H27:H34)</f>
        <v>#NAME?</v>
      </c>
      <c r="AA27" t="e">
        <f ca="1">SHAPIRO(I27:I34)</f>
        <v>#NAME?</v>
      </c>
    </row>
    <row r="28" spans="1:27" x14ac:dyDescent="0.35">
      <c r="A28" t="s">
        <v>160</v>
      </c>
      <c r="B28" s="102">
        <v>52.5</v>
      </c>
      <c r="C28" s="103">
        <v>39</v>
      </c>
      <c r="D28" s="104">
        <v>3.1</v>
      </c>
      <c r="F28" s="36" t="e">
        <f ca="1"/>
        <v>#NAME?</v>
      </c>
      <c r="G28" s="37" t="e">
        <f ca="1"/>
        <v>#NAME?</v>
      </c>
      <c r="H28" s="37" t="e">
        <f ca="1"/>
        <v>#NAME?</v>
      </c>
      <c r="I28" s="38" t="e">
        <f ca="1"/>
        <v>#NAME?</v>
      </c>
      <c r="K28" t="s">
        <v>262</v>
      </c>
      <c r="L28" t="e">
        <f ca="1">STDEV(F27:F34)/SQRT(COUNT(F27:F34))</f>
        <v>#NAME?</v>
      </c>
      <c r="M28" t="e">
        <f ca="1">STDEV(G27:G34)/SQRT(COUNT(G27:G34))</f>
        <v>#NAME?</v>
      </c>
      <c r="N28" t="e">
        <f ca="1">STDEV(H27:H34)/SQRT(COUNT(H27:H34))</f>
        <v>#NAME?</v>
      </c>
      <c r="O28" t="e">
        <f ca="1">STDEV(I27:I34)/SQRT(COUNT(I27:I34))</f>
        <v>#NAME?</v>
      </c>
      <c r="Q28" t="s">
        <v>140</v>
      </c>
      <c r="R28" s="83" t="e">
        <f ca="1">QUARTILE(F27:F34,1)-R27</f>
        <v>#NAME?</v>
      </c>
      <c r="S28" s="37" t="e">
        <f ca="1">QUARTILE(G27:G34,1)-S27</f>
        <v>#NAME?</v>
      </c>
      <c r="T28" s="37" t="e">
        <f ca="1">QUARTILE(H27:H34,1)-T27</f>
        <v>#NAME?</v>
      </c>
      <c r="U28" s="84" t="e">
        <f ca="1">QUARTILE(I27:I34,1)-U27</f>
        <v>#NAME?</v>
      </c>
      <c r="W28" t="s">
        <v>65</v>
      </c>
      <c r="X28" t="e">
        <f ca="1">SWTEST(F27:F34)</f>
        <v>#NAME?</v>
      </c>
      <c r="Y28" t="e">
        <f ca="1">SWTEST(G27:G34)</f>
        <v>#NAME?</v>
      </c>
      <c r="Z28" t="e">
        <f ca="1">SWTEST(H27:H34)</f>
        <v>#NAME?</v>
      </c>
      <c r="AA28" t="e">
        <f ca="1">SWTEST(I27:I34)</f>
        <v>#NAME?</v>
      </c>
    </row>
    <row r="29" spans="1:27" x14ac:dyDescent="0.35">
      <c r="A29" t="s">
        <v>160</v>
      </c>
      <c r="B29" s="102">
        <v>80</v>
      </c>
      <c r="C29" s="103">
        <v>54.2</v>
      </c>
      <c r="D29" s="104">
        <v>4</v>
      </c>
      <c r="F29" s="36" t="e">
        <f ca="1"/>
        <v>#NAME?</v>
      </c>
      <c r="G29" s="37" t="e">
        <f ca="1"/>
        <v>#NAME?</v>
      </c>
      <c r="H29" s="37" t="e">
        <f ca="1"/>
        <v>#NAME?</v>
      </c>
      <c r="I29" s="38" t="e">
        <f ca="1"/>
        <v>#NAME?</v>
      </c>
      <c r="K29" t="s">
        <v>263</v>
      </c>
      <c r="L29" t="e">
        <f ca="1">MEDIAN(F27:F34)</f>
        <v>#NAME?</v>
      </c>
      <c r="M29" t="e">
        <f ca="1">MEDIAN(G27:G34)</f>
        <v>#NAME?</v>
      </c>
      <c r="N29" t="e">
        <f ca="1">MEDIAN(H27:H34)</f>
        <v>#NAME?</v>
      </c>
      <c r="O29" t="e">
        <f ca="1">MEDIAN(I27:I34)</f>
        <v>#NAME?</v>
      </c>
      <c r="Q29" t="s">
        <v>141</v>
      </c>
      <c r="R29" s="83" t="e">
        <f ca="1">MEDIAN(F27:F34)-QUARTILE(F27:F34,1)</f>
        <v>#NAME?</v>
      </c>
      <c r="S29" s="37" t="e">
        <f ca="1">MEDIAN(G27:G34)-QUARTILE(G27:G34,1)</f>
        <v>#NAME?</v>
      </c>
      <c r="T29" s="37" t="e">
        <f ca="1">MEDIAN(H27:H34)-QUARTILE(H27:H34,1)</f>
        <v>#NAME?</v>
      </c>
      <c r="U29" s="84" t="e">
        <f ca="1">MEDIAN(I27:I34)-QUARTILE(I27:I34,1)</f>
        <v>#NAME?</v>
      </c>
      <c r="W29" t="s">
        <v>220</v>
      </c>
      <c r="X29">
        <v>0.05</v>
      </c>
      <c r="Y29">
        <v>0.05</v>
      </c>
      <c r="Z29">
        <v>0.05</v>
      </c>
      <c r="AA29">
        <v>0.05</v>
      </c>
    </row>
    <row r="30" spans="1:27" x14ac:dyDescent="0.35">
      <c r="A30" t="s">
        <v>160</v>
      </c>
      <c r="B30" s="102">
        <v>54.7</v>
      </c>
      <c r="C30" s="103">
        <v>32.1</v>
      </c>
      <c r="D30" s="104">
        <v>5.7</v>
      </c>
      <c r="F30" s="36" t="e">
        <f ca="1"/>
        <v>#NAME?</v>
      </c>
      <c r="G30" s="37" t="e">
        <f ca="1"/>
        <v>#NAME?</v>
      </c>
      <c r="H30" s="37" t="e">
        <f ca="1"/>
        <v>#NAME?</v>
      </c>
      <c r="I30" s="38" t="e">
        <f ca="1"/>
        <v>#NAME?</v>
      </c>
      <c r="K30" t="s">
        <v>264</v>
      </c>
      <c r="L30" t="e">
        <f ca="1">MODE(F27:F34)</f>
        <v>#NAME?</v>
      </c>
      <c r="M30" t="e">
        <f ca="1">MODE(G27:G34)</f>
        <v>#NAME?</v>
      </c>
      <c r="N30" t="e">
        <f ca="1">MODE(H27:H34)</f>
        <v>#NAME?</v>
      </c>
      <c r="O30" t="e">
        <f ca="1">MODE(I27:I34)</f>
        <v>#NAME?</v>
      </c>
      <c r="Q30" t="s">
        <v>142</v>
      </c>
      <c r="R30" s="83" t="e">
        <f ca="1">QUARTILE(F27:F34,3)-MEDIAN(F27:F34)</f>
        <v>#NAME?</v>
      </c>
      <c r="S30" s="37" t="e">
        <f ca="1">QUARTILE(G27:G34,3)-MEDIAN(G27:G34)</f>
        <v>#NAME?</v>
      </c>
      <c r="T30" s="37" t="e">
        <f ca="1">QUARTILE(H27:H34,3)-MEDIAN(H27:H34)</f>
        <v>#NAME?</v>
      </c>
      <c r="U30" s="84" t="e">
        <f ca="1">QUARTILE(I27:I34,3)-MEDIAN(I27:I34)</f>
        <v>#NAME?</v>
      </c>
      <c r="W30" s="40" t="s">
        <v>279</v>
      </c>
      <c r="X30" s="58" t="e">
        <f ca="1">IF(X28&lt;X29,"no","yes")</f>
        <v>#NAME?</v>
      </c>
      <c r="Y30" s="58" t="e">
        <f ca="1">IF(Y28&lt;Y29,"no","yes")</f>
        <v>#NAME?</v>
      </c>
      <c r="Z30" s="58" t="e">
        <f ca="1">IF(Z28&lt;Z29,"no","yes")</f>
        <v>#NAME?</v>
      </c>
      <c r="AA30" s="58" t="e">
        <f ca="1">IF(AA28&lt;AA29,"no","yes")</f>
        <v>#NAME?</v>
      </c>
    </row>
    <row r="31" spans="1:27" x14ac:dyDescent="0.35">
      <c r="A31" t="s">
        <v>160</v>
      </c>
      <c r="B31" s="102">
        <v>63.5</v>
      </c>
      <c r="C31" s="103">
        <v>25.6</v>
      </c>
      <c r="D31" s="104">
        <v>3</v>
      </c>
      <c r="F31" s="36" t="e">
        <f ca="1"/>
        <v>#NAME?</v>
      </c>
      <c r="G31" s="37" t="e">
        <f ca="1"/>
        <v>#NAME?</v>
      </c>
      <c r="H31" s="37" t="e">
        <f ca="1"/>
        <v>#NAME?</v>
      </c>
      <c r="I31" s="38" t="e">
        <f ca="1"/>
        <v>#NAME?</v>
      </c>
      <c r="K31" t="s">
        <v>265</v>
      </c>
      <c r="L31" t="e">
        <f ca="1">STDEV(F27:F34)</f>
        <v>#NAME?</v>
      </c>
      <c r="M31" t="e">
        <f ca="1">STDEV(G27:G34)</f>
        <v>#NAME?</v>
      </c>
      <c r="N31" t="e">
        <f ca="1">STDEV(H27:H34)</f>
        <v>#NAME?</v>
      </c>
      <c r="O31" t="e">
        <f ca="1">STDEV(I27:I34)</f>
        <v>#NAME?</v>
      </c>
      <c r="Q31" t="s">
        <v>143</v>
      </c>
      <c r="R31" s="85" t="e">
        <f ca="1">MAX(F27:F34)-QUARTILE(F27:F34,3)</f>
        <v>#NAME?</v>
      </c>
      <c r="S31" s="86" t="e">
        <f ca="1">MAX(G27:G34)-QUARTILE(G27:G34,3)</f>
        <v>#NAME?</v>
      </c>
      <c r="T31" s="86" t="e">
        <f ca="1">MAX(H27:H34)-QUARTILE(H27:H34,3)</f>
        <v>#NAME?</v>
      </c>
      <c r="U31" s="87" t="e">
        <f ca="1">MAX(I27:I34)-QUARTILE(I27:I34,3)</f>
        <v>#NAME?</v>
      </c>
    </row>
    <row r="32" spans="1:27" x14ac:dyDescent="0.35">
      <c r="A32" t="s">
        <v>160</v>
      </c>
      <c r="B32" s="102">
        <v>46.3</v>
      </c>
      <c r="C32" s="103">
        <v>31.8</v>
      </c>
      <c r="D32" s="104">
        <v>7.4</v>
      </c>
      <c r="F32" s="36" t="e">
        <f ca="1"/>
        <v>#NAME?</v>
      </c>
      <c r="G32" s="37" t="e">
        <f ca="1"/>
        <v>#NAME?</v>
      </c>
      <c r="H32" s="37" t="e">
        <f ca="1"/>
        <v>#NAME?</v>
      </c>
      <c r="I32" s="38" t="e">
        <f ca="1"/>
        <v>#NAME?</v>
      </c>
      <c r="K32" t="s">
        <v>266</v>
      </c>
      <c r="L32" t="e">
        <f ca="1">VAR(F27:F34)</f>
        <v>#NAME?</v>
      </c>
      <c r="M32" t="e">
        <f ca="1">VAR(G27:G34)</f>
        <v>#NAME?</v>
      </c>
      <c r="N32" t="e">
        <f ca="1">VAR(H27:H34)</f>
        <v>#NAME?</v>
      </c>
      <c r="O32" t="e">
        <f ca="1">VAR(I27:I34)</f>
        <v>#NAME?</v>
      </c>
    </row>
    <row r="33" spans="1:23" x14ac:dyDescent="0.35">
      <c r="A33" t="s">
        <v>160</v>
      </c>
      <c r="B33" s="102">
        <v>61.5</v>
      </c>
      <c r="C33" s="103">
        <v>16.8</v>
      </c>
      <c r="D33" s="104">
        <v>1.9</v>
      </c>
      <c r="F33" s="36" t="e">
        <f ca="1"/>
        <v>#NAME?</v>
      </c>
      <c r="G33" s="37" t="e">
        <f ca="1"/>
        <v>#NAME?</v>
      </c>
      <c r="H33" s="37" t="e">
        <f ca="1"/>
        <v>#NAME?</v>
      </c>
      <c r="I33" s="38" t="e">
        <f ca="1"/>
        <v>#NAME?</v>
      </c>
      <c r="K33" t="s">
        <v>267</v>
      </c>
      <c r="L33" t="e">
        <f ca="1">KURT(F27:F34)</f>
        <v>#NAME?</v>
      </c>
      <c r="M33" t="e">
        <f ca="1">KURT(G27:G34)</f>
        <v>#NAME?</v>
      </c>
      <c r="N33" t="e">
        <f ca="1">KURT(H27:H34)</f>
        <v>#NAME?</v>
      </c>
      <c r="O33" t="e">
        <f ca="1">KURT(I27:I34)</f>
        <v>#NAME?</v>
      </c>
    </row>
    <row r="34" spans="1:23" x14ac:dyDescent="0.35">
      <c r="A34" t="s">
        <v>160</v>
      </c>
      <c r="B34" s="102">
        <v>62.9</v>
      </c>
      <c r="C34" s="103">
        <v>25.8</v>
      </c>
      <c r="D34" s="104">
        <v>2.4</v>
      </c>
      <c r="F34" s="39" t="e">
        <f ca="1"/>
        <v>#NAME?</v>
      </c>
      <c r="G34" s="40" t="e">
        <f ca="1"/>
        <v>#NAME?</v>
      </c>
      <c r="H34" s="40" t="e">
        <f ca="1"/>
        <v>#NAME?</v>
      </c>
      <c r="I34" s="41" t="e">
        <f ca="1"/>
        <v>#NAME?</v>
      </c>
      <c r="K34" t="s">
        <v>268</v>
      </c>
      <c r="L34" t="e">
        <f ca="1">SKEW(F27:F34)</f>
        <v>#NAME?</v>
      </c>
      <c r="M34" t="e">
        <f ca="1">SKEW(G27:G34)</f>
        <v>#NAME?</v>
      </c>
      <c r="N34" t="e">
        <f ca="1">SKEW(H27:H34)</f>
        <v>#NAME?</v>
      </c>
      <c r="O34" t="e">
        <f ca="1">SKEW(I27:I34)</f>
        <v>#NAME?</v>
      </c>
    </row>
    <row r="35" spans="1:23" x14ac:dyDescent="0.35">
      <c r="A35" t="s">
        <v>160</v>
      </c>
      <c r="B35" s="105">
        <v>49.3</v>
      </c>
      <c r="C35" s="106">
        <v>39.4</v>
      </c>
      <c r="D35" s="107">
        <v>5.2</v>
      </c>
      <c r="K35" t="s">
        <v>269</v>
      </c>
      <c r="L35" t="e">
        <f ca="1">L36-L37</f>
        <v>#NAME?</v>
      </c>
      <c r="M35" t="e">
        <f ca="1">M36-M37</f>
        <v>#NAME?</v>
      </c>
      <c r="N35" t="e">
        <f ca="1">N36-N37</f>
        <v>#NAME?</v>
      </c>
      <c r="O35" t="e">
        <f ca="1">O36-O37</f>
        <v>#NAME?</v>
      </c>
    </row>
    <row r="36" spans="1:23" x14ac:dyDescent="0.35">
      <c r="K36" t="s">
        <v>270</v>
      </c>
      <c r="L36" t="e">
        <f ca="1">MAX(F27:F34)</f>
        <v>#NAME?</v>
      </c>
      <c r="M36" t="e">
        <f ca="1">MAX(G27:G34)</f>
        <v>#NAME?</v>
      </c>
      <c r="N36" t="e">
        <f ca="1">MAX(H27:H34)</f>
        <v>#NAME?</v>
      </c>
      <c r="O36" t="e">
        <f ca="1">MAX(I27:I34)</f>
        <v>#NAME?</v>
      </c>
    </row>
    <row r="37" spans="1:23" x14ac:dyDescent="0.35">
      <c r="K37" t="s">
        <v>271</v>
      </c>
      <c r="L37" t="e">
        <f ca="1">MIN(F27:F34)</f>
        <v>#NAME?</v>
      </c>
      <c r="M37" t="e">
        <f ca="1">MIN(G27:G34)</f>
        <v>#NAME?</v>
      </c>
      <c r="N37" t="e">
        <f ca="1">MIN(H27:H34)</f>
        <v>#NAME?</v>
      </c>
      <c r="O37" t="e">
        <f ca="1">MIN(I27:I34)</f>
        <v>#NAME?</v>
      </c>
    </row>
    <row r="38" spans="1:23" x14ac:dyDescent="0.35">
      <c r="K38" t="s">
        <v>177</v>
      </c>
      <c r="L38" t="e">
        <f ca="1">SUM(F27:F34)</f>
        <v>#NAME?</v>
      </c>
      <c r="M38" t="e">
        <f ca="1">SUM(G27:G34)</f>
        <v>#NAME?</v>
      </c>
      <c r="N38" t="e">
        <f ca="1">SUM(H27:H34)</f>
        <v>#NAME?</v>
      </c>
      <c r="O38" t="e">
        <f ca="1">SUM(I27:I34)</f>
        <v>#NAME?</v>
      </c>
    </row>
    <row r="39" spans="1:23" x14ac:dyDescent="0.35">
      <c r="K39" t="s">
        <v>100</v>
      </c>
      <c r="L39">
        <f ca="1">COUNT(F27:F34)</f>
        <v>0</v>
      </c>
      <c r="M39">
        <f ca="1">COUNT(G27:G34)</f>
        <v>0</v>
      </c>
      <c r="N39">
        <f ca="1">COUNT(H27:H34)</f>
        <v>0</v>
      </c>
      <c r="O39">
        <f ca="1">COUNT(I27:I34)</f>
        <v>0</v>
      </c>
    </row>
    <row r="40" spans="1:23" x14ac:dyDescent="0.35">
      <c r="K40" t="s">
        <v>272</v>
      </c>
      <c r="L40" t="e">
        <f ca="1">GEOMEAN(F27:F34)</f>
        <v>#NAME?</v>
      </c>
      <c r="M40" t="e">
        <f ca="1">GEOMEAN(G27:G34)</f>
        <v>#NAME?</v>
      </c>
      <c r="N40" t="e">
        <f ca="1">GEOMEAN(H27:H34)</f>
        <v>#NAME?</v>
      </c>
      <c r="O40" t="e">
        <f ca="1">GEOMEAN(I27:I34)</f>
        <v>#NAME?</v>
      </c>
    </row>
    <row r="41" spans="1:23" x14ac:dyDescent="0.35">
      <c r="K41" t="s">
        <v>273</v>
      </c>
      <c r="L41" t="e">
        <f ca="1">HARMEAN(F27:F34)</f>
        <v>#NAME?</v>
      </c>
      <c r="M41" t="e">
        <f ca="1">HARMEAN(G27:G34)</f>
        <v>#NAME?</v>
      </c>
      <c r="N41" t="e">
        <f ca="1">HARMEAN(H27:H34)</f>
        <v>#NAME?</v>
      </c>
      <c r="O41" t="e">
        <f ca="1">HARMEAN(I27:I34)</f>
        <v>#NAME?</v>
      </c>
    </row>
    <row r="42" spans="1:23" x14ac:dyDescent="0.35">
      <c r="K42" t="s">
        <v>274</v>
      </c>
      <c r="L42" t="e">
        <f ca="1">AVEDEV(F27:F34)</f>
        <v>#NAME?</v>
      </c>
      <c r="M42" t="e">
        <f ca="1">AVEDEV(G27:G34)</f>
        <v>#NAME?</v>
      </c>
      <c r="N42" t="e">
        <f ca="1">AVEDEV(H27:H34)</f>
        <v>#NAME?</v>
      </c>
      <c r="O42" t="e">
        <f ca="1">AVEDEV(I27:I34)</f>
        <v>#NAME?</v>
      </c>
    </row>
    <row r="43" spans="1:23" x14ac:dyDescent="0.35">
      <c r="K43" t="s">
        <v>275</v>
      </c>
      <c r="L43" t="e">
        <f ca="1">MAD(F27:F34)</f>
        <v>#NAME?</v>
      </c>
      <c r="M43" t="e">
        <f ca="1">MAD(G27:G34)</f>
        <v>#NAME?</v>
      </c>
      <c r="N43" t="e">
        <f ca="1">MAD(H27:H34)</f>
        <v>#NAME?</v>
      </c>
      <c r="O43" t="e">
        <f ca="1">MAD(I27:I34)</f>
        <v>#NAME?</v>
      </c>
    </row>
    <row r="44" spans="1:23" x14ac:dyDescent="0.35">
      <c r="K44" s="40" t="s">
        <v>276</v>
      </c>
      <c r="L44" s="40" t="e">
        <f ca="1">IQR(F27:F34)</f>
        <v>#NAME?</v>
      </c>
      <c r="M44" s="40" t="e">
        <f ca="1">IQR(G27:G34)</f>
        <v>#NAME?</v>
      </c>
      <c r="N44" s="40" t="e">
        <f ca="1">IQR(H27:H34)</f>
        <v>#NAME?</v>
      </c>
      <c r="O44" s="40" t="e">
        <f ca="1">IQR(I27:I34)</f>
        <v>#NAME?</v>
      </c>
    </row>
    <row r="47" spans="1:23" x14ac:dyDescent="0.35">
      <c r="F47" s="70" t="s">
        <v>164</v>
      </c>
      <c r="K47" t="s">
        <v>261</v>
      </c>
      <c r="Q47" t="s">
        <v>254</v>
      </c>
      <c r="W47" t="s">
        <v>277</v>
      </c>
    </row>
    <row r="49" spans="6:27" x14ac:dyDescent="0.35">
      <c r="F49" s="47" t="e">
        <f t="array" aca="1" ref="F49:I57" ca="1">ExtractCol(A3:D35,"herbicide")</f>
        <v>#NAME?</v>
      </c>
      <c r="G49" s="47" t="e">
        <f ca="1"/>
        <v>#NAME?</v>
      </c>
      <c r="H49" s="47" t="e">
        <f ca="1"/>
        <v>#NAME?</v>
      </c>
      <c r="I49" s="47" t="e">
        <f ca="1"/>
        <v>#NAME?</v>
      </c>
      <c r="K49" s="144"/>
      <c r="L49" s="144" t="e">
        <f ca="1">F49</f>
        <v>#NAME?</v>
      </c>
      <c r="M49" s="144" t="e">
        <f ca="1">G49</f>
        <v>#NAME?</v>
      </c>
      <c r="N49" s="144" t="e">
        <f ca="1">H49</f>
        <v>#NAME?</v>
      </c>
      <c r="O49" s="144" t="e">
        <f ca="1">I49</f>
        <v>#NAME?</v>
      </c>
      <c r="R49" s="143" t="e">
        <f ca="1">F49</f>
        <v>#NAME?</v>
      </c>
      <c r="S49" s="143" t="e">
        <f ca="1">G49</f>
        <v>#NAME?</v>
      </c>
      <c r="T49" s="143" t="e">
        <f ca="1">H49</f>
        <v>#NAME?</v>
      </c>
      <c r="U49" s="143" t="e">
        <f ca="1">I49</f>
        <v>#NAME?</v>
      </c>
      <c r="W49" s="144"/>
      <c r="X49" s="144" t="e">
        <f ca="1">F49</f>
        <v>#NAME?</v>
      </c>
      <c r="Y49" s="144" t="e">
        <f ca="1">G49</f>
        <v>#NAME?</v>
      </c>
      <c r="Z49" s="144" t="e">
        <f ca="1">H49</f>
        <v>#NAME?</v>
      </c>
      <c r="AA49" s="144" t="e">
        <f ca="1">I49</f>
        <v>#NAME?</v>
      </c>
    </row>
    <row r="50" spans="6:27" x14ac:dyDescent="0.35">
      <c r="F50" s="33" t="e">
        <f ca="1"/>
        <v>#NAME?</v>
      </c>
      <c r="G50" s="88" t="e">
        <f ca="1"/>
        <v>#NAME?</v>
      </c>
      <c r="H50" s="88" t="e">
        <f ca="1"/>
        <v>#NAME?</v>
      </c>
      <c r="I50" s="89" t="e">
        <f ca="1"/>
        <v>#NAME?</v>
      </c>
      <c r="K50" t="s">
        <v>34</v>
      </c>
      <c r="L50" t="e">
        <f ca="1">AVERAGE(F50:F57)</f>
        <v>#NAME?</v>
      </c>
      <c r="M50" t="e">
        <f ca="1">AVERAGE(G50:G57)</f>
        <v>#NAME?</v>
      </c>
      <c r="N50" t="e">
        <f ca="1">AVERAGE(H50:H57)</f>
        <v>#NAME?</v>
      </c>
      <c r="O50" t="e">
        <f ca="1">AVERAGE(I50:I57)</f>
        <v>#NAME?</v>
      </c>
      <c r="Q50" t="s">
        <v>139</v>
      </c>
      <c r="R50" s="130" t="e">
        <f ca="1">MIN(F50:F57)</f>
        <v>#NAME?</v>
      </c>
      <c r="S50" s="141" t="e">
        <f ca="1">MIN(G50:G57)</f>
        <v>#NAME?</v>
      </c>
      <c r="T50" s="141" t="e">
        <f ca="1">MIN(H50:H57)</f>
        <v>#NAME?</v>
      </c>
      <c r="U50" s="131" t="e">
        <f ca="1">MIN(I50:I57)</f>
        <v>#NAME?</v>
      </c>
      <c r="W50" t="s">
        <v>278</v>
      </c>
      <c r="X50" t="e">
        <f ca="1">SHAPIRO(F50:F57)</f>
        <v>#NAME?</v>
      </c>
      <c r="Y50" t="e">
        <f ca="1">SHAPIRO(G50:G57)</f>
        <v>#NAME?</v>
      </c>
      <c r="Z50" t="e">
        <f ca="1">SHAPIRO(H50:H57)</f>
        <v>#NAME?</v>
      </c>
      <c r="AA50" t="e">
        <f ca="1">SHAPIRO(I50:I57)</f>
        <v>#NAME?</v>
      </c>
    </row>
    <row r="51" spans="6:27" x14ac:dyDescent="0.35">
      <c r="F51" s="36" t="e">
        <f ca="1"/>
        <v>#NAME?</v>
      </c>
      <c r="G51" s="37" t="e">
        <f ca="1"/>
        <v>#NAME?</v>
      </c>
      <c r="H51" s="37" t="e">
        <f ca="1"/>
        <v>#NAME?</v>
      </c>
      <c r="I51" s="38" t="e">
        <f ca="1"/>
        <v>#NAME?</v>
      </c>
      <c r="K51" t="s">
        <v>262</v>
      </c>
      <c r="L51" t="e">
        <f ca="1">STDEV(F50:F57)/SQRT(COUNT(F50:F57))</f>
        <v>#NAME?</v>
      </c>
      <c r="M51" t="e">
        <f ca="1">STDEV(G50:G57)/SQRT(COUNT(G50:G57))</f>
        <v>#NAME?</v>
      </c>
      <c r="N51" t="e">
        <f ca="1">STDEV(H50:H57)/SQRT(COUNT(H50:H57))</f>
        <v>#NAME?</v>
      </c>
      <c r="O51" t="e">
        <f ca="1">STDEV(I50:I57)/SQRT(COUNT(I50:I57))</f>
        <v>#NAME?</v>
      </c>
      <c r="Q51" t="s">
        <v>140</v>
      </c>
      <c r="R51" s="83" t="e">
        <f ca="1">QUARTILE(F50:F57,1)-R50</f>
        <v>#NAME?</v>
      </c>
      <c r="S51" s="37" t="e">
        <f ca="1">QUARTILE(G50:G57,1)-S50</f>
        <v>#NAME?</v>
      </c>
      <c r="T51" s="37" t="e">
        <f ca="1">QUARTILE(H50:H57,1)-T50</f>
        <v>#NAME?</v>
      </c>
      <c r="U51" s="84" t="e">
        <f ca="1">QUARTILE(I50:I57,1)-U50</f>
        <v>#NAME?</v>
      </c>
      <c r="W51" t="s">
        <v>65</v>
      </c>
      <c r="X51" t="e">
        <f ca="1">SWTEST(F50:F57)</f>
        <v>#NAME?</v>
      </c>
      <c r="Y51" t="e">
        <f ca="1">SWTEST(G50:G57)</f>
        <v>#NAME?</v>
      </c>
      <c r="Z51" t="e">
        <f ca="1">SWTEST(H50:H57)</f>
        <v>#NAME?</v>
      </c>
      <c r="AA51" t="e">
        <f ca="1">SWTEST(I50:I57)</f>
        <v>#NAME?</v>
      </c>
    </row>
    <row r="52" spans="6:27" x14ac:dyDescent="0.35">
      <c r="F52" s="36" t="e">
        <f ca="1"/>
        <v>#NAME?</v>
      </c>
      <c r="G52" s="37" t="e">
        <f ca="1"/>
        <v>#NAME?</v>
      </c>
      <c r="H52" s="37" t="e">
        <f ca="1"/>
        <v>#NAME?</v>
      </c>
      <c r="I52" s="38" t="e">
        <f ca="1"/>
        <v>#NAME?</v>
      </c>
      <c r="K52" t="s">
        <v>263</v>
      </c>
      <c r="L52" t="e">
        <f ca="1">MEDIAN(F50:F57)</f>
        <v>#NAME?</v>
      </c>
      <c r="M52" t="e">
        <f ca="1">MEDIAN(G50:G57)</f>
        <v>#NAME?</v>
      </c>
      <c r="N52" t="e">
        <f ca="1">MEDIAN(H50:H57)</f>
        <v>#NAME?</v>
      </c>
      <c r="O52" t="e">
        <f ca="1">MEDIAN(I50:I57)</f>
        <v>#NAME?</v>
      </c>
      <c r="Q52" t="s">
        <v>141</v>
      </c>
      <c r="R52" s="83" t="e">
        <f ca="1">MEDIAN(F50:F57)-QUARTILE(F50:F57,1)</f>
        <v>#NAME?</v>
      </c>
      <c r="S52" s="37" t="e">
        <f ca="1">MEDIAN(G50:G57)-QUARTILE(G50:G57,1)</f>
        <v>#NAME?</v>
      </c>
      <c r="T52" s="37" t="e">
        <f ca="1">MEDIAN(H50:H57)-QUARTILE(H50:H57,1)</f>
        <v>#NAME?</v>
      </c>
      <c r="U52" s="84" t="e">
        <f ca="1">MEDIAN(I50:I57)-QUARTILE(I50:I57,1)</f>
        <v>#NAME?</v>
      </c>
      <c r="W52" t="s">
        <v>220</v>
      </c>
      <c r="X52">
        <v>0.05</v>
      </c>
      <c r="Y52">
        <v>0.05</v>
      </c>
      <c r="Z52">
        <v>0.05</v>
      </c>
      <c r="AA52">
        <v>0.05</v>
      </c>
    </row>
    <row r="53" spans="6:27" x14ac:dyDescent="0.35">
      <c r="F53" s="36" t="e">
        <f ca="1"/>
        <v>#NAME?</v>
      </c>
      <c r="G53" s="37" t="e">
        <f ca="1"/>
        <v>#NAME?</v>
      </c>
      <c r="H53" s="37" t="e">
        <f ca="1"/>
        <v>#NAME?</v>
      </c>
      <c r="I53" s="38" t="e">
        <f ca="1"/>
        <v>#NAME?</v>
      </c>
      <c r="K53" t="s">
        <v>264</v>
      </c>
      <c r="L53" t="e">
        <f ca="1">MODE(F50:F57)</f>
        <v>#NAME?</v>
      </c>
      <c r="M53" t="e">
        <f ca="1">MODE(G50:G57)</f>
        <v>#NAME?</v>
      </c>
      <c r="N53" t="e">
        <f ca="1">MODE(H50:H57)</f>
        <v>#NAME?</v>
      </c>
      <c r="O53" t="e">
        <f ca="1">MODE(I50:I57)</f>
        <v>#NAME?</v>
      </c>
      <c r="Q53" t="s">
        <v>142</v>
      </c>
      <c r="R53" s="83" t="e">
        <f ca="1">QUARTILE(F50:F57,3)-MEDIAN(F50:F57)</f>
        <v>#NAME?</v>
      </c>
      <c r="S53" s="37" t="e">
        <f ca="1">QUARTILE(G50:G57,3)-MEDIAN(G50:G57)</f>
        <v>#NAME?</v>
      </c>
      <c r="T53" s="37" t="e">
        <f ca="1">QUARTILE(H50:H57,3)-MEDIAN(H50:H57)</f>
        <v>#NAME?</v>
      </c>
      <c r="U53" s="84" t="e">
        <f ca="1">QUARTILE(I50:I57,3)-MEDIAN(I50:I57)</f>
        <v>#NAME?</v>
      </c>
      <c r="W53" s="40" t="s">
        <v>279</v>
      </c>
      <c r="X53" s="58" t="e">
        <f ca="1">IF(X51&lt;X52,"no","yes")</f>
        <v>#NAME?</v>
      </c>
      <c r="Y53" s="58" t="e">
        <f ca="1">IF(Y51&lt;Y52,"no","yes")</f>
        <v>#NAME?</v>
      </c>
      <c r="Z53" s="58" t="e">
        <f ca="1">IF(Z51&lt;Z52,"no","yes")</f>
        <v>#NAME?</v>
      </c>
      <c r="AA53" s="58" t="e">
        <f ca="1">IF(AA51&lt;AA52,"no","yes")</f>
        <v>#NAME?</v>
      </c>
    </row>
    <row r="54" spans="6:27" x14ac:dyDescent="0.35">
      <c r="F54" s="36" t="e">
        <f ca="1"/>
        <v>#NAME?</v>
      </c>
      <c r="G54" s="37" t="e">
        <f ca="1"/>
        <v>#NAME?</v>
      </c>
      <c r="H54" s="37" t="e">
        <f ca="1"/>
        <v>#NAME?</v>
      </c>
      <c r="I54" s="38" t="e">
        <f ca="1"/>
        <v>#NAME?</v>
      </c>
      <c r="K54" t="s">
        <v>265</v>
      </c>
      <c r="L54" t="e">
        <f ca="1">STDEV(F50:F57)</f>
        <v>#NAME?</v>
      </c>
      <c r="M54" t="e">
        <f ca="1">STDEV(G50:G57)</f>
        <v>#NAME?</v>
      </c>
      <c r="N54" t="e">
        <f ca="1">STDEV(H50:H57)</f>
        <v>#NAME?</v>
      </c>
      <c r="O54" t="e">
        <f ca="1">STDEV(I50:I57)</f>
        <v>#NAME?</v>
      </c>
      <c r="Q54" t="s">
        <v>143</v>
      </c>
      <c r="R54" s="85" t="e">
        <f ca="1">MAX(F50:F57)-QUARTILE(F50:F57,3)</f>
        <v>#NAME?</v>
      </c>
      <c r="S54" s="86" t="e">
        <f ca="1">MAX(G50:G57)-QUARTILE(G50:G57,3)</f>
        <v>#NAME?</v>
      </c>
      <c r="T54" s="86" t="e">
        <f ca="1">MAX(H50:H57)-QUARTILE(H50:H57,3)</f>
        <v>#NAME?</v>
      </c>
      <c r="U54" s="87" t="e">
        <f ca="1">MAX(I50:I57)-QUARTILE(I50:I57,3)</f>
        <v>#NAME?</v>
      </c>
    </row>
    <row r="55" spans="6:27" x14ac:dyDescent="0.35">
      <c r="F55" s="36" t="e">
        <f ca="1"/>
        <v>#NAME?</v>
      </c>
      <c r="G55" s="37" t="e">
        <f ca="1"/>
        <v>#NAME?</v>
      </c>
      <c r="H55" s="37" t="e">
        <f ca="1"/>
        <v>#NAME?</v>
      </c>
      <c r="I55" s="38" t="e">
        <f ca="1"/>
        <v>#NAME?</v>
      </c>
      <c r="K55" t="s">
        <v>266</v>
      </c>
      <c r="L55" t="e">
        <f ca="1">VAR(F50:F57)</f>
        <v>#NAME?</v>
      </c>
      <c r="M55" t="e">
        <f ca="1">VAR(G50:G57)</f>
        <v>#NAME?</v>
      </c>
      <c r="N55" t="e">
        <f ca="1">VAR(H50:H57)</f>
        <v>#NAME?</v>
      </c>
      <c r="O55" t="e">
        <f ca="1">VAR(I50:I57)</f>
        <v>#NAME?</v>
      </c>
    </row>
    <row r="56" spans="6:27" x14ac:dyDescent="0.35">
      <c r="F56" s="36" t="e">
        <f ca="1"/>
        <v>#NAME?</v>
      </c>
      <c r="G56" s="37" t="e">
        <f ca="1"/>
        <v>#NAME?</v>
      </c>
      <c r="H56" s="37" t="e">
        <f ca="1"/>
        <v>#NAME?</v>
      </c>
      <c r="I56" s="38" t="e">
        <f ca="1"/>
        <v>#NAME?</v>
      </c>
      <c r="K56" t="s">
        <v>267</v>
      </c>
      <c r="L56" t="e">
        <f ca="1">KURT(F50:F57)</f>
        <v>#NAME?</v>
      </c>
      <c r="M56" t="e">
        <f ca="1">KURT(G50:G57)</f>
        <v>#NAME?</v>
      </c>
      <c r="N56" t="e">
        <f ca="1">KURT(H50:H57)</f>
        <v>#NAME?</v>
      </c>
      <c r="O56" t="e">
        <f ca="1">KURT(I50:I57)</f>
        <v>#NAME?</v>
      </c>
    </row>
    <row r="57" spans="6:27" x14ac:dyDescent="0.35">
      <c r="F57" s="39" t="e">
        <f ca="1"/>
        <v>#NAME?</v>
      </c>
      <c r="G57" s="40" t="e">
        <f ca="1"/>
        <v>#NAME?</v>
      </c>
      <c r="H57" s="40" t="e">
        <f ca="1"/>
        <v>#NAME?</v>
      </c>
      <c r="I57" s="41" t="e">
        <f ca="1"/>
        <v>#NAME?</v>
      </c>
      <c r="K57" t="s">
        <v>268</v>
      </c>
      <c r="L57" t="e">
        <f ca="1">SKEW(F50:F57)</f>
        <v>#NAME?</v>
      </c>
      <c r="M57" t="e">
        <f ca="1">SKEW(G50:G57)</f>
        <v>#NAME?</v>
      </c>
      <c r="N57" t="e">
        <f ca="1">SKEW(H50:H57)</f>
        <v>#NAME?</v>
      </c>
      <c r="O57" t="e">
        <f ca="1">SKEW(I50:I57)</f>
        <v>#NAME?</v>
      </c>
    </row>
    <row r="58" spans="6:27" x14ac:dyDescent="0.35">
      <c r="F58" t="s">
        <v>48</v>
      </c>
      <c r="G58" t="e">
        <f ca="1">AVERAGE(G50:G57)</f>
        <v>#NAME?</v>
      </c>
      <c r="K58" t="s">
        <v>269</v>
      </c>
      <c r="L58" t="e">
        <f ca="1">L59-L60</f>
        <v>#NAME?</v>
      </c>
      <c r="M58" t="e">
        <f ca="1">M59-M60</f>
        <v>#NAME?</v>
      </c>
      <c r="N58" t="e">
        <f ca="1">N59-N60</f>
        <v>#NAME?</v>
      </c>
      <c r="O58" t="e">
        <f ca="1">O59-O60</f>
        <v>#NAME?</v>
      </c>
    </row>
    <row r="59" spans="6:27" x14ac:dyDescent="0.35">
      <c r="F59" t="s">
        <v>49</v>
      </c>
      <c r="G59" t="e">
        <f ca="1">STDEV(G50:G57)</f>
        <v>#NAME?</v>
      </c>
      <c r="K59" t="s">
        <v>270</v>
      </c>
      <c r="L59" t="e">
        <f ca="1">MAX(F50:F57)</f>
        <v>#NAME?</v>
      </c>
      <c r="M59" t="e">
        <f ca="1">MAX(G50:G57)</f>
        <v>#NAME?</v>
      </c>
      <c r="N59" t="e">
        <f ca="1">MAX(H50:H57)</f>
        <v>#NAME?</v>
      </c>
      <c r="O59" t="e">
        <f ca="1">MAX(I50:I57)</f>
        <v>#NAME?</v>
      </c>
    </row>
    <row r="60" spans="6:27" x14ac:dyDescent="0.35">
      <c r="F60" t="s">
        <v>215</v>
      </c>
      <c r="G60" t="e">
        <f ca="1">STANDARDIZE(G54,G58,G59)</f>
        <v>#NAME?</v>
      </c>
      <c r="K60" t="s">
        <v>271</v>
      </c>
      <c r="L60" t="e">
        <f ca="1">MIN(F50:F57)</f>
        <v>#NAME?</v>
      </c>
      <c r="M60" t="e">
        <f ca="1">MIN(G50:G57)</f>
        <v>#NAME?</v>
      </c>
      <c r="N60" t="e">
        <f ca="1">MIN(H50:H57)</f>
        <v>#NAME?</v>
      </c>
      <c r="O60" t="e">
        <f ca="1">MIN(I50:I57)</f>
        <v>#NAME?</v>
      </c>
    </row>
    <row r="61" spans="6:27" x14ac:dyDescent="0.35">
      <c r="K61" t="s">
        <v>177</v>
      </c>
      <c r="L61" t="e">
        <f ca="1">SUM(F50:F57)</f>
        <v>#NAME?</v>
      </c>
      <c r="M61" t="e">
        <f ca="1">SUM(G50:G57)</f>
        <v>#NAME?</v>
      </c>
      <c r="N61" t="e">
        <f ca="1">SUM(H50:H57)</f>
        <v>#NAME?</v>
      </c>
      <c r="O61" t="e">
        <f ca="1">SUM(I50:I57)</f>
        <v>#NAME?</v>
      </c>
    </row>
    <row r="62" spans="6:27" x14ac:dyDescent="0.35">
      <c r="K62" t="s">
        <v>100</v>
      </c>
      <c r="L62">
        <f ca="1">COUNT(F50:F57)</f>
        <v>0</v>
      </c>
      <c r="M62">
        <f ca="1">COUNT(G50:G57)</f>
        <v>0</v>
      </c>
      <c r="N62">
        <f ca="1">COUNT(H50:H57)</f>
        <v>0</v>
      </c>
      <c r="O62">
        <f ca="1">COUNT(I50:I57)</f>
        <v>0</v>
      </c>
    </row>
    <row r="63" spans="6:27" x14ac:dyDescent="0.35">
      <c r="K63" t="s">
        <v>272</v>
      </c>
      <c r="L63" t="e">
        <f ca="1">GEOMEAN(F50:F57)</f>
        <v>#NAME?</v>
      </c>
      <c r="M63" t="e">
        <f ca="1">GEOMEAN(G50:G57)</f>
        <v>#NAME?</v>
      </c>
      <c r="N63" t="e">
        <f ca="1">GEOMEAN(H50:H57)</f>
        <v>#NAME?</v>
      </c>
      <c r="O63" t="e">
        <f ca="1">GEOMEAN(I50:I57)</f>
        <v>#NAME?</v>
      </c>
    </row>
    <row r="64" spans="6:27" x14ac:dyDescent="0.35">
      <c r="K64" t="s">
        <v>273</v>
      </c>
      <c r="L64" t="e">
        <f ca="1">HARMEAN(F50:F57)</f>
        <v>#NAME?</v>
      </c>
      <c r="M64" t="e">
        <f ca="1">HARMEAN(G50:G57)</f>
        <v>#NAME?</v>
      </c>
      <c r="N64" t="e">
        <f ca="1">HARMEAN(H50:H57)</f>
        <v>#NAME?</v>
      </c>
      <c r="O64" t="e">
        <f ca="1">HARMEAN(I50:I57)</f>
        <v>#NAME?</v>
      </c>
    </row>
    <row r="65" spans="11:15" x14ac:dyDescent="0.35">
      <c r="K65" t="s">
        <v>274</v>
      </c>
      <c r="L65" t="e">
        <f ca="1">AVEDEV(F50:F57)</f>
        <v>#NAME?</v>
      </c>
      <c r="M65" t="e">
        <f ca="1">AVEDEV(G50:G57)</f>
        <v>#NAME?</v>
      </c>
      <c r="N65" t="e">
        <f ca="1">AVEDEV(H50:H57)</f>
        <v>#NAME?</v>
      </c>
      <c r="O65" t="e">
        <f ca="1">AVEDEV(I50:I57)</f>
        <v>#NAME?</v>
      </c>
    </row>
    <row r="66" spans="11:15" x14ac:dyDescent="0.35">
      <c r="K66" t="s">
        <v>275</v>
      </c>
      <c r="L66" t="e">
        <f ca="1">MAD(F50:F57)</f>
        <v>#NAME?</v>
      </c>
      <c r="M66" t="e">
        <f ca="1">MAD(G50:G57)</f>
        <v>#NAME?</v>
      </c>
      <c r="N66" t="e">
        <f ca="1">MAD(H50:H57)</f>
        <v>#NAME?</v>
      </c>
      <c r="O66" t="e">
        <f ca="1">MAD(I50:I57)</f>
        <v>#NAME?</v>
      </c>
    </row>
    <row r="67" spans="11:15" x14ac:dyDescent="0.35">
      <c r="K67" s="40" t="s">
        <v>276</v>
      </c>
      <c r="L67" s="40" t="e">
        <f ca="1">IQR(F50:F57)</f>
        <v>#NAME?</v>
      </c>
      <c r="M67" s="40" t="e">
        <f ca="1">IQR(G50:G57)</f>
        <v>#NAME?</v>
      </c>
      <c r="N67" s="40" t="e">
        <f ca="1">IQR(H50:H57)</f>
        <v>#NAME?</v>
      </c>
      <c r="O67" s="40" t="e">
        <f ca="1">IQR(I50:I57)</f>
        <v>#NAME?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2"/>
  <dimension ref="A1:V35"/>
  <sheetViews>
    <sheetView zoomScaleNormal="100" workbookViewId="0"/>
  </sheetViews>
  <sheetFormatPr defaultRowHeight="14.5" x14ac:dyDescent="0.35"/>
  <sheetData>
    <row r="1" spans="1:22" x14ac:dyDescent="0.35">
      <c r="A1" s="42" t="s">
        <v>252</v>
      </c>
      <c r="F1" t="s">
        <v>253</v>
      </c>
      <c r="K1" t="s">
        <v>254</v>
      </c>
      <c r="Q1" t="s">
        <v>255</v>
      </c>
    </row>
    <row r="3" spans="1:22" x14ac:dyDescent="0.35">
      <c r="B3" s="47" t="s">
        <v>144</v>
      </c>
      <c r="C3" s="47" t="s">
        <v>145</v>
      </c>
      <c r="D3" s="47" t="s">
        <v>146</v>
      </c>
      <c r="F3" s="47" t="e">
        <f t="array" aca="1" ref="F3:I11" ca="1">ExtractCol(A3:D35,D3)</f>
        <v>#NAME?</v>
      </c>
      <c r="G3" s="47" t="e">
        <f ca="1"/>
        <v>#NAME?</v>
      </c>
      <c r="H3" s="47" t="e">
        <f ca="1"/>
        <v>#NAME?</v>
      </c>
      <c r="I3" s="47" t="e">
        <f ca="1"/>
        <v>#NAME?</v>
      </c>
      <c r="L3" s="143" t="e">
        <f ca="1">F3</f>
        <v>#NAME?</v>
      </c>
      <c r="M3" s="143" t="e">
        <f ca="1">G3</f>
        <v>#NAME?</v>
      </c>
      <c r="N3" s="143" t="e">
        <f ca="1">H3</f>
        <v>#NAME?</v>
      </c>
      <c r="O3" s="143" t="e">
        <f ca="1">I3</f>
        <v>#NAME?</v>
      </c>
      <c r="Q3" s="144"/>
      <c r="R3" s="144" t="e">
        <f ca="1">F3</f>
        <v>#NAME?</v>
      </c>
      <c r="S3" s="144" t="e">
        <f ca="1">G3</f>
        <v>#NAME?</v>
      </c>
      <c r="T3" s="144" t="e">
        <f ca="1">H3</f>
        <v>#NAME?</v>
      </c>
      <c r="U3" s="144" t="e">
        <f ca="1">I3</f>
        <v>#NAME?</v>
      </c>
    </row>
    <row r="4" spans="1:22" x14ac:dyDescent="0.35">
      <c r="A4" t="s">
        <v>158</v>
      </c>
      <c r="B4" s="75">
        <v>76.7</v>
      </c>
      <c r="C4" s="100">
        <v>29.5</v>
      </c>
      <c r="D4" s="101">
        <v>7.5</v>
      </c>
      <c r="E4" s="126">
        <v>1</v>
      </c>
      <c r="F4" s="138" t="e">
        <f ca="1"/>
        <v>#NAME?</v>
      </c>
      <c r="G4" s="139" t="e">
        <f ca="1"/>
        <v>#NAME?</v>
      </c>
      <c r="H4" s="139" t="e">
        <f ca="1"/>
        <v>#NAME?</v>
      </c>
      <c r="I4" s="140" t="e">
        <f ca="1"/>
        <v>#NAME?</v>
      </c>
      <c r="K4" t="s">
        <v>139</v>
      </c>
      <c r="L4" s="130" t="e">
        <f ca="1">MIN(F4:F11)</f>
        <v>#NAME?</v>
      </c>
      <c r="M4" s="141" t="e">
        <f ca="1">MIN(G4:G11)</f>
        <v>#NAME?</v>
      </c>
      <c r="N4" s="141" t="e">
        <f ca="1">MIN(H4:H11)</f>
        <v>#NAME?</v>
      </c>
      <c r="O4" s="131" t="e">
        <f ca="1">MIN(I4:I11)</f>
        <v>#NAME?</v>
      </c>
      <c r="Q4" s="32" t="s">
        <v>48</v>
      </c>
      <c r="R4" t="e">
        <f ca="1">AVERAGE(F4:F11)</f>
        <v>#NAME?</v>
      </c>
      <c r="S4" t="e">
        <f ca="1">AVERAGE(G4:G11)</f>
        <v>#NAME?</v>
      </c>
      <c r="T4" t="e">
        <f ca="1">AVERAGE(H4:H11)</f>
        <v>#NAME?</v>
      </c>
      <c r="U4" t="e">
        <f ca="1">AVERAGE(I4:I11)</f>
        <v>#NAME?</v>
      </c>
    </row>
    <row r="5" spans="1:22" x14ac:dyDescent="0.35">
      <c r="A5" t="s">
        <v>158</v>
      </c>
      <c r="B5" s="102">
        <v>60.5</v>
      </c>
      <c r="C5" s="103">
        <v>32.1</v>
      </c>
      <c r="D5" s="104">
        <v>6.3</v>
      </c>
      <c r="E5" s="122">
        <f>E4+1</f>
        <v>2</v>
      </c>
      <c r="F5" s="36" t="e">
        <f ca="1"/>
        <v>#NAME?</v>
      </c>
      <c r="G5" s="37" t="e">
        <f ca="1"/>
        <v>#NAME?</v>
      </c>
      <c r="H5" s="37" t="e">
        <f ca="1"/>
        <v>#NAME?</v>
      </c>
      <c r="I5" s="38" t="e">
        <f ca="1"/>
        <v>#NAME?</v>
      </c>
      <c r="K5" t="s">
        <v>140</v>
      </c>
      <c r="L5" s="83" t="e">
        <f ca="1">QUARTILE(F4:F11,1)-L4</f>
        <v>#NAME?</v>
      </c>
      <c r="M5" s="37" t="e">
        <f ca="1">QUARTILE(G4:G11,1)-M4</f>
        <v>#NAME?</v>
      </c>
      <c r="N5" s="37" t="e">
        <f ca="1">QUARTILE(H4:H11,1)-N4</f>
        <v>#NAME?</v>
      </c>
      <c r="O5" s="84" t="e">
        <f ca="1">QUARTILE(I4:I11,1)-O4</f>
        <v>#NAME?</v>
      </c>
      <c r="Q5" s="32" t="s">
        <v>49</v>
      </c>
      <c r="R5" t="e">
        <f ca="1">STDEV(F4:F11)</f>
        <v>#NAME?</v>
      </c>
      <c r="S5" t="e">
        <f ca="1">STDEV(G4:G11)</f>
        <v>#NAME?</v>
      </c>
      <c r="T5" t="e">
        <f ca="1">STDEV(H4:H11)</f>
        <v>#NAME?</v>
      </c>
      <c r="U5" t="e">
        <f ca="1">STDEV(I4:I11)</f>
        <v>#NAME?</v>
      </c>
    </row>
    <row r="6" spans="1:22" x14ac:dyDescent="0.35">
      <c r="A6" t="s">
        <v>158</v>
      </c>
      <c r="B6" s="102">
        <v>96.1</v>
      </c>
      <c r="C6" s="103">
        <v>40.700000000000003</v>
      </c>
      <c r="D6" s="104">
        <v>4.2</v>
      </c>
      <c r="E6" s="122">
        <f t="shared" ref="E6:E11" si="0">E5+1</f>
        <v>3</v>
      </c>
      <c r="F6" s="36" t="e">
        <f ca="1"/>
        <v>#NAME?</v>
      </c>
      <c r="G6" s="37" t="e">
        <f ca="1"/>
        <v>#NAME?</v>
      </c>
      <c r="H6" s="37" t="e">
        <f ca="1"/>
        <v>#NAME?</v>
      </c>
      <c r="I6" s="38" t="e">
        <f ca="1"/>
        <v>#NAME?</v>
      </c>
      <c r="K6" t="s">
        <v>141</v>
      </c>
      <c r="L6" s="83" t="e">
        <f ca="1">MEDIAN(F4:F11)-QUARTILE(F4:F11,1)</f>
        <v>#NAME?</v>
      </c>
      <c r="M6" s="37" t="e">
        <f ca="1">MEDIAN(G4:G11)-QUARTILE(G4:G11,1)</f>
        <v>#NAME?</v>
      </c>
      <c r="N6" s="37" t="e">
        <f ca="1">MEDIAN(H4:H11)-QUARTILE(H4:H11,1)</f>
        <v>#NAME?</v>
      </c>
      <c r="O6" s="84" t="e">
        <f ca="1">MEDIAN(I4:I11)-QUARTILE(I4:I11,1)</f>
        <v>#NAME?</v>
      </c>
      <c r="Q6" s="145" t="s">
        <v>256</v>
      </c>
      <c r="R6" s="139">
        <f ca="1">COUNTIF(R9:R16,"&gt;=2.5")+COUNTIF(R9:R16,"&lt;=-2.5")</f>
        <v>0</v>
      </c>
      <c r="S6" s="139">
        <f ca="1">COUNTIF(S9:S16,"&gt;=2.5")+COUNTIF(S9:S16,"&lt;=-2.5")</f>
        <v>0</v>
      </c>
      <c r="T6" s="139">
        <f ca="1">COUNTIF(T9:T16,"&gt;=2.5")+COUNTIF(T9:T16,"&lt;=-2.5")</f>
        <v>0</v>
      </c>
      <c r="U6" s="139">
        <f ca="1">COUNTIF(U9:U16,"&gt;=2.5")+COUNTIF(U9:U16,"&lt;=-2.5")</f>
        <v>0</v>
      </c>
    </row>
    <row r="7" spans="1:22" x14ac:dyDescent="0.35">
      <c r="A7" t="s">
        <v>158</v>
      </c>
      <c r="B7" s="102">
        <v>88.1</v>
      </c>
      <c r="C7" s="103">
        <v>45.1</v>
      </c>
      <c r="D7" s="104">
        <v>4.9000000000000004</v>
      </c>
      <c r="E7" s="122">
        <f t="shared" si="0"/>
        <v>4</v>
      </c>
      <c r="F7" s="36" t="e">
        <f ca="1"/>
        <v>#NAME?</v>
      </c>
      <c r="G7" s="37" t="e">
        <f ca="1"/>
        <v>#NAME?</v>
      </c>
      <c r="H7" s="37" t="e">
        <f ca="1"/>
        <v>#NAME?</v>
      </c>
      <c r="I7" s="38" t="e">
        <f ca="1"/>
        <v>#NAME?</v>
      </c>
      <c r="K7" t="s">
        <v>142</v>
      </c>
      <c r="L7" s="83" t="e">
        <f ca="1">QUARTILE(F4:F11,3)-MEDIAN(F4:F11)</f>
        <v>#NAME?</v>
      </c>
      <c r="M7" s="37" t="e">
        <f ca="1">QUARTILE(G4:G11,3)-MEDIAN(G4:G11)</f>
        <v>#NAME?</v>
      </c>
      <c r="N7" s="37" t="e">
        <f ca="1">QUARTILE(H4:H11,3)-MEDIAN(H4:H11)</f>
        <v>#NAME?</v>
      </c>
      <c r="O7" s="84" t="e">
        <f ca="1">QUARTILE(I4:I11,3)-MEDIAN(I4:I11)</f>
        <v>#NAME?</v>
      </c>
      <c r="Q7" s="32" t="s">
        <v>257</v>
      </c>
      <c r="R7">
        <f ca="1">COUNTIF(R9:R16,"")</f>
        <v>0</v>
      </c>
      <c r="S7">
        <f ca="1">COUNTIF(S9:S16,"")</f>
        <v>0</v>
      </c>
      <c r="T7">
        <f ca="1">COUNTIF(T9:T16,"")</f>
        <v>0</v>
      </c>
      <c r="U7">
        <f ca="1">COUNTIF(U9:U16,"")</f>
        <v>0</v>
      </c>
    </row>
    <row r="8" spans="1:22" x14ac:dyDescent="0.35">
      <c r="A8" t="s">
        <v>158</v>
      </c>
      <c r="B8" s="102">
        <v>50.2</v>
      </c>
      <c r="C8" s="103">
        <v>34.1</v>
      </c>
      <c r="D8" s="104">
        <v>11.7</v>
      </c>
      <c r="E8" s="122">
        <f t="shared" si="0"/>
        <v>5</v>
      </c>
      <c r="F8" s="36" t="e">
        <f ca="1"/>
        <v>#NAME?</v>
      </c>
      <c r="G8" s="37" t="e">
        <f ca="1"/>
        <v>#NAME?</v>
      </c>
      <c r="H8" s="37" t="e">
        <f ca="1"/>
        <v>#NAME?</v>
      </c>
      <c r="I8" s="38" t="e">
        <f ca="1"/>
        <v>#NAME?</v>
      </c>
      <c r="K8" t="s">
        <v>143</v>
      </c>
      <c r="L8" s="85" t="e">
        <f ca="1">MAX(F4:F11)-QUARTILE(F4:F11,3)</f>
        <v>#NAME?</v>
      </c>
      <c r="M8" s="86" t="e">
        <f ca="1">MAX(G4:G11)-QUARTILE(G4:G11,3)</f>
        <v>#NAME?</v>
      </c>
      <c r="N8" s="86" t="e">
        <f ca="1">MAX(H4:H11)-QUARTILE(H4:H11,3)</f>
        <v>#NAME?</v>
      </c>
      <c r="O8" s="87" t="e">
        <f ca="1">MAX(I4:I11)-QUARTILE(I4:I11,3)</f>
        <v>#NAME?</v>
      </c>
      <c r="Q8" s="74" t="s">
        <v>258</v>
      </c>
      <c r="R8" s="40">
        <f ca="1">COUNTIF(R9:R16," ******* ")</f>
        <v>0</v>
      </c>
      <c r="S8" s="40">
        <f ca="1">COUNTIF(S9:S16," ******* ")</f>
        <v>0</v>
      </c>
      <c r="T8" s="40">
        <f ca="1">COUNTIF(T9:T16," ******* ")</f>
        <v>0</v>
      </c>
      <c r="U8" s="40">
        <f ca="1">COUNTIF(U9:U16," ******* ")</f>
        <v>0</v>
      </c>
    </row>
    <row r="9" spans="1:22" x14ac:dyDescent="0.35">
      <c r="A9" t="s">
        <v>158</v>
      </c>
      <c r="B9" s="102">
        <v>55</v>
      </c>
      <c r="C9" s="103">
        <v>31.1</v>
      </c>
      <c r="D9" s="104">
        <v>6.9</v>
      </c>
      <c r="E9" s="122">
        <f t="shared" si="0"/>
        <v>6</v>
      </c>
      <c r="F9" s="36" t="e">
        <f ca="1"/>
        <v>#NAME?</v>
      </c>
      <c r="G9" s="37" t="e">
        <f ca="1"/>
        <v>#NAME?</v>
      </c>
      <c r="H9" s="37" t="e">
        <f ca="1"/>
        <v>#NAME?</v>
      </c>
      <c r="I9" s="38" t="e">
        <f ca="1"/>
        <v>#NAME?</v>
      </c>
      <c r="Q9" s="32">
        <v>1</v>
      </c>
      <c r="R9" t="e">
        <f ca="1">IF(F4="","",IF(ISNUMBER(F4),STANDARDIZE(F4,R$4,R$5)," ******* "))</f>
        <v>#NAME?</v>
      </c>
      <c r="S9" t="e">
        <f t="shared" ref="S9:U16" ca="1" si="1">IF(G4="","",IF(ISNUMBER(G4),STANDARDIZE(G4,S$4,S$5)," ******* "))</f>
        <v>#NAME?</v>
      </c>
      <c r="T9" t="e">
        <f t="shared" ca="1" si="1"/>
        <v>#NAME?</v>
      </c>
      <c r="U9" t="e">
        <f t="shared" ca="1" si="1"/>
        <v>#NAME?</v>
      </c>
      <c r="V9" t="str">
        <f ca="1">IF(COUNTIF(R9:U9,"&gt;=2.5")+COUNTIF(R9:U9,"&lt;=-2.5")&gt;0,"*","")</f>
        <v/>
      </c>
    </row>
    <row r="10" spans="1:22" x14ac:dyDescent="0.35">
      <c r="A10" t="s">
        <v>158</v>
      </c>
      <c r="B10" s="102">
        <v>65.400000000000006</v>
      </c>
      <c r="C10" s="103">
        <v>21.6</v>
      </c>
      <c r="D10" s="104">
        <v>4.3</v>
      </c>
      <c r="E10" s="122">
        <f t="shared" si="0"/>
        <v>7</v>
      </c>
      <c r="F10" s="36" t="e">
        <f ca="1"/>
        <v>#NAME?</v>
      </c>
      <c r="G10" s="37" t="e">
        <f ca="1"/>
        <v>#NAME?</v>
      </c>
      <c r="H10" s="37" t="e">
        <f ca="1"/>
        <v>#NAME?</v>
      </c>
      <c r="I10" s="38" t="e">
        <f ca="1"/>
        <v>#NAME?</v>
      </c>
      <c r="Q10" s="32">
        <f>Q9+1</f>
        <v>2</v>
      </c>
      <c r="R10" t="e">
        <f t="shared" ref="R10:R16" ca="1" si="2">IF(F5="","",IF(ISNUMBER(F5),STANDARDIZE(F5,R$4,R$5)," ******* "))</f>
        <v>#NAME?</v>
      </c>
      <c r="S10" t="e">
        <f t="shared" ca="1" si="1"/>
        <v>#NAME?</v>
      </c>
      <c r="T10" t="e">
        <f t="shared" ca="1" si="1"/>
        <v>#NAME?</v>
      </c>
      <c r="U10" t="e">
        <f t="shared" ca="1" si="1"/>
        <v>#NAME?</v>
      </c>
      <c r="V10" t="str">
        <f t="shared" ref="V10:V16" ca="1" si="3">IF(COUNTIF(R10:U10,"&gt;=2.5")+COUNTIF(R10:U10,"&lt;=-2.5")&gt;0,"*","")</f>
        <v/>
      </c>
    </row>
    <row r="11" spans="1:22" x14ac:dyDescent="0.35">
      <c r="A11" t="s">
        <v>158</v>
      </c>
      <c r="B11" s="102">
        <v>65.7</v>
      </c>
      <c r="C11" s="103">
        <v>27.7</v>
      </c>
      <c r="D11" s="104">
        <v>5.3</v>
      </c>
      <c r="E11" s="122">
        <f t="shared" si="0"/>
        <v>8</v>
      </c>
      <c r="F11" s="39" t="e">
        <f ca="1"/>
        <v>#NAME?</v>
      </c>
      <c r="G11" s="40" t="e">
        <f ca="1"/>
        <v>#NAME?</v>
      </c>
      <c r="H11" s="40" t="e">
        <f ca="1"/>
        <v>#NAME?</v>
      </c>
      <c r="I11" s="41" t="e">
        <f ca="1"/>
        <v>#NAME?</v>
      </c>
      <c r="Q11" s="32">
        <f t="shared" ref="Q11:Q16" si="4">Q10+1</f>
        <v>3</v>
      </c>
      <c r="R11" t="e">
        <f t="shared" ca="1" si="2"/>
        <v>#NAME?</v>
      </c>
      <c r="S11" t="e">
        <f t="shared" ca="1" si="1"/>
        <v>#NAME?</v>
      </c>
      <c r="T11" t="e">
        <f t="shared" ca="1" si="1"/>
        <v>#NAME?</v>
      </c>
      <c r="U11" t="e">
        <f t="shared" ca="1" si="1"/>
        <v>#NAME?</v>
      </c>
      <c r="V11" t="str">
        <f t="shared" ca="1" si="3"/>
        <v/>
      </c>
    </row>
    <row r="12" spans="1:22" x14ac:dyDescent="0.35">
      <c r="A12" t="s">
        <v>159</v>
      </c>
      <c r="B12" s="102">
        <v>67.3</v>
      </c>
      <c r="C12" s="103">
        <v>48.3</v>
      </c>
      <c r="D12" s="104">
        <v>5.5</v>
      </c>
      <c r="Q12" s="32">
        <f t="shared" si="4"/>
        <v>4</v>
      </c>
      <c r="R12" t="e">
        <f t="shared" ca="1" si="2"/>
        <v>#NAME?</v>
      </c>
      <c r="S12" t="e">
        <f t="shared" ca="1" si="1"/>
        <v>#NAME?</v>
      </c>
      <c r="T12" t="e">
        <f t="shared" ca="1" si="1"/>
        <v>#NAME?</v>
      </c>
      <c r="U12" t="e">
        <f t="shared" ca="1" si="1"/>
        <v>#NAME?</v>
      </c>
      <c r="V12" t="str">
        <f t="shared" ca="1" si="3"/>
        <v/>
      </c>
    </row>
    <row r="13" spans="1:22" x14ac:dyDescent="0.35">
      <c r="A13" t="s">
        <v>159</v>
      </c>
      <c r="B13" s="102">
        <v>61.3</v>
      </c>
      <c r="C13" s="103">
        <v>28.9</v>
      </c>
      <c r="D13" s="104">
        <v>6.9</v>
      </c>
      <c r="Q13" s="32">
        <f t="shared" si="4"/>
        <v>5</v>
      </c>
      <c r="R13" t="e">
        <f t="shared" ca="1" si="2"/>
        <v>#NAME?</v>
      </c>
      <c r="S13" t="e">
        <f t="shared" ca="1" si="1"/>
        <v>#NAME?</v>
      </c>
      <c r="T13" t="e">
        <f t="shared" ca="1" si="1"/>
        <v>#NAME?</v>
      </c>
      <c r="U13" t="e">
        <f t="shared" ca="1" si="1"/>
        <v>#NAME?</v>
      </c>
      <c r="V13" t="str">
        <f t="shared" ca="1" si="3"/>
        <v/>
      </c>
    </row>
    <row r="14" spans="1:22" x14ac:dyDescent="0.35">
      <c r="A14" t="s">
        <v>159</v>
      </c>
      <c r="B14" s="102">
        <v>58.2</v>
      </c>
      <c r="C14" s="103">
        <v>42.5</v>
      </c>
      <c r="D14" s="104">
        <v>4.8</v>
      </c>
      <c r="Q14" s="32">
        <f t="shared" si="4"/>
        <v>6</v>
      </c>
      <c r="R14" t="e">
        <f t="shared" ca="1" si="2"/>
        <v>#NAME?</v>
      </c>
      <c r="S14" t="e">
        <f t="shared" ca="1" si="1"/>
        <v>#NAME?</v>
      </c>
      <c r="T14" t="e">
        <f t="shared" ca="1" si="1"/>
        <v>#NAME?</v>
      </c>
      <c r="U14" t="e">
        <f t="shared" ca="1" si="1"/>
        <v>#NAME?</v>
      </c>
      <c r="V14" t="str">
        <f t="shared" ca="1" si="3"/>
        <v/>
      </c>
    </row>
    <row r="15" spans="1:22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Q15" s="32">
        <f t="shared" si="4"/>
        <v>7</v>
      </c>
      <c r="R15" t="e">
        <f t="shared" ca="1" si="2"/>
        <v>#NAME?</v>
      </c>
      <c r="S15" t="e">
        <f t="shared" ca="1" si="1"/>
        <v>#NAME?</v>
      </c>
      <c r="T15" t="e">
        <f t="shared" ca="1" si="1"/>
        <v>#NAME?</v>
      </c>
      <c r="U15" t="e">
        <f t="shared" ca="1" si="1"/>
        <v>#NAME?</v>
      </c>
      <c r="V15" t="str">
        <f t="shared" ca="1" si="3"/>
        <v/>
      </c>
    </row>
    <row r="16" spans="1:22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Q16" s="74">
        <f t="shared" si="4"/>
        <v>8</v>
      </c>
      <c r="R16" s="40" t="e">
        <f t="shared" ca="1" si="2"/>
        <v>#NAME?</v>
      </c>
      <c r="S16" s="40" t="e">
        <f t="shared" ca="1" si="1"/>
        <v>#NAME?</v>
      </c>
      <c r="T16" s="40" t="e">
        <f t="shared" ca="1" si="1"/>
        <v>#NAME?</v>
      </c>
      <c r="U16" s="40" t="e">
        <f t="shared" ca="1" si="1"/>
        <v>#NAME?</v>
      </c>
      <c r="V16" t="str">
        <f t="shared" ca="1" si="3"/>
        <v/>
      </c>
    </row>
    <row r="17" spans="1: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4" x14ac:dyDescent="0.35">
      <c r="A18" t="s">
        <v>159</v>
      </c>
      <c r="B18" s="102">
        <v>50.5</v>
      </c>
      <c r="C18" s="103">
        <v>18</v>
      </c>
      <c r="D18" s="104">
        <v>4.8</v>
      </c>
    </row>
    <row r="19" spans="1: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4" x14ac:dyDescent="0.35">
      <c r="A20" t="s">
        <v>161</v>
      </c>
      <c r="B20" s="102">
        <v>62.8</v>
      </c>
      <c r="C20" s="103">
        <v>25.9</v>
      </c>
      <c r="D20" s="104">
        <v>2.9</v>
      </c>
    </row>
    <row r="21" spans="1:4" x14ac:dyDescent="0.35">
      <c r="A21" t="s">
        <v>161</v>
      </c>
      <c r="B21" s="102">
        <v>45</v>
      </c>
      <c r="C21" s="103">
        <v>15.9</v>
      </c>
      <c r="D21" s="104">
        <v>1.2</v>
      </c>
    </row>
    <row r="22" spans="1:4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4" x14ac:dyDescent="0.35">
      <c r="A23" t="s">
        <v>161</v>
      </c>
      <c r="B23" s="102">
        <v>75.599999999999994</v>
      </c>
      <c r="C23" s="103">
        <v>27.7</v>
      </c>
      <c r="D23" s="104">
        <v>6.3</v>
      </c>
    </row>
    <row r="24" spans="1:4" x14ac:dyDescent="0.35">
      <c r="A24" t="s">
        <v>161</v>
      </c>
      <c r="B24" s="102">
        <v>46.6</v>
      </c>
      <c r="C24" s="103">
        <v>46.9</v>
      </c>
      <c r="D24" s="104">
        <v>3.6</v>
      </c>
    </row>
    <row r="25" spans="1:4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4" x14ac:dyDescent="0.35">
      <c r="A26" t="s">
        <v>161</v>
      </c>
      <c r="B26" s="102">
        <v>45.7</v>
      </c>
      <c r="C26" s="103">
        <v>27.6</v>
      </c>
      <c r="D26" s="104">
        <v>6.2</v>
      </c>
    </row>
    <row r="27" spans="1:4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4" x14ac:dyDescent="0.35">
      <c r="A28" t="s">
        <v>160</v>
      </c>
      <c r="B28" s="102">
        <v>52.5</v>
      </c>
      <c r="C28" s="103">
        <v>39</v>
      </c>
      <c r="D28" s="104">
        <v>3.1</v>
      </c>
    </row>
    <row r="29" spans="1:4" x14ac:dyDescent="0.35">
      <c r="A29" t="s">
        <v>160</v>
      </c>
      <c r="B29" s="102">
        <v>80</v>
      </c>
      <c r="C29" s="103">
        <v>54.2</v>
      </c>
      <c r="D29" s="104">
        <v>4</v>
      </c>
    </row>
    <row r="30" spans="1:4" x14ac:dyDescent="0.35">
      <c r="A30" t="s">
        <v>160</v>
      </c>
      <c r="B30" s="102">
        <v>54.7</v>
      </c>
      <c r="C30" s="103">
        <v>32.1</v>
      </c>
      <c r="D30" s="104">
        <v>5.7</v>
      </c>
    </row>
    <row r="31" spans="1:4" x14ac:dyDescent="0.35">
      <c r="A31" t="s">
        <v>160</v>
      </c>
      <c r="B31" s="102">
        <v>63.5</v>
      </c>
      <c r="C31" s="103">
        <v>25.6</v>
      </c>
      <c r="D31" s="104">
        <v>3</v>
      </c>
    </row>
    <row r="32" spans="1: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5"/>
  <dimension ref="A1:R35"/>
  <sheetViews>
    <sheetView zoomScaleNormal="100" workbookViewId="0"/>
  </sheetViews>
  <sheetFormatPr defaultRowHeight="14.5" x14ac:dyDescent="0.35"/>
  <sheetData>
    <row r="1" spans="1:18" x14ac:dyDescent="0.35">
      <c r="A1" s="42" t="s">
        <v>280</v>
      </c>
      <c r="F1" t="s">
        <v>235</v>
      </c>
      <c r="M1" t="s">
        <v>682</v>
      </c>
    </row>
    <row r="3" spans="1:18" x14ac:dyDescent="0.35">
      <c r="B3" s="47" t="s">
        <v>144</v>
      </c>
      <c r="C3" s="47" t="s">
        <v>145</v>
      </c>
      <c r="D3" s="47" t="s">
        <v>146</v>
      </c>
      <c r="F3" s="32" t="s">
        <v>228</v>
      </c>
      <c r="G3" s="32" t="s">
        <v>65</v>
      </c>
      <c r="I3" t="s">
        <v>227</v>
      </c>
      <c r="M3" s="32" t="s">
        <v>228</v>
      </c>
      <c r="R3" s="47" t="s">
        <v>228</v>
      </c>
    </row>
    <row r="4" spans="1:18" x14ac:dyDescent="0.35">
      <c r="A4" t="s">
        <v>158</v>
      </c>
      <c r="B4" s="75">
        <v>76.7</v>
      </c>
      <c r="C4" s="100">
        <v>29.5</v>
      </c>
      <c r="D4" s="101">
        <v>7.5</v>
      </c>
      <c r="F4" s="130" t="e">
        <f t="array" aca="1" ref="F4" ca="1">MMULT(B4:D4-$I$14:$K$14,MMULT($I$9:$K$11,TRANSPOSE(B4:D4-$I$14:$K$14)))</f>
        <v>#NAME?</v>
      </c>
      <c r="G4" s="131" t="e">
        <f ca="1">CHIDIST(F4,COUNT($B$4:$D$4))</f>
        <v>#NAME?</v>
      </c>
      <c r="H4" s="70" t="e">
        <f ca="1">IF(G4&lt;0.001,"*","")</f>
        <v>#NAME?</v>
      </c>
      <c r="I4" s="130" t="e">
        <f t="array" aca="1" ref="I4:K6" ca="1">COV(B4:D35)</f>
        <v>#NAME?</v>
      </c>
      <c r="J4" s="141" t="e">
        <f ca="1"/>
        <v>#NAME?</v>
      </c>
      <c r="K4" s="131" t="e">
        <f ca="1"/>
        <v>#NAME?</v>
      </c>
      <c r="M4" s="146" t="e">
        <f ca="1">MDistSq($B$4:$D$35,B4:D4)</f>
        <v>#NAME?</v>
      </c>
      <c r="O4" s="53">
        <v>50</v>
      </c>
      <c r="P4" s="147">
        <v>25</v>
      </c>
      <c r="Q4" s="148">
        <v>5</v>
      </c>
      <c r="R4" t="e">
        <f ca="1">MDistSq(B4:D35,O4:Q4)</f>
        <v>#NAME?</v>
      </c>
    </row>
    <row r="5" spans="1:18" x14ac:dyDescent="0.35">
      <c r="A5" t="s">
        <v>158</v>
      </c>
      <c r="B5" s="102">
        <v>60.5</v>
      </c>
      <c r="C5" s="103">
        <v>32.1</v>
      </c>
      <c r="D5" s="104">
        <v>6.3</v>
      </c>
      <c r="F5" s="83" t="e">
        <f t="array" aca="1" ref="F5" ca="1">MMULT(B5:D5-$I$14:$K$14,MMULT($I$9:$K$11,TRANSPOSE(B5:D5-$I$14:$K$14)))</f>
        <v>#NAME?</v>
      </c>
      <c r="G5" s="84" t="e">
        <f t="shared" ref="G5:G35" ca="1" si="0">CHIDIST(F5,COUNT($B$4:$D$4))</f>
        <v>#NAME?</v>
      </c>
      <c r="H5" s="70" t="e">
        <f t="shared" ref="H5:H35" ca="1" si="1">IF(G5&lt;0.001,"*","")</f>
        <v>#NAME?</v>
      </c>
      <c r="I5" s="83" t="e">
        <f ca="1"/>
        <v>#NAME?</v>
      </c>
      <c r="J5" s="37" t="e">
        <f ca="1"/>
        <v>#NAME?</v>
      </c>
      <c r="K5" s="84" t="e">
        <f ca="1"/>
        <v>#NAME?</v>
      </c>
      <c r="M5" s="49" t="e">
        <f ca="1">MDistSq($B$4:$D$35,B5:D5)</f>
        <v>#NAME?</v>
      </c>
    </row>
    <row r="6" spans="1:18" x14ac:dyDescent="0.35">
      <c r="A6" t="s">
        <v>158</v>
      </c>
      <c r="B6" s="102">
        <v>96.1</v>
      </c>
      <c r="C6" s="103">
        <v>40.700000000000003</v>
      </c>
      <c r="D6" s="104">
        <v>4.2</v>
      </c>
      <c r="F6" s="83" t="e">
        <f t="array" aca="1" ref="F6" ca="1">MMULT(B6:D6-$I$14:$K$14,MMULT($I$9:$K$11,TRANSPOSE(B6:D6-$I$14:$K$14)))</f>
        <v>#NAME?</v>
      </c>
      <c r="G6" s="84" t="e">
        <f t="shared" ca="1" si="0"/>
        <v>#NAME?</v>
      </c>
      <c r="H6" s="70" t="e">
        <f t="shared" ca="1" si="1"/>
        <v>#NAME?</v>
      </c>
      <c r="I6" s="85" t="e">
        <f ca="1"/>
        <v>#NAME?</v>
      </c>
      <c r="J6" s="86" t="e">
        <f ca="1"/>
        <v>#NAME?</v>
      </c>
      <c r="K6" s="87" t="e">
        <f ca="1"/>
        <v>#NAME?</v>
      </c>
      <c r="M6" s="49" t="e">
        <f ca="1">MDistSq($B$4:$D$35,B6:D6)</f>
        <v>#NAME?</v>
      </c>
    </row>
    <row r="7" spans="1:18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83" t="e">
        <f t="array" aca="1" ref="F7" ca="1">MMULT(B7:D7-$I$14:$K$14,MMULT($I$9:$K$11,TRANSPOSE(B7:D7-$I$14:$K$14)))</f>
        <v>#NAME?</v>
      </c>
      <c r="G7" s="84" t="e">
        <f t="shared" ca="1" si="0"/>
        <v>#NAME?</v>
      </c>
      <c r="H7" s="70" t="e">
        <f t="shared" ca="1" si="1"/>
        <v>#NAME?</v>
      </c>
      <c r="M7" s="49" t="e">
        <f ca="1">MDistSq($B$4:$D$35,B7:D7)</f>
        <v>#NAME?</v>
      </c>
    </row>
    <row r="8" spans="1:18" x14ac:dyDescent="0.35">
      <c r="A8" t="s">
        <v>158</v>
      </c>
      <c r="B8" s="102">
        <v>50.2</v>
      </c>
      <c r="C8" s="103">
        <v>34.1</v>
      </c>
      <c r="D8" s="104">
        <v>11.7</v>
      </c>
      <c r="F8" s="83" t="e">
        <f t="array" aca="1" ref="F8" ca="1">MMULT(B8:D8-$I$14:$K$14,MMULT($I$9:$K$11,TRANSPOSE(B8:D8-$I$14:$K$14)))</f>
        <v>#NAME?</v>
      </c>
      <c r="G8" s="84" t="e">
        <f t="shared" ca="1" si="0"/>
        <v>#NAME?</v>
      </c>
      <c r="H8" s="70" t="e">
        <f t="shared" ca="1" si="1"/>
        <v>#NAME?</v>
      </c>
      <c r="I8" t="s">
        <v>623</v>
      </c>
      <c r="M8" s="49" t="e">
        <f ca="1">MDistSq($B$4:$D$35,B8:D8)</f>
        <v>#NAME?</v>
      </c>
    </row>
    <row r="9" spans="1:18" x14ac:dyDescent="0.35">
      <c r="A9" t="s">
        <v>158</v>
      </c>
      <c r="B9" s="102">
        <v>55</v>
      </c>
      <c r="C9" s="103">
        <v>31.1</v>
      </c>
      <c r="D9" s="104">
        <v>6.9</v>
      </c>
      <c r="F9" s="83" t="e">
        <f t="array" aca="1" ref="F9" ca="1">MMULT(B9:D9-$I$14:$K$14,MMULT($I$9:$K$11,TRANSPOSE(B9:D9-$I$14:$K$14)))</f>
        <v>#NAME?</v>
      </c>
      <c r="G9" s="84" t="e">
        <f t="shared" ca="1" si="0"/>
        <v>#NAME?</v>
      </c>
      <c r="H9" s="70" t="e">
        <f t="shared" ca="1" si="1"/>
        <v>#NAME?</v>
      </c>
      <c r="I9" s="130" t="e">
        <f t="array" aca="1" ref="I9:K11" ca="1">MINVERSE(I4:K6)</f>
        <v>#NAME?</v>
      </c>
      <c r="J9" s="141" t="e">
        <f ca="1"/>
        <v>#NAME?</v>
      </c>
      <c r="K9" s="131" t="e">
        <f ca="1"/>
        <v>#NAME?</v>
      </c>
      <c r="M9" s="49" t="e">
        <f ca="1">MDistSq($B$4:$D$35,B9:D9)</f>
        <v>#NAME?</v>
      </c>
    </row>
    <row r="10" spans="1:18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83" t="e">
        <f t="array" aca="1" ref="F10" ca="1">MMULT(B10:D10-$I$14:$K$14,MMULT($I$9:$K$11,TRANSPOSE(B10:D10-$I$14:$K$14)))</f>
        <v>#NAME?</v>
      </c>
      <c r="G10" s="84" t="e">
        <f t="shared" ca="1" si="0"/>
        <v>#NAME?</v>
      </c>
      <c r="H10" s="70" t="e">
        <f t="shared" ca="1" si="1"/>
        <v>#NAME?</v>
      </c>
      <c r="I10" s="83" t="e">
        <f ca="1"/>
        <v>#NAME?</v>
      </c>
      <c r="J10" s="37" t="e">
        <f ca="1"/>
        <v>#NAME?</v>
      </c>
      <c r="K10" s="84" t="e">
        <f ca="1"/>
        <v>#NAME?</v>
      </c>
      <c r="M10" s="49" t="e">
        <f ca="1">MDistSq($B$4:$D$35,B10:D10)</f>
        <v>#NAME?</v>
      </c>
    </row>
    <row r="11" spans="1:18" x14ac:dyDescent="0.35">
      <c r="A11" t="s">
        <v>158</v>
      </c>
      <c r="B11" s="102">
        <v>65.7</v>
      </c>
      <c r="C11" s="103">
        <v>27.7</v>
      </c>
      <c r="D11" s="104">
        <v>5.3</v>
      </c>
      <c r="F11" s="83" t="e">
        <f t="array" aca="1" ref="F11" ca="1">MMULT(B11:D11-$I$14:$K$14,MMULT($I$9:$K$11,TRANSPOSE(B11:D11-$I$14:$K$14)))</f>
        <v>#NAME?</v>
      </c>
      <c r="G11" s="84" t="e">
        <f t="shared" ca="1" si="0"/>
        <v>#NAME?</v>
      </c>
      <c r="H11" s="70" t="e">
        <f t="shared" ca="1" si="1"/>
        <v>#NAME?</v>
      </c>
      <c r="I11" s="85" t="e">
        <f ca="1"/>
        <v>#NAME?</v>
      </c>
      <c r="J11" s="86" t="e">
        <f ca="1"/>
        <v>#NAME?</v>
      </c>
      <c r="K11" s="87" t="e">
        <f ca="1"/>
        <v>#NAME?</v>
      </c>
      <c r="M11" s="49" t="e">
        <f ca="1">MDistSq($B$4:$D$35,B11:D11)</f>
        <v>#NAME?</v>
      </c>
    </row>
    <row r="12" spans="1:18" x14ac:dyDescent="0.35">
      <c r="A12" t="s">
        <v>159</v>
      </c>
      <c r="B12" s="102">
        <v>67.3</v>
      </c>
      <c r="C12" s="103">
        <v>48.3</v>
      </c>
      <c r="D12" s="104">
        <v>5.5</v>
      </c>
      <c r="F12" s="83" t="e">
        <f t="array" aca="1" ref="F12" ca="1">MMULT(B12:D12-$I$14:$K$14,MMULT($I$9:$K$11,TRANSPOSE(B12:D12-$I$14:$K$14)))</f>
        <v>#NAME?</v>
      </c>
      <c r="G12" s="84" t="e">
        <f t="shared" ca="1" si="0"/>
        <v>#NAME?</v>
      </c>
      <c r="H12" s="70" t="e">
        <f t="shared" ca="1" si="1"/>
        <v>#NAME?</v>
      </c>
      <c r="M12" s="49" t="e">
        <f ca="1">MDistSq($B$4:$D$35,B12:D12)</f>
        <v>#NAME?</v>
      </c>
    </row>
    <row r="13" spans="1:18" x14ac:dyDescent="0.35">
      <c r="A13" t="s">
        <v>159</v>
      </c>
      <c r="B13" s="102">
        <v>61.3</v>
      </c>
      <c r="C13" s="103">
        <v>28.9</v>
      </c>
      <c r="D13" s="104">
        <v>6.9</v>
      </c>
      <c r="F13" s="83" t="e">
        <f t="array" aca="1" ref="F13" ca="1">MMULT(B13:D13-$I$14:$K$14,MMULT($I$9:$K$11,TRANSPOSE(B13:D13-$I$14:$K$14)))</f>
        <v>#NAME?</v>
      </c>
      <c r="G13" s="84" t="e">
        <f t="shared" ca="1" si="0"/>
        <v>#NAME?</v>
      </c>
      <c r="H13" s="70" t="e">
        <f t="shared" ca="1" si="1"/>
        <v>#NAME?</v>
      </c>
      <c r="I13" t="s">
        <v>230</v>
      </c>
      <c r="M13" s="49" t="e">
        <f ca="1">MDistSq($B$4:$D$35,B13:D13)</f>
        <v>#NAME?</v>
      </c>
    </row>
    <row r="14" spans="1:18" x14ac:dyDescent="0.35">
      <c r="A14" t="s">
        <v>159</v>
      </c>
      <c r="B14" s="102">
        <v>58.2</v>
      </c>
      <c r="C14" s="103">
        <v>42.5</v>
      </c>
      <c r="D14" s="104">
        <v>4.8</v>
      </c>
      <c r="F14" s="83" t="e">
        <f t="array" aca="1" ref="F14" ca="1">MMULT(B14:D14-$I$14:$K$14,MMULT($I$9:$K$11,TRANSPOSE(B14:D14-$I$14:$K$14)))</f>
        <v>#NAME?</v>
      </c>
      <c r="G14" s="84" t="e">
        <f t="shared" ca="1" si="0"/>
        <v>#NAME?</v>
      </c>
      <c r="H14" s="70" t="e">
        <f t="shared" ca="1" si="1"/>
        <v>#NAME?</v>
      </c>
      <c r="I14" s="134">
        <f>AVERAGE(B4:B35)</f>
        <v>61.609374999999993</v>
      </c>
      <c r="J14" s="135">
        <f>AVERAGE(C4:C35)</f>
        <v>31.165624999999999</v>
      </c>
      <c r="K14" s="136">
        <f>AVERAGE(D4:D35)</f>
        <v>4.6718749999999991</v>
      </c>
      <c r="M14" s="49" t="e">
        <f ca="1">MDistSq($B$4:$D$35,B14:D14)</f>
        <v>#NAME?</v>
      </c>
    </row>
    <row r="15" spans="1:18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83" t="e">
        <f t="array" aca="1" ref="F15" ca="1">MMULT(B15:D15-$I$14:$K$14,MMULT($I$9:$K$11,TRANSPOSE(B15:D15-$I$14:$K$14)))</f>
        <v>#NAME?</v>
      </c>
      <c r="G15" s="84" t="e">
        <f t="shared" ca="1" si="0"/>
        <v>#NAME?</v>
      </c>
      <c r="H15" s="70" t="e">
        <f t="shared" ca="1" si="1"/>
        <v>#NAME?</v>
      </c>
      <c r="M15" s="49" t="e">
        <f ca="1">MDistSq($B$4:$D$35,B15:D15)</f>
        <v>#NAME?</v>
      </c>
    </row>
    <row r="16" spans="1:18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83" t="e">
        <f t="array" aca="1" ref="F16" ca="1">MMULT(B16:D16-$I$14:$K$14,MMULT($I$9:$K$11,TRANSPOSE(B16:D16-$I$14:$K$14)))</f>
        <v>#NAME?</v>
      </c>
      <c r="G16" s="84" t="e">
        <f t="shared" ca="1" si="0"/>
        <v>#NAME?</v>
      </c>
      <c r="H16" s="70" t="e">
        <f t="shared" ca="1" si="1"/>
        <v>#NAME?</v>
      </c>
      <c r="M16" s="49" t="e">
        <f ca="1">MDistSq($B$4:$D$35,B16:D16)</f>
        <v>#NAME?</v>
      </c>
    </row>
    <row r="17" spans="1:13" x14ac:dyDescent="0.35">
      <c r="A17" t="s">
        <v>159</v>
      </c>
      <c r="B17" s="102">
        <v>55.4</v>
      </c>
      <c r="C17" s="103">
        <v>29.1</v>
      </c>
      <c r="D17" s="104">
        <v>5</v>
      </c>
      <c r="F17" s="83" t="e">
        <f t="array" aca="1" ref="F17" ca="1">MMULT(B17:D17-$I$14:$K$14,MMULT($I$9:$K$11,TRANSPOSE(B17:D17-$I$14:$K$14)))</f>
        <v>#NAME?</v>
      </c>
      <c r="G17" s="84" t="e">
        <f t="shared" ca="1" si="0"/>
        <v>#NAME?</v>
      </c>
      <c r="H17" s="70" t="e">
        <f t="shared" ca="1" si="1"/>
        <v>#NAME?</v>
      </c>
      <c r="M17" s="49" t="e">
        <f ca="1">MDistSq($B$4:$D$35,B17:D17)</f>
        <v>#NAME?</v>
      </c>
    </row>
    <row r="18" spans="1:13" x14ac:dyDescent="0.35">
      <c r="A18" t="s">
        <v>159</v>
      </c>
      <c r="B18" s="102">
        <v>50.5</v>
      </c>
      <c r="C18" s="103">
        <v>18</v>
      </c>
      <c r="D18" s="104">
        <v>4.8</v>
      </c>
      <c r="F18" s="83" t="e">
        <f t="array" aca="1" ref="F18" ca="1">MMULT(B18:D18-$I$14:$K$14,MMULT($I$9:$K$11,TRANSPOSE(B18:D18-$I$14:$K$14)))</f>
        <v>#NAME?</v>
      </c>
      <c r="G18" s="84" t="e">
        <f t="shared" ca="1" si="0"/>
        <v>#NAME?</v>
      </c>
      <c r="H18" s="70" t="e">
        <f t="shared" ca="1" si="1"/>
        <v>#NAME?</v>
      </c>
      <c r="M18" s="49" t="e">
        <f ca="1">MDistSq($B$4:$D$35,B18:D18)</f>
        <v>#NAME?</v>
      </c>
    </row>
    <row r="19" spans="1:13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s="83" t="e">
        <f t="array" aca="1" ref="F19" ca="1">MMULT(B19:D19-$I$14:$K$14,MMULT($I$9:$K$11,TRANSPOSE(B19:D19-$I$14:$K$14)))</f>
        <v>#NAME?</v>
      </c>
      <c r="G19" s="84" t="e">
        <f t="shared" ca="1" si="0"/>
        <v>#NAME?</v>
      </c>
      <c r="H19" s="70" t="e">
        <f t="shared" ca="1" si="1"/>
        <v>#NAME?</v>
      </c>
      <c r="M19" s="49" t="e">
        <f ca="1">MDistSq($B$4:$D$35,B19:D19)</f>
        <v>#NAME?</v>
      </c>
    </row>
    <row r="20" spans="1:13" x14ac:dyDescent="0.35">
      <c r="A20" t="s">
        <v>161</v>
      </c>
      <c r="B20" s="102">
        <v>62.8</v>
      </c>
      <c r="C20" s="103">
        <v>25.9</v>
      </c>
      <c r="D20" s="104">
        <v>2.9</v>
      </c>
      <c r="F20" s="83" t="e">
        <f t="array" aca="1" ref="F20" ca="1">MMULT(B20:D20-$I$14:$K$14,MMULT($I$9:$K$11,TRANSPOSE(B20:D20-$I$14:$K$14)))</f>
        <v>#NAME?</v>
      </c>
      <c r="G20" s="84" t="e">
        <f t="shared" ca="1" si="0"/>
        <v>#NAME?</v>
      </c>
      <c r="H20" s="70" t="e">
        <f t="shared" ca="1" si="1"/>
        <v>#NAME?</v>
      </c>
      <c r="M20" s="49" t="e">
        <f ca="1">MDistSq($B$4:$D$35,B20:D20)</f>
        <v>#NAME?</v>
      </c>
    </row>
    <row r="21" spans="1:13" x14ac:dyDescent="0.35">
      <c r="A21" t="s">
        <v>161</v>
      </c>
      <c r="B21" s="102">
        <v>45</v>
      </c>
      <c r="C21" s="103">
        <v>15.9</v>
      </c>
      <c r="D21" s="104">
        <v>1.2</v>
      </c>
      <c r="F21" s="83" t="e">
        <f t="array" aca="1" ref="F21" ca="1">MMULT(B21:D21-$I$14:$K$14,MMULT($I$9:$K$11,TRANSPOSE(B21:D21-$I$14:$K$14)))</f>
        <v>#NAME?</v>
      </c>
      <c r="G21" s="84" t="e">
        <f t="shared" ca="1" si="0"/>
        <v>#NAME?</v>
      </c>
      <c r="H21" s="70" t="e">
        <f t="shared" ca="1" si="1"/>
        <v>#NAME?</v>
      </c>
      <c r="M21" s="49" t="e">
        <f ca="1">MDistSq($B$4:$D$35,B21:D21)</f>
        <v>#NAME?</v>
      </c>
    </row>
    <row r="22" spans="1:13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s="83" t="e">
        <f t="array" aca="1" ref="F22" ca="1">MMULT(B22:D22-$I$14:$K$14,MMULT($I$9:$K$11,TRANSPOSE(B22:D22-$I$14:$K$14)))</f>
        <v>#NAME?</v>
      </c>
      <c r="G22" s="84" t="e">
        <f t="shared" ca="1" si="0"/>
        <v>#NAME?</v>
      </c>
      <c r="H22" s="70" t="e">
        <f t="shared" ca="1" si="1"/>
        <v>#NAME?</v>
      </c>
      <c r="M22" s="49" t="e">
        <f ca="1">MDistSq($B$4:$D$35,B22:D22)</f>
        <v>#NAME?</v>
      </c>
    </row>
    <row r="23" spans="1:13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s="83" t="e">
        <f t="array" aca="1" ref="F23" ca="1">MMULT(B23:D23-$I$14:$K$14,MMULT($I$9:$K$11,TRANSPOSE(B23:D23-$I$14:$K$14)))</f>
        <v>#NAME?</v>
      </c>
      <c r="G23" s="84" t="e">
        <f t="shared" ca="1" si="0"/>
        <v>#NAME?</v>
      </c>
      <c r="H23" s="70" t="e">
        <f t="shared" ca="1" si="1"/>
        <v>#NAME?</v>
      </c>
      <c r="M23" s="49" t="e">
        <f ca="1">MDistSq($B$4:$D$35,B23:D23)</f>
        <v>#NAME?</v>
      </c>
    </row>
    <row r="24" spans="1:13" x14ac:dyDescent="0.35">
      <c r="A24" t="s">
        <v>161</v>
      </c>
      <c r="B24" s="102">
        <v>46.6</v>
      </c>
      <c r="C24" s="103">
        <v>46.9</v>
      </c>
      <c r="D24" s="104">
        <v>3.6</v>
      </c>
      <c r="F24" s="83" t="e">
        <f t="array" aca="1" ref="F24" ca="1">MMULT(B24:D24-$I$14:$K$14,MMULT($I$9:$K$11,TRANSPOSE(B24:D24-$I$14:$K$14)))</f>
        <v>#NAME?</v>
      </c>
      <c r="G24" s="84" t="e">
        <f t="shared" ca="1" si="0"/>
        <v>#NAME?</v>
      </c>
      <c r="H24" s="70" t="e">
        <f t="shared" ca="1" si="1"/>
        <v>#NAME?</v>
      </c>
      <c r="M24" s="49" t="e">
        <f ca="1">MDistSq($B$4:$D$35,B24:D24)</f>
        <v>#NAME?</v>
      </c>
    </row>
    <row r="25" spans="1:13" x14ac:dyDescent="0.35">
      <c r="A25" t="s">
        <v>161</v>
      </c>
      <c r="B25" s="102">
        <v>50.6</v>
      </c>
      <c r="C25" s="103">
        <v>29.7</v>
      </c>
      <c r="D25" s="104">
        <v>4.7</v>
      </c>
      <c r="F25" s="83" t="e">
        <f t="array" aca="1" ref="F25" ca="1">MMULT(B25:D25-$I$14:$K$14,MMULT($I$9:$K$11,TRANSPOSE(B25:D25-$I$14:$K$14)))</f>
        <v>#NAME?</v>
      </c>
      <c r="G25" s="84" t="e">
        <f t="shared" ca="1" si="0"/>
        <v>#NAME?</v>
      </c>
      <c r="H25" s="70" t="e">
        <f t="shared" ca="1" si="1"/>
        <v>#NAME?</v>
      </c>
      <c r="M25" s="49" t="e">
        <f ca="1">MDistSq($B$4:$D$35,B25:D25)</f>
        <v>#NAME?</v>
      </c>
    </row>
    <row r="26" spans="1:13" x14ac:dyDescent="0.35">
      <c r="A26" t="s">
        <v>161</v>
      </c>
      <c r="B26" s="102">
        <v>45.7</v>
      </c>
      <c r="C26" s="103">
        <v>27.6</v>
      </c>
      <c r="D26" s="104">
        <v>6.2</v>
      </c>
      <c r="F26" s="83" t="e">
        <f t="array" aca="1" ref="F26" ca="1">MMULT(B26:D26-$I$14:$K$14,MMULT($I$9:$K$11,TRANSPOSE(B26:D26-$I$14:$K$14)))</f>
        <v>#NAME?</v>
      </c>
      <c r="G26" s="84" t="e">
        <f t="shared" ca="1" si="0"/>
        <v>#NAME?</v>
      </c>
      <c r="H26" s="70" t="e">
        <f t="shared" ca="1" si="1"/>
        <v>#NAME?</v>
      </c>
      <c r="M26" s="49" t="e">
        <f ca="1">MDistSq($B$4:$D$35,B26:D26)</f>
        <v>#NAME?</v>
      </c>
    </row>
    <row r="27" spans="1:13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s="83" t="e">
        <f t="array" aca="1" ref="F27" ca="1">MMULT(B27:D27-$I$14:$K$14,MMULT($I$9:$K$11,TRANSPOSE(B27:D27-$I$14:$K$14)))</f>
        <v>#NAME?</v>
      </c>
      <c r="G27" s="84" t="e">
        <f t="shared" ca="1" si="0"/>
        <v>#NAME?</v>
      </c>
      <c r="H27" s="70" t="e">
        <f t="shared" ca="1" si="1"/>
        <v>#NAME?</v>
      </c>
      <c r="M27" s="49" t="e">
        <f ca="1">MDistSq($B$4:$D$35,B27:D27)</f>
        <v>#NAME?</v>
      </c>
    </row>
    <row r="28" spans="1:13" x14ac:dyDescent="0.35">
      <c r="A28" t="s">
        <v>160</v>
      </c>
      <c r="B28" s="102">
        <v>52.5</v>
      </c>
      <c r="C28" s="103">
        <v>39</v>
      </c>
      <c r="D28" s="104">
        <v>3.1</v>
      </c>
      <c r="F28" s="83" t="e">
        <f t="array" aca="1" ref="F28" ca="1">MMULT(B28:D28-$I$14:$K$14,MMULT($I$9:$K$11,TRANSPOSE(B28:D28-$I$14:$K$14)))</f>
        <v>#NAME?</v>
      </c>
      <c r="G28" s="84" t="e">
        <f t="shared" ca="1" si="0"/>
        <v>#NAME?</v>
      </c>
      <c r="H28" s="70" t="e">
        <f t="shared" ca="1" si="1"/>
        <v>#NAME?</v>
      </c>
      <c r="M28" s="49" t="e">
        <f ca="1">MDistSq($B$4:$D$35,B28:D28)</f>
        <v>#NAME?</v>
      </c>
    </row>
    <row r="29" spans="1:13" x14ac:dyDescent="0.35">
      <c r="A29" t="s">
        <v>160</v>
      </c>
      <c r="B29" s="102">
        <v>80</v>
      </c>
      <c r="C29" s="103">
        <v>54.2</v>
      </c>
      <c r="D29" s="104">
        <v>4</v>
      </c>
      <c r="F29" s="83" t="e">
        <f t="array" aca="1" ref="F29" ca="1">MMULT(B29:D29-$I$14:$K$14,MMULT($I$9:$K$11,TRANSPOSE(B29:D29-$I$14:$K$14)))</f>
        <v>#NAME?</v>
      </c>
      <c r="G29" s="84" t="e">
        <f t="shared" ca="1" si="0"/>
        <v>#NAME?</v>
      </c>
      <c r="H29" s="70" t="e">
        <f t="shared" ca="1" si="1"/>
        <v>#NAME?</v>
      </c>
      <c r="M29" s="49" t="e">
        <f ca="1">MDistSq($B$4:$D$35,B29:D29)</f>
        <v>#NAME?</v>
      </c>
    </row>
    <row r="30" spans="1:13" x14ac:dyDescent="0.35">
      <c r="A30" t="s">
        <v>160</v>
      </c>
      <c r="B30" s="102">
        <v>54.7</v>
      </c>
      <c r="C30" s="103">
        <v>32.1</v>
      </c>
      <c r="D30" s="104">
        <v>5.7</v>
      </c>
      <c r="F30" s="83" t="e">
        <f t="array" aca="1" ref="F30" ca="1">MMULT(B30:D30-$I$14:$K$14,MMULT($I$9:$K$11,TRANSPOSE(B30:D30-$I$14:$K$14)))</f>
        <v>#NAME?</v>
      </c>
      <c r="G30" s="84" t="e">
        <f t="shared" ca="1" si="0"/>
        <v>#NAME?</v>
      </c>
      <c r="H30" s="70" t="e">
        <f t="shared" ca="1" si="1"/>
        <v>#NAME?</v>
      </c>
      <c r="M30" s="49" t="e">
        <f ca="1">MDistSq($B$4:$D$35,B30:D30)</f>
        <v>#NAME?</v>
      </c>
    </row>
    <row r="31" spans="1:13" x14ac:dyDescent="0.35">
      <c r="A31" t="s">
        <v>160</v>
      </c>
      <c r="B31" s="102">
        <v>63.5</v>
      </c>
      <c r="C31" s="103">
        <v>25.6</v>
      </c>
      <c r="D31" s="104">
        <v>3</v>
      </c>
      <c r="F31" s="83" t="e">
        <f t="array" aca="1" ref="F31" ca="1">MMULT(B31:D31-$I$14:$K$14,MMULT($I$9:$K$11,TRANSPOSE(B31:D31-$I$14:$K$14)))</f>
        <v>#NAME?</v>
      </c>
      <c r="G31" s="84" t="e">
        <f t="shared" ca="1" si="0"/>
        <v>#NAME?</v>
      </c>
      <c r="H31" s="70" t="e">
        <f t="shared" ca="1" si="1"/>
        <v>#NAME?</v>
      </c>
      <c r="M31" s="49" t="e">
        <f ca="1">MDistSq($B$4:$D$35,B31:D31)</f>
        <v>#NAME?</v>
      </c>
    </row>
    <row r="32" spans="1:13" x14ac:dyDescent="0.35">
      <c r="A32" t="s">
        <v>160</v>
      </c>
      <c r="B32" s="102">
        <v>46.3</v>
      </c>
      <c r="C32" s="103">
        <v>31.8</v>
      </c>
      <c r="D32" s="104">
        <v>7.4</v>
      </c>
      <c r="F32" s="83" t="e">
        <f t="array" aca="1" ref="F32" ca="1">MMULT(B32:D32-$I$14:$K$14,MMULT($I$9:$K$11,TRANSPOSE(B32:D32-$I$14:$K$14)))</f>
        <v>#NAME?</v>
      </c>
      <c r="G32" s="84" t="e">
        <f t="shared" ca="1" si="0"/>
        <v>#NAME?</v>
      </c>
      <c r="H32" s="70" t="e">
        <f t="shared" ca="1" si="1"/>
        <v>#NAME?</v>
      </c>
      <c r="M32" s="49" t="e">
        <f ca="1">MDistSq($B$4:$D$35,B32:D32)</f>
        <v>#NAME?</v>
      </c>
    </row>
    <row r="33" spans="1:13" x14ac:dyDescent="0.35">
      <c r="A33" t="s">
        <v>160</v>
      </c>
      <c r="B33" s="102">
        <v>61.5</v>
      </c>
      <c r="C33" s="103">
        <v>16.8</v>
      </c>
      <c r="D33" s="104">
        <v>1.9</v>
      </c>
      <c r="F33" s="83" t="e">
        <f t="array" aca="1" ref="F33" ca="1">MMULT(B33:D33-$I$14:$K$14,MMULT($I$9:$K$11,TRANSPOSE(B33:D33-$I$14:$K$14)))</f>
        <v>#NAME?</v>
      </c>
      <c r="G33" s="84" t="e">
        <f t="shared" ca="1" si="0"/>
        <v>#NAME?</v>
      </c>
      <c r="H33" s="70" t="e">
        <f t="shared" ca="1" si="1"/>
        <v>#NAME?</v>
      </c>
      <c r="M33" s="49" t="e">
        <f ca="1">MDistSq($B$4:$D$35,B33:D33)</f>
        <v>#NAME?</v>
      </c>
    </row>
    <row r="34" spans="1:13" x14ac:dyDescent="0.35">
      <c r="A34" t="s">
        <v>160</v>
      </c>
      <c r="B34" s="102">
        <v>62.9</v>
      </c>
      <c r="C34" s="103">
        <v>25.8</v>
      </c>
      <c r="D34" s="104">
        <v>2.4</v>
      </c>
      <c r="F34" s="83" t="e">
        <f t="array" aca="1" ref="F34" ca="1">MMULT(B34:D34-$I$14:$K$14,MMULT($I$9:$K$11,TRANSPOSE(B34:D34-$I$14:$K$14)))</f>
        <v>#NAME?</v>
      </c>
      <c r="G34" s="84" t="e">
        <f t="shared" ca="1" si="0"/>
        <v>#NAME?</v>
      </c>
      <c r="H34" s="70" t="e">
        <f t="shared" ca="1" si="1"/>
        <v>#NAME?</v>
      </c>
      <c r="M34" s="49" t="e">
        <f ca="1">MDistSq($B$4:$D$35,B34:D34)</f>
        <v>#NAME?</v>
      </c>
    </row>
    <row r="35" spans="1:13" x14ac:dyDescent="0.35">
      <c r="A35" t="s">
        <v>160</v>
      </c>
      <c r="B35" s="105">
        <v>49.3</v>
      </c>
      <c r="C35" s="106">
        <v>39.4</v>
      </c>
      <c r="D35" s="107">
        <v>5.2</v>
      </c>
      <c r="F35" s="85" t="e">
        <f t="array" aca="1" ref="F35" ca="1">MMULT(B35:D35-$I$14:$K$14,MMULT($I$9:$K$11,TRANSPOSE(B35:D35-$I$14:$K$14)))</f>
        <v>#NAME?</v>
      </c>
      <c r="G35" s="87" t="e">
        <f t="shared" ca="1" si="0"/>
        <v>#NAME?</v>
      </c>
      <c r="H35" s="70" t="e">
        <f t="shared" ca="1" si="1"/>
        <v>#NAME?</v>
      </c>
      <c r="M35" s="52" t="e">
        <f ca="1">MDistSq($B$4:$D$35,B35:D35)</f>
        <v>#NAME?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6"/>
  <dimension ref="A1:J35"/>
  <sheetViews>
    <sheetView workbookViewId="0"/>
  </sheetViews>
  <sheetFormatPr defaultRowHeight="14.5" x14ac:dyDescent="0.35"/>
  <sheetData>
    <row r="1" spans="1:10" x14ac:dyDescent="0.35">
      <c r="A1" s="42" t="s">
        <v>296</v>
      </c>
      <c r="F1" s="46" t="s">
        <v>108</v>
      </c>
      <c r="I1" t="s">
        <v>108</v>
      </c>
    </row>
    <row r="3" spans="1:10" x14ac:dyDescent="0.35">
      <c r="B3" s="47" t="s">
        <v>144</v>
      </c>
      <c r="C3" s="47" t="s">
        <v>145</v>
      </c>
      <c r="D3" s="47" t="s">
        <v>146</v>
      </c>
      <c r="F3" t="s">
        <v>113</v>
      </c>
      <c r="G3" s="132" t="e">
        <f ca="1">BOXM(A4:D35)</f>
        <v>#NAME?</v>
      </c>
      <c r="I3" t="s">
        <v>113</v>
      </c>
      <c r="J3" s="146" t="e">
        <f t="array" aca="1" ref="J3:J7" ca="1">BOX(A4:D35)</f>
        <v>#NAME?</v>
      </c>
    </row>
    <row r="4" spans="1:10" x14ac:dyDescent="0.35">
      <c r="A4" t="s">
        <v>158</v>
      </c>
      <c r="B4" s="75">
        <v>76.7</v>
      </c>
      <c r="C4" s="100">
        <v>29.5</v>
      </c>
      <c r="D4" s="101">
        <v>7.5</v>
      </c>
      <c r="F4" t="s">
        <v>55</v>
      </c>
      <c r="G4" s="98" t="e">
        <f ca="1">BOXdf1(A4:D35)</f>
        <v>#NAME?</v>
      </c>
      <c r="I4" t="s">
        <v>55</v>
      </c>
      <c r="J4" s="49" t="e">
        <f ca="1"/>
        <v>#NAME?</v>
      </c>
    </row>
    <row r="5" spans="1:10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56</v>
      </c>
      <c r="G5" s="98" t="e">
        <f ca="1">BOXdf2(A4:D35)</f>
        <v>#NAME?</v>
      </c>
      <c r="I5" t="s">
        <v>56</v>
      </c>
      <c r="J5" s="49" t="e">
        <f ca="1"/>
        <v>#NAME?</v>
      </c>
    </row>
    <row r="6" spans="1:10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54</v>
      </c>
      <c r="G6" s="98" t="e">
        <f ca="1">BOXF(A4:D35)</f>
        <v>#NAME?</v>
      </c>
      <c r="I6" t="s">
        <v>54</v>
      </c>
      <c r="J6" s="49" t="e">
        <f ca="1"/>
        <v>#NAME?</v>
      </c>
    </row>
    <row r="7" spans="1:10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s">
        <v>65</v>
      </c>
      <c r="G7" s="99" t="e">
        <f ca="1">BOXTEST(A4:D35)</f>
        <v>#NAME?</v>
      </c>
      <c r="I7" t="s">
        <v>65</v>
      </c>
      <c r="J7" s="52" t="e">
        <f ca="1"/>
        <v>#NAME?</v>
      </c>
    </row>
    <row r="8" spans="1:10" x14ac:dyDescent="0.35">
      <c r="A8" t="s">
        <v>158</v>
      </c>
      <c r="B8" s="102">
        <v>50.2</v>
      </c>
      <c r="C8" s="103">
        <v>34.1</v>
      </c>
      <c r="D8" s="104">
        <v>11.7</v>
      </c>
    </row>
    <row r="9" spans="1:10" x14ac:dyDescent="0.35">
      <c r="A9" t="s">
        <v>158</v>
      </c>
      <c r="B9" s="102">
        <v>55</v>
      </c>
      <c r="C9" s="103">
        <v>31.1</v>
      </c>
      <c r="D9" s="104">
        <v>6.9</v>
      </c>
    </row>
    <row r="10" spans="1:10" x14ac:dyDescent="0.35">
      <c r="A10" t="s">
        <v>158</v>
      </c>
      <c r="B10" s="102">
        <v>65.400000000000006</v>
      </c>
      <c r="C10" s="103">
        <v>21.6</v>
      </c>
      <c r="D10" s="104">
        <v>4.3</v>
      </c>
    </row>
    <row r="11" spans="1:10" x14ac:dyDescent="0.35">
      <c r="A11" t="s">
        <v>158</v>
      </c>
      <c r="B11" s="102">
        <v>65.7</v>
      </c>
      <c r="C11" s="103">
        <v>27.7</v>
      </c>
      <c r="D11" s="104">
        <v>5.3</v>
      </c>
    </row>
    <row r="12" spans="1:10" x14ac:dyDescent="0.35">
      <c r="A12" t="s">
        <v>159</v>
      </c>
      <c r="B12" s="102">
        <v>67.3</v>
      </c>
      <c r="C12" s="103">
        <v>48.3</v>
      </c>
      <c r="D12" s="104">
        <v>5.5</v>
      </c>
    </row>
    <row r="13" spans="1:10" x14ac:dyDescent="0.35">
      <c r="A13" t="s">
        <v>159</v>
      </c>
      <c r="B13" s="102">
        <v>61.3</v>
      </c>
      <c r="C13" s="103">
        <v>28.9</v>
      </c>
      <c r="D13" s="104">
        <v>6.9</v>
      </c>
    </row>
    <row r="14" spans="1:10" x14ac:dyDescent="0.35">
      <c r="A14" t="s">
        <v>159</v>
      </c>
      <c r="B14" s="102">
        <v>58.2</v>
      </c>
      <c r="C14" s="103">
        <v>42.5</v>
      </c>
      <c r="D14" s="104">
        <v>4.8</v>
      </c>
    </row>
    <row r="15" spans="1:10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</row>
    <row r="16" spans="1:10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</row>
    <row r="17" spans="1: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4" x14ac:dyDescent="0.35">
      <c r="A18" t="s">
        <v>159</v>
      </c>
      <c r="B18" s="102">
        <v>50.5</v>
      </c>
      <c r="C18" s="103">
        <v>18</v>
      </c>
      <c r="D18" s="104">
        <v>4.8</v>
      </c>
    </row>
    <row r="19" spans="1: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4" x14ac:dyDescent="0.35">
      <c r="A20" t="s">
        <v>161</v>
      </c>
      <c r="B20" s="102">
        <v>62.8</v>
      </c>
      <c r="C20" s="103">
        <v>25.9</v>
      </c>
      <c r="D20" s="104">
        <v>2.9</v>
      </c>
    </row>
    <row r="21" spans="1:4" x14ac:dyDescent="0.35">
      <c r="A21" t="s">
        <v>161</v>
      </c>
      <c r="B21" s="102">
        <v>45</v>
      </c>
      <c r="C21" s="103">
        <v>15.9</v>
      </c>
      <c r="D21" s="104">
        <v>1.2</v>
      </c>
    </row>
    <row r="22" spans="1:4" x14ac:dyDescent="0.35">
      <c r="A22" t="s">
        <v>161</v>
      </c>
      <c r="B22" s="102">
        <v>47.8</v>
      </c>
      <c r="C22" s="103">
        <v>36.1</v>
      </c>
      <c r="D22" s="104">
        <v>4.0999999999999996</v>
      </c>
    </row>
    <row r="23" spans="1:4" x14ac:dyDescent="0.35">
      <c r="A23" t="s">
        <v>161</v>
      </c>
      <c r="B23" s="102">
        <v>75.599999999999994</v>
      </c>
      <c r="C23" s="103">
        <v>27.7</v>
      </c>
      <c r="D23" s="104">
        <v>6.3</v>
      </c>
    </row>
    <row r="24" spans="1:4" x14ac:dyDescent="0.35">
      <c r="A24" t="s">
        <v>161</v>
      </c>
      <c r="B24" s="102">
        <v>46.6</v>
      </c>
      <c r="C24" s="103">
        <v>46.9</v>
      </c>
      <c r="D24" s="104">
        <v>3.6</v>
      </c>
    </row>
    <row r="25" spans="1:4" x14ac:dyDescent="0.35">
      <c r="A25" t="s">
        <v>161</v>
      </c>
      <c r="B25" s="102">
        <v>50.6</v>
      </c>
      <c r="C25" s="103">
        <v>29.7</v>
      </c>
      <c r="D25" s="104">
        <v>4.7</v>
      </c>
    </row>
    <row r="26" spans="1:4" x14ac:dyDescent="0.35">
      <c r="A26" t="s">
        <v>161</v>
      </c>
      <c r="B26" s="102">
        <v>45.7</v>
      </c>
      <c r="C26" s="103">
        <v>27.6</v>
      </c>
      <c r="D26" s="104">
        <v>6.2</v>
      </c>
    </row>
    <row r="27" spans="1:4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</row>
    <row r="28" spans="1:4" x14ac:dyDescent="0.35">
      <c r="A28" t="s">
        <v>160</v>
      </c>
      <c r="B28" s="102">
        <v>52.5</v>
      </c>
      <c r="C28" s="103">
        <v>39</v>
      </c>
      <c r="D28" s="104">
        <v>3.1</v>
      </c>
    </row>
    <row r="29" spans="1:4" x14ac:dyDescent="0.35">
      <c r="A29" t="s">
        <v>160</v>
      </c>
      <c r="B29" s="102">
        <v>80</v>
      </c>
      <c r="C29" s="103">
        <v>54.2</v>
      </c>
      <c r="D29" s="104">
        <v>4</v>
      </c>
    </row>
    <row r="30" spans="1:4" x14ac:dyDescent="0.35">
      <c r="A30" t="s">
        <v>160</v>
      </c>
      <c r="B30" s="102">
        <v>54.7</v>
      </c>
      <c r="C30" s="103">
        <v>32.1</v>
      </c>
      <c r="D30" s="104">
        <v>5.7</v>
      </c>
    </row>
    <row r="31" spans="1:4" x14ac:dyDescent="0.35">
      <c r="A31" t="s">
        <v>160</v>
      </c>
      <c r="B31" s="102">
        <v>63.5</v>
      </c>
      <c r="C31" s="103">
        <v>25.6</v>
      </c>
      <c r="D31" s="104">
        <v>3</v>
      </c>
    </row>
    <row r="32" spans="1: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5"/>
  <dimension ref="A1:N46"/>
  <sheetViews>
    <sheetView topLeftCell="A2" zoomScaleNormal="100" workbookViewId="0">
      <selection activeCell="A2" sqref="A1:D1048576"/>
    </sheetView>
  </sheetViews>
  <sheetFormatPr defaultRowHeight="14.5" x14ac:dyDescent="0.35"/>
  <cols>
    <col min="6" max="6" width="15" customWidth="1"/>
  </cols>
  <sheetData>
    <row r="1" spans="1:14" x14ac:dyDescent="0.35">
      <c r="A1" s="42" t="s">
        <v>172</v>
      </c>
    </row>
    <row r="3" spans="1:14" x14ac:dyDescent="0.35">
      <c r="B3" s="47" t="s">
        <v>144</v>
      </c>
      <c r="C3" s="47" t="s">
        <v>145</v>
      </c>
      <c r="D3" s="47" t="s">
        <v>146</v>
      </c>
      <c r="F3" t="s">
        <v>173</v>
      </c>
      <c r="I3" t="str">
        <f>B3</f>
        <v>yield</v>
      </c>
    </row>
    <row r="4" spans="1:14" x14ac:dyDescent="0.35">
      <c r="A4" t="s">
        <v>158</v>
      </c>
      <c r="B4" s="75">
        <v>76.7</v>
      </c>
      <c r="C4" s="100">
        <v>29.5</v>
      </c>
      <c r="D4" s="101">
        <v>7.5</v>
      </c>
    </row>
    <row r="5" spans="1:14" ht="15" thickBot="1" x14ac:dyDescent="0.4">
      <c r="A5" t="s">
        <v>158</v>
      </c>
      <c r="B5" s="102">
        <v>60.5</v>
      </c>
      <c r="C5" s="103">
        <v>32.1</v>
      </c>
      <c r="D5" s="104">
        <v>6.3</v>
      </c>
      <c r="F5" t="s">
        <v>174</v>
      </c>
      <c r="K5" t="s">
        <v>175</v>
      </c>
      <c r="L5" s="122">
        <f>0.05/3</f>
        <v>1.6666666666666666E-2</v>
      </c>
    </row>
    <row r="6" spans="1:14" ht="15" thickTop="1" x14ac:dyDescent="0.35">
      <c r="A6" t="s">
        <v>158</v>
      </c>
      <c r="B6" s="102">
        <v>96.1</v>
      </c>
      <c r="C6" s="103">
        <v>40.700000000000003</v>
      </c>
      <c r="D6" s="104">
        <v>4.2</v>
      </c>
      <c r="F6" s="94" t="s">
        <v>176</v>
      </c>
      <c r="G6" s="94" t="s">
        <v>100</v>
      </c>
      <c r="H6" s="94" t="s">
        <v>177</v>
      </c>
      <c r="I6" s="94" t="s">
        <v>34</v>
      </c>
      <c r="J6" s="94" t="s">
        <v>178</v>
      </c>
      <c r="K6" s="94" t="s">
        <v>179</v>
      </c>
      <c r="L6" s="94" t="s">
        <v>180</v>
      </c>
      <c r="M6" s="94" t="s">
        <v>181</v>
      </c>
      <c r="N6" s="94" t="s">
        <v>182</v>
      </c>
    </row>
    <row r="7" spans="1:14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e">
        <f t="array" aca="1" ref="F7:F10" ca="1">SortUnique(A4:A35)</f>
        <v>#NAME?</v>
      </c>
      <c r="G7">
        <f ca="1">COUNTIF($A$4:$A$35,$F7)</f>
        <v>0</v>
      </c>
      <c r="H7">
        <f ca="1">SUMIF($A$4:$A$35,$F7,$B$4:$B$35)</f>
        <v>0</v>
      </c>
      <c r="I7" t="e">
        <f ca="1">AVERAGEIF($A$4:$A$35,$F7,$B$4:$B$35)</f>
        <v>#DIV/0!</v>
      </c>
      <c r="J7" t="e">
        <f t="array" aca="1" ref="J7" ca="1">VAR(IF($A$4:$A$35=$F7,$B$4:$B$35))</f>
        <v>#NAME?</v>
      </c>
      <c r="K7" t="e">
        <f ca="1">($G7-1)*J7</f>
        <v>#NAME?</v>
      </c>
      <c r="L7" t="e">
        <f ca="1">SQRT(I$15/G7)</f>
        <v>#NAME?</v>
      </c>
      <c r="M7" t="e">
        <f ca="1">I7-L7*TINV(L$5,H$15)</f>
        <v>#DIV/0!</v>
      </c>
      <c r="N7" t="e">
        <f ca="1">I7+L7*TINV(L$5,H$15)</f>
        <v>#DIV/0!</v>
      </c>
    </row>
    <row r="8" spans="1:14" x14ac:dyDescent="0.35">
      <c r="A8" t="s">
        <v>158</v>
      </c>
      <c r="B8" s="102">
        <v>50.2</v>
      </c>
      <c r="C8" s="103">
        <v>34.1</v>
      </c>
      <c r="D8" s="104">
        <v>11.7</v>
      </c>
      <c r="F8" t="e">
        <f ca="1"/>
        <v>#NAME?</v>
      </c>
      <c r="G8">
        <f ca="1">COUNTIF($A$4:$A$35,$F8)</f>
        <v>0</v>
      </c>
      <c r="H8">
        <f ca="1">SUMIF($A$4:$A$35,$F8,$B$4:$B$35)</f>
        <v>0</v>
      </c>
      <c r="I8" t="e">
        <f ca="1">AVERAGEIF($A$4:$A$35,$F8,$B$4:$B$35)</f>
        <v>#DIV/0!</v>
      </c>
      <c r="J8" t="e">
        <f t="array" aca="1" ref="J8" ca="1">VAR(IF($A$4:$A$35=$F8,$B$4:$B$35))</f>
        <v>#NAME?</v>
      </c>
      <c r="K8" t="e">
        <f ca="1">($G8-1)*J8</f>
        <v>#NAME?</v>
      </c>
      <c r="L8" t="e">
        <f ca="1">SQRT(I$15/G8)</f>
        <v>#NAME?</v>
      </c>
      <c r="M8" t="e">
        <f t="shared" ref="M8:M10" ca="1" si="0">I8-L8*TINV(L$5,H$15)</f>
        <v>#DIV/0!</v>
      </c>
      <c r="N8" t="e">
        <f t="shared" ref="N8:N10" ca="1" si="1">I8+L8*TINV(L$5,H$15)</f>
        <v>#DIV/0!</v>
      </c>
    </row>
    <row r="9" spans="1:14" x14ac:dyDescent="0.3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>
        <f ca="1">COUNTIF($A$4:$A$35,$F9)</f>
        <v>0</v>
      </c>
      <c r="H9">
        <f ca="1">SUMIF($A$4:$A$35,$F9,$B$4:$B$35)</f>
        <v>0</v>
      </c>
      <c r="I9" t="e">
        <f ca="1">AVERAGEIF($A$4:$A$35,$F9,$B$4:$B$35)</f>
        <v>#DIV/0!</v>
      </c>
      <c r="J9" t="e">
        <f t="array" aca="1" ref="J9" ca="1">VAR(IF($A$4:$A$35=$F9,$B$4:$B$35))</f>
        <v>#NAME?</v>
      </c>
      <c r="K9" t="e">
        <f ca="1">($G9-1)*J9</f>
        <v>#NAME?</v>
      </c>
      <c r="L9" t="e">
        <f ca="1">SQRT(I$15/G9)</f>
        <v>#NAME?</v>
      </c>
      <c r="M9" t="e">
        <f t="shared" ca="1" si="0"/>
        <v>#DIV/0!</v>
      </c>
      <c r="N9" t="e">
        <f t="shared" ca="1" si="1"/>
        <v>#DIV/0!</v>
      </c>
    </row>
    <row r="10" spans="1:14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>
        <f ca="1">COUNTIF($A$4:$A$35,$F10)</f>
        <v>0</v>
      </c>
      <c r="H10">
        <f ca="1">SUMIF($A$4:$A$35,$F10,$B$4:$B$35)</f>
        <v>0</v>
      </c>
      <c r="I10" t="e">
        <f ca="1">AVERAGEIF($A$4:$A$35,$F10,$B$4:$B$35)</f>
        <v>#DIV/0!</v>
      </c>
      <c r="J10" t="e">
        <f t="array" aca="1" ref="J10" ca="1">VAR(IF($A$4:$A$35=$F10,$B$4:$B$35))</f>
        <v>#NAME?</v>
      </c>
      <c r="K10" t="e">
        <f ca="1">($G10-1)*J10</f>
        <v>#NAME?</v>
      </c>
      <c r="L10" t="e">
        <f ca="1">SQRT(I$15/G10)</f>
        <v>#NAME?</v>
      </c>
      <c r="M10" t="e">
        <f t="shared" ca="1" si="0"/>
        <v>#DIV/0!</v>
      </c>
      <c r="N10" t="e">
        <f t="shared" ca="1" si="1"/>
        <v>#DIV/0!</v>
      </c>
    </row>
    <row r="11" spans="1:14" x14ac:dyDescent="0.35">
      <c r="A11" t="s">
        <v>158</v>
      </c>
      <c r="B11" s="102">
        <v>65.7</v>
      </c>
      <c r="C11" s="103">
        <v>27.7</v>
      </c>
      <c r="D11" s="104">
        <v>5.3</v>
      </c>
      <c r="F11" s="111"/>
      <c r="G11" s="111"/>
      <c r="H11" s="111"/>
      <c r="I11" s="111"/>
      <c r="J11" s="111"/>
      <c r="K11" s="111"/>
      <c r="L11" s="111"/>
      <c r="M11" s="111"/>
      <c r="N11" s="111"/>
    </row>
    <row r="12" spans="1:14" ht="15" thickBot="1" x14ac:dyDescent="0.4">
      <c r="A12" t="s">
        <v>159</v>
      </c>
      <c r="B12" s="102">
        <v>67.3</v>
      </c>
      <c r="C12" s="103">
        <v>48.3</v>
      </c>
      <c r="D12" s="104">
        <v>5.5</v>
      </c>
      <c r="F12" t="s">
        <v>183</v>
      </c>
    </row>
    <row r="13" spans="1:14" ht="15" thickTop="1" x14ac:dyDescent="0.35">
      <c r="A13" t="s">
        <v>159</v>
      </c>
      <c r="B13" s="102">
        <v>61.3</v>
      </c>
      <c r="C13" s="103">
        <v>28.9</v>
      </c>
      <c r="D13" s="104">
        <v>6.9</v>
      </c>
      <c r="F13" s="94" t="s">
        <v>184</v>
      </c>
      <c r="G13" s="94" t="s">
        <v>179</v>
      </c>
      <c r="H13" s="94" t="s">
        <v>62</v>
      </c>
      <c r="I13" s="94" t="s">
        <v>185</v>
      </c>
      <c r="J13" s="94" t="s">
        <v>54</v>
      </c>
      <c r="K13" s="94" t="s">
        <v>186</v>
      </c>
      <c r="L13" s="94" t="s">
        <v>187</v>
      </c>
      <c r="M13" s="94" t="s">
        <v>188</v>
      </c>
      <c r="N13" s="94" t="s">
        <v>189</v>
      </c>
    </row>
    <row r="14" spans="1:14" x14ac:dyDescent="0.35">
      <c r="A14" t="s">
        <v>159</v>
      </c>
      <c r="B14" s="102">
        <v>58.2</v>
      </c>
      <c r="C14" s="103">
        <v>42.5</v>
      </c>
      <c r="D14" s="104">
        <v>4.8</v>
      </c>
      <c r="F14" t="s">
        <v>190</v>
      </c>
      <c r="G14" t="e">
        <f ca="1">G16-G15</f>
        <v>#NAME?</v>
      </c>
      <c r="H14" t="e">
        <f ca="1">COUNTAU(A4:A35)-1</f>
        <v>#NAME?</v>
      </c>
      <c r="I14" t="e">
        <f ca="1">G14/H14</f>
        <v>#NAME?</v>
      </c>
      <c r="J14" t="e">
        <f ca="1">I14/I15</f>
        <v>#NAME?</v>
      </c>
      <c r="K14" t="e">
        <f ca="1">FDIST(J14,H14,H15)</f>
        <v>#NAME?</v>
      </c>
      <c r="L14" t="e">
        <f ca="1">FINV(L5,H14,H15)</f>
        <v>#NAME?</v>
      </c>
      <c r="M14" t="e">
        <f ca="1">SQRT(DEVSQ(I7:I10)/(I15*H14))</f>
        <v>#DIV/0!</v>
      </c>
      <c r="N14" t="e">
        <f ca="1">(G16-H16*I15)/(G16+I15)</f>
        <v>#NAME?</v>
      </c>
    </row>
    <row r="15" spans="1:14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t="s">
        <v>191</v>
      </c>
      <c r="G15" t="e">
        <f ca="1">SUM(K7:K10)</f>
        <v>#NAME?</v>
      </c>
      <c r="H15" t="e">
        <f ca="1">H16-H14</f>
        <v>#NAME?</v>
      </c>
      <c r="I15" t="e">
        <f ca="1">G15/H15</f>
        <v>#NAME?</v>
      </c>
    </row>
    <row r="16" spans="1:14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40" t="s">
        <v>168</v>
      </c>
      <c r="G16" s="40">
        <f>DEVSQ(B4:B35)</f>
        <v>4968.8671874999991</v>
      </c>
      <c r="H16" s="40">
        <f>COUNT(B4:B35)-1</f>
        <v>31</v>
      </c>
      <c r="I16" s="40">
        <f>G16/H16</f>
        <v>160.28603830645159</v>
      </c>
      <c r="J16" s="40"/>
      <c r="K16" s="40"/>
      <c r="L16" s="40"/>
      <c r="M16" s="40"/>
      <c r="N16" s="40"/>
    </row>
    <row r="17" spans="1:1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14" x14ac:dyDescent="0.35">
      <c r="A18" t="s">
        <v>159</v>
      </c>
      <c r="B18" s="102">
        <v>50.5</v>
      </c>
      <c r="C18" s="103">
        <v>18</v>
      </c>
      <c r="D18" s="104">
        <v>4.8</v>
      </c>
      <c r="F18" t="s">
        <v>173</v>
      </c>
      <c r="I18" t="str">
        <f>C3</f>
        <v>water</v>
      </c>
    </row>
    <row r="19" spans="1:1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14" ht="15" thickBot="1" x14ac:dyDescent="0.4">
      <c r="A20" t="s">
        <v>161</v>
      </c>
      <c r="B20" s="102">
        <v>62.8</v>
      </c>
      <c r="C20" s="103">
        <v>25.9</v>
      </c>
      <c r="D20" s="104">
        <v>2.9</v>
      </c>
      <c r="F20" t="s">
        <v>174</v>
      </c>
      <c r="K20" t="s">
        <v>175</v>
      </c>
      <c r="L20" s="122">
        <f>0.05/3</f>
        <v>1.6666666666666666E-2</v>
      </c>
    </row>
    <row r="21" spans="1:14" ht="15" thickTop="1" x14ac:dyDescent="0.35">
      <c r="A21" t="s">
        <v>161</v>
      </c>
      <c r="B21" s="102">
        <v>45</v>
      </c>
      <c r="C21" s="103">
        <v>15.9</v>
      </c>
      <c r="D21" s="104">
        <v>1.2</v>
      </c>
      <c r="F21" s="94" t="s">
        <v>176</v>
      </c>
      <c r="G21" s="94" t="s">
        <v>100</v>
      </c>
      <c r="H21" s="94" t="s">
        <v>177</v>
      </c>
      <c r="I21" s="94" t="s">
        <v>34</v>
      </c>
      <c r="J21" s="94" t="s">
        <v>178</v>
      </c>
      <c r="K21" s="94" t="s">
        <v>179</v>
      </c>
      <c r="L21" s="94" t="s">
        <v>180</v>
      </c>
      <c r="M21" s="94" t="s">
        <v>181</v>
      </c>
      <c r="N21" s="94" t="s">
        <v>182</v>
      </c>
    </row>
    <row r="22" spans="1:14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t="e">
        <f t="array" aca="1" ref="F22:F25" ca="1">SortUnique(A4:A35)</f>
        <v>#NAME?</v>
      </c>
      <c r="G22">
        <f ca="1">COUNTIF($A$4:$A$35,$F22)</f>
        <v>0</v>
      </c>
      <c r="H22">
        <f ca="1">SUMIF($A$4:$A$35,$F22,$C$4:$C$35)</f>
        <v>0</v>
      </c>
      <c r="I22" t="e">
        <f ca="1">AVERAGEIF($A$4:$A$35,$F22,$C$4:$C$35)</f>
        <v>#DIV/0!</v>
      </c>
      <c r="J22" t="e">
        <f t="array" aca="1" ref="J22" ca="1">VAR(IF($A$4:$A$35=$F22,$C$4:$C$35))</f>
        <v>#NAME?</v>
      </c>
      <c r="K22" t="e">
        <f ca="1">($G22-1)*J22</f>
        <v>#NAME?</v>
      </c>
      <c r="L22" t="e">
        <f ca="1">SQRT(I$30/G22)</f>
        <v>#NAME?</v>
      </c>
      <c r="M22" t="e">
        <f ca="1">I22-L22*TINV(L$20,H$30)</f>
        <v>#DIV/0!</v>
      </c>
      <c r="N22" t="e">
        <f ca="1">I22+L22*TINV(L$20,H$30)</f>
        <v>#DIV/0!</v>
      </c>
    </row>
    <row r="23" spans="1:14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e">
        <f ca="1"/>
        <v>#NAME?</v>
      </c>
      <c r="G23">
        <f ca="1">COUNTIF($A$4:$A$35,$F23)</f>
        <v>0</v>
      </c>
      <c r="H23">
        <f ca="1">SUMIF($A$4:$A$35,$F23,$C$4:$C$35)</f>
        <v>0</v>
      </c>
      <c r="I23" t="e">
        <f ca="1">AVERAGEIF($A$4:$A$35,$F23,$C$4:$C$35)</f>
        <v>#DIV/0!</v>
      </c>
      <c r="J23" t="e">
        <f t="array" aca="1" ref="J23" ca="1">VAR(IF($A$4:$A$35=$F23,$C$4:$C$35))</f>
        <v>#NAME?</v>
      </c>
      <c r="K23" t="e">
        <f ca="1">($G23-1)*J23</f>
        <v>#NAME?</v>
      </c>
      <c r="L23" t="e">
        <f ca="1">SQRT(I$30/G23)</f>
        <v>#NAME?</v>
      </c>
      <c r="M23" t="e">
        <f t="shared" ref="M23:M25" ca="1" si="2">I23-L23*TINV(L$20,H$30)</f>
        <v>#DIV/0!</v>
      </c>
      <c r="N23" t="e">
        <f t="shared" ref="N23:N25" ca="1" si="3">I23+L23*TINV(L$20,H$30)</f>
        <v>#DIV/0!</v>
      </c>
    </row>
    <row r="24" spans="1:14" x14ac:dyDescent="0.35">
      <c r="A24" t="s">
        <v>161</v>
      </c>
      <c r="B24" s="102">
        <v>46.6</v>
      </c>
      <c r="C24" s="103">
        <v>46.9</v>
      </c>
      <c r="D24" s="104">
        <v>3.6</v>
      </c>
      <c r="F24" t="e">
        <f ca="1"/>
        <v>#NAME?</v>
      </c>
      <c r="G24">
        <f ca="1">COUNTIF($A$4:$A$35,$F24)</f>
        <v>0</v>
      </c>
      <c r="H24">
        <f ca="1">SUMIF($A$4:$A$35,$F24,$C$4:$C$35)</f>
        <v>0</v>
      </c>
      <c r="I24" t="e">
        <f ca="1">AVERAGEIF($A$4:$A$35,$F24,$C$4:$C$35)</f>
        <v>#DIV/0!</v>
      </c>
      <c r="J24" t="e">
        <f t="array" aca="1" ref="J24" ca="1">VAR(IF($A$4:$A$35=$F24,$C$4:$C$35))</f>
        <v>#NAME?</v>
      </c>
      <c r="K24" t="e">
        <f ca="1">($G24-1)*J24</f>
        <v>#NAME?</v>
      </c>
      <c r="L24" t="e">
        <f ca="1">SQRT(I$30/G24)</f>
        <v>#NAME?</v>
      </c>
      <c r="M24" t="e">
        <f t="shared" ca="1" si="2"/>
        <v>#DIV/0!</v>
      </c>
      <c r="N24" t="e">
        <f t="shared" ca="1" si="3"/>
        <v>#DIV/0!</v>
      </c>
    </row>
    <row r="25" spans="1:14" x14ac:dyDescent="0.35">
      <c r="A25" t="s">
        <v>161</v>
      </c>
      <c r="B25" s="102">
        <v>50.6</v>
      </c>
      <c r="C25" s="103">
        <v>29.7</v>
      </c>
      <c r="D25" s="104">
        <v>4.7</v>
      </c>
      <c r="F25" t="e">
        <f ca="1"/>
        <v>#NAME?</v>
      </c>
      <c r="G25">
        <f ca="1">COUNTIF($A$4:$A$35,$F25)</f>
        <v>0</v>
      </c>
      <c r="H25">
        <f ca="1">SUMIF($A$4:$A$35,$F25,$C$4:$C$35)</f>
        <v>0</v>
      </c>
      <c r="I25" t="e">
        <f ca="1">AVERAGEIF($A$4:$A$35,$F25,$C$4:$C$35)</f>
        <v>#DIV/0!</v>
      </c>
      <c r="J25" t="e">
        <f t="array" aca="1" ref="J25" ca="1">VAR(IF($A$4:$A$35=$F25,$C$4:$C$35))</f>
        <v>#NAME?</v>
      </c>
      <c r="K25" t="e">
        <f ca="1">($G25-1)*J25</f>
        <v>#NAME?</v>
      </c>
      <c r="L25" t="e">
        <f ca="1">SQRT(I$30/G25)</f>
        <v>#NAME?</v>
      </c>
      <c r="M25" t="e">
        <f t="shared" ca="1" si="2"/>
        <v>#DIV/0!</v>
      </c>
      <c r="N25" t="e">
        <f t="shared" ca="1" si="3"/>
        <v>#DIV/0!</v>
      </c>
    </row>
    <row r="26" spans="1:14" x14ac:dyDescent="0.35">
      <c r="A26" t="s">
        <v>161</v>
      </c>
      <c r="B26" s="102">
        <v>45.7</v>
      </c>
      <c r="C26" s="103">
        <v>27.6</v>
      </c>
      <c r="D26" s="104">
        <v>6.2</v>
      </c>
      <c r="F26" s="111"/>
      <c r="G26" s="111"/>
      <c r="H26" s="111"/>
      <c r="I26" s="111"/>
      <c r="J26" s="111"/>
      <c r="K26" s="111"/>
      <c r="L26" s="111"/>
      <c r="M26" s="111"/>
      <c r="N26" s="111"/>
    </row>
    <row r="27" spans="1:14" ht="15" thickBot="1" x14ac:dyDescent="0.4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183</v>
      </c>
    </row>
    <row r="28" spans="1:14" ht="15" thickTop="1" x14ac:dyDescent="0.35">
      <c r="A28" t="s">
        <v>160</v>
      </c>
      <c r="B28" s="102">
        <v>52.5</v>
      </c>
      <c r="C28" s="103">
        <v>39</v>
      </c>
      <c r="D28" s="104">
        <v>3.1</v>
      </c>
      <c r="F28" s="94" t="s">
        <v>184</v>
      </c>
      <c r="G28" s="94" t="s">
        <v>179</v>
      </c>
      <c r="H28" s="94" t="s">
        <v>62</v>
      </c>
      <c r="I28" s="94" t="s">
        <v>185</v>
      </c>
      <c r="J28" s="94" t="s">
        <v>54</v>
      </c>
      <c r="K28" s="94" t="s">
        <v>186</v>
      </c>
      <c r="L28" s="94" t="s">
        <v>187</v>
      </c>
      <c r="M28" s="94" t="s">
        <v>188</v>
      </c>
      <c r="N28" s="94" t="s">
        <v>189</v>
      </c>
    </row>
    <row r="29" spans="1:14" x14ac:dyDescent="0.35">
      <c r="A29" t="s">
        <v>160</v>
      </c>
      <c r="B29" s="102">
        <v>80</v>
      </c>
      <c r="C29" s="103">
        <v>54.2</v>
      </c>
      <c r="D29" s="104">
        <v>4</v>
      </c>
      <c r="F29" t="s">
        <v>190</v>
      </c>
      <c r="G29" t="e">
        <f ca="1">G31-G30</f>
        <v>#NAME?</v>
      </c>
      <c r="H29" t="e">
        <f ca="1">COUNTAU(A4:A35)-1</f>
        <v>#NAME?</v>
      </c>
      <c r="I29" t="e">
        <f ca="1">G29/H29</f>
        <v>#NAME?</v>
      </c>
      <c r="J29" t="e">
        <f ca="1">I29/I30</f>
        <v>#NAME?</v>
      </c>
      <c r="K29" t="e">
        <f ca="1">FDIST(J29,H29,H30)</f>
        <v>#NAME?</v>
      </c>
      <c r="L29" t="e">
        <f ca="1">FINV(L20,H29,H30)</f>
        <v>#NAME?</v>
      </c>
      <c r="M29" t="e">
        <f ca="1">SQRT(DEVSQ(I22:I25)/(I30*H29))</f>
        <v>#DIV/0!</v>
      </c>
      <c r="N29" t="e">
        <f ca="1">(G31-H31*I30)/(G31+I30)</f>
        <v>#NAME?</v>
      </c>
    </row>
    <row r="30" spans="1:14" x14ac:dyDescent="0.35">
      <c r="A30" t="s">
        <v>160</v>
      </c>
      <c r="B30" s="102">
        <v>54.7</v>
      </c>
      <c r="C30" s="103">
        <v>32.1</v>
      </c>
      <c r="D30" s="104">
        <v>5.7</v>
      </c>
      <c r="F30" t="s">
        <v>191</v>
      </c>
      <c r="G30" t="e">
        <f ca="1">SUM(K22:K25)</f>
        <v>#NAME?</v>
      </c>
      <c r="H30" t="e">
        <f ca="1">H31-H29</f>
        <v>#NAME?</v>
      </c>
      <c r="I30" t="e">
        <f ca="1">G30/H30</f>
        <v>#NAME?</v>
      </c>
    </row>
    <row r="31" spans="1:14" x14ac:dyDescent="0.35">
      <c r="A31" t="s">
        <v>160</v>
      </c>
      <c r="B31" s="102">
        <v>63.5</v>
      </c>
      <c r="C31" s="103">
        <v>25.6</v>
      </c>
      <c r="D31" s="104">
        <v>3</v>
      </c>
      <c r="F31" s="40" t="s">
        <v>168</v>
      </c>
      <c r="G31" s="40">
        <f>DEVSQ(C4:C35)</f>
        <v>2955.8921874999996</v>
      </c>
      <c r="H31" s="40">
        <f>COUNT(C4:C35)-1</f>
        <v>31</v>
      </c>
      <c r="I31" s="40">
        <f>G31/H31</f>
        <v>95.35136088709676</v>
      </c>
      <c r="J31" s="40"/>
      <c r="K31" s="40"/>
      <c r="L31" s="40"/>
      <c r="M31" s="40"/>
      <c r="N31" s="40"/>
    </row>
    <row r="32" spans="1:1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14" x14ac:dyDescent="0.35">
      <c r="A33" t="s">
        <v>160</v>
      </c>
      <c r="B33" s="102">
        <v>61.5</v>
      </c>
      <c r="C33" s="103">
        <v>16.8</v>
      </c>
      <c r="D33" s="104">
        <v>1.9</v>
      </c>
      <c r="F33" t="s">
        <v>173</v>
      </c>
      <c r="I33" t="str">
        <f>D3</f>
        <v>herbicide</v>
      </c>
    </row>
    <row r="34" spans="1:1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14" ht="15" thickBot="1" x14ac:dyDescent="0.4">
      <c r="A35" t="s">
        <v>160</v>
      </c>
      <c r="B35" s="105">
        <v>49.3</v>
      </c>
      <c r="C35" s="106">
        <v>39.4</v>
      </c>
      <c r="D35" s="107">
        <v>5.2</v>
      </c>
      <c r="F35" t="s">
        <v>174</v>
      </c>
      <c r="K35" t="s">
        <v>175</v>
      </c>
      <c r="L35" s="122">
        <f>0.05/3</f>
        <v>1.6666666666666666E-2</v>
      </c>
    </row>
    <row r="36" spans="1:14" ht="15" thickTop="1" x14ac:dyDescent="0.35">
      <c r="F36" s="94" t="s">
        <v>176</v>
      </c>
      <c r="G36" s="94" t="s">
        <v>100</v>
      </c>
      <c r="H36" s="94" t="s">
        <v>177</v>
      </c>
      <c r="I36" s="94" t="s">
        <v>34</v>
      </c>
      <c r="J36" s="94" t="s">
        <v>178</v>
      </c>
      <c r="K36" s="94" t="s">
        <v>179</v>
      </c>
      <c r="L36" s="94" t="s">
        <v>180</v>
      </c>
      <c r="M36" s="94" t="s">
        <v>181</v>
      </c>
      <c r="N36" s="94" t="s">
        <v>182</v>
      </c>
    </row>
    <row r="37" spans="1:14" x14ac:dyDescent="0.35">
      <c r="F37" t="e">
        <f t="array" aca="1" ref="F37:F40" ca="1">SortUnique(A4:A35)</f>
        <v>#NAME?</v>
      </c>
      <c r="G37">
        <f ca="1">COUNTIF($A$4:$A$35,$F37)</f>
        <v>0</v>
      </c>
      <c r="H37">
        <f ca="1">SUMIF($A$4:$A$35,$F37,$D$4:$D$35)</f>
        <v>0</v>
      </c>
      <c r="I37" t="e">
        <f ca="1">AVERAGEIF($A$4:$A$35,$F37,$D$4:$D$35)</f>
        <v>#DIV/0!</v>
      </c>
      <c r="J37" t="e">
        <f t="array" aca="1" ref="J37" ca="1">VAR(IF($A$4:$A$35=$F37,$D$4:$D$35))</f>
        <v>#NAME?</v>
      </c>
      <c r="K37" t="e">
        <f ca="1">($G37-1)*J37</f>
        <v>#NAME?</v>
      </c>
      <c r="L37" t="e">
        <f ca="1">SQRT(I$45/G37)</f>
        <v>#NAME?</v>
      </c>
      <c r="M37" t="e">
        <f ca="1">I37-L37*TINV(L$35,H$45)</f>
        <v>#DIV/0!</v>
      </c>
      <c r="N37" t="e">
        <f ca="1">I37+L37*TINV(L$35,H$45)</f>
        <v>#DIV/0!</v>
      </c>
    </row>
    <row r="38" spans="1:14" x14ac:dyDescent="0.35">
      <c r="F38" t="e">
        <f ca="1"/>
        <v>#NAME?</v>
      </c>
      <c r="G38">
        <f ca="1">COUNTIF($A$4:$A$35,$F38)</f>
        <v>0</v>
      </c>
      <c r="H38">
        <f ca="1">SUMIF($A$4:$A$35,$F38,$D$4:$D$35)</f>
        <v>0</v>
      </c>
      <c r="I38" t="e">
        <f ca="1">AVERAGEIF($A$4:$A$35,$F38,$D$4:$D$35)</f>
        <v>#DIV/0!</v>
      </c>
      <c r="J38" t="e">
        <f t="array" aca="1" ref="J38" ca="1">VAR(IF($A$4:$A$35=$F38,$D$4:$D$35))</f>
        <v>#NAME?</v>
      </c>
      <c r="K38" t="e">
        <f ca="1">($G38-1)*J38</f>
        <v>#NAME?</v>
      </c>
      <c r="L38" t="e">
        <f ca="1">SQRT(I$45/G38)</f>
        <v>#NAME?</v>
      </c>
      <c r="M38" t="e">
        <f t="shared" ref="M38:M40" ca="1" si="4">I38-L38*TINV(L$35,H$45)</f>
        <v>#DIV/0!</v>
      </c>
      <c r="N38" t="e">
        <f t="shared" ref="N38:N40" ca="1" si="5">I38+L38*TINV(L$35,H$45)</f>
        <v>#DIV/0!</v>
      </c>
    </row>
    <row r="39" spans="1:14" x14ac:dyDescent="0.35">
      <c r="F39" t="e">
        <f ca="1"/>
        <v>#NAME?</v>
      </c>
      <c r="G39">
        <f ca="1">COUNTIF($A$4:$A$35,$F39)</f>
        <v>0</v>
      </c>
      <c r="H39">
        <f ca="1">SUMIF($A$4:$A$35,$F39,$D$4:$D$35)</f>
        <v>0</v>
      </c>
      <c r="I39" t="e">
        <f ca="1">AVERAGEIF($A$4:$A$35,$F39,$D$4:$D$35)</f>
        <v>#DIV/0!</v>
      </c>
      <c r="J39" t="e">
        <f t="array" aca="1" ref="J39" ca="1">VAR(IF($A$4:$A$35=$F39,$D$4:$D$35))</f>
        <v>#NAME?</v>
      </c>
      <c r="K39" t="e">
        <f ca="1">($G39-1)*J39</f>
        <v>#NAME?</v>
      </c>
      <c r="L39" t="e">
        <f ca="1">SQRT(I$45/G39)</f>
        <v>#NAME?</v>
      </c>
      <c r="M39" t="e">
        <f t="shared" ca="1" si="4"/>
        <v>#DIV/0!</v>
      </c>
      <c r="N39" t="e">
        <f t="shared" ca="1" si="5"/>
        <v>#DIV/0!</v>
      </c>
    </row>
    <row r="40" spans="1:14" x14ac:dyDescent="0.35">
      <c r="F40" t="e">
        <f ca="1"/>
        <v>#NAME?</v>
      </c>
      <c r="G40">
        <f ca="1">COUNTIF($A$4:$A$35,$F40)</f>
        <v>0</v>
      </c>
      <c r="H40">
        <f ca="1">SUMIF($A$4:$A$35,$F40,$D$4:$D$35)</f>
        <v>0</v>
      </c>
      <c r="I40" t="e">
        <f ca="1">AVERAGEIF($A$4:$A$35,$F40,$D$4:$D$35)</f>
        <v>#DIV/0!</v>
      </c>
      <c r="J40" t="e">
        <f t="array" aca="1" ref="J40" ca="1">VAR(IF($A$4:$A$35=$F40,$D$4:$D$35))</f>
        <v>#NAME?</v>
      </c>
      <c r="K40" t="e">
        <f ca="1">($G40-1)*J40</f>
        <v>#NAME?</v>
      </c>
      <c r="L40" t="e">
        <f ca="1">SQRT(I$45/G40)</f>
        <v>#NAME?</v>
      </c>
      <c r="M40" t="e">
        <f t="shared" ca="1" si="4"/>
        <v>#DIV/0!</v>
      </c>
      <c r="N40" t="e">
        <f t="shared" ca="1" si="5"/>
        <v>#DIV/0!</v>
      </c>
    </row>
    <row r="41" spans="1:14" x14ac:dyDescent="0.35">
      <c r="F41" s="111"/>
      <c r="G41" s="111"/>
      <c r="H41" s="111"/>
      <c r="I41" s="111"/>
      <c r="J41" s="111"/>
      <c r="K41" s="111"/>
      <c r="L41" s="111"/>
      <c r="M41" s="111"/>
      <c r="N41" s="111"/>
    </row>
    <row r="42" spans="1:14" ht="15" thickBot="1" x14ac:dyDescent="0.4">
      <c r="F42" t="s">
        <v>183</v>
      </c>
    </row>
    <row r="43" spans="1:14" ht="15" thickTop="1" x14ac:dyDescent="0.35">
      <c r="F43" s="94" t="s">
        <v>184</v>
      </c>
      <c r="G43" s="94" t="s">
        <v>179</v>
      </c>
      <c r="H43" s="94" t="s">
        <v>62</v>
      </c>
      <c r="I43" s="94" t="s">
        <v>185</v>
      </c>
      <c r="J43" s="94" t="s">
        <v>54</v>
      </c>
      <c r="K43" s="94" t="s">
        <v>186</v>
      </c>
      <c r="L43" s="94" t="s">
        <v>187</v>
      </c>
      <c r="M43" s="94" t="s">
        <v>188</v>
      </c>
      <c r="N43" s="94" t="s">
        <v>189</v>
      </c>
    </row>
    <row r="44" spans="1:14" x14ac:dyDescent="0.35">
      <c r="F44" t="s">
        <v>190</v>
      </c>
      <c r="G44" t="e">
        <f ca="1">G46-G45</f>
        <v>#NAME?</v>
      </c>
      <c r="H44" t="e">
        <f ca="1">COUNTAU(A4:A35)-1</f>
        <v>#NAME?</v>
      </c>
      <c r="I44" t="e">
        <f ca="1">G44/H44</f>
        <v>#NAME?</v>
      </c>
      <c r="J44" t="e">
        <f ca="1">I44/I45</f>
        <v>#NAME?</v>
      </c>
      <c r="K44" t="e">
        <f ca="1">FDIST(J44,H44,H45)</f>
        <v>#NAME?</v>
      </c>
      <c r="L44" t="e">
        <f ca="1">FINV(L35,H44,H45)</f>
        <v>#NAME?</v>
      </c>
      <c r="M44" t="e">
        <f ca="1">SQRT(DEVSQ(I37:I40)/(I45*H44))</f>
        <v>#DIV/0!</v>
      </c>
      <c r="N44" t="e">
        <f ca="1">(G46-H46*I45)/(G46+I45)</f>
        <v>#NAME?</v>
      </c>
    </row>
    <row r="45" spans="1:14" x14ac:dyDescent="0.35">
      <c r="F45" t="s">
        <v>191</v>
      </c>
      <c r="G45" t="e">
        <f ca="1">SUM(K37:K40)</f>
        <v>#NAME?</v>
      </c>
      <c r="H45" t="e">
        <f ca="1">H46-H44</f>
        <v>#NAME?</v>
      </c>
      <c r="I45" t="e">
        <f ca="1">G45/H45</f>
        <v>#NAME?</v>
      </c>
    </row>
    <row r="46" spans="1:14" x14ac:dyDescent="0.35">
      <c r="F46" s="40" t="s">
        <v>168</v>
      </c>
      <c r="G46" s="40">
        <f>DEVSQ(D4:D35)</f>
        <v>144.78468750000002</v>
      </c>
      <c r="H46" s="40">
        <f>COUNT(D4:D35)-1</f>
        <v>31</v>
      </c>
      <c r="I46" s="40">
        <f>G46/H46</f>
        <v>4.670473790322581</v>
      </c>
      <c r="J46" s="40"/>
      <c r="K46" s="40"/>
      <c r="L46" s="40"/>
      <c r="M46" s="40"/>
      <c r="N46" s="4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6"/>
  <dimension ref="A1:X35"/>
  <sheetViews>
    <sheetView zoomScaleNormal="100" workbookViewId="0"/>
  </sheetViews>
  <sheetFormatPr defaultRowHeight="14.5" x14ac:dyDescent="0.35"/>
  <cols>
    <col min="5" max="5" width="5.7265625" customWidth="1"/>
    <col min="6" max="6" width="15.81640625" customWidth="1"/>
    <col min="15" max="15" width="4.54296875" customWidth="1"/>
    <col min="16" max="16" width="15.81640625" customWidth="1"/>
  </cols>
  <sheetData>
    <row r="1" spans="1:24" x14ac:dyDescent="0.35">
      <c r="A1" s="42" t="s">
        <v>172</v>
      </c>
    </row>
    <row r="3" spans="1:24" x14ac:dyDescent="0.35">
      <c r="B3" s="47" t="s">
        <v>144</v>
      </c>
      <c r="C3" s="47" t="s">
        <v>145</v>
      </c>
      <c r="D3" s="47" t="s">
        <v>146</v>
      </c>
      <c r="F3" t="s">
        <v>173</v>
      </c>
      <c r="I3" t="str">
        <f>B3</f>
        <v>yield</v>
      </c>
      <c r="P3" t="s">
        <v>173</v>
      </c>
      <c r="S3" t="str">
        <f>D3</f>
        <v>herbicide</v>
      </c>
    </row>
    <row r="4" spans="1:24" x14ac:dyDescent="0.35">
      <c r="A4" t="s">
        <v>158</v>
      </c>
      <c r="B4" s="75">
        <v>76.7</v>
      </c>
      <c r="C4" s="100">
        <v>29.5</v>
      </c>
      <c r="D4" s="101">
        <v>7.5</v>
      </c>
    </row>
    <row r="5" spans="1:24" ht="15" thickBot="1" x14ac:dyDescent="0.4">
      <c r="A5" t="s">
        <v>158</v>
      </c>
      <c r="B5" s="102">
        <v>60.5</v>
      </c>
      <c r="C5" s="103">
        <v>32.1</v>
      </c>
      <c r="D5" s="104">
        <v>6.3</v>
      </c>
      <c r="F5" t="s">
        <v>174</v>
      </c>
      <c r="K5" t="s">
        <v>175</v>
      </c>
      <c r="L5" s="122">
        <f>0.05/3</f>
        <v>1.6666666666666666E-2</v>
      </c>
      <c r="P5" t="s">
        <v>174</v>
      </c>
      <c r="U5" t="s">
        <v>175</v>
      </c>
      <c r="V5" s="122">
        <f>0.05/3</f>
        <v>1.6666666666666666E-2</v>
      </c>
    </row>
    <row r="6" spans="1:24" ht="15" thickTop="1" x14ac:dyDescent="0.35">
      <c r="A6" t="s">
        <v>158</v>
      </c>
      <c r="B6" s="102">
        <v>96.1</v>
      </c>
      <c r="C6" s="103">
        <v>40.700000000000003</v>
      </c>
      <c r="D6" s="104">
        <v>4.2</v>
      </c>
      <c r="F6" s="94" t="s">
        <v>176</v>
      </c>
      <c r="G6" s="94" t="s">
        <v>100</v>
      </c>
      <c r="H6" s="94" t="s">
        <v>177</v>
      </c>
      <c r="I6" s="94" t="s">
        <v>34</v>
      </c>
      <c r="J6" s="94" t="s">
        <v>178</v>
      </c>
      <c r="K6" s="94" t="s">
        <v>179</v>
      </c>
      <c r="L6" s="94" t="s">
        <v>180</v>
      </c>
      <c r="M6" s="94" t="s">
        <v>181</v>
      </c>
      <c r="N6" s="94" t="s">
        <v>182</v>
      </c>
      <c r="P6" s="94" t="s">
        <v>176</v>
      </c>
      <c r="Q6" s="94" t="s">
        <v>100</v>
      </c>
      <c r="R6" s="94" t="s">
        <v>177</v>
      </c>
      <c r="S6" s="94" t="s">
        <v>34</v>
      </c>
      <c r="T6" s="94" t="s">
        <v>178</v>
      </c>
      <c r="U6" s="94" t="s">
        <v>179</v>
      </c>
      <c r="V6" s="94" t="s">
        <v>180</v>
      </c>
      <c r="W6" s="94" t="s">
        <v>181</v>
      </c>
      <c r="X6" s="94" t="s">
        <v>182</v>
      </c>
    </row>
    <row r="7" spans="1:24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e">
        <f t="array" aca="1" ref="F7:F10" ca="1">SortUnique(A4:A35)</f>
        <v>#NAME?</v>
      </c>
      <c r="G7">
        <f ca="1">COUNTIF($A$4:$A$35,$F7)</f>
        <v>0</v>
      </c>
      <c r="H7">
        <f ca="1">SUMIF($A$4:$A$35,$F7,$B$4:$B$35)</f>
        <v>0</v>
      </c>
      <c r="I7" t="e">
        <f ca="1">AVERAGEIF($A$4:$A$35,$F7,$B$4:$B$35)</f>
        <v>#DIV/0!</v>
      </c>
      <c r="J7" t="e">
        <f t="array" aca="1" ref="J7" ca="1">VAR(IF($A$4:$A$35=$F7,$B$4:$B$35))</f>
        <v>#NAME?</v>
      </c>
      <c r="K7" t="e">
        <f ca="1">($G7-1)*J7</f>
        <v>#NAME?</v>
      </c>
      <c r="L7" t="e">
        <f ca="1">SQRT(I$15/G7)</f>
        <v>#NAME?</v>
      </c>
      <c r="M7" t="e">
        <f ca="1">I7-L7*TINV(L$5,G7-1)</f>
        <v>#DIV/0!</v>
      </c>
      <c r="N7" t="e">
        <f ca="1">I7+L7*TINV(L$5,G7-1)</f>
        <v>#DIV/0!</v>
      </c>
      <c r="P7" t="e">
        <f t="array" aca="1" ref="P7:P10" ca="1">SortUnique(A4:A35)</f>
        <v>#NAME?</v>
      </c>
      <c r="Q7">
        <f ca="1">COUNTIF($A$4:$A$35,$P7)</f>
        <v>0</v>
      </c>
      <c r="R7">
        <f ca="1">SUMIF($A$4:$A$35,$P7,$D$4:$D$35)</f>
        <v>0</v>
      </c>
      <c r="S7" t="e">
        <f ca="1">AVERAGEIF($A$4:$A$35,$P7,$D$4:$D$35)</f>
        <v>#DIV/0!</v>
      </c>
      <c r="T7" t="e">
        <f t="array" aca="1" ref="T7" ca="1">VAR(IF($A$4:$A$35=$P7,$D$4:$D$35))</f>
        <v>#NAME?</v>
      </c>
      <c r="U7" t="e">
        <f ca="1">($Q7-1)*T7</f>
        <v>#NAME?</v>
      </c>
      <c r="V7" t="e">
        <f ca="1">SQRT(S$15/Q7)</f>
        <v>#NAME?</v>
      </c>
      <c r="W7" t="e">
        <f ca="1">S7-V7*TINV(V$5,Q7-1)</f>
        <v>#DIV/0!</v>
      </c>
      <c r="X7" t="e">
        <f ca="1">S7+V7*TINV(V$5,Q7-1)</f>
        <v>#DIV/0!</v>
      </c>
    </row>
    <row r="8" spans="1:24" x14ac:dyDescent="0.35">
      <c r="A8" t="s">
        <v>158</v>
      </c>
      <c r="B8" s="102">
        <v>50.2</v>
      </c>
      <c r="C8" s="103">
        <v>34.1</v>
      </c>
      <c r="D8" s="104">
        <v>11.7</v>
      </c>
      <c r="F8" t="e">
        <f ca="1"/>
        <v>#NAME?</v>
      </c>
      <c r="G8">
        <f ca="1">COUNTIF($A$4:$A$35,$F8)</f>
        <v>0</v>
      </c>
      <c r="H8">
        <f ca="1">SUMIF($A$4:$A$35,$F8,$B$4:$B$35)</f>
        <v>0</v>
      </c>
      <c r="I8" t="e">
        <f ca="1">AVERAGEIF($A$4:$A$35,$F8,$B$4:$B$35)</f>
        <v>#DIV/0!</v>
      </c>
      <c r="J8" t="e">
        <f t="array" aca="1" ref="J8" ca="1">VAR(IF($A$4:$A$35=$F8,$B$4:$B$35))</f>
        <v>#NAME?</v>
      </c>
      <c r="K8" t="e">
        <f ca="1">($G8-1)*J8</f>
        <v>#NAME?</v>
      </c>
      <c r="L8" t="e">
        <f ca="1">SQRT(I$15/G8)</f>
        <v>#NAME?</v>
      </c>
      <c r="M8" t="e">
        <f ca="1">I8-L8*TINV(L$5,G8-1)</f>
        <v>#DIV/0!</v>
      </c>
      <c r="N8" t="e">
        <f ca="1">I8+L8*TINV(L$5,G8-1)</f>
        <v>#DIV/0!</v>
      </c>
      <c r="P8" t="e">
        <f ca="1"/>
        <v>#NAME?</v>
      </c>
      <c r="Q8">
        <f ca="1">COUNTIF($A$4:$A$35,$P8)</f>
        <v>0</v>
      </c>
      <c r="R8">
        <f ca="1">SUMIF($A$4:$A$35,$P8,$D$4:$D$35)</f>
        <v>0</v>
      </c>
      <c r="S8" t="e">
        <f ca="1">AVERAGEIF($A$4:$A$35,$P8,$D$4:$D$35)</f>
        <v>#DIV/0!</v>
      </c>
      <c r="T8" t="e">
        <f t="array" aca="1" ref="T8" ca="1">VAR(IF($A$4:$A$35=$P8,$D$4:$D$35))</f>
        <v>#NAME?</v>
      </c>
      <c r="U8" t="e">
        <f ca="1">($Q8-1)*T8</f>
        <v>#NAME?</v>
      </c>
      <c r="V8" t="e">
        <f ca="1">SQRT(S$15/Q8)</f>
        <v>#NAME?</v>
      </c>
      <c r="W8" t="e">
        <f ca="1">S8-V8*TINV(V$5,Q8-1)</f>
        <v>#DIV/0!</v>
      </c>
      <c r="X8" t="e">
        <f ca="1">S8+V8*TINV(V$5,Q8-1)</f>
        <v>#DIV/0!</v>
      </c>
    </row>
    <row r="9" spans="1:24" x14ac:dyDescent="0.3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>
        <f ca="1">COUNTIF($A$4:$A$35,$F9)</f>
        <v>0</v>
      </c>
      <c r="H9">
        <f ca="1">SUMIF($A$4:$A$35,$F9,$B$4:$B$35)</f>
        <v>0</v>
      </c>
      <c r="I9" t="e">
        <f ca="1">AVERAGEIF($A$4:$A$35,$F9,$B$4:$B$35)</f>
        <v>#DIV/0!</v>
      </c>
      <c r="J9" t="e">
        <f t="array" aca="1" ref="J9" ca="1">VAR(IF($A$4:$A$35=$F9,$B$4:$B$35))</f>
        <v>#NAME?</v>
      </c>
      <c r="K9" t="e">
        <f ca="1">($G9-1)*J9</f>
        <v>#NAME?</v>
      </c>
      <c r="L9" t="e">
        <f ca="1">SQRT(I$15/G9)</f>
        <v>#NAME?</v>
      </c>
      <c r="M9" t="e">
        <f ca="1">I9-L9*TINV(L$5,G9-1)</f>
        <v>#DIV/0!</v>
      </c>
      <c r="N9" t="e">
        <f ca="1">I9+L9*TINV(L$5,G9-1)</f>
        <v>#DIV/0!</v>
      </c>
      <c r="P9" t="e">
        <f ca="1"/>
        <v>#NAME?</v>
      </c>
      <c r="Q9">
        <f ca="1">COUNTIF($A$4:$A$35,$P9)</f>
        <v>0</v>
      </c>
      <c r="R9">
        <f ca="1">SUMIF($A$4:$A$35,$P9,$D$4:$D$35)</f>
        <v>0</v>
      </c>
      <c r="S9" t="e">
        <f ca="1">AVERAGEIF($A$4:$A$35,$P9,$D$4:$D$35)</f>
        <v>#DIV/0!</v>
      </c>
      <c r="T9" t="e">
        <f t="array" aca="1" ref="T9" ca="1">VAR(IF($A$4:$A$35=$P9,$D$4:$D$35))</f>
        <v>#NAME?</v>
      </c>
      <c r="U9" t="e">
        <f ca="1">($Q9-1)*T9</f>
        <v>#NAME?</v>
      </c>
      <c r="V9" t="e">
        <f ca="1">SQRT(S$15/Q9)</f>
        <v>#NAME?</v>
      </c>
      <c r="W9" t="e">
        <f ca="1">S9-V9*TINV(V$5,Q9-1)</f>
        <v>#DIV/0!</v>
      </c>
      <c r="X9" t="e">
        <f ca="1">S9+V9*TINV(V$5,Q9-1)</f>
        <v>#DIV/0!</v>
      </c>
    </row>
    <row r="10" spans="1:24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>
        <f ca="1">COUNTIF($A$4:$A$35,$F10)</f>
        <v>0</v>
      </c>
      <c r="H10">
        <f ca="1">SUMIF($A$4:$A$35,$F10,$B$4:$B$35)</f>
        <v>0</v>
      </c>
      <c r="I10" t="e">
        <f ca="1">AVERAGEIF($A$4:$A$35,$F10,$B$4:$B$35)</f>
        <v>#DIV/0!</v>
      </c>
      <c r="J10" t="e">
        <f t="array" aca="1" ref="J10" ca="1">VAR(IF($A$4:$A$35=$F10,$B$4:$B$35))</f>
        <v>#NAME?</v>
      </c>
      <c r="K10" t="e">
        <f ca="1">($G10-1)*J10</f>
        <v>#NAME?</v>
      </c>
      <c r="L10" t="e">
        <f ca="1">SQRT(I$15/G10)</f>
        <v>#NAME?</v>
      </c>
      <c r="M10" t="e">
        <f ca="1">I10-L10*TINV(L$5,G10-1)</f>
        <v>#DIV/0!</v>
      </c>
      <c r="N10" t="e">
        <f ca="1">I10+L10*TINV(L$5,G10-1)</f>
        <v>#DIV/0!</v>
      </c>
      <c r="P10" t="e">
        <f ca="1"/>
        <v>#NAME?</v>
      </c>
      <c r="Q10">
        <f ca="1">COUNTIF($A$4:$A$35,$P10)</f>
        <v>0</v>
      </c>
      <c r="R10">
        <f ca="1">SUMIF($A$4:$A$35,$P10,$D$4:$D$35)</f>
        <v>0</v>
      </c>
      <c r="S10" t="e">
        <f ca="1">AVERAGEIF($A$4:$A$35,$P10,$D$4:$D$35)</f>
        <v>#DIV/0!</v>
      </c>
      <c r="T10" t="e">
        <f t="array" aca="1" ref="T10" ca="1">VAR(IF($A$4:$A$35=$P10,$D$4:$D$35))</f>
        <v>#NAME?</v>
      </c>
      <c r="U10" t="e">
        <f ca="1">($Q10-1)*T10</f>
        <v>#NAME?</v>
      </c>
      <c r="V10" t="e">
        <f ca="1">SQRT(S$15/Q10)</f>
        <v>#NAME?</v>
      </c>
      <c r="W10" t="e">
        <f ca="1">S10-V10*TINV(V$5,Q10-1)</f>
        <v>#DIV/0!</v>
      </c>
      <c r="X10" t="e">
        <f ca="1">S10+V10*TINV(V$5,Q10-1)</f>
        <v>#DIV/0!</v>
      </c>
    </row>
    <row r="11" spans="1:24" x14ac:dyDescent="0.35">
      <c r="A11" t="s">
        <v>158</v>
      </c>
      <c r="B11" s="102">
        <v>65.7</v>
      </c>
      <c r="C11" s="103">
        <v>27.7</v>
      </c>
      <c r="D11" s="104">
        <v>5.3</v>
      </c>
      <c r="F11" s="111"/>
      <c r="G11" s="111"/>
      <c r="H11" s="111"/>
      <c r="I11" s="111"/>
      <c r="J11" s="111"/>
      <c r="K11" s="111"/>
      <c r="L11" s="111"/>
      <c r="M11" s="111"/>
      <c r="N11" s="111"/>
      <c r="P11" s="111"/>
      <c r="Q11" s="111"/>
      <c r="R11" s="111"/>
      <c r="S11" s="111"/>
      <c r="T11" s="111"/>
      <c r="U11" s="111"/>
      <c r="V11" s="111"/>
      <c r="W11" s="111"/>
      <c r="X11" s="111"/>
    </row>
    <row r="12" spans="1:24" ht="15" thickBot="1" x14ac:dyDescent="0.4">
      <c r="A12" t="s">
        <v>159</v>
      </c>
      <c r="B12" s="102">
        <v>67.3</v>
      </c>
      <c r="C12" s="103">
        <v>48.3</v>
      </c>
      <c r="D12" s="104">
        <v>5.5</v>
      </c>
      <c r="F12" t="s">
        <v>183</v>
      </c>
      <c r="P12" t="s">
        <v>183</v>
      </c>
    </row>
    <row r="13" spans="1:24" ht="15" thickTop="1" x14ac:dyDescent="0.35">
      <c r="A13" t="s">
        <v>159</v>
      </c>
      <c r="B13" s="102">
        <v>61.3</v>
      </c>
      <c r="C13" s="103">
        <v>28.9</v>
      </c>
      <c r="D13" s="104">
        <v>6.9</v>
      </c>
      <c r="F13" s="94" t="s">
        <v>184</v>
      </c>
      <c r="G13" s="94" t="s">
        <v>179</v>
      </c>
      <c r="H13" s="94" t="s">
        <v>62</v>
      </c>
      <c r="I13" s="94" t="s">
        <v>185</v>
      </c>
      <c r="J13" s="94" t="s">
        <v>54</v>
      </c>
      <c r="K13" s="94" t="s">
        <v>186</v>
      </c>
      <c r="L13" s="94" t="s">
        <v>187</v>
      </c>
      <c r="M13" s="94" t="s">
        <v>188</v>
      </c>
      <c r="N13" s="94" t="s">
        <v>189</v>
      </c>
      <c r="P13" s="94" t="s">
        <v>184</v>
      </c>
      <c r="Q13" s="94" t="s">
        <v>179</v>
      </c>
      <c r="R13" s="94" t="s">
        <v>62</v>
      </c>
      <c r="S13" s="94" t="s">
        <v>185</v>
      </c>
      <c r="T13" s="94" t="s">
        <v>54</v>
      </c>
      <c r="U13" s="94" t="s">
        <v>186</v>
      </c>
      <c r="V13" s="94" t="s">
        <v>187</v>
      </c>
      <c r="W13" s="94" t="s">
        <v>188</v>
      </c>
      <c r="X13" s="94" t="s">
        <v>189</v>
      </c>
    </row>
    <row r="14" spans="1:24" x14ac:dyDescent="0.35">
      <c r="A14" t="s">
        <v>159</v>
      </c>
      <c r="B14" s="102">
        <v>58.2</v>
      </c>
      <c r="C14" s="103">
        <v>42.5</v>
      </c>
      <c r="D14" s="104">
        <v>4.8</v>
      </c>
      <c r="F14" t="s">
        <v>190</v>
      </c>
      <c r="G14" t="e">
        <f ca="1">G16-G15</f>
        <v>#NAME?</v>
      </c>
      <c r="H14" t="e">
        <f ca="1">COUNTAU(A4:A35)-1</f>
        <v>#NAME?</v>
      </c>
      <c r="I14" t="e">
        <f ca="1">G14/H14</f>
        <v>#NAME?</v>
      </c>
      <c r="J14" t="e">
        <f ca="1">I14/I15</f>
        <v>#NAME?</v>
      </c>
      <c r="K14" t="e">
        <f ca="1">FDIST(J14,H14,H15)</f>
        <v>#NAME?</v>
      </c>
      <c r="L14" t="e">
        <f ca="1">FINV(L5,H14,H15)</f>
        <v>#NAME?</v>
      </c>
      <c r="M14" t="e">
        <f ca="1">SQRT(DEVSQ(I7:I10)/(I15*H14))</f>
        <v>#DIV/0!</v>
      </c>
      <c r="N14" t="e">
        <f ca="1">(G16-H16*I15)/(G16+I15)</f>
        <v>#NAME?</v>
      </c>
      <c r="P14" t="s">
        <v>190</v>
      </c>
      <c r="Q14" t="e">
        <f ca="1">Q16-Q15</f>
        <v>#NAME?</v>
      </c>
      <c r="R14" t="e">
        <f ca="1">COUNTAU(A4:A35)-1</f>
        <v>#NAME?</v>
      </c>
      <c r="S14" t="e">
        <f ca="1">Q14/R14</f>
        <v>#NAME?</v>
      </c>
      <c r="T14" t="e">
        <f ca="1">S14/S15</f>
        <v>#NAME?</v>
      </c>
      <c r="U14" t="e">
        <f ca="1">FDIST(T14,R14,R15)</f>
        <v>#NAME?</v>
      </c>
      <c r="V14" t="e">
        <f ca="1">FINV(V5,R14,R15)</f>
        <v>#NAME?</v>
      </c>
      <c r="W14" t="e">
        <f ca="1">SQRT(DEVSQ(S7:S10)/(S15*R14))</f>
        <v>#DIV/0!</v>
      </c>
      <c r="X14" t="e">
        <f ca="1">(Q16-R16*S15)/(Q16+S15)</f>
        <v>#NAME?</v>
      </c>
    </row>
    <row r="15" spans="1:24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t="s">
        <v>191</v>
      </c>
      <c r="G15" t="e">
        <f ca="1">SUM(K7:K10)</f>
        <v>#NAME?</v>
      </c>
      <c r="H15" t="e">
        <f ca="1">H16-H14</f>
        <v>#NAME?</v>
      </c>
      <c r="I15" t="e">
        <f ca="1">G15/H15</f>
        <v>#NAME?</v>
      </c>
      <c r="P15" t="s">
        <v>191</v>
      </c>
      <c r="Q15" t="e">
        <f ca="1">SUM(U7:U10)</f>
        <v>#NAME?</v>
      </c>
      <c r="R15" t="e">
        <f ca="1">R16-R14</f>
        <v>#NAME?</v>
      </c>
      <c r="S15" t="e">
        <f ca="1">Q15/R15</f>
        <v>#NAME?</v>
      </c>
    </row>
    <row r="16" spans="1:24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40" t="s">
        <v>168</v>
      </c>
      <c r="G16" s="40">
        <f>DEVSQ(B4:B35)</f>
        <v>4968.8671874999991</v>
      </c>
      <c r="H16" s="40">
        <f>COUNT(B4:B35)-1</f>
        <v>31</v>
      </c>
      <c r="I16" s="40">
        <f>G16/H16</f>
        <v>160.28603830645159</v>
      </c>
      <c r="J16" s="40"/>
      <c r="K16" s="40"/>
      <c r="L16" s="40"/>
      <c r="M16" s="40"/>
      <c r="N16" s="40"/>
      <c r="P16" s="40" t="s">
        <v>168</v>
      </c>
      <c r="Q16" s="40">
        <f>DEVSQ(D4:D35)</f>
        <v>144.78468750000002</v>
      </c>
      <c r="R16" s="40">
        <f>COUNT(D4:D35)-1</f>
        <v>31</v>
      </c>
      <c r="S16" s="40">
        <f>Q16/R16</f>
        <v>4.670473790322581</v>
      </c>
      <c r="T16" s="40"/>
      <c r="U16" s="40"/>
      <c r="V16" s="40"/>
      <c r="W16" s="40"/>
      <c r="X16" s="40"/>
    </row>
    <row r="17" spans="1:14" x14ac:dyDescent="0.35">
      <c r="A17" t="s">
        <v>159</v>
      </c>
      <c r="B17" s="102">
        <v>55.4</v>
      </c>
      <c r="C17" s="103">
        <v>29.1</v>
      </c>
      <c r="D17" s="104">
        <v>5</v>
      </c>
    </row>
    <row r="18" spans="1:14" x14ac:dyDescent="0.35">
      <c r="A18" t="s">
        <v>159</v>
      </c>
      <c r="B18" s="102">
        <v>50.5</v>
      </c>
      <c r="C18" s="103">
        <v>18</v>
      </c>
      <c r="D18" s="104">
        <v>4.8</v>
      </c>
      <c r="F18" t="s">
        <v>173</v>
      </c>
      <c r="I18" t="str">
        <f>C3</f>
        <v>water</v>
      </c>
    </row>
    <row r="19" spans="1:14" x14ac:dyDescent="0.35">
      <c r="A19" t="s">
        <v>159</v>
      </c>
      <c r="B19" s="102">
        <v>64.099999999999994</v>
      </c>
      <c r="C19" s="103">
        <v>14.5</v>
      </c>
      <c r="D19" s="104">
        <v>3.7</v>
      </c>
    </row>
    <row r="20" spans="1:14" ht="15" thickBot="1" x14ac:dyDescent="0.4">
      <c r="A20" t="s">
        <v>161</v>
      </c>
      <c r="B20" s="102">
        <v>62.8</v>
      </c>
      <c r="C20" s="103">
        <v>25.9</v>
      </c>
      <c r="D20" s="104">
        <v>2.9</v>
      </c>
      <c r="F20" t="s">
        <v>174</v>
      </c>
      <c r="K20" t="s">
        <v>175</v>
      </c>
      <c r="L20" s="122">
        <f>0.05/3</f>
        <v>1.6666666666666666E-2</v>
      </c>
    </row>
    <row r="21" spans="1:14" ht="15" thickTop="1" x14ac:dyDescent="0.35">
      <c r="A21" t="s">
        <v>161</v>
      </c>
      <c r="B21" s="102">
        <v>45</v>
      </c>
      <c r="C21" s="103">
        <v>15.9</v>
      </c>
      <c r="D21" s="104">
        <v>1.2</v>
      </c>
      <c r="F21" s="94" t="s">
        <v>176</v>
      </c>
      <c r="G21" s="94" t="s">
        <v>100</v>
      </c>
      <c r="H21" s="94" t="s">
        <v>177</v>
      </c>
      <c r="I21" s="94" t="s">
        <v>34</v>
      </c>
      <c r="J21" s="94" t="s">
        <v>178</v>
      </c>
      <c r="K21" s="94" t="s">
        <v>179</v>
      </c>
      <c r="L21" s="94" t="s">
        <v>180</v>
      </c>
      <c r="M21" s="94" t="s">
        <v>181</v>
      </c>
      <c r="N21" s="94" t="s">
        <v>182</v>
      </c>
    </row>
    <row r="22" spans="1:14" x14ac:dyDescent="0.35">
      <c r="A22" t="s">
        <v>161</v>
      </c>
      <c r="B22" s="102">
        <v>47.8</v>
      </c>
      <c r="C22" s="103">
        <v>36.1</v>
      </c>
      <c r="D22" s="104">
        <v>4.0999999999999996</v>
      </c>
      <c r="F22" t="e">
        <f t="array" aca="1" ref="F22:F25" ca="1">SortUnique(A4:A35)</f>
        <v>#NAME?</v>
      </c>
      <c r="G22">
        <f ca="1">COUNTIF($A$4:$A$35,$F22)</f>
        <v>0</v>
      </c>
      <c r="H22">
        <f ca="1">SUMIF($A$4:$A$35,$F22,$C$4:$C$35)</f>
        <v>0</v>
      </c>
      <c r="I22" t="e">
        <f ca="1">AVERAGEIF($A$4:$A$35,$F22,$C$4:$C$35)</f>
        <v>#DIV/0!</v>
      </c>
      <c r="J22" t="e">
        <f t="array" aca="1" ref="J22" ca="1">VAR(IF($A$4:$A$35=$F22,$C$4:$C$35))</f>
        <v>#NAME?</v>
      </c>
      <c r="K22" t="e">
        <f ca="1">($G22-1)*J22</f>
        <v>#NAME?</v>
      </c>
      <c r="L22" t="e">
        <f ca="1">SQRT(I$30/G22)</f>
        <v>#NAME?</v>
      </c>
      <c r="M22" t="e">
        <f ca="1">I22-L22*TINV(L$20,G22-1)</f>
        <v>#DIV/0!</v>
      </c>
      <c r="N22" t="e">
        <f ca="1">I22+L22*TINV(L$20,G22-1)</f>
        <v>#DIV/0!</v>
      </c>
    </row>
    <row r="23" spans="1:14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e">
        <f ca="1"/>
        <v>#NAME?</v>
      </c>
      <c r="G23">
        <f ca="1">COUNTIF($A$4:$A$35,$F23)</f>
        <v>0</v>
      </c>
      <c r="H23">
        <f ca="1">SUMIF($A$4:$A$35,$F23,$C$4:$C$35)</f>
        <v>0</v>
      </c>
      <c r="I23" t="e">
        <f ca="1">AVERAGEIF($A$4:$A$35,$F23,$C$4:$C$35)</f>
        <v>#DIV/0!</v>
      </c>
      <c r="J23" t="e">
        <f t="array" aca="1" ref="J23" ca="1">VAR(IF($A$4:$A$35=$F23,$C$4:$C$35))</f>
        <v>#NAME?</v>
      </c>
      <c r="K23" t="e">
        <f ca="1">($G23-1)*J23</f>
        <v>#NAME?</v>
      </c>
      <c r="L23" t="e">
        <f ca="1">SQRT(I$30/G23)</f>
        <v>#NAME?</v>
      </c>
      <c r="M23" t="e">
        <f ca="1">I23-L23*TINV(L$20,G23-1)</f>
        <v>#DIV/0!</v>
      </c>
      <c r="N23" t="e">
        <f ca="1">I23+L23*TINV(L$20,G23-1)</f>
        <v>#DIV/0!</v>
      </c>
    </row>
    <row r="24" spans="1:14" x14ac:dyDescent="0.35">
      <c r="A24" t="s">
        <v>161</v>
      </c>
      <c r="B24" s="102">
        <v>46.6</v>
      </c>
      <c r="C24" s="103">
        <v>46.9</v>
      </c>
      <c r="D24" s="104">
        <v>3.6</v>
      </c>
      <c r="F24" t="e">
        <f ca="1"/>
        <v>#NAME?</v>
      </c>
      <c r="G24">
        <f ca="1">COUNTIF($A$4:$A$35,$F24)</f>
        <v>0</v>
      </c>
      <c r="H24">
        <f ca="1">SUMIF($A$4:$A$35,$F24,$C$4:$C$35)</f>
        <v>0</v>
      </c>
      <c r="I24" t="e">
        <f ca="1">AVERAGEIF($A$4:$A$35,$F24,$C$4:$C$35)</f>
        <v>#DIV/0!</v>
      </c>
      <c r="J24" t="e">
        <f t="array" aca="1" ref="J24" ca="1">VAR(IF($A$4:$A$35=$F24,$C$4:$C$35))</f>
        <v>#NAME?</v>
      </c>
      <c r="K24" t="e">
        <f ca="1">($G24-1)*J24</f>
        <v>#NAME?</v>
      </c>
      <c r="L24" t="e">
        <f ca="1">SQRT(I$30/G24)</f>
        <v>#NAME?</v>
      </c>
      <c r="M24" t="e">
        <f ca="1">I24-L24*TINV(L$20,G24-1)</f>
        <v>#DIV/0!</v>
      </c>
      <c r="N24" t="e">
        <f ca="1">I24+L24*TINV(L$20,G24-1)</f>
        <v>#DIV/0!</v>
      </c>
    </row>
    <row r="25" spans="1:14" x14ac:dyDescent="0.35">
      <c r="A25" t="s">
        <v>161</v>
      </c>
      <c r="B25" s="102">
        <v>50.6</v>
      </c>
      <c r="C25" s="103">
        <v>29.7</v>
      </c>
      <c r="D25" s="104">
        <v>4.7</v>
      </c>
      <c r="F25" t="e">
        <f ca="1"/>
        <v>#NAME?</v>
      </c>
      <c r="G25">
        <f ca="1">COUNTIF($A$4:$A$35,$F25)</f>
        <v>0</v>
      </c>
      <c r="H25">
        <f ca="1">SUMIF($A$4:$A$35,$F25,$C$4:$C$35)</f>
        <v>0</v>
      </c>
      <c r="I25" t="e">
        <f ca="1">AVERAGEIF($A$4:$A$35,$F25,$C$4:$C$35)</f>
        <v>#DIV/0!</v>
      </c>
      <c r="J25" t="e">
        <f t="array" aca="1" ref="J25" ca="1">VAR(IF($A$4:$A$35=$F25,$C$4:$C$35))</f>
        <v>#NAME?</v>
      </c>
      <c r="K25" t="e">
        <f ca="1">($G25-1)*J25</f>
        <v>#NAME?</v>
      </c>
      <c r="L25" t="e">
        <f ca="1">SQRT(I$30/G25)</f>
        <v>#NAME?</v>
      </c>
      <c r="M25" t="e">
        <f ca="1">I25-L25*TINV(L$20,G25-1)</f>
        <v>#DIV/0!</v>
      </c>
      <c r="N25" t="e">
        <f ca="1">I25+L25*TINV(L$20,G25-1)</f>
        <v>#DIV/0!</v>
      </c>
    </row>
    <row r="26" spans="1:14" x14ac:dyDescent="0.35">
      <c r="A26" t="s">
        <v>161</v>
      </c>
      <c r="B26" s="102">
        <v>45.7</v>
      </c>
      <c r="C26" s="103">
        <v>27.6</v>
      </c>
      <c r="D26" s="104">
        <v>6.2</v>
      </c>
      <c r="F26" s="111"/>
      <c r="G26" s="111"/>
      <c r="H26" s="111"/>
      <c r="I26" s="111"/>
      <c r="J26" s="111"/>
      <c r="K26" s="111"/>
      <c r="L26" s="111"/>
      <c r="M26" s="111"/>
      <c r="N26" s="111"/>
    </row>
    <row r="27" spans="1:14" ht="15" thickBot="1" x14ac:dyDescent="0.4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183</v>
      </c>
    </row>
    <row r="28" spans="1:14" ht="15" thickTop="1" x14ac:dyDescent="0.35">
      <c r="A28" t="s">
        <v>160</v>
      </c>
      <c r="B28" s="102">
        <v>52.5</v>
      </c>
      <c r="C28" s="103">
        <v>39</v>
      </c>
      <c r="D28" s="104">
        <v>3.1</v>
      </c>
      <c r="F28" s="94" t="s">
        <v>184</v>
      </c>
      <c r="G28" s="94" t="s">
        <v>179</v>
      </c>
      <c r="H28" s="94" t="s">
        <v>62</v>
      </c>
      <c r="I28" s="94" t="s">
        <v>185</v>
      </c>
      <c r="J28" s="94" t="s">
        <v>54</v>
      </c>
      <c r="K28" s="94" t="s">
        <v>186</v>
      </c>
      <c r="L28" s="94" t="s">
        <v>187</v>
      </c>
      <c r="M28" s="94" t="s">
        <v>188</v>
      </c>
      <c r="N28" s="94" t="s">
        <v>189</v>
      </c>
    </row>
    <row r="29" spans="1:14" x14ac:dyDescent="0.35">
      <c r="A29" t="s">
        <v>160</v>
      </c>
      <c r="B29" s="102">
        <v>80</v>
      </c>
      <c r="C29" s="103">
        <v>54.2</v>
      </c>
      <c r="D29" s="104">
        <v>4</v>
      </c>
      <c r="F29" t="s">
        <v>190</v>
      </c>
      <c r="G29" t="e">
        <f ca="1">G31-G30</f>
        <v>#NAME?</v>
      </c>
      <c r="H29" t="e">
        <f ca="1">COUNTAU(A4:A35)-1</f>
        <v>#NAME?</v>
      </c>
      <c r="I29" t="e">
        <f ca="1">G29/H29</f>
        <v>#NAME?</v>
      </c>
      <c r="J29" t="e">
        <f ca="1">I29/I30</f>
        <v>#NAME?</v>
      </c>
      <c r="K29" t="e">
        <f ca="1">FDIST(J29,H29,H30)</f>
        <v>#NAME?</v>
      </c>
      <c r="L29" t="e">
        <f ca="1">FINV(L20,H29,H30)</f>
        <v>#NAME?</v>
      </c>
      <c r="M29" t="e">
        <f ca="1">SQRT(DEVSQ(I22:I25)/(I30*H29))</f>
        <v>#DIV/0!</v>
      </c>
      <c r="N29" t="e">
        <f ca="1">(G31-H31*I30)/(G31+I30)</f>
        <v>#NAME?</v>
      </c>
    </row>
    <row r="30" spans="1:14" x14ac:dyDescent="0.35">
      <c r="A30" t="s">
        <v>160</v>
      </c>
      <c r="B30" s="102">
        <v>54.7</v>
      </c>
      <c r="C30" s="103">
        <v>32.1</v>
      </c>
      <c r="D30" s="104">
        <v>5.7</v>
      </c>
      <c r="F30" t="s">
        <v>191</v>
      </c>
      <c r="G30" t="e">
        <f ca="1">SUM(K22:K25)</f>
        <v>#NAME?</v>
      </c>
      <c r="H30" t="e">
        <f ca="1">H31-H29</f>
        <v>#NAME?</v>
      </c>
      <c r="I30" t="e">
        <f ca="1">G30/H30</f>
        <v>#NAME?</v>
      </c>
    </row>
    <row r="31" spans="1:14" x14ac:dyDescent="0.35">
      <c r="A31" t="s">
        <v>160</v>
      </c>
      <c r="B31" s="102">
        <v>63.5</v>
      </c>
      <c r="C31" s="103">
        <v>25.6</v>
      </c>
      <c r="D31" s="104">
        <v>3</v>
      </c>
      <c r="F31" s="40" t="s">
        <v>168</v>
      </c>
      <c r="G31" s="40">
        <f>DEVSQ(C4:C35)</f>
        <v>2955.8921874999996</v>
      </c>
      <c r="H31" s="40">
        <f>COUNT(C4:C35)-1</f>
        <v>31</v>
      </c>
      <c r="I31" s="40">
        <f>G31/H31</f>
        <v>95.35136088709676</v>
      </c>
      <c r="J31" s="40"/>
      <c r="K31" s="40"/>
      <c r="L31" s="40"/>
      <c r="M31" s="40"/>
      <c r="N31" s="40"/>
    </row>
    <row r="32" spans="1:14" x14ac:dyDescent="0.35">
      <c r="A32" t="s">
        <v>160</v>
      </c>
      <c r="B32" s="102">
        <v>46.3</v>
      </c>
      <c r="C32" s="103">
        <v>31.8</v>
      </c>
      <c r="D32" s="104">
        <v>7.4</v>
      </c>
    </row>
    <row r="33" spans="1:4" x14ac:dyDescent="0.35">
      <c r="A33" t="s">
        <v>160</v>
      </c>
      <c r="B33" s="102">
        <v>61.5</v>
      </c>
      <c r="C33" s="103">
        <v>16.8</v>
      </c>
      <c r="D33" s="104">
        <v>1.9</v>
      </c>
    </row>
    <row r="34" spans="1:4" x14ac:dyDescent="0.35">
      <c r="A34" t="s">
        <v>160</v>
      </c>
      <c r="B34" s="102">
        <v>62.9</v>
      </c>
      <c r="C34" s="103">
        <v>25.8</v>
      </c>
      <c r="D34" s="104">
        <v>2.4</v>
      </c>
    </row>
    <row r="35" spans="1:4" x14ac:dyDescent="0.35">
      <c r="A35" t="s">
        <v>160</v>
      </c>
      <c r="B35" s="105">
        <v>49.3</v>
      </c>
      <c r="C35" s="106">
        <v>39.4</v>
      </c>
      <c r="D35" s="107">
        <v>5.2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7"/>
  <dimension ref="A1:S48"/>
  <sheetViews>
    <sheetView zoomScaleNormal="100" workbookViewId="0"/>
  </sheetViews>
  <sheetFormatPr defaultRowHeight="14.5" x14ac:dyDescent="0.35"/>
  <sheetData>
    <row r="1" spans="1:19" x14ac:dyDescent="0.35">
      <c r="A1" s="42" t="s">
        <v>281</v>
      </c>
      <c r="F1" t="s">
        <v>236</v>
      </c>
    </row>
    <row r="3" spans="1:19" x14ac:dyDescent="0.35">
      <c r="B3" s="47" t="s">
        <v>144</v>
      </c>
      <c r="C3" s="47" t="s">
        <v>145</v>
      </c>
      <c r="D3" s="47" t="s">
        <v>146</v>
      </c>
      <c r="G3" s="32" t="str">
        <f t="array" ref="G3:I3">$B$3:$D$3</f>
        <v>yield</v>
      </c>
      <c r="H3" s="32" t="str">
        <v>water</v>
      </c>
      <c r="I3" s="32" t="str">
        <v>herbicide</v>
      </c>
      <c r="J3" s="32" t="s">
        <v>100</v>
      </c>
      <c r="L3" s="32" t="s">
        <v>222</v>
      </c>
      <c r="N3" t="s">
        <v>218</v>
      </c>
      <c r="R3" t="s">
        <v>194</v>
      </c>
      <c r="S3" s="146" t="e">
        <f ca="1">MDETERM(N9:P11)/MDETERM(N4:P6+N9:P11)</f>
        <v>#NAME?</v>
      </c>
    </row>
    <row r="4" spans="1:19" x14ac:dyDescent="0.35">
      <c r="A4" t="s">
        <v>158</v>
      </c>
      <c r="B4" s="75">
        <v>76.7</v>
      </c>
      <c r="C4" s="100">
        <v>29.5</v>
      </c>
      <c r="D4" s="101">
        <v>7.5</v>
      </c>
      <c r="F4" t="s">
        <v>160</v>
      </c>
      <c r="G4" s="130">
        <f t="shared" ref="G4:I7" si="0">AVERAGEIF($A$4:$A$35,$F4,B$4:B$35)</f>
        <v>58.837499999999999</v>
      </c>
      <c r="H4" s="141">
        <f t="shared" si="0"/>
        <v>33.087500000000006</v>
      </c>
      <c r="I4" s="131">
        <f t="shared" si="0"/>
        <v>4.0875000000000004</v>
      </c>
      <c r="J4" s="132">
        <f>COUNTIF($A$4:$A$35,F4)</f>
        <v>8</v>
      </c>
      <c r="L4" s="133">
        <v>1</v>
      </c>
      <c r="N4" s="130">
        <f t="array" ref="N4:P6">MMULT(TRANSPOSE(G11:I11),G11:I11)/J10</f>
        <v>49.702499999999958</v>
      </c>
      <c r="O4" s="141">
        <v>34.54500000000013</v>
      </c>
      <c r="P4" s="131">
        <v>3.1725000000000061</v>
      </c>
      <c r="R4" t="s">
        <v>223</v>
      </c>
      <c r="S4" s="49">
        <f>COUNT($B$4:$B$35)</f>
        <v>32</v>
      </c>
    </row>
    <row r="5" spans="1:19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158</v>
      </c>
      <c r="G5" s="83">
        <f t="shared" si="0"/>
        <v>69.712500000000006</v>
      </c>
      <c r="H5" s="37">
        <f t="shared" si="0"/>
        <v>32.737499999999997</v>
      </c>
      <c r="I5" s="84">
        <f t="shared" si="0"/>
        <v>6.3874999999999984</v>
      </c>
      <c r="J5" s="98">
        <f>COUNTIF($A$4:$A$35,F5)</f>
        <v>8</v>
      </c>
      <c r="L5" s="127"/>
      <c r="N5" s="83">
        <v>34.54500000000013</v>
      </c>
      <c r="O5" s="37">
        <v>24.010000000000193</v>
      </c>
      <c r="P5" s="84">
        <v>2.2050000000000143</v>
      </c>
      <c r="R5" t="s">
        <v>224</v>
      </c>
      <c r="S5" s="49">
        <f>COUNT($B$4:$D$4)</f>
        <v>3</v>
      </c>
    </row>
    <row r="6" spans="1:19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161</v>
      </c>
      <c r="G6" s="83">
        <f t="shared" si="0"/>
        <v>55.3125</v>
      </c>
      <c r="H6" s="37">
        <f t="shared" si="0"/>
        <v>30.637499999999996</v>
      </c>
      <c r="I6" s="84">
        <f t="shared" si="0"/>
        <v>3.8624999999999998</v>
      </c>
      <c r="J6" s="98">
        <f>COUNTIF($A$4:$A$35,F6)</f>
        <v>8</v>
      </c>
      <c r="L6" s="127">
        <v>-1</v>
      </c>
      <c r="N6" s="85">
        <v>3.1725000000000061</v>
      </c>
      <c r="O6" s="86">
        <v>2.2050000000000143</v>
      </c>
      <c r="P6" s="87">
        <v>0.20250000000000096</v>
      </c>
      <c r="R6" t="s">
        <v>225</v>
      </c>
      <c r="S6" s="49">
        <f>COUNT(G4:G7)</f>
        <v>4</v>
      </c>
    </row>
    <row r="7" spans="1:19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s">
        <v>159</v>
      </c>
      <c r="G7" s="85">
        <f t="shared" si="0"/>
        <v>62.575000000000003</v>
      </c>
      <c r="H7" s="86">
        <f t="shared" si="0"/>
        <v>28.2</v>
      </c>
      <c r="I7" s="87">
        <f t="shared" si="0"/>
        <v>4.3500000000000005</v>
      </c>
      <c r="J7" s="99">
        <f>COUNTIF($A$4:$A$35,F7)</f>
        <v>8</v>
      </c>
      <c r="L7" s="128"/>
      <c r="R7" t="s">
        <v>55</v>
      </c>
      <c r="S7" s="49">
        <f>S5</f>
        <v>3</v>
      </c>
    </row>
    <row r="8" spans="1:19" x14ac:dyDescent="0.35">
      <c r="A8" t="s">
        <v>158</v>
      </c>
      <c r="B8" s="102">
        <v>50.2</v>
      </c>
      <c r="C8" s="103">
        <v>34.1</v>
      </c>
      <c r="D8" s="104">
        <v>11.7</v>
      </c>
      <c r="F8" t="s">
        <v>168</v>
      </c>
      <c r="G8" s="134">
        <f>AVERAGE(B$4:B$35)</f>
        <v>61.609374999999993</v>
      </c>
      <c r="H8" s="135">
        <f>AVERAGE(C$4:C$35)</f>
        <v>31.165624999999999</v>
      </c>
      <c r="I8" s="136">
        <f>AVERAGE(D$4:D$35)</f>
        <v>4.6718749999999991</v>
      </c>
      <c r="J8" s="137">
        <f>SUM(J4:J7)</f>
        <v>32</v>
      </c>
      <c r="N8" t="s">
        <v>156</v>
      </c>
      <c r="R8" t="s">
        <v>56</v>
      </c>
      <c r="S8" s="49">
        <f>S4-S5-S6+1</f>
        <v>26</v>
      </c>
    </row>
    <row r="9" spans="1:19" x14ac:dyDescent="0.35">
      <c r="A9" t="s">
        <v>158</v>
      </c>
      <c r="B9" s="102">
        <v>55</v>
      </c>
      <c r="C9" s="103">
        <v>31.1</v>
      </c>
      <c r="D9" s="104">
        <v>6.9</v>
      </c>
      <c r="N9" s="130" t="e">
        <f t="array" aca="1" ref="N9:P11" ca="1">COVPooled($A$4:$D$35)*(S4-S6)</f>
        <v>#NAME?</v>
      </c>
      <c r="O9" s="141" t="e">
        <f ca="1"/>
        <v>#NAME?</v>
      </c>
      <c r="P9" s="131" t="e">
        <f ca="1"/>
        <v>#NAME?</v>
      </c>
      <c r="R9" t="s">
        <v>54</v>
      </c>
      <c r="S9" s="49" t="e">
        <f ca="1">(1-S3)/S3*(S8/S7)</f>
        <v>#NAME?</v>
      </c>
    </row>
    <row r="10" spans="1:19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s">
        <v>217</v>
      </c>
      <c r="J10" s="137">
        <f>SUMPRODUCT(L4:L7^2/J4:J7)</f>
        <v>0.25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t="s">
        <v>65</v>
      </c>
      <c r="S10" s="49" t="e">
        <f ca="1">FDIST(S9,S7,S8)</f>
        <v>#NAME?</v>
      </c>
    </row>
    <row r="11" spans="1:19" x14ac:dyDescent="0.35">
      <c r="A11" t="s">
        <v>158</v>
      </c>
      <c r="B11" s="102">
        <v>65.7</v>
      </c>
      <c r="C11" s="103">
        <v>27.7</v>
      </c>
      <c r="D11" s="104">
        <v>5.3</v>
      </c>
      <c r="F11" t="s">
        <v>48</v>
      </c>
      <c r="G11" s="130">
        <f>SUMPRODUCT(G4:G7,$L4:$L7)</f>
        <v>3.5249999999999986</v>
      </c>
      <c r="H11" s="141">
        <f>SUMPRODUCT(H4:H7,$L4:$L7)</f>
        <v>2.4500000000000099</v>
      </c>
      <c r="I11" s="131">
        <f>SUMPRODUCT(I4:I7,$L4:$L7)</f>
        <v>0.22500000000000053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t="s">
        <v>226</v>
      </c>
      <c r="S11" s="52" t="e">
        <f ca="1">(S4-S6)*(1-S3)*J10/S3</f>
        <v>#NAME?</v>
      </c>
    </row>
    <row r="12" spans="1:19" x14ac:dyDescent="0.35">
      <c r="A12" t="s">
        <v>159</v>
      </c>
      <c r="B12" s="102">
        <v>67.3</v>
      </c>
      <c r="C12" s="103">
        <v>48.3</v>
      </c>
      <c r="D12" s="104">
        <v>5.5</v>
      </c>
      <c r="F12" t="s">
        <v>219</v>
      </c>
      <c r="G12" s="85" t="e">
        <f t="array" aca="1" ref="G12:I12" ca="1">SQRT(DIAG(N9:P11)*J10/(S4-S6))</f>
        <v>#NAME?</v>
      </c>
      <c r="H12" s="86" t="e">
        <f ca="1"/>
        <v>#NAME?</v>
      </c>
      <c r="I12" s="87" t="e">
        <f ca="1"/>
        <v>#NAME?</v>
      </c>
    </row>
    <row r="13" spans="1:19" x14ac:dyDescent="0.35">
      <c r="A13" t="s">
        <v>159</v>
      </c>
      <c r="B13" s="102">
        <v>61.3</v>
      </c>
      <c r="C13" s="103">
        <v>28.9</v>
      </c>
      <c r="D13" s="104">
        <v>6.9</v>
      </c>
    </row>
    <row r="14" spans="1:19" x14ac:dyDescent="0.35">
      <c r="A14" t="s">
        <v>159</v>
      </c>
      <c r="B14" s="102">
        <v>58.2</v>
      </c>
      <c r="C14" s="103">
        <v>42.5</v>
      </c>
      <c r="D14" s="104">
        <v>4.8</v>
      </c>
      <c r="F14" t="s">
        <v>236</v>
      </c>
    </row>
    <row r="15" spans="1:19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</row>
    <row r="16" spans="1:19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G16" s="32" t="str">
        <f t="array" ref="G16:I16">$B$3:$D$3</f>
        <v>yield</v>
      </c>
      <c r="H16" s="32" t="str">
        <v>water</v>
      </c>
      <c r="I16" s="32" t="str">
        <v>herbicide</v>
      </c>
      <c r="J16" s="32" t="s">
        <v>100</v>
      </c>
      <c r="L16" s="32" t="s">
        <v>222</v>
      </c>
      <c r="N16" t="s">
        <v>218</v>
      </c>
      <c r="R16" s="37" t="s">
        <v>194</v>
      </c>
      <c r="S16" s="146" t="e">
        <f ca="1">MDETERM(N22:P24)/MDETERM(N17:P19+N22:P24)</f>
        <v>#NAME?</v>
      </c>
    </row>
    <row r="17" spans="1:19" x14ac:dyDescent="0.35">
      <c r="A17" t="s">
        <v>159</v>
      </c>
      <c r="B17" s="102">
        <v>55.4</v>
      </c>
      <c r="C17" s="103">
        <v>29.1</v>
      </c>
      <c r="D17" s="104">
        <v>5</v>
      </c>
      <c r="F17" t="s">
        <v>160</v>
      </c>
      <c r="G17" s="130">
        <f t="shared" ref="G17:I20" si="1">AVERAGEIF($A$4:$A$35,$F17,B$4:B$35)</f>
        <v>58.837499999999999</v>
      </c>
      <c r="H17" s="141">
        <f t="shared" si="1"/>
        <v>33.087500000000006</v>
      </c>
      <c r="I17" s="131">
        <f t="shared" si="1"/>
        <v>4.0875000000000004</v>
      </c>
      <c r="J17" s="132">
        <f>COUNTIF($A$4:$A$35,F17)</f>
        <v>8</v>
      </c>
      <c r="L17" s="133"/>
      <c r="N17" s="130">
        <f t="array" ref="N17:P19">MMULT(TRANSPOSE(G24:I24),G24:I24)/J23</f>
        <v>203.77562500000016</v>
      </c>
      <c r="O17" s="141">
        <v>129.545625</v>
      </c>
      <c r="P17" s="131">
        <v>58.170624999999966</v>
      </c>
      <c r="R17" s="37" t="s">
        <v>223</v>
      </c>
      <c r="S17" s="49">
        <f>COUNT($B$4:$B$35)</f>
        <v>32</v>
      </c>
    </row>
    <row r="18" spans="1:19" x14ac:dyDescent="0.35">
      <c r="A18" t="s">
        <v>159</v>
      </c>
      <c r="B18" s="102">
        <v>50.5</v>
      </c>
      <c r="C18" s="103">
        <v>18</v>
      </c>
      <c r="D18" s="104">
        <v>4.8</v>
      </c>
      <c r="F18" t="s">
        <v>158</v>
      </c>
      <c r="G18" s="83">
        <f t="shared" si="1"/>
        <v>69.712500000000006</v>
      </c>
      <c r="H18" s="37">
        <f t="shared" si="1"/>
        <v>32.737499999999997</v>
      </c>
      <c r="I18" s="84">
        <f t="shared" si="1"/>
        <v>6.3874999999999984</v>
      </c>
      <c r="J18" s="98">
        <f>COUNTIF($A$4:$A$35,F18)</f>
        <v>8</v>
      </c>
      <c r="L18" s="127">
        <v>1</v>
      </c>
      <c r="N18" s="83">
        <v>129.545625</v>
      </c>
      <c r="O18" s="37">
        <v>82.355624999999918</v>
      </c>
      <c r="P18" s="84">
        <v>36.980624999999947</v>
      </c>
      <c r="R18" s="37" t="s">
        <v>224</v>
      </c>
      <c r="S18" s="49">
        <f>COUNT($B$4:$D$4)</f>
        <v>3</v>
      </c>
    </row>
    <row r="19" spans="1:19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t="s">
        <v>161</v>
      </c>
      <c r="G19" s="83">
        <f t="shared" si="1"/>
        <v>55.3125</v>
      </c>
      <c r="H19" s="37">
        <f t="shared" si="1"/>
        <v>30.637499999999996</v>
      </c>
      <c r="I19" s="84">
        <f t="shared" si="1"/>
        <v>3.8624999999999998</v>
      </c>
      <c r="J19" s="98">
        <f>COUNTIF($A$4:$A$35,F19)</f>
        <v>8</v>
      </c>
      <c r="L19" s="127"/>
      <c r="N19" s="85">
        <v>58.170624999999966</v>
      </c>
      <c r="O19" s="86">
        <v>36.980624999999947</v>
      </c>
      <c r="P19" s="87">
        <v>16.605624999999964</v>
      </c>
      <c r="R19" s="37" t="s">
        <v>225</v>
      </c>
      <c r="S19" s="49">
        <f>COUNT(G17:G20)</f>
        <v>4</v>
      </c>
    </row>
    <row r="20" spans="1:19" x14ac:dyDescent="0.35">
      <c r="A20" t="s">
        <v>161</v>
      </c>
      <c r="B20" s="102">
        <v>62.8</v>
      </c>
      <c r="C20" s="103">
        <v>25.9</v>
      </c>
      <c r="D20" s="104">
        <v>2.9</v>
      </c>
      <c r="F20" t="s">
        <v>159</v>
      </c>
      <c r="G20" s="85">
        <f t="shared" si="1"/>
        <v>62.575000000000003</v>
      </c>
      <c r="H20" s="86">
        <f t="shared" si="1"/>
        <v>28.2</v>
      </c>
      <c r="I20" s="87">
        <f t="shared" si="1"/>
        <v>4.3500000000000005</v>
      </c>
      <c r="J20" s="99">
        <f>COUNTIF($A$4:$A$35,F20)</f>
        <v>8</v>
      </c>
      <c r="L20" s="128">
        <v>-1</v>
      </c>
      <c r="R20" s="37" t="s">
        <v>55</v>
      </c>
      <c r="S20" s="49">
        <f>S18</f>
        <v>3</v>
      </c>
    </row>
    <row r="21" spans="1:19" x14ac:dyDescent="0.35">
      <c r="A21" t="s">
        <v>161</v>
      </c>
      <c r="B21" s="102">
        <v>45</v>
      </c>
      <c r="C21" s="103">
        <v>15.9</v>
      </c>
      <c r="D21" s="104">
        <v>1.2</v>
      </c>
      <c r="F21" t="s">
        <v>168</v>
      </c>
      <c r="G21" s="134">
        <f>AVERAGE(B$4:B$35)</f>
        <v>61.609374999999993</v>
      </c>
      <c r="H21" s="135">
        <f>AVERAGE(C$4:C$35)</f>
        <v>31.165624999999999</v>
      </c>
      <c r="I21" s="136">
        <f>AVERAGE(D$4:D$35)</f>
        <v>4.6718749999999991</v>
      </c>
      <c r="J21" s="137">
        <f>SUM(J17:J20)</f>
        <v>32</v>
      </c>
      <c r="N21" t="s">
        <v>156</v>
      </c>
      <c r="R21" s="37" t="s">
        <v>56</v>
      </c>
      <c r="S21" s="49">
        <f>S17-S18-S19+1</f>
        <v>26</v>
      </c>
    </row>
    <row r="22" spans="1:19" x14ac:dyDescent="0.35">
      <c r="A22" t="s">
        <v>161</v>
      </c>
      <c r="B22" s="102">
        <v>47.8</v>
      </c>
      <c r="C22" s="103">
        <v>36.1</v>
      </c>
      <c r="D22" s="104">
        <v>4.0999999999999996</v>
      </c>
      <c r="N22" s="130" t="e">
        <f t="array" aca="1" ref="N22:P24" ca="1">COVPooled($A$4:$D$35)*(S17-S19)</f>
        <v>#NAME?</v>
      </c>
      <c r="O22" s="141" t="e">
        <f ca="1"/>
        <v>#NAME?</v>
      </c>
      <c r="P22" s="131" t="e">
        <f ca="1"/>
        <v>#NAME?</v>
      </c>
      <c r="R22" s="37" t="s">
        <v>54</v>
      </c>
      <c r="S22" s="49" t="e">
        <f ca="1">(1-S16)/S16*(S21/S20)</f>
        <v>#NAME?</v>
      </c>
    </row>
    <row r="23" spans="1:19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s">
        <v>217</v>
      </c>
      <c r="J23" s="137">
        <f>SUMPRODUCT(L17:L20^2/J17:J20)</f>
        <v>0.25</v>
      </c>
      <c r="N23" s="83" t="e">
        <f ca="1"/>
        <v>#NAME?</v>
      </c>
      <c r="O23" s="37" t="e">
        <f ca="1"/>
        <v>#NAME?</v>
      </c>
      <c r="P23" s="84" t="e">
        <f ca="1"/>
        <v>#NAME?</v>
      </c>
      <c r="R23" s="37" t="s">
        <v>65</v>
      </c>
      <c r="S23" s="49" t="e">
        <f ca="1">FDIST(S22,S20,S21)</f>
        <v>#NAME?</v>
      </c>
    </row>
    <row r="24" spans="1:19" x14ac:dyDescent="0.35">
      <c r="A24" t="s">
        <v>161</v>
      </c>
      <c r="B24" s="102">
        <v>46.6</v>
      </c>
      <c r="C24" s="103">
        <v>46.9</v>
      </c>
      <c r="D24" s="104">
        <v>3.6</v>
      </c>
      <c r="F24" t="s">
        <v>48</v>
      </c>
      <c r="G24" s="130">
        <f>SUMPRODUCT(G17:G20,$L17:$L20)</f>
        <v>7.1375000000000028</v>
      </c>
      <c r="H24" s="141">
        <f>SUMPRODUCT(H17:H20,$L17:$L20)</f>
        <v>4.5374999999999979</v>
      </c>
      <c r="I24" s="131">
        <f>SUMPRODUCT(I17:I20,$L17:$L20)</f>
        <v>2.0374999999999979</v>
      </c>
      <c r="N24" s="85" t="e">
        <f ca="1"/>
        <v>#NAME?</v>
      </c>
      <c r="O24" s="86" t="e">
        <f ca="1"/>
        <v>#NAME?</v>
      </c>
      <c r="P24" s="87" t="e">
        <f ca="1"/>
        <v>#NAME?</v>
      </c>
      <c r="R24" s="37" t="s">
        <v>226</v>
      </c>
      <c r="S24" s="52" t="e">
        <f ca="1">(S17-S19)*(1-S16)*J23/S16</f>
        <v>#NAME?</v>
      </c>
    </row>
    <row r="25" spans="1:19" x14ac:dyDescent="0.35">
      <c r="A25" t="s">
        <v>161</v>
      </c>
      <c r="B25" s="102">
        <v>50.6</v>
      </c>
      <c r="C25" s="103">
        <v>29.7</v>
      </c>
      <c r="D25" s="104">
        <v>4.7</v>
      </c>
      <c r="F25" t="s">
        <v>219</v>
      </c>
      <c r="G25" s="85" t="e">
        <f t="array" aca="1" ref="G25:I25" ca="1">SQRT(DIAG(N22:P24)*J23/(S17-S19))</f>
        <v>#NAME?</v>
      </c>
      <c r="H25" s="86" t="e">
        <f ca="1"/>
        <v>#NAME?</v>
      </c>
      <c r="I25" s="87" t="e">
        <f ca="1"/>
        <v>#NAME?</v>
      </c>
    </row>
    <row r="26" spans="1:19" x14ac:dyDescent="0.35">
      <c r="A26" t="s">
        <v>161</v>
      </c>
      <c r="B26" s="102">
        <v>45.7</v>
      </c>
      <c r="C26" s="103">
        <v>27.6</v>
      </c>
      <c r="D26" s="104">
        <v>6.2</v>
      </c>
    </row>
    <row r="27" spans="1:19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F27" t="s">
        <v>236</v>
      </c>
    </row>
    <row r="28" spans="1:19" x14ac:dyDescent="0.35">
      <c r="A28" t="s">
        <v>160</v>
      </c>
      <c r="B28" s="102">
        <v>52.5</v>
      </c>
      <c r="C28" s="103">
        <v>39</v>
      </c>
      <c r="D28" s="104">
        <v>3.1</v>
      </c>
    </row>
    <row r="29" spans="1:19" x14ac:dyDescent="0.35">
      <c r="A29" t="s">
        <v>160</v>
      </c>
      <c r="B29" s="102">
        <v>80</v>
      </c>
      <c r="C29" s="103">
        <v>54.2</v>
      </c>
      <c r="D29" s="104">
        <v>4</v>
      </c>
      <c r="G29" s="32" t="str">
        <f t="array" ref="G29:I29">$B$3:$D$3</f>
        <v>yield</v>
      </c>
      <c r="H29" s="32" t="str">
        <v>water</v>
      </c>
      <c r="I29" s="32" t="str">
        <v>herbicide</v>
      </c>
      <c r="J29" s="32" t="s">
        <v>100</v>
      </c>
      <c r="L29" s="32" t="s">
        <v>222</v>
      </c>
      <c r="N29" t="s">
        <v>218</v>
      </c>
      <c r="R29" s="37" t="s">
        <v>194</v>
      </c>
      <c r="S29" s="146" t="e">
        <f ca="1">MDETERM(N35:P37)/MDETERM(N30:P32+N35:P37)</f>
        <v>#NAME?</v>
      </c>
    </row>
    <row r="30" spans="1:19" x14ac:dyDescent="0.35">
      <c r="A30" t="s">
        <v>160</v>
      </c>
      <c r="B30" s="102">
        <v>54.7</v>
      </c>
      <c r="C30" s="103">
        <v>32.1</v>
      </c>
      <c r="D30" s="104">
        <v>5.7</v>
      </c>
      <c r="F30" t="s">
        <v>160</v>
      </c>
      <c r="G30" s="130">
        <f t="shared" ref="G30:I33" si="2">AVERAGEIF($A$4:$A$35,$F30,B$4:B$35)</f>
        <v>58.837499999999999</v>
      </c>
      <c r="H30" s="141">
        <f t="shared" si="2"/>
        <v>33.087500000000006</v>
      </c>
      <c r="I30" s="131">
        <f t="shared" si="2"/>
        <v>4.0875000000000004</v>
      </c>
      <c r="J30" s="132">
        <f>COUNTIF($A$4:$A$35,F30)</f>
        <v>8</v>
      </c>
      <c r="L30" s="133">
        <f>L32</f>
        <v>-0.5</v>
      </c>
      <c r="N30" s="130">
        <f t="array" ref="N30:P32">MMULT(TRANSPOSE(G37:I37),G37:I37)/J36</f>
        <v>657.93781250000075</v>
      </c>
      <c r="O30" s="141">
        <v>-101.11656250000024</v>
      </c>
      <c r="P30" s="131">
        <v>101.11656250000001</v>
      </c>
      <c r="R30" s="37" t="s">
        <v>223</v>
      </c>
      <c r="S30" s="49">
        <f>COUNT($B$4:$B$35)</f>
        <v>32</v>
      </c>
    </row>
    <row r="31" spans="1:19" x14ac:dyDescent="0.35">
      <c r="A31" t="s">
        <v>160</v>
      </c>
      <c r="B31" s="102">
        <v>63.5</v>
      </c>
      <c r="C31" s="103">
        <v>25.6</v>
      </c>
      <c r="D31" s="104">
        <v>3</v>
      </c>
      <c r="F31" t="s">
        <v>158</v>
      </c>
      <c r="G31" s="83">
        <f t="shared" si="2"/>
        <v>69.712500000000006</v>
      </c>
      <c r="H31" s="37">
        <f t="shared" si="2"/>
        <v>32.737499999999997</v>
      </c>
      <c r="I31" s="84">
        <f t="shared" si="2"/>
        <v>6.3874999999999984</v>
      </c>
      <c r="J31" s="98">
        <f>COUNTIF($A$4:$A$35,F31)</f>
        <v>8</v>
      </c>
      <c r="L31" s="127">
        <f>L33</f>
        <v>0.5</v>
      </c>
      <c r="N31" s="83">
        <v>-101.11656250000024</v>
      </c>
      <c r="O31" s="37">
        <v>15.540312500000056</v>
      </c>
      <c r="P31" s="84">
        <v>-15.54031250000002</v>
      </c>
      <c r="R31" s="37" t="s">
        <v>224</v>
      </c>
      <c r="S31" s="49">
        <f>COUNT($B$4:$D$4)</f>
        <v>3</v>
      </c>
    </row>
    <row r="32" spans="1:19" x14ac:dyDescent="0.35">
      <c r="A32" t="s">
        <v>160</v>
      </c>
      <c r="B32" s="102">
        <v>46.3</v>
      </c>
      <c r="C32" s="103">
        <v>31.8</v>
      </c>
      <c r="D32" s="104">
        <v>7.4</v>
      </c>
      <c r="F32" t="s">
        <v>161</v>
      </c>
      <c r="G32" s="83">
        <f t="shared" si="2"/>
        <v>55.3125</v>
      </c>
      <c r="H32" s="37">
        <f t="shared" si="2"/>
        <v>30.637499999999996</v>
      </c>
      <c r="I32" s="84">
        <f t="shared" si="2"/>
        <v>3.8624999999999998</v>
      </c>
      <c r="J32" s="98">
        <f>COUNTIF($A$4:$A$35,F32)</f>
        <v>8</v>
      </c>
      <c r="L32" s="127">
        <f>-L33</f>
        <v>-0.5</v>
      </c>
      <c r="N32" s="85">
        <v>101.11656250000001</v>
      </c>
      <c r="O32" s="86">
        <v>-15.54031250000002</v>
      </c>
      <c r="P32" s="87">
        <v>15.540312499999986</v>
      </c>
      <c r="R32" s="37" t="s">
        <v>225</v>
      </c>
      <c r="S32" s="49">
        <f>COUNT(G30:G33)</f>
        <v>4</v>
      </c>
    </row>
    <row r="33" spans="1:19" x14ac:dyDescent="0.35">
      <c r="A33" t="s">
        <v>160</v>
      </c>
      <c r="B33" s="102">
        <v>61.5</v>
      </c>
      <c r="C33" s="103">
        <v>16.8</v>
      </c>
      <c r="D33" s="104">
        <v>1.9</v>
      </c>
      <c r="F33" t="s">
        <v>159</v>
      </c>
      <c r="G33" s="85">
        <f t="shared" si="2"/>
        <v>62.575000000000003</v>
      </c>
      <c r="H33" s="86">
        <f t="shared" si="2"/>
        <v>28.2</v>
      </c>
      <c r="I33" s="87">
        <f t="shared" si="2"/>
        <v>4.3500000000000005</v>
      </c>
      <c r="J33" s="99">
        <f>COUNTIF($A$4:$A$35,F33)</f>
        <v>8</v>
      </c>
      <c r="L33" s="128">
        <f>1/2</f>
        <v>0.5</v>
      </c>
      <c r="R33" s="37" t="s">
        <v>55</v>
      </c>
      <c r="S33" s="49">
        <f>S31</f>
        <v>3</v>
      </c>
    </row>
    <row r="34" spans="1:19" x14ac:dyDescent="0.35">
      <c r="A34" t="s">
        <v>160</v>
      </c>
      <c r="B34" s="102">
        <v>62.9</v>
      </c>
      <c r="C34" s="103">
        <v>25.8</v>
      </c>
      <c r="D34" s="104">
        <v>2.4</v>
      </c>
      <c r="F34" t="s">
        <v>168</v>
      </c>
      <c r="G34" s="134">
        <f>AVERAGE(B$4:B$35)</f>
        <v>61.609374999999993</v>
      </c>
      <c r="H34" s="135">
        <f>AVERAGE(C$4:C$35)</f>
        <v>31.165624999999999</v>
      </c>
      <c r="I34" s="136">
        <f>AVERAGE(D$4:D$35)</f>
        <v>4.6718749999999991</v>
      </c>
      <c r="J34" s="137">
        <f>SUM(J30:J33)</f>
        <v>32</v>
      </c>
      <c r="N34" t="s">
        <v>156</v>
      </c>
      <c r="R34" s="37" t="s">
        <v>56</v>
      </c>
      <c r="S34" s="49">
        <f>S30-S31-S32+1</f>
        <v>26</v>
      </c>
    </row>
    <row r="35" spans="1:19" x14ac:dyDescent="0.35">
      <c r="A35" t="s">
        <v>160</v>
      </c>
      <c r="B35" s="105">
        <v>49.3</v>
      </c>
      <c r="C35" s="106">
        <v>39.4</v>
      </c>
      <c r="D35" s="107">
        <v>5.2</v>
      </c>
      <c r="N35" s="130" t="e">
        <f t="array" aca="1" ref="N35:P37" ca="1">COVPooled($A$4:$D$35)*(S30-S32)</f>
        <v>#NAME?</v>
      </c>
      <c r="O35" s="141" t="e">
        <f ca="1"/>
        <v>#NAME?</v>
      </c>
      <c r="P35" s="131" t="e">
        <f ca="1"/>
        <v>#NAME?</v>
      </c>
      <c r="R35" s="37" t="s">
        <v>54</v>
      </c>
      <c r="S35" s="49" t="e">
        <f ca="1">(1-S29)/S29*(S34/S33)</f>
        <v>#NAME?</v>
      </c>
    </row>
    <row r="36" spans="1:19" x14ac:dyDescent="0.35">
      <c r="F36" t="s">
        <v>217</v>
      </c>
      <c r="J36" s="137">
        <f>SUMPRODUCT(L30:L33^2/J30:J33)</f>
        <v>0.125</v>
      </c>
      <c r="N36" s="83" t="e">
        <f ca="1"/>
        <v>#NAME?</v>
      </c>
      <c r="O36" s="37" t="e">
        <f ca="1"/>
        <v>#NAME?</v>
      </c>
      <c r="P36" s="84" t="e">
        <f ca="1"/>
        <v>#NAME?</v>
      </c>
      <c r="R36" s="37" t="s">
        <v>65</v>
      </c>
      <c r="S36" s="49" t="e">
        <f ca="1">FDIST(S35,S33,S34)</f>
        <v>#NAME?</v>
      </c>
    </row>
    <row r="37" spans="1:19" x14ac:dyDescent="0.35">
      <c r="F37" t="s">
        <v>48</v>
      </c>
      <c r="G37" s="130">
        <f>SUMPRODUCT(G30:G33,$L30:$L33)</f>
        <v>9.068750000000005</v>
      </c>
      <c r="H37" s="141">
        <f>SUMPRODUCT(H30:H33,$L30:$L33)</f>
        <v>-1.3937500000000025</v>
      </c>
      <c r="I37" s="131">
        <f>SUMPRODUCT(I30:I33,$L30:$L33)</f>
        <v>1.3937499999999994</v>
      </c>
      <c r="N37" s="85" t="e">
        <f ca="1"/>
        <v>#NAME?</v>
      </c>
      <c r="O37" s="86" t="e">
        <f ca="1"/>
        <v>#NAME?</v>
      </c>
      <c r="P37" s="87" t="e">
        <f ca="1"/>
        <v>#NAME?</v>
      </c>
      <c r="R37" s="37" t="s">
        <v>226</v>
      </c>
      <c r="S37" s="52" t="e">
        <f ca="1">(S30-S32)*(1-S29)*J36/S29</f>
        <v>#NAME?</v>
      </c>
    </row>
    <row r="38" spans="1:19" x14ac:dyDescent="0.35">
      <c r="F38" t="s">
        <v>219</v>
      </c>
      <c r="G38" s="85" t="e">
        <f t="array" aca="1" ref="G38:I38" ca="1">SQRT(DIAG(N35:P37)*J36/(S30-S32))</f>
        <v>#NAME?</v>
      </c>
      <c r="H38" s="86" t="e">
        <f ca="1"/>
        <v>#NAME?</v>
      </c>
      <c r="I38" s="87" t="e">
        <f ca="1"/>
        <v>#NAME?</v>
      </c>
    </row>
    <row r="40" spans="1:19" x14ac:dyDescent="0.35">
      <c r="F40" t="s">
        <v>69</v>
      </c>
    </row>
    <row r="41" spans="1:19" x14ac:dyDescent="0.35">
      <c r="K41" t="s">
        <v>175</v>
      </c>
      <c r="L41" s="132">
        <v>0.05</v>
      </c>
    </row>
    <row r="42" spans="1:19" x14ac:dyDescent="0.35">
      <c r="F42" t="s">
        <v>66</v>
      </c>
      <c r="G42" s="130" t="e">
        <f ca="1">G37-G38*$L43</f>
        <v>#NAME?</v>
      </c>
      <c r="H42" s="141" t="e">
        <f ca="1">H37-H38*$L43</f>
        <v>#NAME?</v>
      </c>
      <c r="I42" s="131" t="e">
        <f ca="1">I37-I38*$L43</f>
        <v>#NAME?</v>
      </c>
      <c r="K42" t="s">
        <v>58</v>
      </c>
      <c r="L42" s="98">
        <f>FINV(L41,S33,S34)</f>
        <v>2.9751539639733933</v>
      </c>
    </row>
    <row r="43" spans="1:19" x14ac:dyDescent="0.35">
      <c r="F43" t="s">
        <v>67</v>
      </c>
      <c r="G43" s="85" t="e">
        <f ca="1">G37+G38*$L43</f>
        <v>#NAME?</v>
      </c>
      <c r="H43" s="86" t="e">
        <f ca="1">H37+H38*$L43</f>
        <v>#NAME?</v>
      </c>
      <c r="I43" s="87" t="e">
        <f ca="1">I37+I38*$L43</f>
        <v>#NAME?</v>
      </c>
      <c r="K43" t="s">
        <v>113</v>
      </c>
      <c r="L43" s="99">
        <f>SQRT(S33*(S30-S32)*L42/S34)</f>
        <v>3.1003283509341952</v>
      </c>
    </row>
    <row r="45" spans="1:19" x14ac:dyDescent="0.35">
      <c r="F45" t="s">
        <v>221</v>
      </c>
    </row>
    <row r="46" spans="1:19" x14ac:dyDescent="0.35">
      <c r="K46" t="s">
        <v>175</v>
      </c>
      <c r="L46" s="132">
        <f>L41/3</f>
        <v>1.6666666666666666E-2</v>
      </c>
    </row>
    <row r="47" spans="1:19" x14ac:dyDescent="0.35">
      <c r="F47" t="s">
        <v>66</v>
      </c>
      <c r="G47" s="130" t="e">
        <f ca="1">G37-G38*$L48</f>
        <v>#NAME?</v>
      </c>
      <c r="H47" s="141" t="e">
        <f ca="1">H37-H38*$L48</f>
        <v>#NAME?</v>
      </c>
      <c r="I47" s="131" t="e">
        <f ca="1">I37-I38*$L48</f>
        <v>#NAME?</v>
      </c>
      <c r="K47" t="s">
        <v>62</v>
      </c>
      <c r="L47" s="98">
        <f>S30-S32</f>
        <v>28</v>
      </c>
    </row>
    <row r="48" spans="1:19" x14ac:dyDescent="0.35">
      <c r="F48" t="s">
        <v>67</v>
      </c>
      <c r="G48" s="85" t="e">
        <f ca="1">G37+G38*$L48</f>
        <v>#NAME?</v>
      </c>
      <c r="H48" s="86" t="e">
        <f ca="1">H37+H38*$L48</f>
        <v>#NAME?</v>
      </c>
      <c r="I48" s="87" t="e">
        <f ca="1">I37+I38*$L48</f>
        <v>#NAME?</v>
      </c>
      <c r="K48" t="s">
        <v>63</v>
      </c>
      <c r="L48" s="99">
        <f>TINV(L46,L47)</f>
        <v>2.5464652227804252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4"/>
  <dimension ref="A1:BC46"/>
  <sheetViews>
    <sheetView workbookViewId="0">
      <selection activeCell="B19" sqref="B19"/>
    </sheetView>
  </sheetViews>
  <sheetFormatPr defaultRowHeight="14.5" x14ac:dyDescent="0.35"/>
  <cols>
    <col min="6" max="6" width="15" customWidth="1"/>
    <col min="22" max="22" width="15.81640625" customWidth="1"/>
  </cols>
  <sheetData>
    <row r="1" spans="1:55" x14ac:dyDescent="0.35">
      <c r="A1" s="42" t="s">
        <v>282</v>
      </c>
      <c r="F1" t="s">
        <v>147</v>
      </c>
      <c r="N1" t="s">
        <v>232</v>
      </c>
      <c r="R1" t="s">
        <v>233</v>
      </c>
      <c r="V1" t="s">
        <v>234</v>
      </c>
      <c r="AF1" t="s">
        <v>235</v>
      </c>
      <c r="AM1" t="s">
        <v>108</v>
      </c>
      <c r="AP1" t="s">
        <v>236</v>
      </c>
    </row>
    <row r="2" spans="1:55" ht="15" thickBot="1" x14ac:dyDescent="0.4"/>
    <row r="3" spans="1:55" ht="15" thickTop="1" x14ac:dyDescent="0.35">
      <c r="B3" s="47" t="s">
        <v>144</v>
      </c>
      <c r="C3" s="47" t="s">
        <v>145</v>
      </c>
      <c r="D3" s="47" t="s">
        <v>146</v>
      </c>
      <c r="F3" s="94"/>
      <c r="G3" s="94" t="s">
        <v>148</v>
      </c>
      <c r="H3" s="94" t="s">
        <v>54</v>
      </c>
      <c r="I3" s="94" t="s">
        <v>55</v>
      </c>
      <c r="J3" s="94" t="s">
        <v>56</v>
      </c>
      <c r="K3" s="94" t="s">
        <v>65</v>
      </c>
      <c r="L3" s="94" t="s">
        <v>149</v>
      </c>
      <c r="N3" t="s">
        <v>154</v>
      </c>
      <c r="R3" t="s">
        <v>160</v>
      </c>
      <c r="V3" t="s">
        <v>173</v>
      </c>
      <c r="Y3" t="str">
        <f>B3</f>
        <v>yield</v>
      </c>
      <c r="AF3" s="32" t="s">
        <v>228</v>
      </c>
      <c r="AG3" s="32" t="s">
        <v>65</v>
      </c>
      <c r="AI3" t="s">
        <v>227</v>
      </c>
      <c r="AM3" t="s">
        <v>113</v>
      </c>
      <c r="AN3" s="132" t="e">
        <f ca="1">BOXM(A4:D35)</f>
        <v>#NAME?</v>
      </c>
      <c r="AQ3" s="32" t="str">
        <f t="array" ref="AQ3:AS3">$B$3:$D$3</f>
        <v>yield</v>
      </c>
      <c r="AR3" s="32" t="str">
        <v>water</v>
      </c>
      <c r="AS3" s="32" t="str">
        <v>herbicide</v>
      </c>
      <c r="AT3" s="32" t="s">
        <v>100</v>
      </c>
      <c r="AV3" s="32" t="s">
        <v>222</v>
      </c>
      <c r="AX3" t="s">
        <v>218</v>
      </c>
      <c r="BB3" t="s">
        <v>194</v>
      </c>
      <c r="BC3" s="132" t="e">
        <f ca="1">MDETERM(AX9:AZ11)/MDETERM(AX4:AZ6+AX9:AZ11)</f>
        <v>#NAME?</v>
      </c>
    </row>
    <row r="4" spans="1:55" x14ac:dyDescent="0.35">
      <c r="A4" t="s">
        <v>158</v>
      </c>
      <c r="B4" s="75">
        <v>76.7</v>
      </c>
      <c r="C4" s="100">
        <v>29.5</v>
      </c>
      <c r="D4" s="101">
        <v>7.5</v>
      </c>
      <c r="F4" t="s">
        <v>150</v>
      </c>
      <c r="G4" t="e">
        <f ca="1">MANOVA_PillaiTrace(A4:D35)</f>
        <v>#NAME?</v>
      </c>
      <c r="H4" t="e">
        <f ca="1">MANOVA_PillaiF(A4:D35)</f>
        <v>#NAME?</v>
      </c>
      <c r="I4" t="e">
        <f ca="1">MANOVA_Pillaidf1(A4:D35)</f>
        <v>#NAME?</v>
      </c>
      <c r="J4" t="e">
        <f ca="1">MANOVA_Pillaidf2(A4:D35)</f>
        <v>#NAME?</v>
      </c>
      <c r="K4" t="e">
        <f ca="1">F_DIST_RT(H4,I4,J4)</f>
        <v>#NAME?</v>
      </c>
      <c r="L4" t="e">
        <f ca="1">H4*I4/(H4*I4+J4)</f>
        <v>#NAME?</v>
      </c>
      <c r="N4" s="149" t="e">
        <f t="array" aca="1" ref="N4:P6" ca="1">COVP(B4:D35)*COUNT(B4:B35)</f>
        <v>#NAME?</v>
      </c>
      <c r="O4" s="129" t="e">
        <f ca="1"/>
        <v>#NAME?</v>
      </c>
      <c r="P4" s="150" t="e">
        <f ca="1"/>
        <v>#NAME?</v>
      </c>
      <c r="R4" s="149" t="e">
        <f t="array" aca="1" ref="R4:T6" ca="1">ExtractCov(A4:D35,R3)</f>
        <v>#NAME?</v>
      </c>
      <c r="S4" s="129" t="e">
        <f ca="1"/>
        <v>#NAME?</v>
      </c>
      <c r="T4" s="150" t="e">
        <f ca="1"/>
        <v>#NAME?</v>
      </c>
      <c r="AF4" s="149" t="e">
        <f t="array" aca="1" ref="AF4" ca="1">MMULT(B4:D4-$AI$14:$AK$14,MMULT($AI$9:$AK$11,TRANSPOSE(B4:D4-$AI$14:$AK$14)))</f>
        <v>#NAME?</v>
      </c>
      <c r="AG4" s="150" t="e">
        <f ca="1">CHIDIST(AF4,COUNT($B$4:$D$4))</f>
        <v>#NAME?</v>
      </c>
      <c r="AH4" s="70" t="e">
        <f ca="1">IF(AG4&lt;0.001,"*","")</f>
        <v>#NAME?</v>
      </c>
      <c r="AI4" s="149" t="e">
        <f t="array" aca="1" ref="AI4:AK6" ca="1">COV(B4:D35)</f>
        <v>#NAME?</v>
      </c>
      <c r="AJ4" s="129" t="e">
        <f ca="1"/>
        <v>#NAME?</v>
      </c>
      <c r="AK4" s="150" t="e">
        <f ca="1"/>
        <v>#NAME?</v>
      </c>
      <c r="AM4" t="s">
        <v>54</v>
      </c>
      <c r="AN4" s="98" t="e">
        <f ca="1">BOXF(A4:D35)</f>
        <v>#NAME?</v>
      </c>
      <c r="AP4" t="s">
        <v>160</v>
      </c>
      <c r="AQ4" s="149">
        <f t="shared" ref="AQ4:AS7" si="0">AVERAGEIF($A$4:$A$35,$AP4,B$4:B$35)</f>
        <v>58.837499999999999</v>
      </c>
      <c r="AR4" s="129">
        <f t="shared" si="0"/>
        <v>33.087500000000006</v>
      </c>
      <c r="AS4" s="150">
        <f t="shared" si="0"/>
        <v>4.0875000000000004</v>
      </c>
      <c r="AT4" s="132">
        <f>COUNTIF($A$4:$A$35,AP4)</f>
        <v>8</v>
      </c>
      <c r="AV4" s="133">
        <v>-1</v>
      </c>
      <c r="AX4" s="149">
        <f t="array" ref="AX4:AZ6">MMULT(TRANSPOSE(AQ11:AS11),AQ11:AS11)/AT10</f>
        <v>473.06250000000063</v>
      </c>
      <c r="AY4" s="129">
        <v>-15.225000000000382</v>
      </c>
      <c r="AZ4" s="150">
        <v>100.04999999999998</v>
      </c>
      <c r="BB4" t="s">
        <v>223</v>
      </c>
      <c r="BC4" s="98">
        <f>COUNT($B$4:$B$35)</f>
        <v>32</v>
      </c>
    </row>
    <row r="5" spans="1:55" ht="15" thickBot="1" x14ac:dyDescent="0.4">
      <c r="A5" t="s">
        <v>158</v>
      </c>
      <c r="B5" s="102">
        <v>60.5</v>
      </c>
      <c r="C5" s="103">
        <v>32.1</v>
      </c>
      <c r="D5" s="104">
        <v>6.3</v>
      </c>
      <c r="F5" t="s">
        <v>151</v>
      </c>
      <c r="G5" t="e">
        <f ca="1">MANOVA_WilksLambda(A4:D35)</f>
        <v>#NAME?</v>
      </c>
      <c r="H5" t="e">
        <f ca="1">MANOVA_WilksF(A4:D35)</f>
        <v>#NAME?</v>
      </c>
      <c r="I5" t="e">
        <f ca="1">MANOVA_Wilksdf1(A4:D35)</f>
        <v>#NAME?</v>
      </c>
      <c r="J5" t="e">
        <f ca="1">MANOVA_Wilksdf2(A4:D35)</f>
        <v>#NAME?</v>
      </c>
      <c r="K5" t="e">
        <f ca="1">F_DIST_RT(H5,I5,J5)</f>
        <v>#NAME?</v>
      </c>
      <c r="L5" t="e">
        <f ca="1">H5*I5/(H5*I5+J5)</f>
        <v>#NAME?</v>
      </c>
      <c r="N5" s="83" t="e">
        <f ca="1"/>
        <v>#NAME?</v>
      </c>
      <c r="O5" s="37" t="e">
        <f ca="1"/>
        <v>#NAME?</v>
      </c>
      <c r="P5" s="84" t="e">
        <f ca="1"/>
        <v>#NAME?</v>
      </c>
      <c r="R5" s="83" t="e">
        <f ca="1"/>
        <v>#NAME?</v>
      </c>
      <c r="S5" s="37" t="e">
        <f ca="1"/>
        <v>#NAME?</v>
      </c>
      <c r="T5" s="84" t="e">
        <f ca="1"/>
        <v>#NAME?</v>
      </c>
      <c r="V5" t="s">
        <v>174</v>
      </c>
      <c r="AA5" t="s">
        <v>175</v>
      </c>
      <c r="AB5" s="122">
        <v>1.6667000000000001E-2</v>
      </c>
      <c r="AF5" s="83" t="e">
        <f t="array" aca="1" ref="AF5" ca="1">MMULT(B5:D5-$AI$14:$AK$14,MMULT($AI$9:$AK$11,TRANSPOSE(B5:D5-$AI$14:$AK$14)))</f>
        <v>#NAME?</v>
      </c>
      <c r="AG5" s="84" t="e">
        <f t="shared" ref="AG5:AG35" ca="1" si="1">CHIDIST(AF5,COUNT($B$4:$D$4))</f>
        <v>#NAME?</v>
      </c>
      <c r="AH5" s="70" t="e">
        <f t="shared" ref="AH5:AH35" ca="1" si="2">IF(AG5&lt;0.001,"*","")</f>
        <v>#NAME?</v>
      </c>
      <c r="AI5" s="83" t="e">
        <f ca="1"/>
        <v>#NAME?</v>
      </c>
      <c r="AJ5" s="37" t="e">
        <f ca="1"/>
        <v>#NAME?</v>
      </c>
      <c r="AK5" s="84" t="e">
        <f ca="1"/>
        <v>#NAME?</v>
      </c>
      <c r="AM5" t="s">
        <v>55</v>
      </c>
      <c r="AN5" s="98" t="e">
        <f ca="1">BOXdf1(A4:D35)</f>
        <v>#NAME?</v>
      </c>
      <c r="AP5" t="s">
        <v>158</v>
      </c>
      <c r="AQ5" s="83">
        <f t="shared" si="0"/>
        <v>69.712500000000006</v>
      </c>
      <c r="AR5" s="37">
        <f t="shared" si="0"/>
        <v>32.737499999999997</v>
      </c>
      <c r="AS5" s="84">
        <f t="shared" si="0"/>
        <v>6.3874999999999984</v>
      </c>
      <c r="AT5" s="98">
        <f>COUNTIF($A$4:$A$35,AP5)</f>
        <v>8</v>
      </c>
      <c r="AV5" s="127">
        <v>1</v>
      </c>
      <c r="AX5" s="83">
        <v>-15.225000000000382</v>
      </c>
      <c r="AY5" s="37">
        <v>0.49000000000002386</v>
      </c>
      <c r="AZ5" s="84">
        <v>-3.2200000000000757</v>
      </c>
      <c r="BB5" t="s">
        <v>224</v>
      </c>
      <c r="BC5" s="98">
        <f>COUNT($B$4:$D$4)</f>
        <v>3</v>
      </c>
    </row>
    <row r="6" spans="1:55" ht="15" thickTop="1" x14ac:dyDescent="0.35">
      <c r="A6" t="s">
        <v>158</v>
      </c>
      <c r="B6" s="102">
        <v>96.1</v>
      </c>
      <c r="C6" s="103">
        <v>40.700000000000003</v>
      </c>
      <c r="D6" s="104">
        <v>4.2</v>
      </c>
      <c r="F6" t="s">
        <v>152</v>
      </c>
      <c r="G6" t="e">
        <f ca="1">MANOVA_HotelTrace(A4:D35)</f>
        <v>#NAME?</v>
      </c>
      <c r="H6" t="e">
        <f ca="1">MANOVA_HotelF(A4:D35)</f>
        <v>#NAME?</v>
      </c>
      <c r="I6" t="e">
        <f ca="1">MANOVA_Hoteldf1(A4:D35)</f>
        <v>#NAME?</v>
      </c>
      <c r="J6" t="e">
        <f ca="1">MANOVA_Hoteldf2(A4:D35)</f>
        <v>#NAME?</v>
      </c>
      <c r="K6" t="e">
        <f ca="1">F_DIST_RT(H6,I6,J6)</f>
        <v>#NAME?</v>
      </c>
      <c r="L6" t="e">
        <f ca="1">H6*I6/(H6*I6+J6)</f>
        <v>#NAME?</v>
      </c>
      <c r="N6" s="85" t="e">
        <f ca="1"/>
        <v>#NAME?</v>
      </c>
      <c r="O6" s="86" t="e">
        <f ca="1"/>
        <v>#NAME?</v>
      </c>
      <c r="P6" s="87" t="e">
        <f ca="1"/>
        <v>#NAME?</v>
      </c>
      <c r="R6" s="85" t="e">
        <f ca="1"/>
        <v>#NAME?</v>
      </c>
      <c r="S6" s="86" t="e">
        <f ca="1"/>
        <v>#NAME?</v>
      </c>
      <c r="T6" s="87" t="e">
        <f ca="1"/>
        <v>#NAME?</v>
      </c>
      <c r="V6" s="94" t="s">
        <v>176</v>
      </c>
      <c r="W6" s="94" t="s">
        <v>100</v>
      </c>
      <c r="X6" s="94" t="s">
        <v>177</v>
      </c>
      <c r="Y6" s="94" t="s">
        <v>34</v>
      </c>
      <c r="Z6" s="94" t="s">
        <v>178</v>
      </c>
      <c r="AA6" s="94" t="s">
        <v>179</v>
      </c>
      <c r="AB6" s="94" t="s">
        <v>180</v>
      </c>
      <c r="AC6" s="94" t="s">
        <v>181</v>
      </c>
      <c r="AD6" s="94" t="s">
        <v>182</v>
      </c>
      <c r="AF6" s="83" t="e">
        <f t="array" aca="1" ref="AF6" ca="1">MMULT(B6:D6-$AI$14:$AK$14,MMULT($AI$9:$AK$11,TRANSPOSE(B6:D6-$AI$14:$AK$14)))</f>
        <v>#NAME?</v>
      </c>
      <c r="AG6" s="84" t="e">
        <f t="shared" ca="1" si="1"/>
        <v>#NAME?</v>
      </c>
      <c r="AH6" s="70" t="e">
        <f t="shared" ca="1" si="2"/>
        <v>#NAME?</v>
      </c>
      <c r="AI6" s="85" t="e">
        <f ca="1"/>
        <v>#NAME?</v>
      </c>
      <c r="AJ6" s="86" t="e">
        <f ca="1"/>
        <v>#NAME?</v>
      </c>
      <c r="AK6" s="87" t="e">
        <f ca="1"/>
        <v>#NAME?</v>
      </c>
      <c r="AM6" t="s">
        <v>56</v>
      </c>
      <c r="AN6" s="98" t="e">
        <f ca="1">BOXdf2(A4:D35)</f>
        <v>#NAME?</v>
      </c>
      <c r="AP6" t="s">
        <v>161</v>
      </c>
      <c r="AQ6" s="83">
        <f t="shared" si="0"/>
        <v>55.3125</v>
      </c>
      <c r="AR6" s="37">
        <f t="shared" si="0"/>
        <v>30.637499999999996</v>
      </c>
      <c r="AS6" s="84">
        <f t="shared" si="0"/>
        <v>3.8624999999999998</v>
      </c>
      <c r="AT6" s="98">
        <f>COUNTIF($A$4:$A$35,AP6)</f>
        <v>8</v>
      </c>
      <c r="AV6" s="127"/>
      <c r="AX6" s="85">
        <v>100.04999999999998</v>
      </c>
      <c r="AY6" s="86">
        <v>-3.2200000000000757</v>
      </c>
      <c r="AZ6" s="87">
        <v>21.159999999999965</v>
      </c>
      <c r="BB6" t="s">
        <v>225</v>
      </c>
      <c r="BC6" s="98">
        <f>COUNT(AQ4:AQ7)</f>
        <v>4</v>
      </c>
    </row>
    <row r="7" spans="1:55" x14ac:dyDescent="0.35">
      <c r="A7" t="s">
        <v>158</v>
      </c>
      <c r="B7" s="102">
        <v>88.1</v>
      </c>
      <c r="C7" s="103">
        <v>45.1</v>
      </c>
      <c r="D7" s="104">
        <v>4.9000000000000004</v>
      </c>
      <c r="F7" s="40" t="s">
        <v>153</v>
      </c>
      <c r="G7" s="40" t="e">
        <f ca="1">MANOVA_RoyRoot(A4:D35)</f>
        <v>#NAME?</v>
      </c>
      <c r="H7" s="40"/>
      <c r="I7" s="40"/>
      <c r="J7" s="40"/>
      <c r="K7" s="40"/>
      <c r="L7" s="40"/>
      <c r="V7" t="e">
        <f t="array" aca="1" ref="V7:V10" ca="1">SortUnique(A4:A35)</f>
        <v>#NAME?</v>
      </c>
      <c r="W7">
        <f ca="1">COUNTIF($A$4:$A$35,$V7)</f>
        <v>0</v>
      </c>
      <c r="X7">
        <f ca="1">SUMIF($A$4:$A$35,$V7,$B$4:$B$35)</f>
        <v>0</v>
      </c>
      <c r="Y7" t="e">
        <f ca="1">AVERAGEIF($A$4:$A$35,$V7,$B$4:$B$35)</f>
        <v>#DIV/0!</v>
      </c>
      <c r="Z7" t="e">
        <f t="array" aca="1" ref="Z7" ca="1">VAR(IF($A$4:$A$35=$V7,$B$4:$B$35))</f>
        <v>#NAME?</v>
      </c>
      <c r="AA7" t="e">
        <f ca="1">($W7-1)*Z7</f>
        <v>#NAME?</v>
      </c>
      <c r="AB7" t="e">
        <f ca="1">SQRT(Y$15/W7)</f>
        <v>#NAME?</v>
      </c>
      <c r="AC7" t="e">
        <f ca="1">Y7-AB7*TINV(AB$5,W7-1)</f>
        <v>#DIV/0!</v>
      </c>
      <c r="AD7" t="e">
        <f ca="1">Y7+AB7*TINV(AB$5,W7-1)</f>
        <v>#DIV/0!</v>
      </c>
      <c r="AF7" s="83" t="e">
        <f t="array" aca="1" ref="AF7" ca="1">MMULT(B7:D7-$AI$14:$AK$14,MMULT($AI$9:$AK$11,TRANSPOSE(B7:D7-$AI$14:$AK$14)))</f>
        <v>#NAME?</v>
      </c>
      <c r="AG7" s="84" t="e">
        <f t="shared" ca="1" si="1"/>
        <v>#NAME?</v>
      </c>
      <c r="AH7" s="70" t="e">
        <f t="shared" ca="1" si="2"/>
        <v>#NAME?</v>
      </c>
      <c r="AM7" t="s">
        <v>65</v>
      </c>
      <c r="AN7" s="99" t="e">
        <f ca="1">BOXTEST(A4:D35)</f>
        <v>#NAME?</v>
      </c>
      <c r="AP7" t="s">
        <v>159</v>
      </c>
      <c r="AQ7" s="85">
        <f t="shared" si="0"/>
        <v>62.575000000000003</v>
      </c>
      <c r="AR7" s="86">
        <f t="shared" si="0"/>
        <v>28.2</v>
      </c>
      <c r="AS7" s="87">
        <f t="shared" si="0"/>
        <v>4.3500000000000005</v>
      </c>
      <c r="AT7" s="99">
        <f>COUNTIF($A$4:$A$35,AP7)</f>
        <v>8</v>
      </c>
      <c r="AV7" s="128"/>
      <c r="BB7" t="s">
        <v>55</v>
      </c>
      <c r="BC7" s="98">
        <f>BC5</f>
        <v>3</v>
      </c>
    </row>
    <row r="8" spans="1:55" x14ac:dyDescent="0.35">
      <c r="A8" t="s">
        <v>158</v>
      </c>
      <c r="B8" s="102">
        <v>50.2</v>
      </c>
      <c r="C8" s="103">
        <v>34.1</v>
      </c>
      <c r="D8" s="104">
        <v>11.7</v>
      </c>
      <c r="N8" t="s">
        <v>155</v>
      </c>
      <c r="R8" t="s">
        <v>158</v>
      </c>
      <c r="V8" t="e">
        <f ca="1"/>
        <v>#NAME?</v>
      </c>
      <c r="W8">
        <f ca="1">COUNTIF($A$4:$A$35,$V8)</f>
        <v>0</v>
      </c>
      <c r="X8">
        <f ca="1">SUMIF($A$4:$A$35,$V8,$B$4:$B$35)</f>
        <v>0</v>
      </c>
      <c r="Y8" t="e">
        <f ca="1">AVERAGEIF($A$4:$A$35,$V8,$B$4:$B$35)</f>
        <v>#DIV/0!</v>
      </c>
      <c r="Z8" t="e">
        <f t="array" aca="1" ref="Z8" ca="1">VAR(IF($A$4:$A$35=$V8,$B$4:$B$35))</f>
        <v>#NAME?</v>
      </c>
      <c r="AA8" t="e">
        <f ca="1">($W8-1)*Z8</f>
        <v>#NAME?</v>
      </c>
      <c r="AB8" t="e">
        <f ca="1">SQRT(Y$15/W8)</f>
        <v>#NAME?</v>
      </c>
      <c r="AC8" t="e">
        <f ca="1">Y8-AB8*TINV(AB$5,W8-1)</f>
        <v>#DIV/0!</v>
      </c>
      <c r="AD8" t="e">
        <f ca="1">Y8+AB8*TINV(AB$5,W8-1)</f>
        <v>#DIV/0!</v>
      </c>
      <c r="AF8" s="83" t="e">
        <f t="array" aca="1" ref="AF8" ca="1">MMULT(B8:D8-$AI$14:$AK$14,MMULT($AI$9:$AK$11,TRANSPOSE(B8:D8-$AI$14:$AK$14)))</f>
        <v>#NAME?</v>
      </c>
      <c r="AG8" s="84" t="e">
        <f t="shared" ca="1" si="1"/>
        <v>#NAME?</v>
      </c>
      <c r="AH8" s="70" t="e">
        <f t="shared" ca="1" si="2"/>
        <v>#NAME?</v>
      </c>
      <c r="AI8" t="s">
        <v>229</v>
      </c>
      <c r="AP8" t="s">
        <v>168</v>
      </c>
      <c r="AQ8" s="134">
        <f>AVERAGE(B$4:B$35)</f>
        <v>61.609374999999993</v>
      </c>
      <c r="AR8" s="135">
        <f>AVERAGE(C$4:C$35)</f>
        <v>31.165624999999999</v>
      </c>
      <c r="AS8" s="136">
        <f>AVERAGE(D$4:D$35)</f>
        <v>4.6718749999999991</v>
      </c>
      <c r="AT8" s="137">
        <f>SUM(AT4:AT7)</f>
        <v>32</v>
      </c>
      <c r="AX8" t="s">
        <v>156</v>
      </c>
      <c r="BB8" t="s">
        <v>56</v>
      </c>
      <c r="BC8" s="98">
        <f>BC4-BC5-BC6+1</f>
        <v>26</v>
      </c>
    </row>
    <row r="9" spans="1:55" x14ac:dyDescent="0.35">
      <c r="A9" t="s">
        <v>158</v>
      </c>
      <c r="B9" s="102">
        <v>55</v>
      </c>
      <c r="C9" s="103">
        <v>31.1</v>
      </c>
      <c r="D9" s="104">
        <v>6.9</v>
      </c>
      <c r="N9" s="149" t="e">
        <f t="array" ref="N9:P11" ca="1">N4:P6-N14:P16</f>
        <v>#NAME?</v>
      </c>
      <c r="O9" s="129" t="e">
        <f ca="1"/>
        <v>#NAME?</v>
      </c>
      <c r="P9" s="150" t="e">
        <f ca="1"/>
        <v>#NAME?</v>
      </c>
      <c r="R9" s="149" t="e">
        <f t="array" aca="1" ref="R9:T11" ca="1">ExtractCov(A4:D35,R8)</f>
        <v>#NAME?</v>
      </c>
      <c r="S9" s="129" t="e">
        <f ca="1"/>
        <v>#NAME?</v>
      </c>
      <c r="T9" s="150" t="e">
        <f ca="1"/>
        <v>#NAME?</v>
      </c>
      <c r="V9" t="e">
        <f ca="1"/>
        <v>#NAME?</v>
      </c>
      <c r="W9">
        <f ca="1">COUNTIF($A$4:$A$35,$V9)</f>
        <v>0</v>
      </c>
      <c r="X9">
        <f ca="1">SUMIF($A$4:$A$35,$V9,$B$4:$B$35)</f>
        <v>0</v>
      </c>
      <c r="Y9" t="e">
        <f ca="1">AVERAGEIF($A$4:$A$35,$V9,$B$4:$B$35)</f>
        <v>#DIV/0!</v>
      </c>
      <c r="Z9" t="e">
        <f t="array" aca="1" ref="Z9" ca="1">VAR(IF($A$4:$A$35=$V9,$B$4:$B$35))</f>
        <v>#NAME?</v>
      </c>
      <c r="AA9" t="e">
        <f ca="1">($W9-1)*Z9</f>
        <v>#NAME?</v>
      </c>
      <c r="AB9" t="e">
        <f ca="1">SQRT(Y$15/W9)</f>
        <v>#NAME?</v>
      </c>
      <c r="AC9" t="e">
        <f ca="1">Y9-AB9*TINV(AB$5,W9-1)</f>
        <v>#DIV/0!</v>
      </c>
      <c r="AD9" t="e">
        <f ca="1">Y9+AB9*TINV(AB$5,W9-1)</f>
        <v>#DIV/0!</v>
      </c>
      <c r="AF9" s="83" t="e">
        <f t="array" aca="1" ref="AF9" ca="1">MMULT(B9:D9-$AI$14:$AK$14,MMULT($AI$9:$AK$11,TRANSPOSE(B9:D9-$AI$14:$AK$14)))</f>
        <v>#NAME?</v>
      </c>
      <c r="AG9" s="84" t="e">
        <f t="shared" ca="1" si="1"/>
        <v>#NAME?</v>
      </c>
      <c r="AH9" s="70" t="e">
        <f t="shared" ca="1" si="2"/>
        <v>#NAME?</v>
      </c>
      <c r="AI9" s="149" t="e">
        <f t="array" aca="1" ref="AI9:AK11" ca="1">MINVERSE(AI4:AK6)</f>
        <v>#NAME?</v>
      </c>
      <c r="AJ9" s="129" t="e">
        <f ca="1"/>
        <v>#NAME?</v>
      </c>
      <c r="AK9" s="150" t="e">
        <f ca="1"/>
        <v>#NAME?</v>
      </c>
      <c r="AX9" s="149" t="e">
        <f t="array" ref="AX9:AZ11" ca="1">$N$14:$P$16</f>
        <v>#NAME?</v>
      </c>
      <c r="AY9" s="129" t="e">
        <f ca="1"/>
        <v>#NAME?</v>
      </c>
      <c r="AZ9" s="150" t="e">
        <f ca="1"/>
        <v>#NAME?</v>
      </c>
      <c r="BB9" t="s">
        <v>54</v>
      </c>
      <c r="BC9" s="98" t="e">
        <f ca="1">(1-BC3)/BC3*(BC8/BC7)</f>
        <v>#NAME?</v>
      </c>
    </row>
    <row r="10" spans="1:55" x14ac:dyDescent="0.35">
      <c r="A10" t="s">
        <v>158</v>
      </c>
      <c r="B10" s="102">
        <v>65.400000000000006</v>
      </c>
      <c r="C10" s="103">
        <v>21.6</v>
      </c>
      <c r="D10" s="104">
        <v>4.3</v>
      </c>
      <c r="N10" s="83" t="e">
        <f ca="1"/>
        <v>#NAME?</v>
      </c>
      <c r="O10" s="37" t="e">
        <f ca="1"/>
        <v>#NAME?</v>
      </c>
      <c r="P10" s="84" t="e">
        <f ca="1"/>
        <v>#NAME?</v>
      </c>
      <c r="R10" s="83" t="e">
        <f ca="1"/>
        <v>#NAME?</v>
      </c>
      <c r="S10" s="37" t="e">
        <f ca="1"/>
        <v>#NAME?</v>
      </c>
      <c r="T10" s="84" t="e">
        <f ca="1"/>
        <v>#NAME?</v>
      </c>
      <c r="V10" t="e">
        <f ca="1"/>
        <v>#NAME?</v>
      </c>
      <c r="W10">
        <f ca="1">COUNTIF($A$4:$A$35,$V10)</f>
        <v>0</v>
      </c>
      <c r="X10">
        <f ca="1">SUMIF($A$4:$A$35,$V10,$B$4:$B$35)</f>
        <v>0</v>
      </c>
      <c r="Y10" t="e">
        <f ca="1">AVERAGEIF($A$4:$A$35,$V10,$B$4:$B$35)</f>
        <v>#DIV/0!</v>
      </c>
      <c r="Z10" t="e">
        <f t="array" aca="1" ref="Z10" ca="1">VAR(IF($A$4:$A$35=$V10,$B$4:$B$35))</f>
        <v>#NAME?</v>
      </c>
      <c r="AA10" t="e">
        <f ca="1">($W10-1)*Z10</f>
        <v>#NAME?</v>
      </c>
      <c r="AB10" t="e">
        <f ca="1">SQRT(Y$15/W10)</f>
        <v>#NAME?</v>
      </c>
      <c r="AC10" t="e">
        <f ca="1">Y10-AB10*TINV(AB$5,W10-1)</f>
        <v>#DIV/0!</v>
      </c>
      <c r="AD10" t="e">
        <f ca="1">Y10+AB10*TINV(AB$5,W10-1)</f>
        <v>#DIV/0!</v>
      </c>
      <c r="AF10" s="83" t="e">
        <f t="array" aca="1" ref="AF10" ca="1">MMULT(B10:D10-$AI$14:$AK$14,MMULT($AI$9:$AK$11,TRANSPOSE(B10:D10-$AI$14:$AK$14)))</f>
        <v>#NAME?</v>
      </c>
      <c r="AG10" s="84" t="e">
        <f t="shared" ca="1" si="1"/>
        <v>#NAME?</v>
      </c>
      <c r="AH10" s="70" t="e">
        <f t="shared" ca="1" si="2"/>
        <v>#NAME?</v>
      </c>
      <c r="AI10" s="83" t="e">
        <f ca="1"/>
        <v>#NAME?</v>
      </c>
      <c r="AJ10" s="37" t="e">
        <f ca="1"/>
        <v>#NAME?</v>
      </c>
      <c r="AK10" s="84" t="e">
        <f ca="1"/>
        <v>#NAME?</v>
      </c>
      <c r="AP10" t="s">
        <v>217</v>
      </c>
      <c r="AT10" s="137">
        <f>SUMPRODUCT(AV4:AV7^2/AT4:AT7)</f>
        <v>0.25</v>
      </c>
      <c r="AX10" s="83" t="e">
        <f ca="1"/>
        <v>#NAME?</v>
      </c>
      <c r="AY10" s="37" t="e">
        <f ca="1"/>
        <v>#NAME?</v>
      </c>
      <c r="AZ10" s="84" t="e">
        <f ca="1"/>
        <v>#NAME?</v>
      </c>
      <c r="BB10" t="s">
        <v>65</v>
      </c>
      <c r="BC10" s="98" t="e">
        <f ca="1">FDIST(BC9,BC7,BC8)</f>
        <v>#NAME?</v>
      </c>
    </row>
    <row r="11" spans="1:55" x14ac:dyDescent="0.35">
      <c r="A11" t="s">
        <v>158</v>
      </c>
      <c r="B11" s="102">
        <v>65.7</v>
      </c>
      <c r="C11" s="103">
        <v>27.7</v>
      </c>
      <c r="D11" s="104">
        <v>5.3</v>
      </c>
      <c r="N11" s="85" t="e">
        <f ca="1"/>
        <v>#NAME?</v>
      </c>
      <c r="O11" s="86" t="e">
        <f ca="1"/>
        <v>#NAME?</v>
      </c>
      <c r="P11" s="87" t="e">
        <f ca="1"/>
        <v>#NAME?</v>
      </c>
      <c r="R11" s="85" t="e">
        <f ca="1"/>
        <v>#NAME?</v>
      </c>
      <c r="S11" s="86" t="e">
        <f ca="1"/>
        <v>#NAME?</v>
      </c>
      <c r="T11" s="87" t="e">
        <f ca="1"/>
        <v>#NAME?</v>
      </c>
      <c r="V11" s="139"/>
      <c r="W11" s="139"/>
      <c r="X11" s="139"/>
      <c r="Y11" s="139"/>
      <c r="Z11" s="139"/>
      <c r="AA11" s="139"/>
      <c r="AB11" s="139"/>
      <c r="AC11" s="139"/>
      <c r="AD11" s="139"/>
      <c r="AF11" s="83" t="e">
        <f t="array" aca="1" ref="AF11" ca="1">MMULT(B11:D11-$AI$14:$AK$14,MMULT($AI$9:$AK$11,TRANSPOSE(B11:D11-$AI$14:$AK$14)))</f>
        <v>#NAME?</v>
      </c>
      <c r="AG11" s="84" t="e">
        <f t="shared" ca="1" si="1"/>
        <v>#NAME?</v>
      </c>
      <c r="AH11" s="70" t="e">
        <f t="shared" ca="1" si="2"/>
        <v>#NAME?</v>
      </c>
      <c r="AI11" s="85" t="e">
        <f ca="1"/>
        <v>#NAME?</v>
      </c>
      <c r="AJ11" s="86" t="e">
        <f ca="1"/>
        <v>#NAME?</v>
      </c>
      <c r="AK11" s="87" t="e">
        <f ca="1"/>
        <v>#NAME?</v>
      </c>
      <c r="AP11" t="s">
        <v>48</v>
      </c>
      <c r="AQ11" s="149">
        <f>SUMPRODUCT(AQ4:AQ7,$AV4:$AV7)</f>
        <v>10.875000000000007</v>
      </c>
      <c r="AR11" s="129">
        <f>SUMPRODUCT(AR4:AR7,$AV4:$AV7)</f>
        <v>-0.35000000000000853</v>
      </c>
      <c r="AS11" s="150">
        <f>SUMPRODUCT(AS4:AS7,$AV4:$AV7)</f>
        <v>2.299999999999998</v>
      </c>
      <c r="AX11" s="85" t="e">
        <f ca="1"/>
        <v>#NAME?</v>
      </c>
      <c r="AY11" s="86" t="e">
        <f ca="1"/>
        <v>#NAME?</v>
      </c>
      <c r="AZ11" s="87" t="e">
        <f ca="1"/>
        <v>#NAME?</v>
      </c>
      <c r="BB11" t="s">
        <v>226</v>
      </c>
      <c r="BC11" s="99" t="e">
        <f ca="1">(BC4-BC6)*(1-BC3)*AT10/BC3</f>
        <v>#NAME?</v>
      </c>
    </row>
    <row r="12" spans="1:55" ht="15" thickBot="1" x14ac:dyDescent="0.4">
      <c r="A12" t="s">
        <v>159</v>
      </c>
      <c r="B12" s="102">
        <v>67.3</v>
      </c>
      <c r="C12" s="103">
        <v>48.3</v>
      </c>
      <c r="D12" s="104">
        <v>5.5</v>
      </c>
      <c r="V12" t="s">
        <v>183</v>
      </c>
      <c r="AF12" s="83" t="e">
        <f t="array" aca="1" ref="AF12" ca="1">MMULT(B12:D12-$AI$14:$AK$14,MMULT($AI$9:$AK$11,TRANSPOSE(B12:D12-$AI$14:$AK$14)))</f>
        <v>#NAME?</v>
      </c>
      <c r="AG12" s="84" t="e">
        <f t="shared" ca="1" si="1"/>
        <v>#NAME?</v>
      </c>
      <c r="AH12" s="70" t="e">
        <f t="shared" ca="1" si="2"/>
        <v>#NAME?</v>
      </c>
      <c r="AP12" t="s">
        <v>219</v>
      </c>
      <c r="AQ12" s="85" t="e">
        <f t="array" aca="1" ref="AQ12:AS12" ca="1">SQRT(DIAG(AX9:AZ11)*AT10/(BC4-BC6))</f>
        <v>#NAME?</v>
      </c>
      <c r="AR12" s="86" t="e">
        <f ca="1"/>
        <v>#NAME?</v>
      </c>
      <c r="AS12" s="87" t="e">
        <f ca="1"/>
        <v>#NAME?</v>
      </c>
    </row>
    <row r="13" spans="1:55" ht="15" thickTop="1" x14ac:dyDescent="0.35">
      <c r="A13" t="s">
        <v>159</v>
      </c>
      <c r="B13" s="102">
        <v>61.3</v>
      </c>
      <c r="C13" s="103">
        <v>28.9</v>
      </c>
      <c r="D13" s="104">
        <v>6.9</v>
      </c>
      <c r="N13" t="s">
        <v>156</v>
      </c>
      <c r="R13" t="s">
        <v>161</v>
      </c>
      <c r="V13" s="94" t="s">
        <v>184</v>
      </c>
      <c r="W13" s="94" t="s">
        <v>179</v>
      </c>
      <c r="X13" s="94" t="s">
        <v>62</v>
      </c>
      <c r="Y13" s="94" t="s">
        <v>185</v>
      </c>
      <c r="Z13" s="94" t="s">
        <v>54</v>
      </c>
      <c r="AA13" s="94" t="s">
        <v>186</v>
      </c>
      <c r="AB13" s="94" t="s">
        <v>187</v>
      </c>
      <c r="AC13" s="94" t="s">
        <v>188</v>
      </c>
      <c r="AD13" s="94" t="s">
        <v>189</v>
      </c>
      <c r="AF13" s="83" t="e">
        <f t="array" aca="1" ref="AF13" ca="1">MMULT(B13:D13-$AI$14:$AK$14,MMULT($AI$9:$AK$11,TRANSPOSE(B13:D13-$AI$14:$AK$14)))</f>
        <v>#NAME?</v>
      </c>
      <c r="AG13" s="84" t="e">
        <f t="shared" ca="1" si="1"/>
        <v>#NAME?</v>
      </c>
      <c r="AH13" s="70" t="e">
        <f t="shared" ca="1" si="2"/>
        <v>#NAME?</v>
      </c>
      <c r="AI13" t="s">
        <v>230</v>
      </c>
    </row>
    <row r="14" spans="1:55" x14ac:dyDescent="0.35">
      <c r="A14" t="s">
        <v>159</v>
      </c>
      <c r="B14" s="102">
        <v>58.2</v>
      </c>
      <c r="C14" s="103">
        <v>42.5</v>
      </c>
      <c r="D14" s="104">
        <v>4.8</v>
      </c>
      <c r="N14" s="149" t="e">
        <f t="array" aca="1" ref="N14:P16" ca="1">COVPooled(A4:D35)*(COUNT(B4:B35)-COUNTAU(A4:A35))</f>
        <v>#NAME?</v>
      </c>
      <c r="O14" s="129" t="e">
        <f ca="1"/>
        <v>#NAME?</v>
      </c>
      <c r="P14" s="150" t="e">
        <f ca="1"/>
        <v>#NAME?</v>
      </c>
      <c r="R14" s="149" t="e">
        <f t="array" aca="1" ref="R14:T16" ca="1">ExtractCov(A4:D35,R13)</f>
        <v>#NAME?</v>
      </c>
      <c r="S14" s="129" t="e">
        <f ca="1"/>
        <v>#NAME?</v>
      </c>
      <c r="T14" s="150" t="e">
        <f ca="1"/>
        <v>#NAME?</v>
      </c>
      <c r="V14" t="s">
        <v>190</v>
      </c>
      <c r="W14" t="e">
        <f ca="1">W16-W15</f>
        <v>#NAME?</v>
      </c>
      <c r="X14" t="e">
        <f ca="1">COUNTAU(A4:A35)-1</f>
        <v>#NAME?</v>
      </c>
      <c r="Y14" t="e">
        <f ca="1">W14/X14</f>
        <v>#NAME?</v>
      </c>
      <c r="Z14" t="e">
        <f ca="1">Y14/Y15</f>
        <v>#NAME?</v>
      </c>
      <c r="AA14" t="e">
        <f ca="1">FDIST(Z14,X14,X15)</f>
        <v>#NAME?</v>
      </c>
      <c r="AB14" t="e">
        <f ca="1">FINV(AB5,X14,X15)</f>
        <v>#NAME?</v>
      </c>
      <c r="AC14" t="e">
        <f ca="1">SQRT(DEVSQ(Y7:Y10)/(Y15*X14))</f>
        <v>#DIV/0!</v>
      </c>
      <c r="AD14" t="e">
        <f ca="1">(W16-X16*Y15)/(W16+Y15)</f>
        <v>#NAME?</v>
      </c>
      <c r="AF14" s="83" t="e">
        <f t="array" aca="1" ref="AF14" ca="1">MMULT(B14:D14-$AI$14:$AK$14,MMULT($AI$9:$AK$11,TRANSPOSE(B14:D14-$AI$14:$AK$14)))</f>
        <v>#NAME?</v>
      </c>
      <c r="AG14" s="84" t="e">
        <f t="shared" ca="1" si="1"/>
        <v>#NAME?</v>
      </c>
      <c r="AH14" s="70" t="e">
        <f t="shared" ca="1" si="2"/>
        <v>#NAME?</v>
      </c>
      <c r="AI14" s="134">
        <f>AVERAGE(B4:B35)</f>
        <v>61.609374999999993</v>
      </c>
      <c r="AJ14" s="135">
        <f>AVERAGE(C4:C35)</f>
        <v>31.165624999999999</v>
      </c>
      <c r="AK14" s="136">
        <f>AVERAGE(D4:D35)</f>
        <v>4.6718749999999991</v>
      </c>
      <c r="AP14" t="s">
        <v>69</v>
      </c>
    </row>
    <row r="15" spans="1:55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N15" s="83" t="e">
        <f ca="1"/>
        <v>#NAME?</v>
      </c>
      <c r="O15" s="37" t="e">
        <f ca="1"/>
        <v>#NAME?</v>
      </c>
      <c r="P15" s="84" t="e">
        <f ca="1"/>
        <v>#NAME?</v>
      </c>
      <c r="R15" s="83" t="e">
        <f ca="1"/>
        <v>#NAME?</v>
      </c>
      <c r="S15" s="37" t="e">
        <f ca="1"/>
        <v>#NAME?</v>
      </c>
      <c r="T15" s="84" t="e">
        <f ca="1"/>
        <v>#NAME?</v>
      </c>
      <c r="V15" t="s">
        <v>191</v>
      </c>
      <c r="W15" t="e">
        <f ca="1">SUM(AA7:AA10)</f>
        <v>#NAME?</v>
      </c>
      <c r="X15" t="e">
        <f ca="1">X16-X14</f>
        <v>#NAME?</v>
      </c>
      <c r="Y15" t="e">
        <f ca="1">W15/X15</f>
        <v>#NAME?</v>
      </c>
      <c r="AF15" s="83" t="e">
        <f t="array" aca="1" ref="AF15" ca="1">MMULT(B15:D15-$AI$14:$AK$14,MMULT($AI$9:$AK$11,TRANSPOSE(B15:D15-$AI$14:$AK$14)))</f>
        <v>#NAME?</v>
      </c>
      <c r="AG15" s="84" t="e">
        <f t="shared" ca="1" si="1"/>
        <v>#NAME?</v>
      </c>
      <c r="AH15" s="70" t="e">
        <f t="shared" ca="1" si="2"/>
        <v>#NAME?</v>
      </c>
      <c r="AU15" t="s">
        <v>175</v>
      </c>
      <c r="AV15" s="132">
        <v>0.05</v>
      </c>
    </row>
    <row r="16" spans="1:55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N16" s="85" t="e">
        <f ca="1"/>
        <v>#NAME?</v>
      </c>
      <c r="O16" s="86" t="e">
        <f ca="1"/>
        <v>#NAME?</v>
      </c>
      <c r="P16" s="87" t="e">
        <f ca="1"/>
        <v>#NAME?</v>
      </c>
      <c r="R16" s="85" t="e">
        <f ca="1"/>
        <v>#NAME?</v>
      </c>
      <c r="S16" s="86" t="e">
        <f ca="1"/>
        <v>#NAME?</v>
      </c>
      <c r="T16" s="87" t="e">
        <f ca="1"/>
        <v>#NAME?</v>
      </c>
      <c r="V16" s="40" t="s">
        <v>168</v>
      </c>
      <c r="W16" s="40">
        <f>DEVSQ(B4:B35)</f>
        <v>4968.8671874999991</v>
      </c>
      <c r="X16" s="40">
        <f>COUNT(B4:B35)-1</f>
        <v>31</v>
      </c>
      <c r="Y16" s="40">
        <f>W16/X16</f>
        <v>160.28603830645159</v>
      </c>
      <c r="Z16" s="40"/>
      <c r="AA16" s="40"/>
      <c r="AB16" s="40"/>
      <c r="AC16" s="40"/>
      <c r="AD16" s="40"/>
      <c r="AF16" s="83" t="e">
        <f t="array" aca="1" ref="AF16" ca="1">MMULT(B16:D16-$AI$14:$AK$14,MMULT($AI$9:$AK$11,TRANSPOSE(B16:D16-$AI$14:$AK$14)))</f>
        <v>#NAME?</v>
      </c>
      <c r="AG16" s="84" t="e">
        <f t="shared" ca="1" si="1"/>
        <v>#NAME?</v>
      </c>
      <c r="AH16" s="70" t="e">
        <f t="shared" ca="1" si="2"/>
        <v>#NAME?</v>
      </c>
      <c r="AP16" t="s">
        <v>66</v>
      </c>
      <c r="AQ16" s="149" t="e">
        <f ca="1">AQ11-AQ12*$AV17</f>
        <v>#NAME?</v>
      </c>
      <c r="AR16" s="129" t="e">
        <f ca="1">AR11-AR12*$AV17</f>
        <v>#NAME?</v>
      </c>
      <c r="AS16" s="150" t="e">
        <f ca="1">AS11-AS12*$AV17</f>
        <v>#NAME?</v>
      </c>
      <c r="AU16" t="s">
        <v>58</v>
      </c>
      <c r="AV16" s="98">
        <f>FINV(AV15,BC7,BC8)</f>
        <v>2.9751539639733933</v>
      </c>
    </row>
    <row r="17" spans="1:48" x14ac:dyDescent="0.35">
      <c r="A17" t="s">
        <v>159</v>
      </c>
      <c r="B17" s="102">
        <v>55.4</v>
      </c>
      <c r="C17" s="103">
        <v>29.1</v>
      </c>
      <c r="D17" s="104">
        <v>5</v>
      </c>
      <c r="AF17" s="83" t="e">
        <f t="array" aca="1" ref="AF17" ca="1">MMULT(B17:D17-$AI$14:$AK$14,MMULT($AI$9:$AK$11,TRANSPOSE(B17:D17-$AI$14:$AK$14)))</f>
        <v>#NAME?</v>
      </c>
      <c r="AG17" s="84" t="e">
        <f t="shared" ca="1" si="1"/>
        <v>#NAME?</v>
      </c>
      <c r="AH17" s="70" t="e">
        <f t="shared" ca="1" si="2"/>
        <v>#NAME?</v>
      </c>
      <c r="AP17" t="s">
        <v>67</v>
      </c>
      <c r="AQ17" s="85" t="e">
        <f ca="1">AQ11+AQ12*$AV17</f>
        <v>#NAME?</v>
      </c>
      <c r="AR17" s="86" t="e">
        <f ca="1">AR11+AR12*$AV17</f>
        <v>#NAME?</v>
      </c>
      <c r="AS17" s="87" t="e">
        <f ca="1">AS11+AS12*$AV17</f>
        <v>#NAME?</v>
      </c>
      <c r="AU17" t="s">
        <v>113</v>
      </c>
      <c r="AV17" s="99">
        <f>SQRT(BC7*(BC4-BC6)*AV16/BC8)</f>
        <v>3.1003283509341952</v>
      </c>
    </row>
    <row r="18" spans="1:48" x14ac:dyDescent="0.3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  <c r="V18" t="s">
        <v>173</v>
      </c>
      <c r="Y18" t="str">
        <f>C3</f>
        <v>water</v>
      </c>
      <c r="AF18" s="83" t="e">
        <f t="array" aca="1" ref="AF18" ca="1">MMULT(B18:D18-$AI$14:$AK$14,MMULT($AI$9:$AK$11,TRANSPOSE(B18:D18-$AI$14:$AK$14)))</f>
        <v>#NAME?</v>
      </c>
      <c r="AG18" s="84" t="e">
        <f t="shared" ca="1" si="1"/>
        <v>#NAME?</v>
      </c>
      <c r="AH18" s="70" t="e">
        <f t="shared" ca="1" si="2"/>
        <v>#NAME?</v>
      </c>
    </row>
    <row r="19" spans="1:48" x14ac:dyDescent="0.35">
      <c r="A19" t="s">
        <v>159</v>
      </c>
      <c r="B19" s="102">
        <v>64.099999999999994</v>
      </c>
      <c r="C19" s="103">
        <v>14.5</v>
      </c>
      <c r="D19" s="104">
        <v>3.7</v>
      </c>
      <c r="R19" s="149" t="e">
        <f t="array" aca="1" ref="R19:T21" ca="1">ExtractCov(A4:D35,R18)</f>
        <v>#NAME?</v>
      </c>
      <c r="S19" s="129" t="e">
        <f ca="1"/>
        <v>#NAME?</v>
      </c>
      <c r="T19" s="150" t="e">
        <f ca="1"/>
        <v>#NAME?</v>
      </c>
      <c r="AF19" s="83" t="e">
        <f t="array" aca="1" ref="AF19" ca="1">MMULT(B19:D19-$AI$14:$AK$14,MMULT($AI$9:$AK$11,TRANSPOSE(B19:D19-$AI$14:$AK$14)))</f>
        <v>#NAME?</v>
      </c>
      <c r="AG19" s="84" t="e">
        <f t="shared" ca="1" si="1"/>
        <v>#NAME?</v>
      </c>
      <c r="AH19" s="70" t="e">
        <f t="shared" ca="1" si="2"/>
        <v>#NAME?</v>
      </c>
      <c r="AP19" t="s">
        <v>221</v>
      </c>
    </row>
    <row r="20" spans="1:48" ht="15" thickBot="1" x14ac:dyDescent="0.4">
      <c r="A20" t="s">
        <v>161</v>
      </c>
      <c r="B20" s="102">
        <v>62.8</v>
      </c>
      <c r="C20" s="103">
        <v>25.9</v>
      </c>
      <c r="D20" s="104">
        <v>2.9</v>
      </c>
      <c r="R20" s="83" t="e">
        <f ca="1"/>
        <v>#NAME?</v>
      </c>
      <c r="S20" s="37" t="e">
        <f ca="1"/>
        <v>#NAME?</v>
      </c>
      <c r="T20" s="84" t="e">
        <f ca="1"/>
        <v>#NAME?</v>
      </c>
      <c r="V20" t="s">
        <v>174</v>
      </c>
      <c r="AA20" t="s">
        <v>175</v>
      </c>
      <c r="AB20" s="122">
        <v>1.6667000000000001E-2</v>
      </c>
      <c r="AF20" s="83" t="e">
        <f t="array" aca="1" ref="AF20" ca="1">MMULT(B20:D20-$AI$14:$AK$14,MMULT($AI$9:$AK$11,TRANSPOSE(B20:D20-$AI$14:$AK$14)))</f>
        <v>#NAME?</v>
      </c>
      <c r="AG20" s="84" t="e">
        <f t="shared" ca="1" si="1"/>
        <v>#NAME?</v>
      </c>
      <c r="AH20" s="70" t="e">
        <f t="shared" ca="1" si="2"/>
        <v>#NAME?</v>
      </c>
      <c r="AU20" t="s">
        <v>175</v>
      </c>
      <c r="AV20" s="132">
        <f>AV15/3</f>
        <v>1.6666666666666666E-2</v>
      </c>
    </row>
    <row r="21" spans="1:48" ht="15" thickTop="1" x14ac:dyDescent="0.35">
      <c r="A21" t="s">
        <v>161</v>
      </c>
      <c r="B21" s="102">
        <v>45</v>
      </c>
      <c r="C21" s="103">
        <v>15.9</v>
      </c>
      <c r="D21" s="104">
        <v>1.2</v>
      </c>
      <c r="R21" s="85" t="e">
        <f ca="1"/>
        <v>#NAME?</v>
      </c>
      <c r="S21" s="86" t="e">
        <f ca="1"/>
        <v>#NAME?</v>
      </c>
      <c r="T21" s="87" t="e">
        <f ca="1"/>
        <v>#NAME?</v>
      </c>
      <c r="V21" s="94" t="s">
        <v>176</v>
      </c>
      <c r="W21" s="94" t="s">
        <v>100</v>
      </c>
      <c r="X21" s="94" t="s">
        <v>177</v>
      </c>
      <c r="Y21" s="94" t="s">
        <v>34</v>
      </c>
      <c r="Z21" s="94" t="s">
        <v>178</v>
      </c>
      <c r="AA21" s="94" t="s">
        <v>179</v>
      </c>
      <c r="AB21" s="94" t="s">
        <v>180</v>
      </c>
      <c r="AC21" s="94" t="s">
        <v>181</v>
      </c>
      <c r="AD21" s="94" t="s">
        <v>182</v>
      </c>
      <c r="AF21" s="83" t="e">
        <f t="array" aca="1" ref="AF21" ca="1">MMULT(B21:D21-$AI$14:$AK$14,MMULT($AI$9:$AK$11,TRANSPOSE(B21:D21-$AI$14:$AK$14)))</f>
        <v>#NAME?</v>
      </c>
      <c r="AG21" s="84" t="e">
        <f t="shared" ca="1" si="1"/>
        <v>#NAME?</v>
      </c>
      <c r="AH21" s="70" t="e">
        <f t="shared" ca="1" si="2"/>
        <v>#NAME?</v>
      </c>
      <c r="AP21" t="s">
        <v>66</v>
      </c>
      <c r="AQ21" s="149" t="e">
        <f ca="1">AQ11-AQ12*$AV22</f>
        <v>#NAME?</v>
      </c>
      <c r="AR21" s="129" t="e">
        <f ca="1">AR11-AR12*$AV22</f>
        <v>#NAME?</v>
      </c>
      <c r="AS21" s="150" t="e">
        <f ca="1">AS11-AS12*$AV22</f>
        <v>#NAME?</v>
      </c>
      <c r="AU21" t="s">
        <v>62</v>
      </c>
      <c r="AV21" s="98">
        <f>BC4-BC6</f>
        <v>28</v>
      </c>
    </row>
    <row r="22" spans="1:48" x14ac:dyDescent="0.35">
      <c r="A22" t="s">
        <v>161</v>
      </c>
      <c r="B22" s="102">
        <v>47.8</v>
      </c>
      <c r="C22" s="103">
        <v>36.1</v>
      </c>
      <c r="D22" s="104">
        <v>4.0999999999999996</v>
      </c>
      <c r="V22" t="e">
        <f t="array" aca="1" ref="V22:V25" ca="1">SortUnique(A4:A35)</f>
        <v>#NAME?</v>
      </c>
      <c r="W22">
        <f ca="1">COUNTIF($A$4:$A$35,$V22)</f>
        <v>0</v>
      </c>
      <c r="X22">
        <f ca="1">SUMIF($A$4:$A$35,$V22,$C$4:$C$35)</f>
        <v>0</v>
      </c>
      <c r="Y22" t="e">
        <f ca="1">AVERAGEIF($A$4:$A$35,$V22,$C$4:$C$35)</f>
        <v>#DIV/0!</v>
      </c>
      <c r="Z22" t="e">
        <f t="array" aca="1" ref="Z22" ca="1">VAR(IF($A$4:$A$35=$V22,$C$4:$C$35))</f>
        <v>#NAME?</v>
      </c>
      <c r="AA22" t="e">
        <f ca="1">($W22-1)*Z22</f>
        <v>#NAME?</v>
      </c>
      <c r="AB22" t="e">
        <f ca="1">SQRT(Y$30/W22)</f>
        <v>#NAME?</v>
      </c>
      <c r="AC22" t="e">
        <f ca="1">Y22-AB22*TINV(AB$20,W22-1)</f>
        <v>#DIV/0!</v>
      </c>
      <c r="AD22" t="e">
        <f ca="1">Y22+AB22*TINV(AB$20,W22-1)</f>
        <v>#DIV/0!</v>
      </c>
      <c r="AF22" s="83" t="e">
        <f t="array" aca="1" ref="AF22" ca="1">MMULT(B22:D22-$AI$14:$AK$14,MMULT($AI$9:$AK$11,TRANSPOSE(B22:D22-$AI$14:$AK$14)))</f>
        <v>#NAME?</v>
      </c>
      <c r="AG22" s="84" t="e">
        <f t="shared" ca="1" si="1"/>
        <v>#NAME?</v>
      </c>
      <c r="AH22" s="70" t="e">
        <f t="shared" ca="1" si="2"/>
        <v>#NAME?</v>
      </c>
      <c r="AP22" t="s">
        <v>67</v>
      </c>
      <c r="AQ22" s="85" t="e">
        <f ca="1">AQ11+AQ12*$AV22</f>
        <v>#NAME?</v>
      </c>
      <c r="AR22" s="86" t="e">
        <f ca="1">AR11+AR12*$AV22</f>
        <v>#NAME?</v>
      </c>
      <c r="AS22" s="87" t="e">
        <f ca="1">AS11+AS12*$AV22</f>
        <v>#NAME?</v>
      </c>
      <c r="AU22" t="s">
        <v>63</v>
      </c>
      <c r="AV22" s="99">
        <f>TINV(AV20,AV21)</f>
        <v>2.5464652227804252</v>
      </c>
    </row>
    <row r="23" spans="1:48" x14ac:dyDescent="0.35">
      <c r="A23" t="s">
        <v>161</v>
      </c>
      <c r="B23" s="102">
        <v>75.599999999999994</v>
      </c>
      <c r="C23" s="103">
        <v>27.7</v>
      </c>
      <c r="D23" s="104">
        <v>6.3</v>
      </c>
      <c r="R23" t="s">
        <v>157</v>
      </c>
      <c r="V23" t="e">
        <f ca="1"/>
        <v>#NAME?</v>
      </c>
      <c r="W23">
        <f ca="1">COUNTIF($A$4:$A$35,$V23)</f>
        <v>0</v>
      </c>
      <c r="X23">
        <f ca="1">SUMIF($A$4:$A$35,$V23,$C$4:$C$35)</f>
        <v>0</v>
      </c>
      <c r="Y23" t="e">
        <f ca="1">AVERAGEIF($A$4:$A$35,$V23,$C$4:$C$35)</f>
        <v>#DIV/0!</v>
      </c>
      <c r="Z23" t="e">
        <f t="array" aca="1" ref="Z23" ca="1">VAR(IF($A$4:$A$35=$V23,$C$4:$C$35))</f>
        <v>#NAME?</v>
      </c>
      <c r="AA23" t="e">
        <f ca="1">($W23-1)*Z23</f>
        <v>#NAME?</v>
      </c>
      <c r="AB23" t="e">
        <f ca="1">SQRT(Y$30/W23)</f>
        <v>#NAME?</v>
      </c>
      <c r="AC23" t="e">
        <f ca="1">Y23-AB23*TINV(AB$20,W23-1)</f>
        <v>#DIV/0!</v>
      </c>
      <c r="AD23" t="e">
        <f ca="1">Y23+AB23*TINV(AB$20,W23-1)</f>
        <v>#DIV/0!</v>
      </c>
      <c r="AF23" s="83" t="e">
        <f t="array" aca="1" ref="AF23" ca="1">MMULT(B23:D23-$AI$14:$AK$14,MMULT($AI$9:$AK$11,TRANSPOSE(B23:D23-$AI$14:$AK$14)))</f>
        <v>#NAME?</v>
      </c>
      <c r="AG23" s="84" t="e">
        <f t="shared" ca="1" si="1"/>
        <v>#NAME?</v>
      </c>
      <c r="AH23" s="70" t="e">
        <f t="shared" ca="1" si="2"/>
        <v>#NAME?</v>
      </c>
    </row>
    <row r="24" spans="1:48" x14ac:dyDescent="0.35">
      <c r="A24" t="s">
        <v>161</v>
      </c>
      <c r="B24" s="102">
        <v>46.6</v>
      </c>
      <c r="C24" s="103">
        <v>46.9</v>
      </c>
      <c r="D24" s="104">
        <v>3.6</v>
      </c>
      <c r="R24" s="149" t="e">
        <f t="array" aca="1" ref="R24:T26" ca="1">COVPooled(A4:D35)</f>
        <v>#NAME?</v>
      </c>
      <c r="S24" s="129" t="e">
        <f ca="1"/>
        <v>#NAME?</v>
      </c>
      <c r="T24" s="150" t="e">
        <f ca="1"/>
        <v>#NAME?</v>
      </c>
      <c r="V24" t="e">
        <f ca="1"/>
        <v>#NAME?</v>
      </c>
      <c r="W24">
        <f ca="1">COUNTIF($A$4:$A$35,$V24)</f>
        <v>0</v>
      </c>
      <c r="X24">
        <f ca="1">SUMIF($A$4:$A$35,$V24,$C$4:$C$35)</f>
        <v>0</v>
      </c>
      <c r="Y24" t="e">
        <f ca="1">AVERAGEIF($A$4:$A$35,$V24,$C$4:$C$35)</f>
        <v>#DIV/0!</v>
      </c>
      <c r="Z24" t="e">
        <f t="array" aca="1" ref="Z24" ca="1">VAR(IF($A$4:$A$35=$V24,$C$4:$C$35))</f>
        <v>#NAME?</v>
      </c>
      <c r="AA24" t="e">
        <f ca="1">($W24-1)*Z24</f>
        <v>#NAME?</v>
      </c>
      <c r="AB24" t="e">
        <f ca="1">SQRT(Y$30/W24)</f>
        <v>#NAME?</v>
      </c>
      <c r="AC24" t="e">
        <f ca="1">Y24-AB24*TINV(AB$20,W24-1)</f>
        <v>#DIV/0!</v>
      </c>
      <c r="AD24" t="e">
        <f ca="1">Y24+AB24*TINV(AB$20,W24-1)</f>
        <v>#DIV/0!</v>
      </c>
      <c r="AF24" s="83" t="e">
        <f t="array" aca="1" ref="AF24" ca="1">MMULT(B24:D24-$AI$14:$AK$14,MMULT($AI$9:$AK$11,TRANSPOSE(B24:D24-$AI$14:$AK$14)))</f>
        <v>#NAME?</v>
      </c>
      <c r="AG24" s="84" t="e">
        <f t="shared" ca="1" si="1"/>
        <v>#NAME?</v>
      </c>
      <c r="AH24" s="70" t="e">
        <f t="shared" ca="1" si="2"/>
        <v>#NAME?</v>
      </c>
    </row>
    <row r="25" spans="1:48" x14ac:dyDescent="0.35">
      <c r="A25" t="s">
        <v>161</v>
      </c>
      <c r="B25" s="102">
        <v>50.6</v>
      </c>
      <c r="C25" s="103">
        <v>29.7</v>
      </c>
      <c r="D25" s="104">
        <v>4.7</v>
      </c>
      <c r="R25" s="83" t="e">
        <f ca="1"/>
        <v>#NAME?</v>
      </c>
      <c r="S25" s="37" t="e">
        <f ca="1"/>
        <v>#NAME?</v>
      </c>
      <c r="T25" s="84" t="e">
        <f ca="1"/>
        <v>#NAME?</v>
      </c>
      <c r="V25" t="e">
        <f ca="1"/>
        <v>#NAME?</v>
      </c>
      <c r="W25">
        <f ca="1">COUNTIF($A$4:$A$35,$V25)</f>
        <v>0</v>
      </c>
      <c r="X25">
        <f ca="1">SUMIF($A$4:$A$35,$V25,$C$4:$C$35)</f>
        <v>0</v>
      </c>
      <c r="Y25" t="e">
        <f ca="1">AVERAGEIF($A$4:$A$35,$V25,$C$4:$C$35)</f>
        <v>#DIV/0!</v>
      </c>
      <c r="Z25" t="e">
        <f t="array" aca="1" ref="Z25" ca="1">VAR(IF($A$4:$A$35=$V25,$C$4:$C$35))</f>
        <v>#NAME?</v>
      </c>
      <c r="AA25" t="e">
        <f ca="1">($W25-1)*Z25</f>
        <v>#NAME?</v>
      </c>
      <c r="AB25" t="e">
        <f ca="1">SQRT(Y$30/W25)</f>
        <v>#NAME?</v>
      </c>
      <c r="AC25" t="e">
        <f ca="1">Y25-AB25*TINV(AB$20,W25-1)</f>
        <v>#DIV/0!</v>
      </c>
      <c r="AD25" t="e">
        <f ca="1">Y25+AB25*TINV(AB$20,W25-1)</f>
        <v>#DIV/0!</v>
      </c>
      <c r="AF25" s="83" t="e">
        <f t="array" aca="1" ref="AF25" ca="1">MMULT(B25:D25-$AI$14:$AK$14,MMULT($AI$9:$AK$11,TRANSPOSE(B25:D25-$AI$14:$AK$14)))</f>
        <v>#NAME?</v>
      </c>
      <c r="AG25" s="84" t="e">
        <f t="shared" ca="1" si="1"/>
        <v>#NAME?</v>
      </c>
      <c r="AH25" s="70" t="e">
        <f t="shared" ca="1" si="2"/>
        <v>#NAME?</v>
      </c>
    </row>
    <row r="26" spans="1:48" x14ac:dyDescent="0.35">
      <c r="A26" t="s">
        <v>161</v>
      </c>
      <c r="B26" s="102">
        <v>45.7</v>
      </c>
      <c r="C26" s="103">
        <v>27.6</v>
      </c>
      <c r="D26" s="104">
        <v>6.2</v>
      </c>
      <c r="R26" s="85" t="e">
        <f ca="1"/>
        <v>#NAME?</v>
      </c>
      <c r="S26" s="86" t="e">
        <f ca="1"/>
        <v>#NAME?</v>
      </c>
      <c r="T26" s="87" t="e">
        <f ca="1"/>
        <v>#NAME?</v>
      </c>
      <c r="V26" s="139"/>
      <c r="W26" s="139"/>
      <c r="X26" s="139"/>
      <c r="Y26" s="139"/>
      <c r="Z26" s="139"/>
      <c r="AA26" s="139"/>
      <c r="AB26" s="139"/>
      <c r="AC26" s="139"/>
      <c r="AD26" s="139"/>
      <c r="AF26" s="83" t="e">
        <f t="array" aca="1" ref="AF26" ca="1">MMULT(B26:D26-$AI$14:$AK$14,MMULT($AI$9:$AK$11,TRANSPOSE(B26:D26-$AI$14:$AK$14)))</f>
        <v>#NAME?</v>
      </c>
      <c r="AG26" s="84" t="e">
        <f t="shared" ca="1" si="1"/>
        <v>#NAME?</v>
      </c>
      <c r="AH26" s="70" t="e">
        <f t="shared" ca="1" si="2"/>
        <v>#NAME?</v>
      </c>
    </row>
    <row r="27" spans="1:48" ht="15" thickBot="1" x14ac:dyDescent="0.4">
      <c r="A27" t="s">
        <v>161</v>
      </c>
      <c r="B27" s="102">
        <v>68.400000000000006</v>
      </c>
      <c r="C27" s="103">
        <v>35.299999999999997</v>
      </c>
      <c r="D27" s="104">
        <v>1.9</v>
      </c>
      <c r="V27" t="s">
        <v>183</v>
      </c>
      <c r="AF27" s="83" t="e">
        <f t="array" aca="1" ref="AF27" ca="1">MMULT(B27:D27-$AI$14:$AK$14,MMULT($AI$9:$AK$11,TRANSPOSE(B27:D27-$AI$14:$AK$14)))</f>
        <v>#NAME?</v>
      </c>
      <c r="AG27" s="84" t="e">
        <f t="shared" ca="1" si="1"/>
        <v>#NAME?</v>
      </c>
      <c r="AH27" s="70" t="e">
        <f t="shared" ca="1" si="2"/>
        <v>#NAME?</v>
      </c>
    </row>
    <row r="28" spans="1:48" ht="15" thickTop="1" x14ac:dyDescent="0.35">
      <c r="A28" t="s">
        <v>160</v>
      </c>
      <c r="B28" s="102">
        <v>52.5</v>
      </c>
      <c r="C28" s="103">
        <v>39</v>
      </c>
      <c r="D28" s="104">
        <v>3.1</v>
      </c>
      <c r="R28" t="s">
        <v>231</v>
      </c>
      <c r="V28" s="94" t="s">
        <v>184</v>
      </c>
      <c r="W28" s="94" t="s">
        <v>179</v>
      </c>
      <c r="X28" s="94" t="s">
        <v>62</v>
      </c>
      <c r="Y28" s="94" t="s">
        <v>185</v>
      </c>
      <c r="Z28" s="94" t="s">
        <v>54</v>
      </c>
      <c r="AA28" s="94" t="s">
        <v>186</v>
      </c>
      <c r="AB28" s="94" t="s">
        <v>187</v>
      </c>
      <c r="AC28" s="94" t="s">
        <v>188</v>
      </c>
      <c r="AD28" s="94" t="s">
        <v>189</v>
      </c>
      <c r="AF28" s="83" t="e">
        <f t="array" aca="1" ref="AF28" ca="1">MMULT(B28:D28-$AI$14:$AK$14,MMULT($AI$9:$AK$11,TRANSPOSE(B28:D28-$AI$14:$AK$14)))</f>
        <v>#NAME?</v>
      </c>
      <c r="AG28" s="84" t="e">
        <f t="shared" ca="1" si="1"/>
        <v>#NAME?</v>
      </c>
      <c r="AH28" s="70" t="e">
        <f t="shared" ca="1" si="2"/>
        <v>#NAME?</v>
      </c>
    </row>
    <row r="29" spans="1:48" x14ac:dyDescent="0.35">
      <c r="A29" t="s">
        <v>160</v>
      </c>
      <c r="B29" s="102">
        <v>80</v>
      </c>
      <c r="C29" s="103">
        <v>54.2</v>
      </c>
      <c r="D29" s="104">
        <v>4</v>
      </c>
      <c r="R29" s="149" t="e">
        <f t="array" aca="1" ref="R29:T31" ca="1">CORR(B4:D35)</f>
        <v>#NAME?</v>
      </c>
      <c r="S29" s="129" t="e">
        <f ca="1"/>
        <v>#NAME?</v>
      </c>
      <c r="T29" s="150" t="e">
        <f ca="1"/>
        <v>#NAME?</v>
      </c>
      <c r="V29" t="s">
        <v>190</v>
      </c>
      <c r="W29" t="e">
        <f ca="1">W31-W30</f>
        <v>#NAME?</v>
      </c>
      <c r="X29" t="e">
        <f ca="1">COUNTAU(A4:A35)-1</f>
        <v>#NAME?</v>
      </c>
      <c r="Y29" t="e">
        <f ca="1">W29/X29</f>
        <v>#NAME?</v>
      </c>
      <c r="Z29" t="e">
        <f ca="1">Y29/Y30</f>
        <v>#NAME?</v>
      </c>
      <c r="AA29" t="e">
        <f ca="1">FDIST(Z29,X29,X30)</f>
        <v>#NAME?</v>
      </c>
      <c r="AB29" t="e">
        <f ca="1">FINV(AB20,X29,X30)</f>
        <v>#NAME?</v>
      </c>
      <c r="AC29" t="e">
        <f ca="1">SQRT(DEVSQ(Y22:Y25)/(Y30*X29))</f>
        <v>#DIV/0!</v>
      </c>
      <c r="AD29" t="e">
        <f ca="1">(W31-X31*Y30)/(W31+Y30)</f>
        <v>#NAME?</v>
      </c>
      <c r="AF29" s="83" t="e">
        <f t="array" aca="1" ref="AF29" ca="1">MMULT(B29:D29-$AI$14:$AK$14,MMULT($AI$9:$AK$11,TRANSPOSE(B29:D29-$AI$14:$AK$14)))</f>
        <v>#NAME?</v>
      </c>
      <c r="AG29" s="84" t="e">
        <f t="shared" ca="1" si="1"/>
        <v>#NAME?</v>
      </c>
      <c r="AH29" s="70" t="e">
        <f t="shared" ca="1" si="2"/>
        <v>#NAME?</v>
      </c>
    </row>
    <row r="30" spans="1:48" x14ac:dyDescent="0.35">
      <c r="A30" t="s">
        <v>160</v>
      </c>
      <c r="B30" s="102">
        <v>54.7</v>
      </c>
      <c r="C30" s="103">
        <v>32.1</v>
      </c>
      <c r="D30" s="104">
        <v>5.7</v>
      </c>
      <c r="R30" s="83" t="e">
        <f ca="1"/>
        <v>#NAME?</v>
      </c>
      <c r="S30" s="37" t="e">
        <f ca="1"/>
        <v>#NAME?</v>
      </c>
      <c r="T30" s="84" t="e">
        <f ca="1"/>
        <v>#NAME?</v>
      </c>
      <c r="V30" t="s">
        <v>191</v>
      </c>
      <c r="W30" t="e">
        <f ca="1">SUM(AA22:AA25)</f>
        <v>#NAME?</v>
      </c>
      <c r="X30" t="e">
        <f ca="1">X31-X29</f>
        <v>#NAME?</v>
      </c>
      <c r="Y30" t="e">
        <f ca="1">W30/X30</f>
        <v>#NAME?</v>
      </c>
      <c r="AF30" s="83" t="e">
        <f t="array" aca="1" ref="AF30" ca="1">MMULT(B30:D30-$AI$14:$AK$14,MMULT($AI$9:$AK$11,TRANSPOSE(B30:D30-$AI$14:$AK$14)))</f>
        <v>#NAME?</v>
      </c>
      <c r="AG30" s="84" t="e">
        <f t="shared" ca="1" si="1"/>
        <v>#NAME?</v>
      </c>
      <c r="AH30" s="70" t="e">
        <f t="shared" ca="1" si="2"/>
        <v>#NAME?</v>
      </c>
    </row>
    <row r="31" spans="1:48" x14ac:dyDescent="0.35">
      <c r="A31" t="s">
        <v>160</v>
      </c>
      <c r="B31" s="102">
        <v>63.5</v>
      </c>
      <c r="C31" s="103">
        <v>25.6</v>
      </c>
      <c r="D31" s="104">
        <v>3</v>
      </c>
      <c r="R31" s="85" t="e">
        <f ca="1"/>
        <v>#NAME?</v>
      </c>
      <c r="S31" s="86" t="e">
        <f ca="1"/>
        <v>#NAME?</v>
      </c>
      <c r="T31" s="87" t="e">
        <f ca="1"/>
        <v>#NAME?</v>
      </c>
      <c r="V31" s="40" t="s">
        <v>168</v>
      </c>
      <c r="W31" s="40">
        <f>DEVSQ(C4:C35)</f>
        <v>2955.8921874999996</v>
      </c>
      <c r="X31" s="40">
        <f>COUNT(C4:C35)-1</f>
        <v>31</v>
      </c>
      <c r="Y31" s="40">
        <f>W31/X31</f>
        <v>95.35136088709676</v>
      </c>
      <c r="Z31" s="40"/>
      <c r="AA31" s="40"/>
      <c r="AB31" s="40"/>
      <c r="AC31" s="40"/>
      <c r="AD31" s="40"/>
      <c r="AF31" s="83" t="e">
        <f t="array" aca="1" ref="AF31" ca="1">MMULT(B31:D31-$AI$14:$AK$14,MMULT($AI$9:$AK$11,TRANSPOSE(B31:D31-$AI$14:$AK$14)))</f>
        <v>#NAME?</v>
      </c>
      <c r="AG31" s="84" t="e">
        <f t="shared" ca="1" si="1"/>
        <v>#NAME?</v>
      </c>
      <c r="AH31" s="70" t="e">
        <f t="shared" ca="1" si="2"/>
        <v>#NAME?</v>
      </c>
    </row>
    <row r="32" spans="1:48" x14ac:dyDescent="0.35">
      <c r="A32" t="s">
        <v>160</v>
      </c>
      <c r="B32" s="102">
        <v>46.3</v>
      </c>
      <c r="C32" s="103">
        <v>31.8</v>
      </c>
      <c r="D32" s="104">
        <v>7.4</v>
      </c>
      <c r="AF32" s="83" t="e">
        <f t="array" aca="1" ref="AF32" ca="1">MMULT(B32:D32-$AI$14:$AK$14,MMULT($AI$9:$AK$11,TRANSPOSE(B32:D32-$AI$14:$AK$14)))</f>
        <v>#NAME?</v>
      </c>
      <c r="AG32" s="84" t="e">
        <f t="shared" ca="1" si="1"/>
        <v>#NAME?</v>
      </c>
      <c r="AH32" s="70" t="e">
        <f t="shared" ca="1" si="2"/>
        <v>#NAME?</v>
      </c>
    </row>
    <row r="33" spans="1:34" x14ac:dyDescent="0.35">
      <c r="A33" t="s">
        <v>160</v>
      </c>
      <c r="B33" s="102">
        <v>61.5</v>
      </c>
      <c r="C33" s="103">
        <v>16.8</v>
      </c>
      <c r="D33" s="104">
        <v>1.9</v>
      </c>
      <c r="V33" t="s">
        <v>173</v>
      </c>
      <c r="Y33" t="str">
        <f>D3</f>
        <v>herbicide</v>
      </c>
      <c r="AF33" s="83" t="e">
        <f t="array" aca="1" ref="AF33" ca="1">MMULT(B33:D33-$AI$14:$AK$14,MMULT($AI$9:$AK$11,TRANSPOSE(B33:D33-$AI$14:$AK$14)))</f>
        <v>#NAME?</v>
      </c>
      <c r="AG33" s="84" t="e">
        <f t="shared" ca="1" si="1"/>
        <v>#NAME?</v>
      </c>
      <c r="AH33" s="70" t="e">
        <f t="shared" ca="1" si="2"/>
        <v>#NAME?</v>
      </c>
    </row>
    <row r="34" spans="1:34" x14ac:dyDescent="0.35">
      <c r="A34" t="s">
        <v>160</v>
      </c>
      <c r="B34" s="102">
        <v>62.9</v>
      </c>
      <c r="C34" s="103">
        <v>25.8</v>
      </c>
      <c r="D34" s="104">
        <v>2.4</v>
      </c>
      <c r="AF34" s="83" t="e">
        <f t="array" aca="1" ref="AF34" ca="1">MMULT(B34:D34-$AI$14:$AK$14,MMULT($AI$9:$AK$11,TRANSPOSE(B34:D34-$AI$14:$AK$14)))</f>
        <v>#NAME?</v>
      </c>
      <c r="AG34" s="84" t="e">
        <f t="shared" ca="1" si="1"/>
        <v>#NAME?</v>
      </c>
      <c r="AH34" s="70" t="e">
        <f t="shared" ca="1" si="2"/>
        <v>#NAME?</v>
      </c>
    </row>
    <row r="35" spans="1:34" ht="15" thickBot="1" x14ac:dyDescent="0.4">
      <c r="A35" t="s">
        <v>160</v>
      </c>
      <c r="B35" s="105">
        <v>49.3</v>
      </c>
      <c r="C35" s="106">
        <v>39.4</v>
      </c>
      <c r="D35" s="107">
        <v>5.2</v>
      </c>
      <c r="V35" t="s">
        <v>174</v>
      </c>
      <c r="AA35" t="s">
        <v>175</v>
      </c>
      <c r="AB35" s="122">
        <v>1.6667000000000001E-2</v>
      </c>
      <c r="AF35" s="85" t="e">
        <f t="array" aca="1" ref="AF35" ca="1">MMULT(B35:D35-$AI$14:$AK$14,MMULT($AI$9:$AK$11,TRANSPOSE(B35:D35-$AI$14:$AK$14)))</f>
        <v>#NAME?</v>
      </c>
      <c r="AG35" s="87" t="e">
        <f t="shared" ca="1" si="1"/>
        <v>#NAME?</v>
      </c>
      <c r="AH35" s="70" t="e">
        <f t="shared" ca="1" si="2"/>
        <v>#NAME?</v>
      </c>
    </row>
    <row r="36" spans="1:34" ht="15" thickTop="1" x14ac:dyDescent="0.35">
      <c r="V36" s="94" t="s">
        <v>176</v>
      </c>
      <c r="W36" s="94" t="s">
        <v>100</v>
      </c>
      <c r="X36" s="94" t="s">
        <v>177</v>
      </c>
      <c r="Y36" s="94" t="s">
        <v>34</v>
      </c>
      <c r="Z36" s="94" t="s">
        <v>178</v>
      </c>
      <c r="AA36" s="94" t="s">
        <v>179</v>
      </c>
      <c r="AB36" s="94" t="s">
        <v>180</v>
      </c>
      <c r="AC36" s="94" t="s">
        <v>181</v>
      </c>
      <c r="AD36" s="94" t="s">
        <v>182</v>
      </c>
    </row>
    <row r="37" spans="1:34" x14ac:dyDescent="0.35">
      <c r="V37" t="e">
        <f t="array" aca="1" ref="V37:V40" ca="1">SortUnique(A4:A35)</f>
        <v>#NAME?</v>
      </c>
      <c r="W37">
        <f ca="1">COUNTIF($A$4:$A$35,$V37)</f>
        <v>0</v>
      </c>
      <c r="X37">
        <f ca="1">SUMIF($A$4:$A$35,$V37,$D$4:$D$35)</f>
        <v>0</v>
      </c>
      <c r="Y37" t="e">
        <f ca="1">AVERAGEIF($A$4:$A$35,$V37,$D$4:$D$35)</f>
        <v>#DIV/0!</v>
      </c>
      <c r="Z37" t="e">
        <f t="array" aca="1" ref="Z37" ca="1">VAR(IF($A$4:$A$35=$V37,$D$4:$D$35))</f>
        <v>#NAME?</v>
      </c>
      <c r="AA37" t="e">
        <f ca="1">($W37-1)*Z37</f>
        <v>#NAME?</v>
      </c>
      <c r="AB37" t="e">
        <f ca="1">SQRT(Y$45/W37)</f>
        <v>#NAME?</v>
      </c>
      <c r="AC37" t="e">
        <f ca="1">Y37-AB37*TINV(AB$35,W37-1)</f>
        <v>#DIV/0!</v>
      </c>
      <c r="AD37" t="e">
        <f ca="1">Y37+AB37*TINV(AB$35,W37-1)</f>
        <v>#DIV/0!</v>
      </c>
    </row>
    <row r="38" spans="1:34" x14ac:dyDescent="0.35">
      <c r="V38" t="e">
        <f ca="1"/>
        <v>#NAME?</v>
      </c>
      <c r="W38">
        <f ca="1">COUNTIF($A$4:$A$35,$V38)</f>
        <v>0</v>
      </c>
      <c r="X38">
        <f ca="1">SUMIF($A$4:$A$35,$V38,$D$4:$D$35)</f>
        <v>0</v>
      </c>
      <c r="Y38" t="e">
        <f ca="1">AVERAGEIF($A$4:$A$35,$V38,$D$4:$D$35)</f>
        <v>#DIV/0!</v>
      </c>
      <c r="Z38" t="e">
        <f t="array" aca="1" ref="Z38" ca="1">VAR(IF($A$4:$A$35=$V38,$D$4:$D$35))</f>
        <v>#NAME?</v>
      </c>
      <c r="AA38" t="e">
        <f ca="1">($W38-1)*Z38</f>
        <v>#NAME?</v>
      </c>
      <c r="AB38" t="e">
        <f ca="1">SQRT(Y$45/W38)</f>
        <v>#NAME?</v>
      </c>
      <c r="AC38" t="e">
        <f ca="1">Y38-AB38*TINV(AB$35,W38-1)</f>
        <v>#DIV/0!</v>
      </c>
      <c r="AD38" t="e">
        <f ca="1">Y38+AB38*TINV(AB$35,W38-1)</f>
        <v>#DIV/0!</v>
      </c>
    </row>
    <row r="39" spans="1:34" x14ac:dyDescent="0.35">
      <c r="V39" t="e">
        <f ca="1"/>
        <v>#NAME?</v>
      </c>
      <c r="W39">
        <f ca="1">COUNTIF($A$4:$A$35,$V39)</f>
        <v>0</v>
      </c>
      <c r="X39">
        <f ca="1">SUMIF($A$4:$A$35,$V39,$D$4:$D$35)</f>
        <v>0</v>
      </c>
      <c r="Y39" t="e">
        <f ca="1">AVERAGEIF($A$4:$A$35,$V39,$D$4:$D$35)</f>
        <v>#DIV/0!</v>
      </c>
      <c r="Z39" t="e">
        <f t="array" aca="1" ref="Z39" ca="1">VAR(IF($A$4:$A$35=$V39,$D$4:$D$35))</f>
        <v>#NAME?</v>
      </c>
      <c r="AA39" t="e">
        <f ca="1">($W39-1)*Z39</f>
        <v>#NAME?</v>
      </c>
      <c r="AB39" t="e">
        <f ca="1">SQRT(Y$45/W39)</f>
        <v>#NAME?</v>
      </c>
      <c r="AC39" t="e">
        <f ca="1">Y39-AB39*TINV(AB$35,W39-1)</f>
        <v>#DIV/0!</v>
      </c>
      <c r="AD39" t="e">
        <f ca="1">Y39+AB39*TINV(AB$35,W39-1)</f>
        <v>#DIV/0!</v>
      </c>
    </row>
    <row r="40" spans="1:34" x14ac:dyDescent="0.35">
      <c r="V40" t="e">
        <f ca="1"/>
        <v>#NAME?</v>
      </c>
      <c r="W40">
        <f ca="1">COUNTIF($A$4:$A$35,$V40)</f>
        <v>0</v>
      </c>
      <c r="X40">
        <f ca="1">SUMIF($A$4:$A$35,$V40,$D$4:$D$35)</f>
        <v>0</v>
      </c>
      <c r="Y40" t="e">
        <f ca="1">AVERAGEIF($A$4:$A$35,$V40,$D$4:$D$35)</f>
        <v>#DIV/0!</v>
      </c>
      <c r="Z40" t="e">
        <f t="array" aca="1" ref="Z40" ca="1">VAR(IF($A$4:$A$35=$V40,$D$4:$D$35))</f>
        <v>#NAME?</v>
      </c>
      <c r="AA40" t="e">
        <f ca="1">($W40-1)*Z40</f>
        <v>#NAME?</v>
      </c>
      <c r="AB40" t="e">
        <f ca="1">SQRT(Y$45/W40)</f>
        <v>#NAME?</v>
      </c>
      <c r="AC40" t="e">
        <f ca="1">Y40-AB40*TINV(AB$35,W40-1)</f>
        <v>#DIV/0!</v>
      </c>
      <c r="AD40" t="e">
        <f ca="1">Y40+AB40*TINV(AB$35,W40-1)</f>
        <v>#DIV/0!</v>
      </c>
    </row>
    <row r="41" spans="1:34" x14ac:dyDescent="0.35">
      <c r="V41" s="139"/>
      <c r="W41" s="139"/>
      <c r="X41" s="139"/>
      <c r="Y41" s="139"/>
      <c r="Z41" s="139"/>
      <c r="AA41" s="139"/>
      <c r="AB41" s="139"/>
      <c r="AC41" s="139"/>
      <c r="AD41" s="139"/>
    </row>
    <row r="42" spans="1:34" ht="15" thickBot="1" x14ac:dyDescent="0.4">
      <c r="V42" t="s">
        <v>183</v>
      </c>
    </row>
    <row r="43" spans="1:34" ht="15" thickTop="1" x14ac:dyDescent="0.35">
      <c r="V43" s="94" t="s">
        <v>184</v>
      </c>
      <c r="W43" s="94" t="s">
        <v>179</v>
      </c>
      <c r="X43" s="94" t="s">
        <v>62</v>
      </c>
      <c r="Y43" s="94" t="s">
        <v>185</v>
      </c>
      <c r="Z43" s="94" t="s">
        <v>54</v>
      </c>
      <c r="AA43" s="94" t="s">
        <v>186</v>
      </c>
      <c r="AB43" s="94" t="s">
        <v>187</v>
      </c>
      <c r="AC43" s="94" t="s">
        <v>188</v>
      </c>
      <c r="AD43" s="94" t="s">
        <v>189</v>
      </c>
    </row>
    <row r="44" spans="1:34" x14ac:dyDescent="0.35">
      <c r="V44" t="s">
        <v>190</v>
      </c>
      <c r="W44" t="e">
        <f ca="1">W46-W45</f>
        <v>#NAME?</v>
      </c>
      <c r="X44" t="e">
        <f ca="1">COUNTAU(A4:A35)-1</f>
        <v>#NAME?</v>
      </c>
      <c r="Y44" t="e">
        <f ca="1">W44/X44</f>
        <v>#NAME?</v>
      </c>
      <c r="Z44" t="e">
        <f ca="1">Y44/Y45</f>
        <v>#NAME?</v>
      </c>
      <c r="AA44" t="e">
        <f ca="1">FDIST(Z44,X44,X45)</f>
        <v>#NAME?</v>
      </c>
      <c r="AB44" t="e">
        <f ca="1">FINV(AB35,X44,X45)</f>
        <v>#NAME?</v>
      </c>
      <c r="AC44" t="e">
        <f ca="1">SQRT(DEVSQ(Y37:Y40)/(Y45*X44))</f>
        <v>#DIV/0!</v>
      </c>
      <c r="AD44" t="e">
        <f ca="1">(W46-X46*Y45)/(W46+Y45)</f>
        <v>#NAME?</v>
      </c>
    </row>
    <row r="45" spans="1:34" x14ac:dyDescent="0.35">
      <c r="V45" t="s">
        <v>191</v>
      </c>
      <c r="W45" t="e">
        <f ca="1">SUM(AA37:AA40)</f>
        <v>#NAME?</v>
      </c>
      <c r="X45" t="e">
        <f ca="1">X46-X44</f>
        <v>#NAME?</v>
      </c>
      <c r="Y45" t="e">
        <f ca="1">W45/X45</f>
        <v>#NAME?</v>
      </c>
    </row>
    <row r="46" spans="1:34" x14ac:dyDescent="0.35">
      <c r="V46" s="40" t="s">
        <v>168</v>
      </c>
      <c r="W46" s="40">
        <f>DEVSQ(D4:D35)</f>
        <v>144.78468750000002</v>
      </c>
      <c r="X46" s="40">
        <f>COUNT(D4:D35)-1</f>
        <v>31</v>
      </c>
      <c r="Y46" s="40">
        <f>W46/X46</f>
        <v>4.670473790322581</v>
      </c>
      <c r="Z46" s="40"/>
      <c r="AA46" s="40"/>
      <c r="AB46" s="40"/>
      <c r="AC46" s="40"/>
      <c r="AD46" s="40"/>
    </row>
  </sheetData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/>
  <dimension ref="A1:AO34"/>
  <sheetViews>
    <sheetView workbookViewId="0"/>
  </sheetViews>
  <sheetFormatPr defaultRowHeight="14.5" x14ac:dyDescent="0.35"/>
  <cols>
    <col min="6" max="6" width="14.7265625" customWidth="1"/>
  </cols>
  <sheetData>
    <row r="1" spans="1:41" x14ac:dyDescent="0.35">
      <c r="A1" s="42" t="s">
        <v>792</v>
      </c>
    </row>
    <row r="2" spans="1:41" x14ac:dyDescent="0.35">
      <c r="A2" s="42"/>
      <c r="F2" t="s">
        <v>793</v>
      </c>
      <c r="N2" t="s">
        <v>232</v>
      </c>
      <c r="Q2" t="s">
        <v>233</v>
      </c>
      <c r="T2" t="s">
        <v>235</v>
      </c>
      <c r="Z2" t="s">
        <v>108</v>
      </c>
      <c r="AD2" t="s">
        <v>794</v>
      </c>
    </row>
    <row r="3" spans="1:41" ht="15" thickBot="1" x14ac:dyDescent="0.4">
      <c r="A3" s="268" t="s">
        <v>795</v>
      </c>
      <c r="B3" s="268" t="s">
        <v>796</v>
      </c>
      <c r="C3" s="268" t="s">
        <v>797</v>
      </c>
      <c r="D3" s="268" t="s">
        <v>798</v>
      </c>
    </row>
    <row r="4" spans="1:41" ht="15" thickTop="1" x14ac:dyDescent="0.35">
      <c r="A4" s="32" t="s">
        <v>799</v>
      </c>
      <c r="B4" s="32" t="s">
        <v>800</v>
      </c>
      <c r="C4" s="388">
        <v>5</v>
      </c>
      <c r="D4" s="388">
        <v>3</v>
      </c>
      <c r="F4" s="94" t="s">
        <v>801</v>
      </c>
      <c r="G4" s="94" t="s">
        <v>148</v>
      </c>
      <c r="H4" s="94" t="s">
        <v>55</v>
      </c>
      <c r="I4" s="94" t="s">
        <v>56</v>
      </c>
      <c r="J4" s="94" t="s">
        <v>54</v>
      </c>
      <c r="K4" s="94" t="s">
        <v>65</v>
      </c>
      <c r="L4" s="94" t="s">
        <v>802</v>
      </c>
      <c r="N4" t="s">
        <v>803</v>
      </c>
      <c r="Q4" t="s">
        <v>804</v>
      </c>
      <c r="R4" t="s">
        <v>805</v>
      </c>
      <c r="T4" s="32" t="s">
        <v>228</v>
      </c>
      <c r="U4" s="32" t="s">
        <v>65</v>
      </c>
      <c r="W4" t="s">
        <v>227</v>
      </c>
      <c r="Z4" t="e">
        <f t="array" aca="1" ref="Z4:AA8" ca="1">MANOVA2_BOX(A4:D27,TRUE)</f>
        <v>#NAME?</v>
      </c>
      <c r="AA4" s="132" t="e">
        <f ca="1"/>
        <v>#NAME?</v>
      </c>
      <c r="AE4" s="32" t="str">
        <f t="array" ref="AE4:AF4">$C$3:$D$3</f>
        <v>kindness</v>
      </c>
      <c r="AF4" s="32" t="str">
        <v>optimism</v>
      </c>
      <c r="AG4" s="32" t="s">
        <v>100</v>
      </c>
      <c r="AI4" s="32" t="s">
        <v>222</v>
      </c>
      <c r="AK4" t="s">
        <v>806</v>
      </c>
      <c r="AN4" t="s">
        <v>194</v>
      </c>
      <c r="AO4" s="132" t="e">
        <f ca="1">MDETERM(AK9:AL10)/MDETERM(AK5:AL6+AK9:AL10)</f>
        <v>#NAME?</v>
      </c>
    </row>
    <row r="5" spans="1:41" x14ac:dyDescent="0.35">
      <c r="A5" s="32" t="s">
        <v>799</v>
      </c>
      <c r="B5" s="32" t="s">
        <v>800</v>
      </c>
      <c r="C5" s="388">
        <v>4</v>
      </c>
      <c r="D5" s="388">
        <v>6</v>
      </c>
      <c r="F5" t="s">
        <v>150</v>
      </c>
      <c r="G5" t="e">
        <f t="array" aca="1" ref="G5:L5" ca="1">TRANSPOSE(MANOVA2_PillaiRow(A4:D27))</f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N5" s="149" t="e">
        <f t="array" aca="1" ref="N5:O6" ca="1">MANOVA2_Tot(A4:D27)</f>
        <v>#NAME?</v>
      </c>
      <c r="O5" s="150" t="e">
        <f ca="1"/>
        <v>#NAME?</v>
      </c>
      <c r="Q5" s="149" t="e">
        <f t="array" aca="1" ref="Q5:R6" ca="1">Extract2Cov(A4:D27,Q4,R4)</f>
        <v>#NAME?</v>
      </c>
      <c r="R5" s="150" t="e">
        <f ca="1"/>
        <v>#NAME?</v>
      </c>
      <c r="T5" s="149" t="e">
        <f t="array" aca="1" ref="T5" ca="1">MMULT(C4:D4-$W$13:$X$13,MMULT($W$9:$X$10,TRANSPOSE(C4:D4-$W$13:$X$13)))</f>
        <v>#NAME?</v>
      </c>
      <c r="U5" s="150" t="e">
        <f ca="1">_xlfn.CHISQ.DIST.RT(T5,COUNT($C$4:$D$4))</f>
        <v>#NAME?</v>
      </c>
      <c r="V5" s="70" t="e">
        <f ca="1">IF(U5&lt;0.001,"*","")</f>
        <v>#NAME?</v>
      </c>
      <c r="W5" s="149" t="e">
        <f t="array" aca="1" ref="W5:X6" ca="1">COV(C4:D27)</f>
        <v>#NAME?</v>
      </c>
      <c r="X5" s="150" t="e">
        <f ca="1"/>
        <v>#NAME?</v>
      </c>
      <c r="Z5" t="e">
        <f ca="1"/>
        <v>#NAME?</v>
      </c>
      <c r="AA5" s="98" t="e">
        <f ca="1"/>
        <v>#NAME?</v>
      </c>
      <c r="AC5" t="s">
        <v>804</v>
      </c>
      <c r="AD5" t="s">
        <v>805</v>
      </c>
      <c r="AE5" s="149">
        <f>AVERAGEIFS(C$4:C$27,$A$4:$A$27,$AC5,$B$4:$B$27,$AD5)</f>
        <v>7.5</v>
      </c>
      <c r="AF5" s="150">
        <f>AVERAGEIFS(D$4:D$27,$A$4:$A$27,$AC5,$B$4:$B$27,$AD5)</f>
        <v>7</v>
      </c>
      <c r="AG5" s="132">
        <f>COUNTIFS($A$4:$A$27,AC5,$B$4:$B$27,AD5)</f>
        <v>4</v>
      </c>
      <c r="AI5" s="133"/>
      <c r="AK5" s="149">
        <f t="array" ref="AK5:AL6">MMULT(TRANSPOSE(AE14:AF14),AE14:AF14)/AG13</f>
        <v>2</v>
      </c>
      <c r="AL5" s="150">
        <v>10</v>
      </c>
      <c r="AN5" t="s">
        <v>223</v>
      </c>
      <c r="AO5" s="98">
        <f>COUNT($C$4:$C$27)</f>
        <v>24</v>
      </c>
    </row>
    <row r="6" spans="1:41" x14ac:dyDescent="0.35">
      <c r="A6" s="32" t="s">
        <v>799</v>
      </c>
      <c r="B6" s="32" t="s">
        <v>800</v>
      </c>
      <c r="C6" s="388">
        <v>3</v>
      </c>
      <c r="D6" s="388">
        <v>4</v>
      </c>
      <c r="F6" t="s">
        <v>151</v>
      </c>
      <c r="G6" t="e">
        <f t="array" aca="1" ref="G6:L6" ca="1">TRANSPOSE(MANOVA2_WilksRow(A4:D27))</f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N6" s="85" t="e">
        <f ca="1"/>
        <v>#NAME?</v>
      </c>
      <c r="O6" s="87" t="e">
        <f ca="1"/>
        <v>#NAME?</v>
      </c>
      <c r="Q6" s="85" t="e">
        <f ca="1"/>
        <v>#NAME?</v>
      </c>
      <c r="R6" s="87" t="e">
        <f ca="1"/>
        <v>#NAME?</v>
      </c>
      <c r="T6" s="83" t="e">
        <f t="array" aca="1" ref="T6" ca="1">MMULT(C5:D5-$W$13:$X$13,MMULT($W$9:$X$10,TRANSPOSE(C5:D5-$W$13:$X$13)))</f>
        <v>#NAME?</v>
      </c>
      <c r="U6" s="84" t="e">
        <f t="shared" ref="U6:U28" ca="1" si="0">_xlfn.CHISQ.DIST.RT(T6,COUNT($C$4:$D$4))</f>
        <v>#NAME?</v>
      </c>
      <c r="V6" s="70" t="e">
        <f t="shared" ref="V6:V28" ca="1" si="1">IF(U6&lt;0.001,"*","")</f>
        <v>#NAME?</v>
      </c>
      <c r="W6" s="85" t="e">
        <f ca="1"/>
        <v>#NAME?</v>
      </c>
      <c r="X6" s="87" t="e">
        <f ca="1"/>
        <v>#NAME?</v>
      </c>
      <c r="Z6" t="e">
        <f ca="1"/>
        <v>#NAME?</v>
      </c>
      <c r="AA6" s="98" t="e">
        <f ca="1"/>
        <v>#NAME?</v>
      </c>
      <c r="AC6" t="s">
        <v>804</v>
      </c>
      <c r="AD6" t="s">
        <v>807</v>
      </c>
      <c r="AE6" s="83">
        <f t="shared" ref="AE6:AF10" si="2">AVERAGEIFS(C$4:C$27,$A$4:$A$27,$AC6,$B$4:$B$27,$AD6)</f>
        <v>6.25</v>
      </c>
      <c r="AF6" s="84">
        <f t="shared" si="2"/>
        <v>7.75</v>
      </c>
      <c r="AG6" s="98">
        <f t="shared" ref="AG6:AG10" si="3">COUNTIFS($A$4:$A$27,AC6,$B$4:$B$27,AD6)</f>
        <v>4</v>
      </c>
      <c r="AI6" s="127">
        <v>1</v>
      </c>
      <c r="AK6" s="85">
        <v>10</v>
      </c>
      <c r="AL6" s="87">
        <v>50</v>
      </c>
      <c r="AN6" t="s">
        <v>224</v>
      </c>
      <c r="AO6" s="98">
        <f>COUNT($C$4:$D$4)</f>
        <v>2</v>
      </c>
    </row>
    <row r="7" spans="1:41" x14ac:dyDescent="0.35">
      <c r="A7" s="32" t="s">
        <v>799</v>
      </c>
      <c r="B7" s="32" t="s">
        <v>800</v>
      </c>
      <c r="C7" s="388">
        <v>2</v>
      </c>
      <c r="D7" s="388">
        <v>4</v>
      </c>
      <c r="F7" t="s">
        <v>152</v>
      </c>
      <c r="G7" t="e">
        <f t="array" aca="1" ref="G7:L7" ca="1">TRANSPOSE(MANOVA2_HotelRow(A4:D27))</f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T7" s="83" t="e">
        <f t="array" aca="1" ref="T7" ca="1">MMULT(C6:D6-$W$13:$X$13,MMULT($W$9:$X$10,TRANSPOSE(C6:D6-$W$13:$X$13)))</f>
        <v>#NAME?</v>
      </c>
      <c r="U7" s="84" t="e">
        <f t="shared" ca="1" si="0"/>
        <v>#NAME?</v>
      </c>
      <c r="V7" s="70" t="e">
        <f t="shared" ca="1" si="1"/>
        <v>#NAME?</v>
      </c>
      <c r="Z7" t="e">
        <f ca="1"/>
        <v>#NAME?</v>
      </c>
      <c r="AA7" s="98" t="e">
        <f ca="1"/>
        <v>#NAME?</v>
      </c>
      <c r="AC7" t="s">
        <v>804</v>
      </c>
      <c r="AD7" t="s">
        <v>800</v>
      </c>
      <c r="AE7" s="83">
        <f t="shared" si="2"/>
        <v>3.5</v>
      </c>
      <c r="AF7" s="84">
        <f t="shared" si="2"/>
        <v>3.25</v>
      </c>
      <c r="AG7" s="98">
        <f t="shared" si="3"/>
        <v>4</v>
      </c>
      <c r="AI7" s="127"/>
      <c r="AN7" t="s">
        <v>225</v>
      </c>
      <c r="AO7" s="98">
        <f>COUNT(AE5:AE10)</f>
        <v>6</v>
      </c>
    </row>
    <row r="8" spans="1:41" x14ac:dyDescent="0.35">
      <c r="A8" s="32" t="s">
        <v>799</v>
      </c>
      <c r="B8" s="32" t="s">
        <v>805</v>
      </c>
      <c r="C8" s="388">
        <v>4</v>
      </c>
      <c r="D8" s="388">
        <v>6</v>
      </c>
      <c r="F8" s="40" t="s">
        <v>153</v>
      </c>
      <c r="G8" s="40" t="e">
        <f ca="1">MANOVA2_RoyRow(A4:D27)</f>
        <v>#NAME?</v>
      </c>
      <c r="H8" s="40"/>
      <c r="I8" s="40"/>
      <c r="J8" s="40"/>
      <c r="K8" s="40"/>
      <c r="L8" s="40"/>
      <c r="N8" t="s">
        <v>808</v>
      </c>
      <c r="Q8" t="s">
        <v>804</v>
      </c>
      <c r="R8" t="s">
        <v>807</v>
      </c>
      <c r="T8" s="83" t="e">
        <f t="array" aca="1" ref="T8" ca="1">MMULT(C7:D7-$W$13:$X$13,MMULT($W$9:$X$10,TRANSPOSE(C7:D7-$W$13:$X$13)))</f>
        <v>#NAME?</v>
      </c>
      <c r="U8" s="84" t="e">
        <f t="shared" ca="1" si="0"/>
        <v>#NAME?</v>
      </c>
      <c r="V8" s="70" t="e">
        <f t="shared" ca="1" si="1"/>
        <v>#NAME?</v>
      </c>
      <c r="W8" t="s">
        <v>623</v>
      </c>
      <c r="Z8" t="e">
        <f ca="1"/>
        <v>#NAME?</v>
      </c>
      <c r="AA8" s="99" t="e">
        <f ca="1"/>
        <v>#NAME?</v>
      </c>
      <c r="AC8" t="s">
        <v>799</v>
      </c>
      <c r="AD8" t="s">
        <v>805</v>
      </c>
      <c r="AE8" s="83">
        <f t="shared" si="2"/>
        <v>4.25</v>
      </c>
      <c r="AF8" s="84">
        <f t="shared" si="2"/>
        <v>5.25</v>
      </c>
      <c r="AG8" s="98">
        <f t="shared" si="3"/>
        <v>4</v>
      </c>
      <c r="AI8" s="127"/>
      <c r="AK8" t="s">
        <v>809</v>
      </c>
      <c r="AN8" t="s">
        <v>55</v>
      </c>
      <c r="AO8" s="98">
        <f>AO6</f>
        <v>2</v>
      </c>
    </row>
    <row r="9" spans="1:41" ht="15" thickBot="1" x14ac:dyDescent="0.4">
      <c r="A9" s="32" t="s">
        <v>799</v>
      </c>
      <c r="B9" s="32" t="s">
        <v>805</v>
      </c>
      <c r="C9" s="388">
        <v>3</v>
      </c>
      <c r="D9" s="388">
        <v>6</v>
      </c>
      <c r="N9" s="149" t="e">
        <f t="array" aca="1" ref="N9:O10" ca="1">MANOVA2_Row(A4:D27)</f>
        <v>#NAME?</v>
      </c>
      <c r="O9" s="150" t="e">
        <f ca="1"/>
        <v>#NAME?</v>
      </c>
      <c r="Q9" s="149" t="e">
        <f t="array" aca="1" ref="Q9:R10" ca="1">Extract2Cov(A4:D27,Q8,R8)</f>
        <v>#NAME?</v>
      </c>
      <c r="R9" s="150" t="e">
        <f ca="1"/>
        <v>#NAME?</v>
      </c>
      <c r="T9" s="83" t="e">
        <f t="array" aca="1" ref="T9" ca="1">MMULT(C8:D8-$W$13:$X$13,MMULT($W$9:$X$10,TRANSPOSE(C8:D8-$W$13:$X$13)))</f>
        <v>#NAME?</v>
      </c>
      <c r="U9" s="84" t="e">
        <f t="shared" ca="1" si="0"/>
        <v>#NAME?</v>
      </c>
      <c r="V9" s="70" t="e">
        <f t="shared" ca="1" si="1"/>
        <v>#NAME?</v>
      </c>
      <c r="W9" s="149" t="e">
        <f t="array" aca="1" ref="W9:X10" ca="1">MINVERSE(W5:X6)</f>
        <v>#NAME?</v>
      </c>
      <c r="X9" s="150" t="e">
        <f ca="1"/>
        <v>#NAME?</v>
      </c>
      <c r="AC9" t="s">
        <v>799</v>
      </c>
      <c r="AD9" t="s">
        <v>807</v>
      </c>
      <c r="AE9" s="83">
        <f t="shared" si="2"/>
        <v>5.25</v>
      </c>
      <c r="AF9" s="84">
        <f t="shared" si="2"/>
        <v>2.75</v>
      </c>
      <c r="AG9" s="98">
        <f t="shared" si="3"/>
        <v>4</v>
      </c>
      <c r="AI9" s="127">
        <v>-1</v>
      </c>
      <c r="AK9" s="149" t="e">
        <f t="array" ref="AK9:AL10" ca="1">$N$21:$O$22</f>
        <v>#NAME?</v>
      </c>
      <c r="AL9" s="150" t="e">
        <f ca="1"/>
        <v>#NAME?</v>
      </c>
      <c r="AN9" t="s">
        <v>56</v>
      </c>
      <c r="AO9" s="98">
        <f>AO5-AO6-AO7+1</f>
        <v>17</v>
      </c>
    </row>
    <row r="10" spans="1:41" ht="15" thickTop="1" x14ac:dyDescent="0.35">
      <c r="A10" s="32" t="s">
        <v>799</v>
      </c>
      <c r="B10" s="32" t="s">
        <v>805</v>
      </c>
      <c r="C10" s="388">
        <v>5</v>
      </c>
      <c r="D10" s="388">
        <v>4</v>
      </c>
      <c r="F10" s="94" t="s">
        <v>810</v>
      </c>
      <c r="G10" s="94" t="s">
        <v>148</v>
      </c>
      <c r="H10" s="94" t="s">
        <v>55</v>
      </c>
      <c r="I10" s="94" t="s">
        <v>56</v>
      </c>
      <c r="J10" s="94" t="s">
        <v>54</v>
      </c>
      <c r="K10" s="94" t="s">
        <v>65</v>
      </c>
      <c r="L10" s="94" t="s">
        <v>802</v>
      </c>
      <c r="N10" s="85" t="e">
        <f ca="1"/>
        <v>#NAME?</v>
      </c>
      <c r="O10" s="87" t="e">
        <f ca="1"/>
        <v>#NAME?</v>
      </c>
      <c r="Q10" s="85" t="e">
        <f ca="1"/>
        <v>#NAME?</v>
      </c>
      <c r="R10" s="87" t="e">
        <f ca="1"/>
        <v>#NAME?</v>
      </c>
      <c r="T10" s="83" t="e">
        <f t="array" aca="1" ref="T10" ca="1">MMULT(C9:D9-$W$13:$X$13,MMULT($W$9:$X$10,TRANSPOSE(C9:D9-$W$13:$X$13)))</f>
        <v>#NAME?</v>
      </c>
      <c r="U10" s="84" t="e">
        <f t="shared" ca="1" si="0"/>
        <v>#NAME?</v>
      </c>
      <c r="V10" s="70" t="e">
        <f t="shared" ca="1" si="1"/>
        <v>#NAME?</v>
      </c>
      <c r="W10" s="85" t="e">
        <f ca="1"/>
        <v>#NAME?</v>
      </c>
      <c r="X10" s="87" t="e">
        <f ca="1"/>
        <v>#NAME?</v>
      </c>
      <c r="AC10" t="s">
        <v>799</v>
      </c>
      <c r="AD10" t="s">
        <v>800</v>
      </c>
      <c r="AE10" s="85">
        <f t="shared" si="2"/>
        <v>3.5</v>
      </c>
      <c r="AF10" s="87">
        <f t="shared" si="2"/>
        <v>4.25</v>
      </c>
      <c r="AG10" s="99">
        <f t="shared" si="3"/>
        <v>4</v>
      </c>
      <c r="AI10" s="128"/>
      <c r="AK10" s="85" t="e">
        <f ca="1"/>
        <v>#NAME?</v>
      </c>
      <c r="AL10" s="87" t="e">
        <f ca="1"/>
        <v>#NAME?</v>
      </c>
      <c r="AN10" t="s">
        <v>54</v>
      </c>
      <c r="AO10" s="98" t="e">
        <f ca="1">(1-AO4)/AO4*(AO9/AO8)</f>
        <v>#NAME?</v>
      </c>
    </row>
    <row r="11" spans="1:41" x14ac:dyDescent="0.35">
      <c r="A11" s="32" t="s">
        <v>799</v>
      </c>
      <c r="B11" s="32" t="s">
        <v>805</v>
      </c>
      <c r="C11" s="388">
        <v>5</v>
      </c>
      <c r="D11" s="388">
        <v>5</v>
      </c>
      <c r="F11" t="s">
        <v>150</v>
      </c>
      <c r="G11" t="e">
        <f t="array" aca="1" ref="G11:L11" ca="1">TRANSPOSE(MANOVA2_PillaiCol(A4:D27))</f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T11" s="83" t="e">
        <f t="array" aca="1" ref="T11" ca="1">MMULT(C10:D10-$W$13:$X$13,MMULT($W$9:$X$10,TRANSPOSE(C10:D10-$W$13:$X$13)))</f>
        <v>#NAME?</v>
      </c>
      <c r="U11" s="84" t="e">
        <f t="shared" ca="1" si="0"/>
        <v>#NAME?</v>
      </c>
      <c r="V11" s="70" t="e">
        <f t="shared" ca="1" si="1"/>
        <v>#NAME?</v>
      </c>
      <c r="AD11" t="s">
        <v>168</v>
      </c>
      <c r="AE11" s="389">
        <f>AVERAGE(C$4:C$27)</f>
        <v>5.041666666666667</v>
      </c>
      <c r="AF11" s="390">
        <f>AVERAGE(D$4:D$27)</f>
        <v>5.041666666666667</v>
      </c>
      <c r="AG11" s="137">
        <f>SUM(AG5:AG10)</f>
        <v>24</v>
      </c>
      <c r="AN11" t="s">
        <v>65</v>
      </c>
      <c r="AO11" s="98" t="e">
        <f ca="1">_xlfn.F.DIST.RT(AO10,AO8,AO9)</f>
        <v>#NAME?</v>
      </c>
    </row>
    <row r="12" spans="1:41" x14ac:dyDescent="0.35">
      <c r="A12" s="32" t="s">
        <v>799</v>
      </c>
      <c r="B12" s="32" t="s">
        <v>807</v>
      </c>
      <c r="C12" s="388">
        <v>7</v>
      </c>
      <c r="D12" s="388">
        <v>5</v>
      </c>
      <c r="F12" t="s">
        <v>151</v>
      </c>
      <c r="G12" t="e">
        <f t="array" aca="1" ref="G12:L12" ca="1">TRANSPOSE(MANOVA2_WilksCol(A4:D27))</f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N12" t="s">
        <v>811</v>
      </c>
      <c r="Q12" t="s">
        <v>804</v>
      </c>
      <c r="R12" t="s">
        <v>800</v>
      </c>
      <c r="T12" s="83" t="e">
        <f t="array" aca="1" ref="T12" ca="1">MMULT(C11:D11-$W$13:$X$13,MMULT($W$9:$X$10,TRANSPOSE(C11:D11-$W$13:$X$13)))</f>
        <v>#NAME?</v>
      </c>
      <c r="U12" s="84" t="e">
        <f t="shared" ca="1" si="0"/>
        <v>#NAME?</v>
      </c>
      <c r="V12" s="70" t="e">
        <f t="shared" ca="1" si="1"/>
        <v>#NAME?</v>
      </c>
      <c r="W12" t="s">
        <v>230</v>
      </c>
      <c r="AN12" t="s">
        <v>226</v>
      </c>
      <c r="AO12" s="99" t="e">
        <f ca="1">(AO5-AO7)*(1-AO4)*AG13/AO4</f>
        <v>#NAME?</v>
      </c>
    </row>
    <row r="13" spans="1:41" x14ac:dyDescent="0.35">
      <c r="A13" s="32" t="s">
        <v>799</v>
      </c>
      <c r="B13" s="32" t="s">
        <v>807</v>
      </c>
      <c r="C13" s="388">
        <v>4</v>
      </c>
      <c r="D13" s="388">
        <v>3</v>
      </c>
      <c r="F13" t="s">
        <v>152</v>
      </c>
      <c r="G13" t="e">
        <f t="array" aca="1" ref="G13:L13" ca="1">TRANSPOSE(MANOVA2_HotelCol(A4:D27))</f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N13" s="149" t="e">
        <f t="array" aca="1" ref="N13:O14" ca="1">MANOVA2_Col(A4:D27)</f>
        <v>#NAME?</v>
      </c>
      <c r="O13" s="150" t="e">
        <f ca="1"/>
        <v>#NAME?</v>
      </c>
      <c r="Q13" s="149" t="e">
        <f t="array" aca="1" ref="Q13:R14" ca="1">Extract2Cov(A4:D27,Q12,R12)</f>
        <v>#NAME?</v>
      </c>
      <c r="R13" s="150" t="e">
        <f ca="1"/>
        <v>#NAME?</v>
      </c>
      <c r="T13" s="83" t="e">
        <f t="array" aca="1" ref="T13" ca="1">MMULT(C12:D12-$W$13:$X$13,MMULT($W$9:$X$10,TRANSPOSE(C12:D12-$W$13:$X$13)))</f>
        <v>#NAME?</v>
      </c>
      <c r="U13" s="84" t="e">
        <f t="shared" ca="1" si="0"/>
        <v>#NAME?</v>
      </c>
      <c r="V13" s="70" t="e">
        <f t="shared" ca="1" si="1"/>
        <v>#NAME?</v>
      </c>
      <c r="W13" s="389">
        <f>AVERAGE(C4:C27)</f>
        <v>5.041666666666667</v>
      </c>
      <c r="X13" s="390">
        <f>AVERAGE(D4:D27)</f>
        <v>5.041666666666667</v>
      </c>
      <c r="AD13" t="s">
        <v>217</v>
      </c>
      <c r="AG13" s="137">
        <f>SUMPRODUCT(AI5:AI10^2/AG5:AG10)</f>
        <v>0.5</v>
      </c>
    </row>
    <row r="14" spans="1:41" x14ac:dyDescent="0.35">
      <c r="A14" s="32" t="s">
        <v>799</v>
      </c>
      <c r="B14" s="32" t="s">
        <v>807</v>
      </c>
      <c r="C14" s="388">
        <v>3</v>
      </c>
      <c r="D14" s="388">
        <v>1</v>
      </c>
      <c r="F14" s="40" t="s">
        <v>153</v>
      </c>
      <c r="G14" s="40" t="e">
        <f ca="1">MANOVA2_RoyCol(A4:D27)</f>
        <v>#NAME?</v>
      </c>
      <c r="H14" s="40"/>
      <c r="I14" s="40"/>
      <c r="J14" s="40"/>
      <c r="K14" s="40"/>
      <c r="L14" s="40"/>
      <c r="N14" s="85" t="e">
        <f ca="1"/>
        <v>#NAME?</v>
      </c>
      <c r="O14" s="87" t="e">
        <f ca="1"/>
        <v>#NAME?</v>
      </c>
      <c r="Q14" s="85" t="e">
        <f ca="1"/>
        <v>#NAME?</v>
      </c>
      <c r="R14" s="87" t="e">
        <f ca="1"/>
        <v>#NAME?</v>
      </c>
      <c r="T14" s="83" t="e">
        <f t="array" aca="1" ref="T14" ca="1">MMULT(C13:D13-$W$13:$X$13,MMULT($W$9:$X$10,TRANSPOSE(C13:D13-$W$13:$X$13)))</f>
        <v>#NAME?</v>
      </c>
      <c r="U14" s="84" t="e">
        <f t="shared" ca="1" si="0"/>
        <v>#NAME?</v>
      </c>
      <c r="V14" s="70" t="e">
        <f t="shared" ca="1" si="1"/>
        <v>#NAME?</v>
      </c>
      <c r="AD14" t="s">
        <v>48</v>
      </c>
      <c r="AE14" s="149">
        <f>SUMPRODUCT(AE5:AE10,$AI5:$AI10)</f>
        <v>1</v>
      </c>
      <c r="AF14" s="150">
        <f>SUMPRODUCT(AF5:AF10,$AI5:$AI10)</f>
        <v>5</v>
      </c>
    </row>
    <row r="15" spans="1:41" ht="15" thickBot="1" x14ac:dyDescent="0.4">
      <c r="A15" s="32" t="s">
        <v>799</v>
      </c>
      <c r="B15" s="32" t="s">
        <v>807</v>
      </c>
      <c r="C15" s="388">
        <v>7</v>
      </c>
      <c r="D15" s="388">
        <v>2</v>
      </c>
      <c r="T15" s="83" t="e">
        <f t="array" aca="1" ref="T15" ca="1">MMULT(C14:D14-$W$13:$X$13,MMULT($W$9:$X$10,TRANSPOSE(C14:D14-$W$13:$X$13)))</f>
        <v>#NAME?</v>
      </c>
      <c r="U15" s="84" t="e">
        <f t="shared" ca="1" si="0"/>
        <v>#NAME?</v>
      </c>
      <c r="V15" s="70" t="e">
        <f t="shared" ca="1" si="1"/>
        <v>#NAME?</v>
      </c>
      <c r="AD15" t="s">
        <v>219</v>
      </c>
      <c r="AE15" s="85" t="e">
        <f t="array" aca="1" ref="AE15:AF15" ca="1">SQRT(DIAG(AK9:AL10)*AG13/(AO5-AO7))</f>
        <v>#NAME?</v>
      </c>
      <c r="AF15" s="87" t="e">
        <f ca="1"/>
        <v>#NAME?</v>
      </c>
    </row>
    <row r="16" spans="1:41" ht="15" thickTop="1" x14ac:dyDescent="0.35">
      <c r="A16" s="32" t="s">
        <v>804</v>
      </c>
      <c r="B16" s="32" t="s">
        <v>800</v>
      </c>
      <c r="C16" s="388">
        <v>2</v>
      </c>
      <c r="D16" s="388">
        <v>3</v>
      </c>
      <c r="F16" s="94" t="s">
        <v>812</v>
      </c>
      <c r="G16" s="94" t="s">
        <v>148</v>
      </c>
      <c r="H16" s="94" t="s">
        <v>55</v>
      </c>
      <c r="I16" s="94" t="s">
        <v>56</v>
      </c>
      <c r="J16" s="94" t="s">
        <v>54</v>
      </c>
      <c r="K16" s="94" t="s">
        <v>65</v>
      </c>
      <c r="L16" s="94" t="s">
        <v>802</v>
      </c>
      <c r="N16" t="s">
        <v>813</v>
      </c>
      <c r="Q16" t="s">
        <v>799</v>
      </c>
      <c r="R16" t="s">
        <v>805</v>
      </c>
      <c r="T16" s="83" t="e">
        <f t="array" aca="1" ref="T16" ca="1">MMULT(C15:D15-$W$13:$X$13,MMULT($W$9:$X$10,TRANSPOSE(C15:D15-$W$13:$X$13)))</f>
        <v>#NAME?</v>
      </c>
      <c r="U16" s="84" t="e">
        <f t="shared" ca="1" si="0"/>
        <v>#NAME?</v>
      </c>
      <c r="V16" s="70" t="e">
        <f t="shared" ca="1" si="1"/>
        <v>#NAME?</v>
      </c>
    </row>
    <row r="17" spans="1:35" x14ac:dyDescent="0.35">
      <c r="A17" s="32" t="s">
        <v>804</v>
      </c>
      <c r="B17" s="32" t="s">
        <v>800</v>
      </c>
      <c r="C17" s="388">
        <v>3</v>
      </c>
      <c r="D17" s="388">
        <v>5</v>
      </c>
      <c r="F17" t="s">
        <v>150</v>
      </c>
      <c r="G17" t="e">
        <f t="array" aca="1" ref="G17:L17" ca="1">TRANSPOSE(MANOVA2_PillaiInt(A4:D27))</f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N17" s="149" t="e">
        <f t="array" ref="N17:O18" ca="1">N5:O6-N9:O10-N13:O14-N21:O22</f>
        <v>#NAME?</v>
      </c>
      <c r="O17" s="150" t="e">
        <f ca="1"/>
        <v>#NAME?</v>
      </c>
      <c r="Q17" s="149" t="e">
        <f t="array" aca="1" ref="Q17:R18" ca="1">Extract2Cov(A4:D27,Q16,R16)</f>
        <v>#NAME?</v>
      </c>
      <c r="R17" s="150" t="e">
        <f ca="1"/>
        <v>#NAME?</v>
      </c>
      <c r="T17" s="83" t="e">
        <f t="array" aca="1" ref="T17" ca="1">MMULT(C16:D16-$W$13:$X$13,MMULT($W$9:$X$10,TRANSPOSE(C16:D16-$W$13:$X$13)))</f>
        <v>#NAME?</v>
      </c>
      <c r="U17" s="84" t="e">
        <f t="shared" ca="1" si="0"/>
        <v>#NAME?</v>
      </c>
      <c r="V17" s="70" t="e">
        <f t="shared" ca="1" si="1"/>
        <v>#NAME?</v>
      </c>
      <c r="AD17" t="s">
        <v>69</v>
      </c>
    </row>
    <row r="18" spans="1:35" x14ac:dyDescent="0.35">
      <c r="A18" s="32" t="s">
        <v>804</v>
      </c>
      <c r="B18" s="32" t="s">
        <v>800</v>
      </c>
      <c r="C18" s="388">
        <v>5</v>
      </c>
      <c r="D18" s="388">
        <v>3</v>
      </c>
      <c r="F18" t="s">
        <v>151</v>
      </c>
      <c r="G18" t="e">
        <f t="array" aca="1" ref="G18:L18" ca="1">TRANSPOSE(MANOVA2_WilksInt(A4:D27))</f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N18" s="85" t="e">
        <f ca="1"/>
        <v>#NAME?</v>
      </c>
      <c r="O18" s="87" t="e">
        <f ca="1"/>
        <v>#NAME?</v>
      </c>
      <c r="Q18" s="85" t="e">
        <f ca="1"/>
        <v>#NAME?</v>
      </c>
      <c r="R18" s="87" t="e">
        <f ca="1"/>
        <v>#NAME?</v>
      </c>
      <c r="T18" s="83" t="e">
        <f t="array" aca="1" ref="T18" ca="1">MMULT(C17:D17-$W$13:$X$13,MMULT($W$9:$X$10,TRANSPOSE(C17:D17-$W$13:$X$13)))</f>
        <v>#NAME?</v>
      </c>
      <c r="U18" s="84" t="e">
        <f t="shared" ca="1" si="0"/>
        <v>#NAME?</v>
      </c>
      <c r="V18" s="70" t="e">
        <f t="shared" ca="1" si="1"/>
        <v>#NAME?</v>
      </c>
      <c r="AH18" t="s">
        <v>175</v>
      </c>
      <c r="AI18" s="132">
        <v>0.05</v>
      </c>
    </row>
    <row r="19" spans="1:35" x14ac:dyDescent="0.35">
      <c r="A19" s="32" t="s">
        <v>804</v>
      </c>
      <c r="B19" s="32" t="s">
        <v>800</v>
      </c>
      <c r="C19" s="388">
        <v>4</v>
      </c>
      <c r="D19" s="388">
        <v>2</v>
      </c>
      <c r="F19" t="s">
        <v>152</v>
      </c>
      <c r="G19" t="e">
        <f t="array" aca="1" ref="G19:L19" ca="1">TRANSPOSE(MANOVA2_HotelInt(A4:D27))</f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T19" s="83" t="e">
        <f t="array" aca="1" ref="T19" ca="1">MMULT(C18:D18-$W$13:$X$13,MMULT($W$9:$X$10,TRANSPOSE(C18:D18-$W$13:$X$13)))</f>
        <v>#NAME?</v>
      </c>
      <c r="U19" s="84" t="e">
        <f t="shared" ca="1" si="0"/>
        <v>#NAME?</v>
      </c>
      <c r="V19" s="70" t="e">
        <f t="shared" ca="1" si="1"/>
        <v>#NAME?</v>
      </c>
      <c r="AD19" t="s">
        <v>66</v>
      </c>
      <c r="AE19" s="149" t="e">
        <f ca="1">AE14-AE15*$AI20</f>
        <v>#NAME?</v>
      </c>
      <c r="AF19" s="150" t="e">
        <f ca="1">AF14-AF15*$AI20</f>
        <v>#NAME?</v>
      </c>
      <c r="AH19" t="s">
        <v>58</v>
      </c>
      <c r="AI19" s="98">
        <f>_xlfn.F.INV.RT(AI18,AO8,AO9)</f>
        <v>3.5915305684750827</v>
      </c>
    </row>
    <row r="20" spans="1:35" x14ac:dyDescent="0.35">
      <c r="A20" s="32" t="s">
        <v>804</v>
      </c>
      <c r="B20" s="32" t="s">
        <v>805</v>
      </c>
      <c r="C20" s="388">
        <v>9</v>
      </c>
      <c r="D20" s="388">
        <v>8</v>
      </c>
      <c r="F20" s="40" t="s">
        <v>153</v>
      </c>
      <c r="G20" s="40" t="e">
        <f ca="1">MANOVA2_RoyInt(A4:D27)</f>
        <v>#NAME?</v>
      </c>
      <c r="H20" s="40"/>
      <c r="I20" s="40"/>
      <c r="J20" s="40"/>
      <c r="K20" s="40"/>
      <c r="L20" s="40"/>
      <c r="N20" t="s">
        <v>809</v>
      </c>
      <c r="Q20" t="s">
        <v>799</v>
      </c>
      <c r="R20" t="s">
        <v>807</v>
      </c>
      <c r="T20" s="83" t="e">
        <f t="array" aca="1" ref="T20" ca="1">MMULT(C19:D19-$W$13:$X$13,MMULT($W$9:$X$10,TRANSPOSE(C19:D19-$W$13:$X$13)))</f>
        <v>#NAME?</v>
      </c>
      <c r="U20" s="84" t="e">
        <f t="shared" ca="1" si="0"/>
        <v>#NAME?</v>
      </c>
      <c r="V20" s="70" t="e">
        <f t="shared" ca="1" si="1"/>
        <v>#NAME?</v>
      </c>
      <c r="AD20" t="s">
        <v>67</v>
      </c>
      <c r="AE20" s="85" t="e">
        <f ca="1">AE14+AE15*$AI20</f>
        <v>#NAME?</v>
      </c>
      <c r="AF20" s="87" t="e">
        <f ca="1">AF14+AF15*$AI20</f>
        <v>#NAME?</v>
      </c>
      <c r="AH20" t="s">
        <v>113</v>
      </c>
      <c r="AI20" s="99">
        <f>SQRT(AO8*(AO5-AO7)*AI19/AO9)</f>
        <v>2.7578241686166391</v>
      </c>
    </row>
    <row r="21" spans="1:35" x14ac:dyDescent="0.35">
      <c r="A21" s="32" t="s">
        <v>804</v>
      </c>
      <c r="B21" s="32" t="s">
        <v>805</v>
      </c>
      <c r="C21" s="388">
        <v>6</v>
      </c>
      <c r="D21" s="388">
        <v>5</v>
      </c>
      <c r="N21" s="149" t="e">
        <f t="array" aca="1" ref="N21:O22" ca="1">MANOVA2_Res(A4:D27)</f>
        <v>#NAME?</v>
      </c>
      <c r="O21" s="150" t="e">
        <f ca="1"/>
        <v>#NAME?</v>
      </c>
      <c r="Q21" s="149" t="e">
        <f t="array" aca="1" ref="Q21:R22" ca="1">Extract2Cov(A4:D27,Q20,R20)</f>
        <v>#NAME?</v>
      </c>
      <c r="R21" s="150" t="e">
        <f ca="1"/>
        <v>#NAME?</v>
      </c>
      <c r="T21" s="83" t="e">
        <f t="array" aca="1" ref="T21" ca="1">MMULT(C20:D20-$W$13:$X$13,MMULT($W$9:$X$10,TRANSPOSE(C20:D20-$W$13:$X$13)))</f>
        <v>#NAME?</v>
      </c>
      <c r="U21" s="84" t="e">
        <f t="shared" ca="1" si="0"/>
        <v>#NAME?</v>
      </c>
      <c r="V21" s="70" t="e">
        <f t="shared" ca="1" si="1"/>
        <v>#NAME?</v>
      </c>
    </row>
    <row r="22" spans="1:35" x14ac:dyDescent="0.35">
      <c r="A22" s="32" t="s">
        <v>804</v>
      </c>
      <c r="B22" s="32" t="s">
        <v>805</v>
      </c>
      <c r="C22" s="388">
        <v>7</v>
      </c>
      <c r="D22" s="388">
        <v>6</v>
      </c>
      <c r="N22" s="85" t="e">
        <f ca="1"/>
        <v>#NAME?</v>
      </c>
      <c r="O22" s="87" t="e">
        <f ca="1"/>
        <v>#NAME?</v>
      </c>
      <c r="Q22" s="85" t="e">
        <f ca="1"/>
        <v>#NAME?</v>
      </c>
      <c r="R22" s="87" t="e">
        <f ca="1"/>
        <v>#NAME?</v>
      </c>
      <c r="T22" s="83" t="e">
        <f t="array" aca="1" ref="T22" ca="1">MMULT(C21:D21-$W$13:$X$13,MMULT($W$9:$X$10,TRANSPOSE(C21:D21-$W$13:$X$13)))</f>
        <v>#NAME?</v>
      </c>
      <c r="U22" s="84" t="e">
        <f t="shared" ca="1" si="0"/>
        <v>#NAME?</v>
      </c>
      <c r="V22" s="70" t="e">
        <f t="shared" ca="1" si="1"/>
        <v>#NAME?</v>
      </c>
      <c r="AD22" t="s">
        <v>221</v>
      </c>
    </row>
    <row r="23" spans="1:35" x14ac:dyDescent="0.35">
      <c r="A23" s="32" t="s">
        <v>804</v>
      </c>
      <c r="B23" s="32" t="s">
        <v>805</v>
      </c>
      <c r="C23" s="388">
        <v>8</v>
      </c>
      <c r="D23" s="388">
        <v>9</v>
      </c>
      <c r="T23" s="83" t="e">
        <f t="array" aca="1" ref="T23" ca="1">MMULT(C22:D22-$W$13:$X$13,MMULT($W$9:$X$10,TRANSPOSE(C22:D22-$W$13:$X$13)))</f>
        <v>#NAME?</v>
      </c>
      <c r="U23" s="84" t="e">
        <f t="shared" ca="1" si="0"/>
        <v>#NAME?</v>
      </c>
      <c r="V23" s="70" t="e">
        <f t="shared" ca="1" si="1"/>
        <v>#NAME?</v>
      </c>
      <c r="AH23" t="s">
        <v>175</v>
      </c>
      <c r="AI23" s="132">
        <f>AI18/2</f>
        <v>2.5000000000000001E-2</v>
      </c>
    </row>
    <row r="24" spans="1:35" x14ac:dyDescent="0.35">
      <c r="A24" s="32" t="s">
        <v>804</v>
      </c>
      <c r="B24" s="32" t="s">
        <v>807</v>
      </c>
      <c r="C24" s="388">
        <v>8</v>
      </c>
      <c r="D24" s="388">
        <v>9</v>
      </c>
      <c r="Q24" t="s">
        <v>799</v>
      </c>
      <c r="R24" t="s">
        <v>800</v>
      </c>
      <c r="T24" s="83" t="e">
        <f t="array" aca="1" ref="T24" ca="1">MMULT(C23:D23-$W$13:$X$13,MMULT($W$9:$X$10,TRANSPOSE(C23:D23-$W$13:$X$13)))</f>
        <v>#NAME?</v>
      </c>
      <c r="U24" s="84" t="e">
        <f t="shared" ca="1" si="0"/>
        <v>#NAME?</v>
      </c>
      <c r="V24" s="70" t="e">
        <f t="shared" ca="1" si="1"/>
        <v>#NAME?</v>
      </c>
      <c r="AD24" t="s">
        <v>66</v>
      </c>
      <c r="AE24" s="149" t="e">
        <f ca="1">AE14-AE15*$AI25</f>
        <v>#NAME?</v>
      </c>
      <c r="AF24" s="150" t="e">
        <f ca="1">AF14-AF15*$AI25</f>
        <v>#NAME?</v>
      </c>
      <c r="AH24" t="s">
        <v>62</v>
      </c>
      <c r="AI24" s="98">
        <f>AO5-AO7</f>
        <v>18</v>
      </c>
    </row>
    <row r="25" spans="1:35" x14ac:dyDescent="0.35">
      <c r="A25" s="32" t="s">
        <v>804</v>
      </c>
      <c r="B25" s="32" t="s">
        <v>807</v>
      </c>
      <c r="C25" s="388">
        <v>9</v>
      </c>
      <c r="D25" s="388">
        <v>8</v>
      </c>
      <c r="Q25" s="149" t="e">
        <f t="array" aca="1" ref="Q25:R26" ca="1">Extract2Cov(A4:D27,Q24,R24)</f>
        <v>#NAME?</v>
      </c>
      <c r="R25" s="150" t="e">
        <f ca="1"/>
        <v>#NAME?</v>
      </c>
      <c r="T25" s="83" t="e">
        <f t="array" aca="1" ref="T25" ca="1">MMULT(C24:D24-$W$13:$X$13,MMULT($W$9:$X$10,TRANSPOSE(C24:D24-$W$13:$X$13)))</f>
        <v>#NAME?</v>
      </c>
      <c r="U25" s="84" t="e">
        <f t="shared" ca="1" si="0"/>
        <v>#NAME?</v>
      </c>
      <c r="V25" s="70" t="e">
        <f t="shared" ca="1" si="1"/>
        <v>#NAME?</v>
      </c>
      <c r="AD25" t="s">
        <v>67</v>
      </c>
      <c r="AE25" s="85" t="e">
        <f ca="1">AE14+AE15*$AI25</f>
        <v>#NAME?</v>
      </c>
      <c r="AF25" s="87" t="e">
        <f ca="1">AF14+AF15*$AI25</f>
        <v>#NAME?</v>
      </c>
      <c r="AH25" t="s">
        <v>63</v>
      </c>
      <c r="AI25" s="99">
        <f>_xlfn.T.INV.2T(AI23,AI24)</f>
        <v>2.4450056165149427</v>
      </c>
    </row>
    <row r="26" spans="1:35" x14ac:dyDescent="0.35">
      <c r="A26" s="32" t="s">
        <v>804</v>
      </c>
      <c r="B26" s="32" t="s">
        <v>807</v>
      </c>
      <c r="C26" s="388">
        <v>3</v>
      </c>
      <c r="D26" s="388">
        <v>7</v>
      </c>
      <c r="Q26" s="85" t="e">
        <f ca="1"/>
        <v>#NAME?</v>
      </c>
      <c r="R26" s="87" t="e">
        <f ca="1"/>
        <v>#NAME?</v>
      </c>
      <c r="T26" s="83" t="e">
        <f t="array" aca="1" ref="T26" ca="1">MMULT(C25:D25-$W$13:$X$13,MMULT($W$9:$X$10,TRANSPOSE(C25:D25-$W$13:$X$13)))</f>
        <v>#NAME?</v>
      </c>
      <c r="U26" s="84" t="e">
        <f t="shared" ca="1" si="0"/>
        <v>#NAME?</v>
      </c>
      <c r="V26" s="70" t="e">
        <f t="shared" ca="1" si="1"/>
        <v>#NAME?</v>
      </c>
    </row>
    <row r="27" spans="1:35" x14ac:dyDescent="0.35">
      <c r="A27" s="74" t="s">
        <v>804</v>
      </c>
      <c r="B27" s="74" t="s">
        <v>807</v>
      </c>
      <c r="C27" s="391">
        <v>5</v>
      </c>
      <c r="D27" s="391">
        <v>7</v>
      </c>
      <c r="T27" s="83" t="e">
        <f t="array" aca="1" ref="T27" ca="1">MMULT(C26:D26-$W$13:$X$13,MMULT($W$9:$X$10,TRANSPOSE(C26:D26-$W$13:$X$13)))</f>
        <v>#NAME?</v>
      </c>
      <c r="U27" s="84" t="e">
        <f t="shared" ca="1" si="0"/>
        <v>#NAME?</v>
      </c>
      <c r="V27" s="70" t="e">
        <f t="shared" ca="1" si="1"/>
        <v>#NAME?</v>
      </c>
    </row>
    <row r="28" spans="1:35" x14ac:dyDescent="0.35">
      <c r="Q28" t="s">
        <v>157</v>
      </c>
      <c r="T28" s="85" t="e">
        <f t="array" aca="1" ref="T28" ca="1">MMULT(C27:D27-$W$13:$X$13,MMULT($W$9:$X$10,TRANSPOSE(C27:D27-$W$13:$X$13)))</f>
        <v>#NAME?</v>
      </c>
      <c r="U28" s="87" t="e">
        <f t="shared" ca="1" si="0"/>
        <v>#NAME?</v>
      </c>
      <c r="V28" s="70" t="e">
        <f t="shared" ca="1" si="1"/>
        <v>#NAME?</v>
      </c>
    </row>
    <row r="29" spans="1:35" x14ac:dyDescent="0.35">
      <c r="Q29" s="149" t="e">
        <f t="array" aca="1" ref="Q29:R30" ca="1">COV2Pooled(A4:D27)</f>
        <v>#NAME?</v>
      </c>
      <c r="R29" s="150" t="e">
        <f ca="1"/>
        <v>#NAME?</v>
      </c>
    </row>
    <row r="30" spans="1:35" x14ac:dyDescent="0.35">
      <c r="Q30" s="85" t="e">
        <f ca="1"/>
        <v>#NAME?</v>
      </c>
      <c r="R30" s="87" t="e">
        <f ca="1"/>
        <v>#NAME?</v>
      </c>
    </row>
    <row r="32" spans="1:35" x14ac:dyDescent="0.35">
      <c r="Q32" t="s">
        <v>231</v>
      </c>
    </row>
    <row r="33" spans="17:18" x14ac:dyDescent="0.35">
      <c r="Q33" s="149" t="e">
        <f t="array" aca="1" ref="Q33:R34" ca="1">CORR(C4:D27)</f>
        <v>#NAME?</v>
      </c>
      <c r="R33" s="150" t="e">
        <f ca="1"/>
        <v>#NAME?</v>
      </c>
    </row>
    <row r="34" spans="17:18" x14ac:dyDescent="0.35">
      <c r="Q34" s="85" t="e">
        <f ca="1"/>
        <v>#NAME?</v>
      </c>
      <c r="R34" s="87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78"/>
  <dimension ref="A1:I19"/>
  <sheetViews>
    <sheetView workbookViewId="0"/>
  </sheetViews>
  <sheetFormatPr defaultRowHeight="14.5" x14ac:dyDescent="0.35"/>
  <cols>
    <col min="3" max="3" width="2.81640625" customWidth="1"/>
    <col min="4" max="4" width="32.1796875" customWidth="1"/>
    <col min="8" max="8" width="3" customWidth="1"/>
    <col min="9" max="9" width="30.26953125" customWidth="1"/>
  </cols>
  <sheetData>
    <row r="1" spans="1:9" x14ac:dyDescent="0.35">
      <c r="A1" s="42" t="s">
        <v>820</v>
      </c>
    </row>
    <row r="3" spans="1:9" x14ac:dyDescent="0.35">
      <c r="A3" t="s">
        <v>202</v>
      </c>
      <c r="B3" s="146" t="e">
        <f ca="1">'Manova 1k'!G4</f>
        <v>#NAME?</v>
      </c>
      <c r="D3" t="e">
        <f ca="1">FTEXT(B3)</f>
        <v>#NAME?</v>
      </c>
      <c r="F3" s="71" t="s">
        <v>826</v>
      </c>
      <c r="G3" s="146">
        <v>0.1</v>
      </c>
    </row>
    <row r="4" spans="1:9" x14ac:dyDescent="0.35">
      <c r="A4" s="71" t="s">
        <v>825</v>
      </c>
      <c r="B4" s="49" t="e">
        <f ca="1">B3/(B8-B3)</f>
        <v>#NAME?</v>
      </c>
      <c r="D4" t="e">
        <f ca="1">FTEXT(B4)</f>
        <v>#NAME?</v>
      </c>
      <c r="F4" t="s">
        <v>823</v>
      </c>
      <c r="G4" s="49">
        <v>4</v>
      </c>
    </row>
    <row r="5" spans="1:9" x14ac:dyDescent="0.35">
      <c r="A5" s="71" t="s">
        <v>826</v>
      </c>
      <c r="B5" s="49" t="e">
        <f ca="1">B4/(1+B4)</f>
        <v>#NAME?</v>
      </c>
      <c r="D5" t="e">
        <f ca="1">FTEXT(B5)</f>
        <v>#NAME?</v>
      </c>
      <c r="F5" t="s">
        <v>824</v>
      </c>
      <c r="G5" s="49">
        <v>3</v>
      </c>
    </row>
    <row r="6" spans="1:9" x14ac:dyDescent="0.35">
      <c r="A6" t="s">
        <v>823</v>
      </c>
      <c r="B6" s="49">
        <f ca="1">COUNTA('Manova 1k'!V7:V10)</f>
        <v>4</v>
      </c>
      <c r="D6" t="e">
        <f ca="1">FTEXT(B6)</f>
        <v>#NAME?</v>
      </c>
      <c r="F6" s="71" t="s">
        <v>791</v>
      </c>
      <c r="G6" s="205">
        <v>0.95</v>
      </c>
    </row>
    <row r="7" spans="1:9" x14ac:dyDescent="0.35">
      <c r="A7" t="s">
        <v>824</v>
      </c>
      <c r="B7" s="49">
        <f>COUNTA('Manova 1k'!B3:D3)</f>
        <v>3</v>
      </c>
      <c r="D7" t="e">
        <f ca="1">FTEXT(B7)</f>
        <v>#NAME?</v>
      </c>
      <c r="F7" s="386" t="s">
        <v>52</v>
      </c>
      <c r="G7" s="49" t="e">
        <f ca="1">MANOVA_SIZE(G3,G5,G4,G6)</f>
        <v>#NAME?</v>
      </c>
      <c r="I7" t="e">
        <f ca="1">FTEXT(G7)</f>
        <v>#NAME?</v>
      </c>
    </row>
    <row r="8" spans="1:9" x14ac:dyDescent="0.35">
      <c r="A8" t="s">
        <v>61</v>
      </c>
      <c r="B8" s="49">
        <f ca="1">MIN(B7,B6-1)</f>
        <v>3</v>
      </c>
      <c r="D8" t="e">
        <f ca="1">FTEXT(B8)</f>
        <v>#NAME?</v>
      </c>
      <c r="F8" s="386" t="s">
        <v>828</v>
      </c>
      <c r="G8" s="52" t="e">
        <f ca="1">MANOVA_POWER(G3,G7,G5,G4)</f>
        <v>#NAME?</v>
      </c>
      <c r="I8" t="e">
        <f ca="1">FTEXT(G8)</f>
        <v>#NAME?</v>
      </c>
    </row>
    <row r="9" spans="1:9" x14ac:dyDescent="0.35">
      <c r="A9" t="s">
        <v>52</v>
      </c>
      <c r="B9" s="49">
        <f>COUNT('Manova 1k'!B4:B35)</f>
        <v>32</v>
      </c>
      <c r="D9" t="e">
        <f ca="1">FTEXT(B9)</f>
        <v>#NAME?</v>
      </c>
    </row>
    <row r="10" spans="1:9" x14ac:dyDescent="0.35">
      <c r="A10" t="s">
        <v>821</v>
      </c>
      <c r="B10" s="49" t="e">
        <f ca="1">B9*B8*B4</f>
        <v>#NAME?</v>
      </c>
      <c r="D10" t="e">
        <f ca="1">FTEXT(B10)</f>
        <v>#NAME?</v>
      </c>
    </row>
    <row r="11" spans="1:9" x14ac:dyDescent="0.35">
      <c r="A11" t="s">
        <v>55</v>
      </c>
      <c r="B11" s="49">
        <f ca="1">B7*(B6-1)</f>
        <v>9</v>
      </c>
      <c r="D11" t="e">
        <f ca="1">FTEXT(B11)</f>
        <v>#NAME?</v>
      </c>
    </row>
    <row r="12" spans="1:9" x14ac:dyDescent="0.35">
      <c r="A12" t="s">
        <v>56</v>
      </c>
      <c r="B12" s="49">
        <f ca="1">B8*(B9-B6-B7+B8)</f>
        <v>84</v>
      </c>
      <c r="D12" t="e">
        <f ca="1">FTEXT(B12)</f>
        <v>#NAME?</v>
      </c>
    </row>
    <row r="13" spans="1:9" x14ac:dyDescent="0.35">
      <c r="A13" s="71" t="s">
        <v>57</v>
      </c>
      <c r="B13" s="49">
        <v>0.05</v>
      </c>
    </row>
    <row r="14" spans="1:9" x14ac:dyDescent="0.35">
      <c r="A14" s="71" t="s">
        <v>827</v>
      </c>
      <c r="B14" s="49" t="e">
        <f ca="1">F_INV_RT(B13,B11,B12)</f>
        <v>#NAME?</v>
      </c>
      <c r="D14" t="e">
        <f ca="1">FTEXT(B14)</f>
        <v>#NAME?</v>
      </c>
    </row>
    <row r="15" spans="1:9" x14ac:dyDescent="0.35">
      <c r="A15" s="71" t="s">
        <v>791</v>
      </c>
      <c r="B15" s="52" t="e">
        <f ca="1">1-NF_DIST(B14,B11,B12,B10,TRUE)</f>
        <v>#NAME?</v>
      </c>
      <c r="D15" t="e">
        <f ca="1">FTEXT(B15)</f>
        <v>#NAME?</v>
      </c>
    </row>
    <row r="17" spans="1:4" x14ac:dyDescent="0.35">
      <c r="A17" s="71" t="s">
        <v>791</v>
      </c>
      <c r="B17" s="146" t="e">
        <f ca="1">MANOVA_POWER(B3,B9,B7,B6,3,B13)</f>
        <v>#NAME?</v>
      </c>
      <c r="D17" t="e">
        <f ca="1">FTEXT(B17)</f>
        <v>#NAME?</v>
      </c>
    </row>
    <row r="18" spans="1:4" x14ac:dyDescent="0.35">
      <c r="B18" s="49" t="e">
        <f ca="1">MANOVA_POWER(B4,B9,B7,B6,2,B13)</f>
        <v>#NAME?</v>
      </c>
      <c r="D18" t="e">
        <f ca="1">FTEXT(B18)</f>
        <v>#NAME?</v>
      </c>
    </row>
    <row r="19" spans="1:4" x14ac:dyDescent="0.35">
      <c r="B19" s="52" t="e">
        <f ca="1">MANOVA_POWER(B5,B9,B7,B6)</f>
        <v>#NAME?</v>
      </c>
      <c r="D19" t="e">
        <f ca="1">FTEXT(B19)</f>
        <v>#NAME?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7"/>
  <dimension ref="A1:I22"/>
  <sheetViews>
    <sheetView workbookViewId="0"/>
  </sheetViews>
  <sheetFormatPr defaultRowHeight="14.5" x14ac:dyDescent="0.35"/>
  <cols>
    <col min="1" max="1" width="9.81640625" customWidth="1"/>
    <col min="3" max="3" width="2.81640625" customWidth="1"/>
    <col min="4" max="4" width="31.81640625" customWidth="1"/>
    <col min="6" max="6" width="9.81640625" customWidth="1"/>
    <col min="8" max="8" width="3" customWidth="1"/>
    <col min="9" max="9" width="39.453125" customWidth="1"/>
  </cols>
  <sheetData>
    <row r="1" spans="1:9" x14ac:dyDescent="0.35">
      <c r="A1" s="42" t="s">
        <v>829</v>
      </c>
    </row>
    <row r="3" spans="1:9" x14ac:dyDescent="0.35">
      <c r="A3" t="s">
        <v>202</v>
      </c>
      <c r="B3" s="146" t="e">
        <f ca="1">Manova2!G17</f>
        <v>#NAME?</v>
      </c>
      <c r="D3" t="e">
        <f ca="1">FTEXT(B3)</f>
        <v>#NAME?</v>
      </c>
      <c r="F3" s="71" t="s">
        <v>826</v>
      </c>
      <c r="G3" s="146">
        <v>0.2</v>
      </c>
    </row>
    <row r="4" spans="1:9" x14ac:dyDescent="0.35">
      <c r="A4" s="71" t="s">
        <v>825</v>
      </c>
      <c r="B4" s="49" t="e">
        <f ca="1">B3/(B9-B3)</f>
        <v>#NAME?</v>
      </c>
      <c r="D4" t="e">
        <f ca="1">FTEXT(B4)</f>
        <v>#NAME?</v>
      </c>
      <c r="F4" t="s">
        <v>830</v>
      </c>
      <c r="G4" s="49">
        <v>2</v>
      </c>
    </row>
    <row r="5" spans="1:9" x14ac:dyDescent="0.35">
      <c r="A5" s="71" t="s">
        <v>826</v>
      </c>
      <c r="B5" s="49" t="e">
        <f ca="1">B4/(1+B4)</f>
        <v>#NAME?</v>
      </c>
      <c r="D5" t="e">
        <f ca="1">FTEXT(B5)</f>
        <v>#NAME?</v>
      </c>
      <c r="F5" t="s">
        <v>831</v>
      </c>
      <c r="G5" s="49">
        <v>3</v>
      </c>
    </row>
    <row r="6" spans="1:9" x14ac:dyDescent="0.35">
      <c r="A6" t="s">
        <v>830</v>
      </c>
      <c r="B6" s="49" t="e">
        <f ca="1">COUNTAU(Manova2!A4:A27)</f>
        <v>#NAME?</v>
      </c>
      <c r="D6" t="e">
        <f ca="1">FTEXT(B6)</f>
        <v>#NAME?</v>
      </c>
      <c r="F6" t="s">
        <v>824</v>
      </c>
      <c r="G6" s="49">
        <v>3</v>
      </c>
    </row>
    <row r="7" spans="1:9" x14ac:dyDescent="0.35">
      <c r="A7" t="s">
        <v>831</v>
      </c>
      <c r="B7" s="49" t="e">
        <f ca="1">COUNTAU(Manova2!B4:B27)</f>
        <v>#NAME?</v>
      </c>
      <c r="D7" t="e">
        <f ca="1">FTEXT(B7)</f>
        <v>#NAME?</v>
      </c>
      <c r="F7" s="71" t="s">
        <v>791</v>
      </c>
      <c r="G7" s="205">
        <v>0.95</v>
      </c>
    </row>
    <row r="8" spans="1:9" x14ac:dyDescent="0.35">
      <c r="A8" t="s">
        <v>824</v>
      </c>
      <c r="B8" s="49">
        <f>COUNTA(Manova2!C3:D3)</f>
        <v>2</v>
      </c>
      <c r="D8" t="e">
        <f ca="1">FTEXT(B8)</f>
        <v>#NAME?</v>
      </c>
      <c r="F8" s="386" t="s">
        <v>52</v>
      </c>
      <c r="G8" s="49" t="e">
        <f ca="1">MANOVA2Int_SIZE(G3,G6,G4,G5,G7)</f>
        <v>#NAME?</v>
      </c>
      <c r="I8" t="e">
        <f ca="1">FTEXT(G8)</f>
        <v>#NAME?</v>
      </c>
    </row>
    <row r="9" spans="1:9" x14ac:dyDescent="0.35">
      <c r="A9" t="s">
        <v>61</v>
      </c>
      <c r="B9" s="49" t="e">
        <f ca="1">MIN(B8,B12)</f>
        <v>#NAME?</v>
      </c>
      <c r="D9" t="e">
        <f ca="1">FTEXT(B9)</f>
        <v>#NAME?</v>
      </c>
      <c r="F9" s="386" t="s">
        <v>828</v>
      </c>
      <c r="G9" s="52" t="e">
        <f ca="1">MANOVA2Int_POWER(G3,G8,G6,G4,G5,G7)</f>
        <v>#NAME?</v>
      </c>
      <c r="I9" t="e">
        <f ca="1">FTEXT(G9)</f>
        <v>#NAME?</v>
      </c>
    </row>
    <row r="10" spans="1:9" x14ac:dyDescent="0.35">
      <c r="A10" t="s">
        <v>52</v>
      </c>
      <c r="B10" s="49">
        <f>COUNT(Manova2!C4:C27)</f>
        <v>24</v>
      </c>
      <c r="D10" t="e">
        <f ca="1">FTEXT(B10)</f>
        <v>#NAME?</v>
      </c>
    </row>
    <row r="11" spans="1:9" x14ac:dyDescent="0.35">
      <c r="A11" t="s">
        <v>821</v>
      </c>
      <c r="B11" s="49" t="e">
        <f ca="1">B10*B9*B4</f>
        <v>#NAME?</v>
      </c>
      <c r="D11" t="e">
        <f ca="1">FTEXT(B11)</f>
        <v>#NAME?</v>
      </c>
    </row>
    <row r="12" spans="1:9" x14ac:dyDescent="0.35">
      <c r="A12" t="s">
        <v>832</v>
      </c>
      <c r="B12" s="49" t="e">
        <f ca="1">(B6-1)*(B7-1)</f>
        <v>#NAME?</v>
      </c>
      <c r="D12" t="e">
        <f ca="1">FTEXT(B12)</f>
        <v>#NAME?</v>
      </c>
    </row>
    <row r="13" spans="1:9" x14ac:dyDescent="0.35">
      <c r="A13" t="s">
        <v>833</v>
      </c>
      <c r="B13" s="49" t="e">
        <f ca="1">B10*B12</f>
        <v>#NAME?</v>
      </c>
      <c r="D13" t="e">
        <f ca="1">FTEXT(B13)</f>
        <v>#NAME?</v>
      </c>
    </row>
    <row r="14" spans="1:9" x14ac:dyDescent="0.35">
      <c r="A14" t="s">
        <v>55</v>
      </c>
      <c r="B14" s="49" t="e">
        <f ca="1">B8*B12</f>
        <v>#NAME?</v>
      </c>
      <c r="D14" t="e">
        <f ca="1">FTEXT(B14)</f>
        <v>#NAME?</v>
      </c>
    </row>
    <row r="15" spans="1:9" x14ac:dyDescent="0.35">
      <c r="A15" t="s">
        <v>56</v>
      </c>
      <c r="B15" s="49" t="e">
        <f ca="1">B9*(B10-B6*B7-B8+B9)</f>
        <v>#NAME?</v>
      </c>
      <c r="D15" t="e">
        <f ca="1">FTEXT(B15)</f>
        <v>#NAME?</v>
      </c>
    </row>
    <row r="16" spans="1:9" x14ac:dyDescent="0.35">
      <c r="A16" s="71" t="s">
        <v>57</v>
      </c>
      <c r="B16" s="49">
        <v>0.05</v>
      </c>
    </row>
    <row r="17" spans="1:4" x14ac:dyDescent="0.35">
      <c r="A17" s="71" t="s">
        <v>827</v>
      </c>
      <c r="B17" s="49" t="e">
        <f ca="1">F_INV_RT(B16,B14,B15)</f>
        <v>#NAME?</v>
      </c>
      <c r="D17" t="e">
        <f ca="1">FTEXT(B17)</f>
        <v>#NAME?</v>
      </c>
    </row>
    <row r="18" spans="1:4" x14ac:dyDescent="0.35">
      <c r="A18" s="71" t="s">
        <v>791</v>
      </c>
      <c r="B18" s="52" t="e">
        <f ca="1">1-NF_DIST(B17,B14,B15,B11,TRUE)</f>
        <v>#NAME?</v>
      </c>
      <c r="D18" t="e">
        <f ca="1">FTEXT(B18)</f>
        <v>#NAME?</v>
      </c>
    </row>
    <row r="20" spans="1:4" x14ac:dyDescent="0.35">
      <c r="A20" s="71" t="s">
        <v>791</v>
      </c>
      <c r="B20" s="146" t="e">
        <f ca="1">MANOVA2Int_POWER(B3,B10,B8,B6,B7,3,B16)</f>
        <v>#NAME?</v>
      </c>
      <c r="D20" t="e">
        <f ca="1">FTEXT(B20)</f>
        <v>#NAME?</v>
      </c>
    </row>
    <row r="21" spans="1:4" x14ac:dyDescent="0.35">
      <c r="B21" s="49" t="e">
        <f ca="1">MANOVA2Int_POWER(B4,B10,B8,B6,B7,2,B16)</f>
        <v>#NAME?</v>
      </c>
      <c r="D21" t="e">
        <f ca="1">FTEXT(B21)</f>
        <v>#NAME?</v>
      </c>
    </row>
    <row r="22" spans="1:4" x14ac:dyDescent="0.35">
      <c r="B22" s="52" t="e">
        <f ca="1">MANOVA2Int_POWER(B5,B10,B8,B7,B6)</f>
        <v>#NAME?</v>
      </c>
      <c r="D22" t="e">
        <f ca="1">FTEXT(B22)</f>
        <v>#NAME?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81"/>
  <dimension ref="A1:W26"/>
  <sheetViews>
    <sheetView workbookViewId="0">
      <selection activeCell="B1" sqref="B1"/>
    </sheetView>
  </sheetViews>
  <sheetFormatPr defaultRowHeight="14.5" x14ac:dyDescent="0.35"/>
  <cols>
    <col min="1" max="1" width="3.26953125" customWidth="1"/>
    <col min="2" max="2" width="6.54296875" customWidth="1"/>
    <col min="6" max="6" width="5.54296875" customWidth="1"/>
    <col min="7" max="7" width="3.81640625" customWidth="1"/>
    <col min="8" max="23" width="7.26953125" customWidth="1"/>
  </cols>
  <sheetData>
    <row r="1" spans="1:23" x14ac:dyDescent="0.35">
      <c r="B1" s="42" t="s">
        <v>838</v>
      </c>
    </row>
    <row r="3" spans="1:23" x14ac:dyDescent="0.35">
      <c r="C3" s="32" t="s">
        <v>144</v>
      </c>
      <c r="D3" s="32" t="s">
        <v>145</v>
      </c>
      <c r="E3" s="32" t="s">
        <v>146</v>
      </c>
      <c r="H3" s="32">
        <v>1</v>
      </c>
      <c r="I3" s="32">
        <f>H3+1</f>
        <v>2</v>
      </c>
      <c r="J3" s="32">
        <f>I3+1</f>
        <v>3</v>
      </c>
      <c r="K3" s="32">
        <f t="shared" ref="K3:W3" si="0">J3+1</f>
        <v>4</v>
      </c>
      <c r="L3" s="32">
        <f t="shared" si="0"/>
        <v>5</v>
      </c>
      <c r="M3" s="32">
        <f t="shared" si="0"/>
        <v>6</v>
      </c>
      <c r="N3" s="32">
        <f t="shared" si="0"/>
        <v>7</v>
      </c>
      <c r="O3" s="32">
        <f t="shared" si="0"/>
        <v>8</v>
      </c>
      <c r="P3" s="32">
        <f t="shared" si="0"/>
        <v>9</v>
      </c>
      <c r="Q3" s="32">
        <f t="shared" si="0"/>
        <v>10</v>
      </c>
      <c r="R3" s="32">
        <f t="shared" si="0"/>
        <v>11</v>
      </c>
      <c r="S3" s="32">
        <f t="shared" si="0"/>
        <v>12</v>
      </c>
      <c r="T3" s="32">
        <f t="shared" si="0"/>
        <v>13</v>
      </c>
      <c r="U3" s="32">
        <f t="shared" si="0"/>
        <v>14</v>
      </c>
      <c r="V3" s="32">
        <f t="shared" si="0"/>
        <v>15</v>
      </c>
      <c r="W3" s="32">
        <f t="shared" si="0"/>
        <v>16</v>
      </c>
    </row>
    <row r="4" spans="1:23" x14ac:dyDescent="0.35">
      <c r="A4">
        <v>1</v>
      </c>
      <c r="B4" t="s">
        <v>158</v>
      </c>
      <c r="C4" s="398">
        <v>76.7</v>
      </c>
      <c r="D4" s="399">
        <v>29.5</v>
      </c>
      <c r="E4" s="400">
        <v>7.5</v>
      </c>
      <c r="G4">
        <v>1</v>
      </c>
      <c r="H4" s="138" t="str">
        <f>IF(H$3&gt;=$G4,"",(INDEX($C$4:$E$19,$G4,1)-INDEX($C$4:$E$19,H$3,1))^2+(INDEX($C$4:$E$19,$G4,2)-INDEX($C$4:$E$19,H$3,2))^2+(INDEX($C$4:$E$19,$G4,3)-INDEX($C$4:$E$19,H$3,3))^2)</f>
        <v/>
      </c>
      <c r="I4" s="139" t="str">
        <f t="shared" ref="I4:W19" si="1">IF(I$3&gt;=$G4,"",(INDEX($C$4:$E$19,$G4,1)-INDEX($C$4:$E$19,I$3,1))^2+(INDEX($C$4:$E$19,$G4,2)-INDEX($C$4:$E$19,I$3,2))^2+(INDEX($C$4:$E$19,$G4,3)-INDEX($C$4:$E$19,I$3,3))^2)</f>
        <v/>
      </c>
      <c r="J4" s="139" t="str">
        <f t="shared" si="1"/>
        <v/>
      </c>
      <c r="K4" s="140" t="str">
        <f t="shared" si="1"/>
        <v/>
      </c>
      <c r="L4" s="139" t="str">
        <f t="shared" si="1"/>
        <v/>
      </c>
      <c r="M4" s="139" t="str">
        <f t="shared" si="1"/>
        <v/>
      </c>
      <c r="N4" s="139" t="str">
        <f t="shared" si="1"/>
        <v/>
      </c>
      <c r="O4" s="139" t="str">
        <f t="shared" si="1"/>
        <v/>
      </c>
      <c r="P4" s="139" t="str">
        <f t="shared" si="1"/>
        <v/>
      </c>
      <c r="Q4" s="139" t="str">
        <f t="shared" si="1"/>
        <v/>
      </c>
      <c r="R4" s="139" t="str">
        <f t="shared" si="1"/>
        <v/>
      </c>
      <c r="S4" s="139" t="str">
        <f t="shared" si="1"/>
        <v/>
      </c>
      <c r="T4" s="139" t="str">
        <f t="shared" si="1"/>
        <v/>
      </c>
      <c r="U4" s="139" t="str">
        <f t="shared" si="1"/>
        <v/>
      </c>
      <c r="V4" s="139" t="str">
        <f t="shared" si="1"/>
        <v/>
      </c>
      <c r="W4" s="140" t="str">
        <f t="shared" si="1"/>
        <v/>
      </c>
    </row>
    <row r="5" spans="1:23" x14ac:dyDescent="0.35">
      <c r="A5">
        <f>A4+1</f>
        <v>2</v>
      </c>
      <c r="B5" t="s">
        <v>158</v>
      </c>
      <c r="C5" s="401">
        <v>60.5</v>
      </c>
      <c r="D5" s="402">
        <v>32.1</v>
      </c>
      <c r="E5" s="403">
        <v>6.3</v>
      </c>
      <c r="G5">
        <f>G4+1</f>
        <v>2</v>
      </c>
      <c r="H5" s="123">
        <f t="shared" ref="H5:H19" si="2">IF(H$3&gt;=$G5,"",(INDEX($C$4:$E$19,$G5,1)-INDEX($C$4:$E$19,H$3,1))^2+(INDEX($C$4:$E$19,$G5,2)-INDEX($C$4:$E$19,H$3,2))^2+(INDEX($C$4:$E$19,$G5,3)-INDEX($C$4:$E$19,H$3,3))^2)</f>
        <v>270.6400000000001</v>
      </c>
      <c r="I5" s="37" t="str">
        <f t="shared" si="1"/>
        <v/>
      </c>
      <c r="J5" s="37" t="str">
        <f t="shared" si="1"/>
        <v/>
      </c>
      <c r="K5" s="90" t="str">
        <f t="shared" si="1"/>
        <v/>
      </c>
      <c r="L5" s="37" t="str">
        <f t="shared" si="1"/>
        <v/>
      </c>
      <c r="M5" s="37" t="str">
        <f t="shared" si="1"/>
        <v/>
      </c>
      <c r="N5" s="37" t="str">
        <f t="shared" si="1"/>
        <v/>
      </c>
      <c r="O5" s="37" t="str">
        <f t="shared" si="1"/>
        <v/>
      </c>
      <c r="P5" s="37" t="str">
        <f t="shared" si="1"/>
        <v/>
      </c>
      <c r="Q5" s="37" t="str">
        <f t="shared" si="1"/>
        <v/>
      </c>
      <c r="R5" s="37" t="str">
        <f t="shared" si="1"/>
        <v/>
      </c>
      <c r="S5" s="37" t="str">
        <f t="shared" si="1"/>
        <v/>
      </c>
      <c r="T5" s="37" t="str">
        <f t="shared" si="1"/>
        <v/>
      </c>
      <c r="U5" s="37" t="str">
        <f t="shared" si="1"/>
        <v/>
      </c>
      <c r="V5" s="37" t="str">
        <f t="shared" si="1"/>
        <v/>
      </c>
      <c r="W5" s="90" t="str">
        <f t="shared" si="1"/>
        <v/>
      </c>
    </row>
    <row r="6" spans="1:23" x14ac:dyDescent="0.35">
      <c r="A6">
        <f t="shared" ref="A6:A19" si="3">A5+1</f>
        <v>3</v>
      </c>
      <c r="B6" t="s">
        <v>158</v>
      </c>
      <c r="C6" s="401">
        <v>96.1</v>
      </c>
      <c r="D6" s="402">
        <v>40.700000000000003</v>
      </c>
      <c r="E6" s="403">
        <v>4.2</v>
      </c>
      <c r="G6">
        <f t="shared" ref="G6:G19" si="4">G5+1</f>
        <v>3</v>
      </c>
      <c r="H6" s="123">
        <f t="shared" si="2"/>
        <v>512.68999999999971</v>
      </c>
      <c r="I6" s="37">
        <f t="shared" si="1"/>
        <v>1345.7299999999998</v>
      </c>
      <c r="J6" s="37" t="str">
        <f t="shared" si="1"/>
        <v/>
      </c>
      <c r="K6" s="90" t="str">
        <f t="shared" si="1"/>
        <v/>
      </c>
      <c r="L6" s="37" t="str">
        <f t="shared" si="1"/>
        <v/>
      </c>
      <c r="M6" s="37" t="str">
        <f t="shared" si="1"/>
        <v/>
      </c>
      <c r="N6" s="37" t="str">
        <f t="shared" si="1"/>
        <v/>
      </c>
      <c r="O6" s="37" t="str">
        <f t="shared" si="1"/>
        <v/>
      </c>
      <c r="P6" s="37" t="str">
        <f t="shared" si="1"/>
        <v/>
      </c>
      <c r="Q6" s="37" t="str">
        <f t="shared" si="1"/>
        <v/>
      </c>
      <c r="R6" s="37" t="str">
        <f t="shared" si="1"/>
        <v/>
      </c>
      <c r="S6" s="37" t="str">
        <f t="shared" si="1"/>
        <v/>
      </c>
      <c r="T6" s="37" t="str">
        <f t="shared" si="1"/>
        <v/>
      </c>
      <c r="U6" s="37" t="str">
        <f t="shared" si="1"/>
        <v/>
      </c>
      <c r="V6" s="37" t="str">
        <f t="shared" si="1"/>
        <v/>
      </c>
      <c r="W6" s="90" t="str">
        <f t="shared" si="1"/>
        <v/>
      </c>
    </row>
    <row r="7" spans="1:23" x14ac:dyDescent="0.35">
      <c r="A7">
        <f t="shared" si="3"/>
        <v>4</v>
      </c>
      <c r="B7" t="s">
        <v>158</v>
      </c>
      <c r="C7" s="401">
        <v>88.1</v>
      </c>
      <c r="D7" s="402">
        <v>45.1</v>
      </c>
      <c r="E7" s="403">
        <v>4.9000000000000004</v>
      </c>
      <c r="G7">
        <f t="shared" si="4"/>
        <v>4</v>
      </c>
      <c r="H7" s="39">
        <f t="shared" si="2"/>
        <v>380.07999999999981</v>
      </c>
      <c r="I7" s="40">
        <f t="shared" si="1"/>
        <v>932.71999999999969</v>
      </c>
      <c r="J7" s="40">
        <f t="shared" si="1"/>
        <v>83.84999999999998</v>
      </c>
      <c r="K7" s="41" t="str">
        <f t="shared" si="1"/>
        <v/>
      </c>
      <c r="L7" s="37" t="str">
        <f t="shared" si="1"/>
        <v/>
      </c>
      <c r="M7" s="37" t="str">
        <f t="shared" si="1"/>
        <v/>
      </c>
      <c r="N7" s="37" t="str">
        <f t="shared" si="1"/>
        <v/>
      </c>
      <c r="O7" s="37" t="str">
        <f t="shared" si="1"/>
        <v/>
      </c>
      <c r="P7" s="37" t="str">
        <f t="shared" si="1"/>
        <v/>
      </c>
      <c r="Q7" s="37" t="str">
        <f t="shared" si="1"/>
        <v/>
      </c>
      <c r="R7" s="37" t="str">
        <f t="shared" si="1"/>
        <v/>
      </c>
      <c r="S7" s="37" t="str">
        <f t="shared" si="1"/>
        <v/>
      </c>
      <c r="T7" s="37" t="str">
        <f t="shared" si="1"/>
        <v/>
      </c>
      <c r="U7" s="37" t="str">
        <f t="shared" si="1"/>
        <v/>
      </c>
      <c r="V7" s="37" t="str">
        <f t="shared" si="1"/>
        <v/>
      </c>
      <c r="W7" s="90" t="str">
        <f t="shared" si="1"/>
        <v/>
      </c>
    </row>
    <row r="8" spans="1:23" x14ac:dyDescent="0.35">
      <c r="A8">
        <f t="shared" si="3"/>
        <v>5</v>
      </c>
      <c r="B8" t="s">
        <v>159</v>
      </c>
      <c r="C8" s="401">
        <v>66.900000000000006</v>
      </c>
      <c r="D8" s="402">
        <v>23.9</v>
      </c>
      <c r="E8" s="403">
        <v>1.1000000000000001</v>
      </c>
      <c r="G8">
        <f t="shared" si="4"/>
        <v>5</v>
      </c>
      <c r="H8" s="123">
        <f t="shared" si="2"/>
        <v>168.35999999999996</v>
      </c>
      <c r="I8" s="37">
        <f t="shared" si="1"/>
        <v>135.24000000000012</v>
      </c>
      <c r="J8" s="37">
        <f t="shared" si="1"/>
        <v>1144.4899999999993</v>
      </c>
      <c r="K8" s="37">
        <f t="shared" si="1"/>
        <v>913.31999999999971</v>
      </c>
      <c r="L8" s="138" t="str">
        <f t="shared" si="1"/>
        <v/>
      </c>
      <c r="M8" s="139" t="str">
        <f t="shared" si="1"/>
        <v/>
      </c>
      <c r="N8" s="139" t="str">
        <f t="shared" si="1"/>
        <v/>
      </c>
      <c r="O8" s="140" t="str">
        <f t="shared" si="1"/>
        <v/>
      </c>
      <c r="P8" s="37" t="str">
        <f t="shared" si="1"/>
        <v/>
      </c>
      <c r="Q8" s="37" t="str">
        <f t="shared" si="1"/>
        <v/>
      </c>
      <c r="R8" s="37" t="str">
        <f t="shared" si="1"/>
        <v/>
      </c>
      <c r="S8" s="37" t="str">
        <f t="shared" si="1"/>
        <v/>
      </c>
      <c r="T8" s="37" t="str">
        <f t="shared" si="1"/>
        <v/>
      </c>
      <c r="U8" s="37" t="str">
        <f t="shared" si="1"/>
        <v/>
      </c>
      <c r="V8" s="37" t="str">
        <f t="shared" si="1"/>
        <v/>
      </c>
      <c r="W8" s="90" t="str">
        <f t="shared" si="1"/>
        <v/>
      </c>
    </row>
    <row r="9" spans="1:23" x14ac:dyDescent="0.35">
      <c r="A9">
        <f t="shared" si="3"/>
        <v>6</v>
      </c>
      <c r="B9" t="s">
        <v>159</v>
      </c>
      <c r="C9" s="401">
        <v>55.4</v>
      </c>
      <c r="D9" s="402">
        <v>29.1</v>
      </c>
      <c r="E9" s="403">
        <v>5</v>
      </c>
      <c r="G9">
        <f t="shared" si="4"/>
        <v>6</v>
      </c>
      <c r="H9" s="123">
        <f t="shared" si="2"/>
        <v>460.10000000000019</v>
      </c>
      <c r="I9" s="37">
        <f t="shared" si="1"/>
        <v>36.700000000000017</v>
      </c>
      <c r="J9" s="37">
        <f t="shared" si="1"/>
        <v>1791.6899999999996</v>
      </c>
      <c r="K9" s="37">
        <f t="shared" si="1"/>
        <v>1325.2999999999997</v>
      </c>
      <c r="L9" s="123">
        <f t="shared" si="1"/>
        <v>174.5000000000002</v>
      </c>
      <c r="M9" s="37" t="str">
        <f t="shared" si="1"/>
        <v/>
      </c>
      <c r="N9" s="37" t="str">
        <f t="shared" si="1"/>
        <v/>
      </c>
      <c r="O9" s="90" t="str">
        <f t="shared" si="1"/>
        <v/>
      </c>
      <c r="P9" s="37" t="str">
        <f t="shared" si="1"/>
        <v/>
      </c>
      <c r="Q9" s="37" t="str">
        <f t="shared" si="1"/>
        <v/>
      </c>
      <c r="R9" s="37" t="str">
        <f t="shared" si="1"/>
        <v/>
      </c>
      <c r="S9" s="37" t="str">
        <f t="shared" si="1"/>
        <v/>
      </c>
      <c r="T9" s="37" t="str">
        <f t="shared" si="1"/>
        <v/>
      </c>
      <c r="U9" s="37" t="str">
        <f t="shared" si="1"/>
        <v/>
      </c>
      <c r="V9" s="37" t="str">
        <f t="shared" si="1"/>
        <v/>
      </c>
      <c r="W9" s="90" t="str">
        <f t="shared" si="1"/>
        <v/>
      </c>
    </row>
    <row r="10" spans="1:23" x14ac:dyDescent="0.35">
      <c r="A10">
        <f t="shared" si="3"/>
        <v>7</v>
      </c>
      <c r="B10" t="s">
        <v>159</v>
      </c>
      <c r="C10" s="401">
        <v>50.5</v>
      </c>
      <c r="D10" s="402">
        <v>18</v>
      </c>
      <c r="E10" s="403">
        <v>4.8</v>
      </c>
      <c r="G10">
        <f t="shared" si="4"/>
        <v>7</v>
      </c>
      <c r="H10" s="123">
        <f t="shared" si="2"/>
        <v>825.98000000000013</v>
      </c>
      <c r="I10" s="37">
        <f t="shared" si="1"/>
        <v>301.06000000000006</v>
      </c>
      <c r="J10" s="37">
        <f t="shared" si="1"/>
        <v>2595.0099999999998</v>
      </c>
      <c r="K10" s="37">
        <f t="shared" si="1"/>
        <v>2148.1799999999998</v>
      </c>
      <c r="L10" s="123">
        <f t="shared" si="1"/>
        <v>317.46000000000021</v>
      </c>
      <c r="M10" s="37">
        <f t="shared" si="1"/>
        <v>147.26000000000002</v>
      </c>
      <c r="N10" s="37" t="str">
        <f t="shared" si="1"/>
        <v/>
      </c>
      <c r="O10" s="90" t="str">
        <f t="shared" si="1"/>
        <v/>
      </c>
      <c r="P10" s="37" t="str">
        <f t="shared" si="1"/>
        <v/>
      </c>
      <c r="Q10" s="37" t="str">
        <f t="shared" si="1"/>
        <v/>
      </c>
      <c r="R10" s="37" t="str">
        <f t="shared" si="1"/>
        <v/>
      </c>
      <c r="S10" s="37" t="str">
        <f t="shared" si="1"/>
        <v/>
      </c>
      <c r="T10" s="37" t="str">
        <f t="shared" si="1"/>
        <v/>
      </c>
      <c r="U10" s="37" t="str">
        <f t="shared" si="1"/>
        <v/>
      </c>
      <c r="V10" s="37" t="str">
        <f t="shared" si="1"/>
        <v/>
      </c>
      <c r="W10" s="90" t="str">
        <f t="shared" si="1"/>
        <v/>
      </c>
    </row>
    <row r="11" spans="1:23" x14ac:dyDescent="0.35">
      <c r="A11">
        <f t="shared" si="3"/>
        <v>8</v>
      </c>
      <c r="B11" t="s">
        <v>159</v>
      </c>
      <c r="C11" s="401">
        <v>64.099999999999994</v>
      </c>
      <c r="D11" s="402">
        <v>14.5</v>
      </c>
      <c r="E11" s="403">
        <v>3.7</v>
      </c>
      <c r="G11">
        <f t="shared" si="4"/>
        <v>8</v>
      </c>
      <c r="H11" s="123">
        <f t="shared" si="2"/>
        <v>398.20000000000022</v>
      </c>
      <c r="I11" s="37">
        <f t="shared" si="1"/>
        <v>329.48</v>
      </c>
      <c r="J11" s="37">
        <f t="shared" si="1"/>
        <v>1710.69</v>
      </c>
      <c r="K11" s="37">
        <f t="shared" si="1"/>
        <v>1513.8000000000002</v>
      </c>
      <c r="L11" s="39">
        <f t="shared" si="1"/>
        <v>102.96000000000004</v>
      </c>
      <c r="M11" s="40">
        <f t="shared" si="1"/>
        <v>290.53999999999996</v>
      </c>
      <c r="N11" s="40">
        <f t="shared" si="1"/>
        <v>198.41999999999985</v>
      </c>
      <c r="O11" s="41" t="str">
        <f t="shared" si="1"/>
        <v/>
      </c>
      <c r="P11" s="37" t="str">
        <f t="shared" si="1"/>
        <v/>
      </c>
      <c r="Q11" s="37" t="str">
        <f t="shared" si="1"/>
        <v/>
      </c>
      <c r="R11" s="37" t="str">
        <f t="shared" si="1"/>
        <v/>
      </c>
      <c r="S11" s="37" t="str">
        <f t="shared" si="1"/>
        <v/>
      </c>
      <c r="T11" s="37" t="str">
        <f t="shared" si="1"/>
        <v/>
      </c>
      <c r="U11" s="37" t="str">
        <f t="shared" si="1"/>
        <v/>
      </c>
      <c r="V11" s="37" t="str">
        <f t="shared" si="1"/>
        <v/>
      </c>
      <c r="W11" s="90" t="str">
        <f t="shared" si="1"/>
        <v/>
      </c>
    </row>
    <row r="12" spans="1:23" x14ac:dyDescent="0.35">
      <c r="A12">
        <f t="shared" si="3"/>
        <v>9</v>
      </c>
      <c r="B12" t="s">
        <v>161</v>
      </c>
      <c r="C12" s="401">
        <v>62.8</v>
      </c>
      <c r="D12" s="402">
        <v>25.9</v>
      </c>
      <c r="E12" s="403">
        <v>2.9</v>
      </c>
      <c r="G12">
        <f t="shared" si="4"/>
        <v>9</v>
      </c>
      <c r="H12" s="123">
        <f t="shared" si="2"/>
        <v>227.33000000000015</v>
      </c>
      <c r="I12" s="37">
        <f t="shared" si="1"/>
        <v>55.29000000000002</v>
      </c>
      <c r="J12" s="37">
        <f t="shared" si="1"/>
        <v>1329.6200000000001</v>
      </c>
      <c r="K12" s="37">
        <f t="shared" si="1"/>
        <v>1012.7299999999999</v>
      </c>
      <c r="L12" s="37">
        <f t="shared" si="1"/>
        <v>24.050000000000068</v>
      </c>
      <c r="M12" s="37">
        <f t="shared" si="1"/>
        <v>69.41</v>
      </c>
      <c r="N12" s="37">
        <f t="shared" si="1"/>
        <v>217.30999999999992</v>
      </c>
      <c r="O12" s="37">
        <f t="shared" si="1"/>
        <v>132.28999999999996</v>
      </c>
      <c r="P12" s="138" t="str">
        <f t="shared" si="1"/>
        <v/>
      </c>
      <c r="Q12" s="139" t="str">
        <f t="shared" si="1"/>
        <v/>
      </c>
      <c r="R12" s="139" t="str">
        <f t="shared" si="1"/>
        <v/>
      </c>
      <c r="S12" s="140" t="str">
        <f t="shared" si="1"/>
        <v/>
      </c>
      <c r="T12" s="37" t="str">
        <f t="shared" si="1"/>
        <v/>
      </c>
      <c r="U12" s="37" t="str">
        <f t="shared" si="1"/>
        <v/>
      </c>
      <c r="V12" s="37" t="str">
        <f t="shared" si="1"/>
        <v/>
      </c>
      <c r="W12" s="90" t="str">
        <f t="shared" si="1"/>
        <v/>
      </c>
    </row>
    <row r="13" spans="1:23" x14ac:dyDescent="0.35">
      <c r="A13">
        <f t="shared" si="3"/>
        <v>10</v>
      </c>
      <c r="B13" t="s">
        <v>161</v>
      </c>
      <c r="C13" s="401">
        <v>45</v>
      </c>
      <c r="D13" s="402">
        <v>15.9</v>
      </c>
      <c r="E13" s="403">
        <v>1.2</v>
      </c>
      <c r="G13">
        <f t="shared" si="4"/>
        <v>10</v>
      </c>
      <c r="H13" s="123">
        <f t="shared" si="2"/>
        <v>1229.5400000000002</v>
      </c>
      <c r="I13" s="37">
        <f t="shared" si="1"/>
        <v>528.70000000000016</v>
      </c>
      <c r="J13" s="37">
        <f t="shared" si="1"/>
        <v>3235.25</v>
      </c>
      <c r="K13" s="37">
        <f t="shared" si="1"/>
        <v>2723.9399999999996</v>
      </c>
      <c r="L13" s="37">
        <f t="shared" si="1"/>
        <v>543.62000000000023</v>
      </c>
      <c r="M13" s="37">
        <f t="shared" si="1"/>
        <v>296.83999999999997</v>
      </c>
      <c r="N13" s="37">
        <f t="shared" si="1"/>
        <v>47.61999999999999</v>
      </c>
      <c r="O13" s="37">
        <f t="shared" si="1"/>
        <v>373.01999999999975</v>
      </c>
      <c r="P13" s="123">
        <f t="shared" si="1"/>
        <v>419.7299999999999</v>
      </c>
      <c r="Q13" s="37" t="str">
        <f t="shared" si="1"/>
        <v/>
      </c>
      <c r="R13" s="37" t="str">
        <f t="shared" si="1"/>
        <v/>
      </c>
      <c r="S13" s="90" t="str">
        <f t="shared" si="1"/>
        <v/>
      </c>
      <c r="T13" s="37" t="str">
        <f t="shared" si="1"/>
        <v/>
      </c>
      <c r="U13" s="37" t="str">
        <f t="shared" si="1"/>
        <v/>
      </c>
      <c r="V13" s="37" t="str">
        <f t="shared" si="1"/>
        <v/>
      </c>
      <c r="W13" s="90" t="str">
        <f t="shared" si="1"/>
        <v/>
      </c>
    </row>
    <row r="14" spans="1:23" x14ac:dyDescent="0.35">
      <c r="A14">
        <f t="shared" si="3"/>
        <v>11</v>
      </c>
      <c r="B14" t="s">
        <v>161</v>
      </c>
      <c r="C14" s="401">
        <v>47.8</v>
      </c>
      <c r="D14" s="402">
        <v>36.1</v>
      </c>
      <c r="E14" s="403">
        <v>4.0999999999999996</v>
      </c>
      <c r="G14">
        <f t="shared" si="4"/>
        <v>11</v>
      </c>
      <c r="H14" s="123">
        <f t="shared" si="2"/>
        <v>890.33000000000038</v>
      </c>
      <c r="I14" s="37">
        <f t="shared" si="1"/>
        <v>182.13000000000008</v>
      </c>
      <c r="J14" s="37">
        <f t="shared" si="1"/>
        <v>2354.06</v>
      </c>
      <c r="K14" s="37">
        <f t="shared" si="1"/>
        <v>1705.7299999999998</v>
      </c>
      <c r="L14" s="37">
        <f t="shared" si="1"/>
        <v>522.65000000000043</v>
      </c>
      <c r="M14" s="37">
        <f t="shared" si="1"/>
        <v>107.57000000000002</v>
      </c>
      <c r="N14" s="37">
        <f t="shared" si="1"/>
        <v>335.3900000000001</v>
      </c>
      <c r="O14" s="37">
        <f t="shared" si="1"/>
        <v>732.41</v>
      </c>
      <c r="P14" s="123">
        <f t="shared" si="1"/>
        <v>330.48000000000008</v>
      </c>
      <c r="Q14" s="37">
        <f t="shared" si="1"/>
        <v>424.29000000000008</v>
      </c>
      <c r="R14" s="37" t="str">
        <f t="shared" si="1"/>
        <v/>
      </c>
      <c r="S14" s="90" t="str">
        <f t="shared" si="1"/>
        <v/>
      </c>
      <c r="T14" s="37" t="str">
        <f t="shared" si="1"/>
        <v/>
      </c>
      <c r="U14" s="37" t="str">
        <f t="shared" si="1"/>
        <v/>
      </c>
      <c r="V14" s="37" t="str">
        <f t="shared" si="1"/>
        <v/>
      </c>
      <c r="W14" s="90" t="str">
        <f t="shared" si="1"/>
        <v/>
      </c>
    </row>
    <row r="15" spans="1:23" x14ac:dyDescent="0.35">
      <c r="A15">
        <f t="shared" si="3"/>
        <v>12</v>
      </c>
      <c r="B15" t="s">
        <v>161</v>
      </c>
      <c r="C15" s="401">
        <v>75.599999999999994</v>
      </c>
      <c r="D15" s="402">
        <v>27.7</v>
      </c>
      <c r="E15" s="403">
        <v>6.3</v>
      </c>
      <c r="G15">
        <f t="shared" si="4"/>
        <v>12</v>
      </c>
      <c r="H15" s="123">
        <f t="shared" si="2"/>
        <v>5.8900000000000219</v>
      </c>
      <c r="I15" s="37">
        <f t="shared" si="1"/>
        <v>247.36999999999983</v>
      </c>
      <c r="J15" s="37">
        <f t="shared" si="1"/>
        <v>593.66000000000008</v>
      </c>
      <c r="K15" s="37">
        <f t="shared" si="1"/>
        <v>460.97</v>
      </c>
      <c r="L15" s="37">
        <f t="shared" si="1"/>
        <v>117.16999999999979</v>
      </c>
      <c r="M15" s="37">
        <f t="shared" si="1"/>
        <v>411.68999999999983</v>
      </c>
      <c r="N15" s="37">
        <f t="shared" si="1"/>
        <v>726.3499999999998</v>
      </c>
      <c r="O15" s="37">
        <f t="shared" si="1"/>
        <v>313.25</v>
      </c>
      <c r="P15" s="39">
        <f t="shared" si="1"/>
        <v>178.63999999999993</v>
      </c>
      <c r="Q15" s="40">
        <f t="shared" si="1"/>
        <v>1101.6099999999997</v>
      </c>
      <c r="R15" s="40">
        <f t="shared" si="1"/>
        <v>848.2399999999999</v>
      </c>
      <c r="S15" s="41" t="str">
        <f t="shared" si="1"/>
        <v/>
      </c>
      <c r="T15" s="37" t="str">
        <f t="shared" si="1"/>
        <v/>
      </c>
      <c r="U15" s="37" t="str">
        <f t="shared" si="1"/>
        <v/>
      </c>
      <c r="V15" s="37" t="str">
        <f t="shared" si="1"/>
        <v/>
      </c>
      <c r="W15" s="90" t="str">
        <f t="shared" si="1"/>
        <v/>
      </c>
    </row>
    <row r="16" spans="1:23" x14ac:dyDescent="0.35">
      <c r="A16">
        <f t="shared" si="3"/>
        <v>13</v>
      </c>
      <c r="B16" t="s">
        <v>160</v>
      </c>
      <c r="C16" s="401">
        <v>46.3</v>
      </c>
      <c r="D16" s="402">
        <v>31.8</v>
      </c>
      <c r="E16" s="403">
        <v>7.4</v>
      </c>
      <c r="G16">
        <f t="shared" si="4"/>
        <v>13</v>
      </c>
      <c r="H16" s="123">
        <f t="shared" si="2"/>
        <v>929.46000000000026</v>
      </c>
      <c r="I16" s="37">
        <f t="shared" si="1"/>
        <v>202.94000000000008</v>
      </c>
      <c r="J16" s="37">
        <f t="shared" si="1"/>
        <v>2569.4899999999993</v>
      </c>
      <c r="K16" s="37">
        <f t="shared" si="1"/>
        <v>1930.3799999999999</v>
      </c>
      <c r="L16" s="37">
        <f t="shared" si="1"/>
        <v>526.46000000000038</v>
      </c>
      <c r="M16" s="37">
        <f t="shared" si="1"/>
        <v>95.860000000000028</v>
      </c>
      <c r="N16" s="37">
        <f t="shared" si="1"/>
        <v>214.84000000000003</v>
      </c>
      <c r="O16" s="37">
        <f t="shared" si="1"/>
        <v>629.81999999999994</v>
      </c>
      <c r="P16" s="37">
        <f t="shared" si="1"/>
        <v>327.31</v>
      </c>
      <c r="Q16" s="37">
        <f t="shared" si="1"/>
        <v>292.94</v>
      </c>
      <c r="R16" s="37">
        <f t="shared" si="1"/>
        <v>31.63000000000001</v>
      </c>
      <c r="S16" s="37">
        <f t="shared" si="1"/>
        <v>876.50999999999988</v>
      </c>
      <c r="T16" s="138" t="str">
        <f t="shared" si="1"/>
        <v/>
      </c>
      <c r="U16" s="139" t="str">
        <f t="shared" si="1"/>
        <v/>
      </c>
      <c r="V16" s="139" t="str">
        <f t="shared" si="1"/>
        <v/>
      </c>
      <c r="W16" s="140" t="str">
        <f t="shared" si="1"/>
        <v/>
      </c>
    </row>
    <row r="17" spans="1:23" x14ac:dyDescent="0.35">
      <c r="A17">
        <f t="shared" si="3"/>
        <v>14</v>
      </c>
      <c r="B17" t="s">
        <v>160</v>
      </c>
      <c r="C17" s="401">
        <v>61.5</v>
      </c>
      <c r="D17" s="402">
        <v>16.8</v>
      </c>
      <c r="E17" s="403">
        <v>1.9</v>
      </c>
      <c r="G17">
        <f t="shared" si="4"/>
        <v>14</v>
      </c>
      <c r="H17" s="123">
        <f t="shared" si="2"/>
        <v>423.69000000000005</v>
      </c>
      <c r="I17" s="37">
        <f t="shared" si="1"/>
        <v>254.45000000000005</v>
      </c>
      <c r="J17" s="37">
        <f t="shared" si="1"/>
        <v>1773.6599999999999</v>
      </c>
      <c r="K17" s="37">
        <f t="shared" si="1"/>
        <v>1517.4499999999998</v>
      </c>
      <c r="L17" s="37">
        <f t="shared" si="1"/>
        <v>80.210000000000022</v>
      </c>
      <c r="M17" s="37">
        <f t="shared" si="1"/>
        <v>198.11000000000004</v>
      </c>
      <c r="N17" s="37">
        <f t="shared" si="1"/>
        <v>130.85</v>
      </c>
      <c r="O17" s="37">
        <f t="shared" si="1"/>
        <v>15.289999999999974</v>
      </c>
      <c r="P17" s="37">
        <f t="shared" si="1"/>
        <v>85.499999999999957</v>
      </c>
      <c r="Q17" s="37">
        <f t="shared" si="1"/>
        <v>273.55</v>
      </c>
      <c r="R17" s="37">
        <f t="shared" si="1"/>
        <v>565.0200000000001</v>
      </c>
      <c r="S17" s="37">
        <f t="shared" si="1"/>
        <v>336.97999999999979</v>
      </c>
      <c r="T17" s="123">
        <f t="shared" si="1"/>
        <v>486.29000000000008</v>
      </c>
      <c r="U17" s="37" t="str">
        <f t="shared" si="1"/>
        <v/>
      </c>
      <c r="V17" s="37" t="str">
        <f t="shared" si="1"/>
        <v/>
      </c>
      <c r="W17" s="90" t="str">
        <f t="shared" si="1"/>
        <v/>
      </c>
    </row>
    <row r="18" spans="1:23" x14ac:dyDescent="0.35">
      <c r="A18">
        <f t="shared" si="3"/>
        <v>15</v>
      </c>
      <c r="B18" t="s">
        <v>160</v>
      </c>
      <c r="C18" s="401">
        <v>62.9</v>
      </c>
      <c r="D18" s="402">
        <v>25.8</v>
      </c>
      <c r="E18" s="403">
        <v>2.4</v>
      </c>
      <c r="G18">
        <f t="shared" si="4"/>
        <v>15</v>
      </c>
      <c r="H18" s="123">
        <f t="shared" si="2"/>
        <v>230.1400000000001</v>
      </c>
      <c r="I18" s="37">
        <f t="shared" si="1"/>
        <v>60.660000000000004</v>
      </c>
      <c r="J18" s="37">
        <f t="shared" si="1"/>
        <v>1327.4899999999998</v>
      </c>
      <c r="K18" s="37">
        <f t="shared" si="1"/>
        <v>1013.7799999999997</v>
      </c>
      <c r="L18" s="37">
        <f t="shared" si="1"/>
        <v>21.300000000000061</v>
      </c>
      <c r="M18" s="37">
        <f t="shared" si="1"/>
        <v>73.900000000000006</v>
      </c>
      <c r="N18" s="37">
        <f t="shared" si="1"/>
        <v>220.35999999999996</v>
      </c>
      <c r="O18" s="37">
        <f t="shared" si="1"/>
        <v>130.82</v>
      </c>
      <c r="P18" s="37">
        <f t="shared" si="1"/>
        <v>0.26999999999999985</v>
      </c>
      <c r="Q18" s="37">
        <f t="shared" si="1"/>
        <v>419.85999999999996</v>
      </c>
      <c r="R18" s="37">
        <f t="shared" si="1"/>
        <v>336.99000000000007</v>
      </c>
      <c r="S18" s="37">
        <f t="shared" si="1"/>
        <v>180.10999999999987</v>
      </c>
      <c r="T18" s="123">
        <f t="shared" si="1"/>
        <v>336.56000000000006</v>
      </c>
      <c r="U18" s="37">
        <f t="shared" si="1"/>
        <v>83.21</v>
      </c>
      <c r="V18" s="37" t="str">
        <f t="shared" si="1"/>
        <v/>
      </c>
      <c r="W18" s="90" t="str">
        <f t="shared" si="1"/>
        <v/>
      </c>
    </row>
    <row r="19" spans="1:23" x14ac:dyDescent="0.35">
      <c r="A19">
        <f t="shared" si="3"/>
        <v>16</v>
      </c>
      <c r="B19" t="s">
        <v>160</v>
      </c>
      <c r="C19" s="404">
        <v>49.3</v>
      </c>
      <c r="D19" s="405">
        <v>39.4</v>
      </c>
      <c r="E19" s="406">
        <v>5.2</v>
      </c>
      <c r="G19">
        <f t="shared" si="4"/>
        <v>16</v>
      </c>
      <c r="H19" s="39">
        <f t="shared" si="2"/>
        <v>854.06000000000029</v>
      </c>
      <c r="I19" s="40">
        <f t="shared" si="1"/>
        <v>179.94000000000003</v>
      </c>
      <c r="J19" s="40">
        <f t="shared" si="1"/>
        <v>2192.9299999999998</v>
      </c>
      <c r="K19" s="40">
        <f t="shared" si="1"/>
        <v>1538.0199999999998</v>
      </c>
      <c r="L19" s="40">
        <f t="shared" si="1"/>
        <v>566.82000000000016</v>
      </c>
      <c r="M19" s="40">
        <f t="shared" si="1"/>
        <v>143.33999999999995</v>
      </c>
      <c r="N19" s="40">
        <f t="shared" si="1"/>
        <v>459.55999999999995</v>
      </c>
      <c r="O19" s="40">
        <f t="shared" si="1"/>
        <v>841.29999999999973</v>
      </c>
      <c r="P19" s="40">
        <f t="shared" si="1"/>
        <v>369.79</v>
      </c>
      <c r="Q19" s="40">
        <f t="shared" si="1"/>
        <v>586.74</v>
      </c>
      <c r="R19" s="40">
        <f t="shared" si="1"/>
        <v>14.349999999999982</v>
      </c>
      <c r="S19" s="40">
        <f t="shared" si="1"/>
        <v>829.78999999999985</v>
      </c>
      <c r="T19" s="39">
        <f t="shared" si="1"/>
        <v>71.599999999999966</v>
      </c>
      <c r="U19" s="40">
        <f t="shared" si="1"/>
        <v>670.4899999999999</v>
      </c>
      <c r="V19" s="40">
        <f t="shared" si="1"/>
        <v>377.75999999999993</v>
      </c>
      <c r="W19" s="41" t="str">
        <f t="shared" si="1"/>
        <v/>
      </c>
    </row>
    <row r="21" spans="1:23" x14ac:dyDescent="0.35">
      <c r="L21" s="407" t="s">
        <v>848</v>
      </c>
      <c r="M21" s="47" t="s">
        <v>179</v>
      </c>
      <c r="N21" s="47" t="s">
        <v>62</v>
      </c>
      <c r="O21" s="47" t="s">
        <v>185</v>
      </c>
    </row>
    <row r="22" spans="1:23" x14ac:dyDescent="0.35">
      <c r="H22" s="47" t="s">
        <v>52</v>
      </c>
      <c r="I22" s="146" t="e">
        <f ca="1">I24/I23</f>
        <v>#NAME?</v>
      </c>
      <c r="K22" s="47" t="s">
        <v>154</v>
      </c>
      <c r="L22" s="138">
        <f>SUM(H4:W19)</f>
        <v>74511.25</v>
      </c>
      <c r="M22" s="139">
        <f>L22/I24</f>
        <v>4656.953125</v>
      </c>
      <c r="N22" s="139">
        <f>I24-1</f>
        <v>15</v>
      </c>
      <c r="O22" s="140">
        <f>M22/N22</f>
        <v>310.46354166666669</v>
      </c>
      <c r="Q22" s="47" t="s">
        <v>54</v>
      </c>
      <c r="R22" s="408" t="e">
        <f ca="1">O24/O23</f>
        <v>#NAME?</v>
      </c>
    </row>
    <row r="23" spans="1:23" x14ac:dyDescent="0.35">
      <c r="H23" s="47" t="s">
        <v>203</v>
      </c>
      <c r="I23" s="49" t="e">
        <f ca="1">COUNTAU(B4:B19)</f>
        <v>#NAME?</v>
      </c>
      <c r="K23" s="47" t="s">
        <v>278</v>
      </c>
      <c r="L23" s="123">
        <f>SUM(H4:K7,L8:O11,P12:S15,T16:W19)</f>
        <v>10085.749999999998</v>
      </c>
      <c r="M23" s="37" t="e">
        <f ca="1">L23/I22</f>
        <v>#NAME?</v>
      </c>
      <c r="N23" s="37" t="e">
        <f ca="1">I24-I23</f>
        <v>#NAME?</v>
      </c>
      <c r="O23" s="90" t="e">
        <f t="shared" ref="O23:O24" ca="1" si="5">M23/N23</f>
        <v>#NAME?</v>
      </c>
    </row>
    <row r="24" spans="1:23" x14ac:dyDescent="0.35">
      <c r="H24" s="47" t="s">
        <v>849</v>
      </c>
      <c r="I24" s="52">
        <f>COUNT(C4:C19)</f>
        <v>16</v>
      </c>
      <c r="K24" s="47" t="s">
        <v>389</v>
      </c>
      <c r="L24" s="39"/>
      <c r="M24" s="40" t="e">
        <f ca="1">M22-M23</f>
        <v>#NAME?</v>
      </c>
      <c r="N24" s="40" t="e">
        <f ca="1">I23-1</f>
        <v>#NAME?</v>
      </c>
      <c r="O24" s="41" t="e">
        <f t="shared" ca="1" si="5"/>
        <v>#NAME?</v>
      </c>
    </row>
    <row r="26" spans="1:23" x14ac:dyDescent="0.35">
      <c r="Q26" s="47" t="s">
        <v>54</v>
      </c>
      <c r="R26" s="408" t="e">
        <f ca="1">PseudoF(C4:E19,4)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82"/>
  <dimension ref="A1:P21"/>
  <sheetViews>
    <sheetView topLeftCell="A4" workbookViewId="0">
      <selection activeCell="P6" sqref="P6"/>
    </sheetView>
  </sheetViews>
  <sheetFormatPr defaultRowHeight="14.5" x14ac:dyDescent="0.35"/>
  <cols>
    <col min="1" max="1" width="3.26953125" customWidth="1"/>
    <col min="2" max="2" width="6.54296875" customWidth="1"/>
    <col min="6" max="6" width="6.7265625" customWidth="1"/>
    <col min="10" max="10" width="6.7265625" customWidth="1"/>
    <col min="14" max="14" width="4.7265625" customWidth="1"/>
    <col min="15" max="15" width="7.7265625" bestFit="1" customWidth="1"/>
  </cols>
  <sheetData>
    <row r="1" spans="1:16" x14ac:dyDescent="0.35">
      <c r="B1" s="42" t="s">
        <v>838</v>
      </c>
    </row>
    <row r="3" spans="1:16" x14ac:dyDescent="0.35">
      <c r="C3" s="32" t="s">
        <v>144</v>
      </c>
      <c r="D3" s="32" t="s">
        <v>145</v>
      </c>
      <c r="E3" s="32" t="s">
        <v>146</v>
      </c>
      <c r="G3" s="32" t="s">
        <v>144</v>
      </c>
      <c r="H3" s="32" t="s">
        <v>145</v>
      </c>
      <c r="I3" s="32" t="s">
        <v>146</v>
      </c>
      <c r="K3" s="32" t="s">
        <v>144</v>
      </c>
      <c r="L3" s="32" t="s">
        <v>145</v>
      </c>
      <c r="M3" s="32" t="s">
        <v>146</v>
      </c>
    </row>
    <row r="4" spans="1:16" x14ac:dyDescent="0.35">
      <c r="A4">
        <v>1</v>
      </c>
      <c r="B4" t="s">
        <v>158</v>
      </c>
      <c r="C4" s="398">
        <v>76.7</v>
      </c>
      <c r="D4" s="399">
        <v>29.5</v>
      </c>
      <c r="E4" s="400">
        <v>7.5</v>
      </c>
      <c r="F4" t="e">
        <f t="array" aca="1" ref="F4:F19" ca="1">SHUFFLE($A4:$A19)</f>
        <v>#NAME?</v>
      </c>
      <c r="G4" s="398" t="e">
        <f t="array" aca="1" ref="G4:G19" ca="1">INDEX($C4:$C19,F4:F19)</f>
        <v>#NAME?</v>
      </c>
      <c r="H4" s="399" t="e">
        <f t="array" aca="1" ref="H4:H19" ca="1">INDEX($D4:$D19,F4:F19)</f>
        <v>#NAME?</v>
      </c>
      <c r="I4" s="400" t="e">
        <f t="array" aca="1" ref="I4:I19" ca="1">INDEX($E4:$E19,F4:F19)</f>
        <v>#NAME?</v>
      </c>
      <c r="J4" t="e">
        <f t="array" aca="1" ref="J4:J19" ca="1">SHUFFLE($A4:$A19)</f>
        <v>#NAME?</v>
      </c>
      <c r="K4" s="398" t="e">
        <f t="array" aca="1" ref="K4:K19" ca="1">INDEX($C4:$C19,J4:J19)</f>
        <v>#NAME?</v>
      </c>
      <c r="L4" s="399" t="e">
        <f t="array" aca="1" ref="L4:L19" ca="1">INDEX($D4:$D19,J4:J19)</f>
        <v>#NAME?</v>
      </c>
      <c r="M4" s="400" t="e">
        <f t="array" aca="1" ref="M4:M19" ca="1">INDEX($E4:$E19,J4:J19)</f>
        <v>#NAME?</v>
      </c>
      <c r="O4" t="s">
        <v>65</v>
      </c>
      <c r="P4" s="408">
        <f ca="1">COUNTIF(B21:K21,"&gt;="&amp;C21)/COUNTIF(B21:K21,"F")</f>
        <v>1</v>
      </c>
    </row>
    <row r="5" spans="1:16" x14ac:dyDescent="0.35">
      <c r="A5">
        <f>A4+1</f>
        <v>2</v>
      </c>
      <c r="B5" t="s">
        <v>158</v>
      </c>
      <c r="C5" s="401">
        <v>60.5</v>
      </c>
      <c r="D5" s="402">
        <v>32.1</v>
      </c>
      <c r="E5" s="403">
        <v>6.3</v>
      </c>
      <c r="F5" t="e">
        <f ca="1"/>
        <v>#NAME?</v>
      </c>
      <c r="G5" s="401" t="e">
        <f ca="1"/>
        <v>#NAME?</v>
      </c>
      <c r="H5" s="402" t="e">
        <f ca="1"/>
        <v>#NAME?</v>
      </c>
      <c r="I5" s="403" t="e">
        <f ca="1"/>
        <v>#NAME?</v>
      </c>
      <c r="J5" t="e">
        <f ca="1"/>
        <v>#NAME?</v>
      </c>
      <c r="K5" s="401" t="e">
        <f ca="1"/>
        <v>#NAME?</v>
      </c>
      <c r="L5" s="402" t="e">
        <f ca="1"/>
        <v>#NAME?</v>
      </c>
      <c r="M5" s="403" t="e">
        <f ca="1"/>
        <v>#NAME?</v>
      </c>
    </row>
    <row r="6" spans="1:16" x14ac:dyDescent="0.35">
      <c r="A6">
        <f t="shared" ref="A6:A19" si="0">A5+1</f>
        <v>3</v>
      </c>
      <c r="B6" t="s">
        <v>158</v>
      </c>
      <c r="C6" s="401">
        <v>96.1</v>
      </c>
      <c r="D6" s="402">
        <v>40.700000000000003</v>
      </c>
      <c r="E6" s="403">
        <v>4.2</v>
      </c>
      <c r="F6" t="e">
        <f ca="1"/>
        <v>#NAME?</v>
      </c>
      <c r="G6" s="401" t="e">
        <f ca="1"/>
        <v>#NAME?</v>
      </c>
      <c r="H6" s="402" t="e">
        <f ca="1"/>
        <v>#NAME?</v>
      </c>
      <c r="I6" s="403" t="e">
        <f ca="1"/>
        <v>#NAME?</v>
      </c>
      <c r="J6" t="e">
        <f ca="1"/>
        <v>#NAME?</v>
      </c>
      <c r="K6" s="401" t="e">
        <f ca="1"/>
        <v>#NAME?</v>
      </c>
      <c r="L6" s="402" t="e">
        <f ca="1"/>
        <v>#NAME?</v>
      </c>
      <c r="M6" s="403" t="e">
        <f ca="1"/>
        <v>#NAME?</v>
      </c>
      <c r="O6" t="s">
        <v>65</v>
      </c>
      <c r="P6" s="408" t="e">
        <f ca="1">PERMANOVA(C4:E19,4)</f>
        <v>#NAME?</v>
      </c>
    </row>
    <row r="7" spans="1:16" x14ac:dyDescent="0.35">
      <c r="A7">
        <f t="shared" si="0"/>
        <v>4</v>
      </c>
      <c r="B7" t="s">
        <v>158</v>
      </c>
      <c r="C7" s="401">
        <v>88.1</v>
      </c>
      <c r="D7" s="402">
        <v>45.1</v>
      </c>
      <c r="E7" s="403">
        <v>4.9000000000000004</v>
      </c>
      <c r="F7" t="e">
        <f ca="1"/>
        <v>#NAME?</v>
      </c>
      <c r="G7" s="401" t="e">
        <f ca="1"/>
        <v>#NAME?</v>
      </c>
      <c r="H7" s="402" t="e">
        <f ca="1"/>
        <v>#NAME?</v>
      </c>
      <c r="I7" s="403" t="e">
        <f ca="1"/>
        <v>#NAME?</v>
      </c>
      <c r="J7" t="e">
        <f ca="1"/>
        <v>#NAME?</v>
      </c>
      <c r="K7" s="401" t="e">
        <f ca="1"/>
        <v>#NAME?</v>
      </c>
      <c r="L7" s="402" t="e">
        <f ca="1"/>
        <v>#NAME?</v>
      </c>
      <c r="M7" s="403" t="e">
        <f ca="1"/>
        <v>#NAME?</v>
      </c>
    </row>
    <row r="8" spans="1:16" x14ac:dyDescent="0.35">
      <c r="A8">
        <f t="shared" si="0"/>
        <v>5</v>
      </c>
      <c r="B8" t="s">
        <v>159</v>
      </c>
      <c r="C8" s="401">
        <v>66.900000000000006</v>
      </c>
      <c r="D8" s="402">
        <v>23.9</v>
      </c>
      <c r="E8" s="403">
        <v>1.1000000000000001</v>
      </c>
      <c r="F8" t="e">
        <f ca="1"/>
        <v>#NAME?</v>
      </c>
      <c r="G8" s="401" t="e">
        <f ca="1"/>
        <v>#NAME?</v>
      </c>
      <c r="H8" s="402" t="e">
        <f ca="1"/>
        <v>#NAME?</v>
      </c>
      <c r="I8" s="403" t="e">
        <f ca="1"/>
        <v>#NAME?</v>
      </c>
      <c r="J8" t="e">
        <f ca="1"/>
        <v>#NAME?</v>
      </c>
      <c r="K8" s="401" t="e">
        <f ca="1"/>
        <v>#NAME?</v>
      </c>
      <c r="L8" s="402" t="e">
        <f ca="1"/>
        <v>#NAME?</v>
      </c>
      <c r="M8" s="403" t="e">
        <f ca="1"/>
        <v>#NAME?</v>
      </c>
    </row>
    <row r="9" spans="1:16" x14ac:dyDescent="0.35">
      <c r="A9">
        <f t="shared" si="0"/>
        <v>6</v>
      </c>
      <c r="B9" t="s">
        <v>159</v>
      </c>
      <c r="C9" s="401">
        <v>55.4</v>
      </c>
      <c r="D9" s="402">
        <v>29.1</v>
      </c>
      <c r="E9" s="403">
        <v>5</v>
      </c>
      <c r="F9" t="e">
        <f ca="1"/>
        <v>#NAME?</v>
      </c>
      <c r="G9" s="401" t="e">
        <f ca="1"/>
        <v>#NAME?</v>
      </c>
      <c r="H9" s="402" t="e">
        <f ca="1"/>
        <v>#NAME?</v>
      </c>
      <c r="I9" s="403" t="e">
        <f ca="1"/>
        <v>#NAME?</v>
      </c>
      <c r="J9" t="e">
        <f ca="1"/>
        <v>#NAME?</v>
      </c>
      <c r="K9" s="401" t="e">
        <f ca="1"/>
        <v>#NAME?</v>
      </c>
      <c r="L9" s="402" t="e">
        <f ca="1"/>
        <v>#NAME?</v>
      </c>
      <c r="M9" s="403" t="e">
        <f ca="1"/>
        <v>#NAME?</v>
      </c>
    </row>
    <row r="10" spans="1:16" x14ac:dyDescent="0.35">
      <c r="A10">
        <f t="shared" si="0"/>
        <v>7</v>
      </c>
      <c r="B10" t="s">
        <v>159</v>
      </c>
      <c r="C10" s="401">
        <v>50.5</v>
      </c>
      <c r="D10" s="402">
        <v>18</v>
      </c>
      <c r="E10" s="403">
        <v>4.8</v>
      </c>
      <c r="F10" t="e">
        <f ca="1"/>
        <v>#NAME?</v>
      </c>
      <c r="G10" s="401" t="e">
        <f ca="1"/>
        <v>#NAME?</v>
      </c>
      <c r="H10" s="402" t="e">
        <f ca="1"/>
        <v>#NAME?</v>
      </c>
      <c r="I10" s="403" t="e">
        <f ca="1"/>
        <v>#NAME?</v>
      </c>
      <c r="J10" t="e">
        <f ca="1"/>
        <v>#NAME?</v>
      </c>
      <c r="K10" s="401" t="e">
        <f ca="1"/>
        <v>#NAME?</v>
      </c>
      <c r="L10" s="402" t="e">
        <f ca="1"/>
        <v>#NAME?</v>
      </c>
      <c r="M10" s="403" t="e">
        <f ca="1"/>
        <v>#NAME?</v>
      </c>
    </row>
    <row r="11" spans="1:16" x14ac:dyDescent="0.35">
      <c r="A11">
        <f t="shared" si="0"/>
        <v>8</v>
      </c>
      <c r="B11" t="s">
        <v>159</v>
      </c>
      <c r="C11" s="401">
        <v>64.099999999999994</v>
      </c>
      <c r="D11" s="402">
        <v>14.5</v>
      </c>
      <c r="E11" s="403">
        <v>3.7</v>
      </c>
      <c r="F11" t="e">
        <f ca="1"/>
        <v>#NAME?</v>
      </c>
      <c r="G11" s="401" t="e">
        <f ca="1"/>
        <v>#NAME?</v>
      </c>
      <c r="H11" s="402" t="e">
        <f ca="1"/>
        <v>#NAME?</v>
      </c>
      <c r="I11" s="403" t="e">
        <f ca="1"/>
        <v>#NAME?</v>
      </c>
      <c r="J11" t="e">
        <f ca="1"/>
        <v>#NAME?</v>
      </c>
      <c r="K11" s="401" t="e">
        <f ca="1"/>
        <v>#NAME?</v>
      </c>
      <c r="L11" s="402" t="e">
        <f ca="1"/>
        <v>#NAME?</v>
      </c>
      <c r="M11" s="403" t="e">
        <f ca="1"/>
        <v>#NAME?</v>
      </c>
    </row>
    <row r="12" spans="1:16" x14ac:dyDescent="0.35">
      <c r="A12">
        <f t="shared" si="0"/>
        <v>9</v>
      </c>
      <c r="B12" t="s">
        <v>161</v>
      </c>
      <c r="C12" s="401">
        <v>62.8</v>
      </c>
      <c r="D12" s="402">
        <v>25.9</v>
      </c>
      <c r="E12" s="403">
        <v>2.9</v>
      </c>
      <c r="F12" t="e">
        <f ca="1"/>
        <v>#NAME?</v>
      </c>
      <c r="G12" s="401" t="e">
        <f ca="1"/>
        <v>#NAME?</v>
      </c>
      <c r="H12" s="402" t="e">
        <f ca="1"/>
        <v>#NAME?</v>
      </c>
      <c r="I12" s="403" t="e">
        <f ca="1"/>
        <v>#NAME?</v>
      </c>
      <c r="J12" t="e">
        <f ca="1"/>
        <v>#NAME?</v>
      </c>
      <c r="K12" s="401" t="e">
        <f ca="1"/>
        <v>#NAME?</v>
      </c>
      <c r="L12" s="402" t="e">
        <f ca="1"/>
        <v>#NAME?</v>
      </c>
      <c r="M12" s="403" t="e">
        <f ca="1"/>
        <v>#NAME?</v>
      </c>
    </row>
    <row r="13" spans="1:16" x14ac:dyDescent="0.35">
      <c r="A13">
        <f t="shared" si="0"/>
        <v>10</v>
      </c>
      <c r="B13" t="s">
        <v>161</v>
      </c>
      <c r="C13" s="401">
        <v>45</v>
      </c>
      <c r="D13" s="402">
        <v>15.9</v>
      </c>
      <c r="E13" s="403">
        <v>1.2</v>
      </c>
      <c r="F13" t="e">
        <f ca="1"/>
        <v>#NAME?</v>
      </c>
      <c r="G13" s="401" t="e">
        <f ca="1"/>
        <v>#NAME?</v>
      </c>
      <c r="H13" s="402" t="e">
        <f ca="1"/>
        <v>#NAME?</v>
      </c>
      <c r="I13" s="403" t="e">
        <f ca="1"/>
        <v>#NAME?</v>
      </c>
      <c r="J13" t="e">
        <f ca="1"/>
        <v>#NAME?</v>
      </c>
      <c r="K13" s="401" t="e">
        <f ca="1"/>
        <v>#NAME?</v>
      </c>
      <c r="L13" s="402" t="e">
        <f ca="1"/>
        <v>#NAME?</v>
      </c>
      <c r="M13" s="403" t="e">
        <f ca="1"/>
        <v>#NAME?</v>
      </c>
    </row>
    <row r="14" spans="1:16" x14ac:dyDescent="0.35">
      <c r="A14">
        <f t="shared" si="0"/>
        <v>11</v>
      </c>
      <c r="B14" t="s">
        <v>161</v>
      </c>
      <c r="C14" s="401">
        <v>47.8</v>
      </c>
      <c r="D14" s="402">
        <v>36.1</v>
      </c>
      <c r="E14" s="403">
        <v>4.0999999999999996</v>
      </c>
      <c r="F14" t="e">
        <f ca="1"/>
        <v>#NAME?</v>
      </c>
      <c r="G14" s="401" t="e">
        <f ca="1"/>
        <v>#NAME?</v>
      </c>
      <c r="H14" s="402" t="e">
        <f ca="1"/>
        <v>#NAME?</v>
      </c>
      <c r="I14" s="403" t="e">
        <f ca="1"/>
        <v>#NAME?</v>
      </c>
      <c r="J14" t="e">
        <f ca="1"/>
        <v>#NAME?</v>
      </c>
      <c r="K14" s="401" t="e">
        <f ca="1"/>
        <v>#NAME?</v>
      </c>
      <c r="L14" s="402" t="e">
        <f ca="1"/>
        <v>#NAME?</v>
      </c>
      <c r="M14" s="403" t="e">
        <f ca="1"/>
        <v>#NAME?</v>
      </c>
    </row>
    <row r="15" spans="1:16" x14ac:dyDescent="0.35">
      <c r="A15">
        <f t="shared" si="0"/>
        <v>12</v>
      </c>
      <c r="B15" t="s">
        <v>161</v>
      </c>
      <c r="C15" s="401">
        <v>75.599999999999994</v>
      </c>
      <c r="D15" s="402">
        <v>27.7</v>
      </c>
      <c r="E15" s="403">
        <v>6.3</v>
      </c>
      <c r="F15" t="e">
        <f ca="1"/>
        <v>#NAME?</v>
      </c>
      <c r="G15" s="401" t="e">
        <f ca="1"/>
        <v>#NAME?</v>
      </c>
      <c r="H15" s="402" t="e">
        <f ca="1"/>
        <v>#NAME?</v>
      </c>
      <c r="I15" s="403" t="e">
        <f ca="1"/>
        <v>#NAME?</v>
      </c>
      <c r="J15" t="e">
        <f ca="1"/>
        <v>#NAME?</v>
      </c>
      <c r="K15" s="401" t="e">
        <f ca="1"/>
        <v>#NAME?</v>
      </c>
      <c r="L15" s="402" t="e">
        <f ca="1"/>
        <v>#NAME?</v>
      </c>
      <c r="M15" s="403" t="e">
        <f ca="1"/>
        <v>#NAME?</v>
      </c>
    </row>
    <row r="16" spans="1:16" x14ac:dyDescent="0.35">
      <c r="A16">
        <f t="shared" si="0"/>
        <v>13</v>
      </c>
      <c r="B16" t="s">
        <v>160</v>
      </c>
      <c r="C16" s="401">
        <v>46.3</v>
      </c>
      <c r="D16" s="402">
        <v>31.8</v>
      </c>
      <c r="E16" s="403">
        <v>7.4</v>
      </c>
      <c r="F16" t="e">
        <f ca="1"/>
        <v>#NAME?</v>
      </c>
      <c r="G16" s="401" t="e">
        <f ca="1"/>
        <v>#NAME?</v>
      </c>
      <c r="H16" s="402" t="e">
        <f ca="1"/>
        <v>#NAME?</v>
      </c>
      <c r="I16" s="403" t="e">
        <f ca="1"/>
        <v>#NAME?</v>
      </c>
      <c r="J16" t="e">
        <f ca="1"/>
        <v>#NAME?</v>
      </c>
      <c r="K16" s="401" t="e">
        <f ca="1"/>
        <v>#NAME?</v>
      </c>
      <c r="L16" s="402" t="e">
        <f ca="1"/>
        <v>#NAME?</v>
      </c>
      <c r="M16" s="403" t="e">
        <f ca="1"/>
        <v>#NAME?</v>
      </c>
    </row>
    <row r="17" spans="1:13" x14ac:dyDescent="0.35">
      <c r="A17">
        <f t="shared" si="0"/>
        <v>14</v>
      </c>
      <c r="B17" t="s">
        <v>160</v>
      </c>
      <c r="C17" s="401">
        <v>61.5</v>
      </c>
      <c r="D17" s="402">
        <v>16.8</v>
      </c>
      <c r="E17" s="403">
        <v>1.9</v>
      </c>
      <c r="F17" t="e">
        <f ca="1"/>
        <v>#NAME?</v>
      </c>
      <c r="G17" s="401" t="e">
        <f ca="1"/>
        <v>#NAME?</v>
      </c>
      <c r="H17" s="402" t="e">
        <f ca="1"/>
        <v>#NAME?</v>
      </c>
      <c r="I17" s="403" t="e">
        <f ca="1"/>
        <v>#NAME?</v>
      </c>
      <c r="J17" t="e">
        <f ca="1"/>
        <v>#NAME?</v>
      </c>
      <c r="K17" s="401" t="e">
        <f ca="1"/>
        <v>#NAME?</v>
      </c>
      <c r="L17" s="402" t="e">
        <f ca="1"/>
        <v>#NAME?</v>
      </c>
      <c r="M17" s="403" t="e">
        <f ca="1"/>
        <v>#NAME?</v>
      </c>
    </row>
    <row r="18" spans="1:13" x14ac:dyDescent="0.35">
      <c r="A18">
        <f t="shared" si="0"/>
        <v>15</v>
      </c>
      <c r="B18" t="s">
        <v>160</v>
      </c>
      <c r="C18" s="401">
        <v>62.9</v>
      </c>
      <c r="D18" s="402">
        <v>25.8</v>
      </c>
      <c r="E18" s="403">
        <v>2.4</v>
      </c>
      <c r="F18" t="e">
        <f ca="1"/>
        <v>#NAME?</v>
      </c>
      <c r="G18" s="401" t="e">
        <f ca="1"/>
        <v>#NAME?</v>
      </c>
      <c r="H18" s="402" t="e">
        <f ca="1"/>
        <v>#NAME?</v>
      </c>
      <c r="I18" s="403" t="e">
        <f ca="1"/>
        <v>#NAME?</v>
      </c>
      <c r="J18" t="e">
        <f ca="1"/>
        <v>#NAME?</v>
      </c>
      <c r="K18" s="401" t="e">
        <f ca="1"/>
        <v>#NAME?</v>
      </c>
      <c r="L18" s="402" t="e">
        <f ca="1"/>
        <v>#NAME?</v>
      </c>
      <c r="M18" s="403" t="e">
        <f ca="1"/>
        <v>#NAME?</v>
      </c>
    </row>
    <row r="19" spans="1:13" x14ac:dyDescent="0.35">
      <c r="A19">
        <f t="shared" si="0"/>
        <v>16</v>
      </c>
      <c r="B19" t="s">
        <v>160</v>
      </c>
      <c r="C19" s="404">
        <v>49.3</v>
      </c>
      <c r="D19" s="405">
        <v>39.4</v>
      </c>
      <c r="E19" s="406">
        <v>5.2</v>
      </c>
      <c r="F19" t="e">
        <f ca="1"/>
        <v>#NAME?</v>
      </c>
      <c r="G19" s="404" t="e">
        <f ca="1"/>
        <v>#NAME?</v>
      </c>
      <c r="H19" s="405" t="e">
        <f ca="1"/>
        <v>#NAME?</v>
      </c>
      <c r="I19" s="406" t="e">
        <f ca="1"/>
        <v>#NAME?</v>
      </c>
      <c r="J19" t="e">
        <f ca="1"/>
        <v>#NAME?</v>
      </c>
      <c r="K19" s="404" t="e">
        <f ca="1"/>
        <v>#NAME?</v>
      </c>
      <c r="L19" s="405" t="e">
        <f ca="1"/>
        <v>#NAME?</v>
      </c>
      <c r="M19" s="406" t="e">
        <f ca="1"/>
        <v>#NAME?</v>
      </c>
    </row>
    <row r="21" spans="1:13" x14ac:dyDescent="0.35">
      <c r="B21" s="47" t="s">
        <v>54</v>
      </c>
      <c r="C21" s="408" t="e">
        <f ca="1">PseudoF(C4:E19,4)</f>
        <v>#NAME?</v>
      </c>
      <c r="F21" s="47" t="s">
        <v>54</v>
      </c>
      <c r="G21" s="408" t="e">
        <f ca="1">PseudoF(G4:I19,4)</f>
        <v>#NAME?</v>
      </c>
      <c r="J21" s="47" t="s">
        <v>54</v>
      </c>
      <c r="K21" s="408" t="e">
        <f ca="1">PseudoF(K4:M19,4)</f>
        <v>#NAME?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83"/>
  <dimension ref="A1:V19"/>
  <sheetViews>
    <sheetView topLeftCell="A2" workbookViewId="0">
      <selection activeCell="Q15" sqref="Q15"/>
    </sheetView>
  </sheetViews>
  <sheetFormatPr defaultRowHeight="14.5" x14ac:dyDescent="0.35"/>
  <cols>
    <col min="1" max="1" width="3.26953125" customWidth="1"/>
    <col min="2" max="2" width="6.54296875" customWidth="1"/>
    <col min="6" max="6" width="4.7265625" customWidth="1"/>
    <col min="7" max="7" width="15" customWidth="1"/>
    <col min="10" max="10" width="6.7265625" customWidth="1"/>
    <col min="13" max="13" width="10.7265625" customWidth="1"/>
    <col min="14" max="14" width="4.7265625" customWidth="1"/>
    <col min="17" max="17" width="4.7265625" customWidth="1"/>
    <col min="18" max="18" width="6.7265625" customWidth="1"/>
    <col min="22" max="22" width="8" customWidth="1"/>
  </cols>
  <sheetData>
    <row r="1" spans="1:22" x14ac:dyDescent="0.35">
      <c r="B1" s="42" t="s">
        <v>838</v>
      </c>
    </row>
    <row r="2" spans="1:22" x14ac:dyDescent="0.35">
      <c r="G2" t="s">
        <v>817</v>
      </c>
      <c r="O2" t="s">
        <v>108</v>
      </c>
      <c r="R2" t="s">
        <v>850</v>
      </c>
    </row>
    <row r="3" spans="1:22" ht="15" thickBot="1" x14ac:dyDescent="0.4">
      <c r="C3" s="32" t="s">
        <v>144</v>
      </c>
      <c r="D3" s="32" t="s">
        <v>145</v>
      </c>
      <c r="E3" s="32" t="s">
        <v>146</v>
      </c>
    </row>
    <row r="4" spans="1:22" ht="15" thickTop="1" x14ac:dyDescent="0.35">
      <c r="A4">
        <v>1</v>
      </c>
      <c r="B4" t="s">
        <v>158</v>
      </c>
      <c r="C4" s="398">
        <v>76.7</v>
      </c>
      <c r="D4" s="399">
        <v>29.5</v>
      </c>
      <c r="E4" s="400">
        <v>7.5</v>
      </c>
      <c r="G4" s="94"/>
      <c r="H4" s="94" t="s">
        <v>148</v>
      </c>
      <c r="I4" s="94" t="s">
        <v>54</v>
      </c>
      <c r="J4" s="94" t="s">
        <v>55</v>
      </c>
      <c r="K4" s="94" t="s">
        <v>56</v>
      </c>
      <c r="L4" s="94" t="s">
        <v>65</v>
      </c>
      <c r="M4" s="94" t="s">
        <v>802</v>
      </c>
      <c r="O4" t="s">
        <v>113</v>
      </c>
      <c r="P4" s="132" t="e">
        <f ca="1">BOXM(B4:E19)</f>
        <v>#NAME?</v>
      </c>
      <c r="S4" s="32" t="str">
        <f t="array" ref="S4:U4">$C$3:$E$3</f>
        <v>yield</v>
      </c>
      <c r="T4" s="32" t="str">
        <v>water</v>
      </c>
      <c r="U4" s="32" t="str">
        <v>herbicide</v>
      </c>
      <c r="V4" s="32" t="s">
        <v>100</v>
      </c>
    </row>
    <row r="5" spans="1:22" x14ac:dyDescent="0.35">
      <c r="A5">
        <f>A4+1</f>
        <v>2</v>
      </c>
      <c r="B5" t="s">
        <v>158</v>
      </c>
      <c r="C5" s="401">
        <v>60.5</v>
      </c>
      <c r="D5" s="402">
        <v>32.1</v>
      </c>
      <c r="E5" s="403">
        <v>6.3</v>
      </c>
      <c r="G5" t="s">
        <v>150</v>
      </c>
      <c r="H5" t="e">
        <f ca="1">MANOVA_PillaiTrace(B4:E19)</f>
        <v>#NAME?</v>
      </c>
      <c r="I5" t="e">
        <f ca="1">MANOVA_PillaiF(B4:E19)</f>
        <v>#NAME?</v>
      </c>
      <c r="J5" t="e">
        <f ca="1">MANOVA_Pillaidf1(B4:E19)</f>
        <v>#NAME?</v>
      </c>
      <c r="K5" t="e">
        <f ca="1">MANOVA_Pillaidf2(B4:E19)</f>
        <v>#NAME?</v>
      </c>
      <c r="L5" t="e">
        <f ca="1">F_DIST_RT(I5,J5,K5)</f>
        <v>#NAME?</v>
      </c>
      <c r="M5" t="e">
        <f ca="1">I5*J5/(I5*J5+K5)</f>
        <v>#NAME?</v>
      </c>
      <c r="O5" t="s">
        <v>54</v>
      </c>
      <c r="P5" s="98" t="e">
        <f ca="1">BOXF(B4:E19)</f>
        <v>#NAME?</v>
      </c>
      <c r="R5" t="s">
        <v>160</v>
      </c>
      <c r="S5" s="149">
        <f>AVERAGEIF($B$4:$B$19,$R5,C$4:C$19)</f>
        <v>55</v>
      </c>
      <c r="T5" s="141">
        <f t="shared" ref="T5:U8" si="0">AVERAGEIF($B$4:$B$19,$R5,D$4:D$19)</f>
        <v>28.450000000000003</v>
      </c>
      <c r="U5" s="150">
        <f t="shared" si="0"/>
        <v>4.2250000000000005</v>
      </c>
      <c r="V5" s="132">
        <f>COUNTIF($B$4:$B$19,R5)</f>
        <v>4</v>
      </c>
    </row>
    <row r="6" spans="1:22" x14ac:dyDescent="0.35">
      <c r="A6">
        <f t="shared" ref="A6:A19" si="1">A5+1</f>
        <v>3</v>
      </c>
      <c r="B6" t="s">
        <v>158</v>
      </c>
      <c r="C6" s="401">
        <v>96.1</v>
      </c>
      <c r="D6" s="402">
        <v>40.700000000000003</v>
      </c>
      <c r="E6" s="403">
        <v>4.2</v>
      </c>
      <c r="G6" t="s">
        <v>151</v>
      </c>
      <c r="H6" t="e">
        <f ca="1">MANOVA_WilksLambda(B4:E19)</f>
        <v>#NAME?</v>
      </c>
      <c r="I6" t="e">
        <f ca="1">MANOVA_WilksF(B4:E19)</f>
        <v>#NAME?</v>
      </c>
      <c r="J6" t="e">
        <f ca="1">MANOVA_Wilksdf1(B4:E19)</f>
        <v>#NAME?</v>
      </c>
      <c r="K6" t="e">
        <f ca="1">MANOVA_Wilksdf2(B4:E19)</f>
        <v>#NAME?</v>
      </c>
      <c r="L6" t="e">
        <f ca="1">F_DIST_RT(I6,J6,K6)</f>
        <v>#NAME?</v>
      </c>
      <c r="M6" t="e">
        <f t="shared" ref="M6:M7" ca="1" si="2">I6*J6/(I6*J6+K6)</f>
        <v>#NAME?</v>
      </c>
      <c r="O6" t="s">
        <v>55</v>
      </c>
      <c r="P6" s="98" t="e">
        <f ca="1">BOXdf1(B4:E19)</f>
        <v>#NAME?</v>
      </c>
      <c r="R6" t="s">
        <v>158</v>
      </c>
      <c r="S6" s="83">
        <f t="shared" ref="S6:S8" si="3">AVERAGEIF($B$4:$B$19,$R6,C$4:C$19)</f>
        <v>80.349999999999994</v>
      </c>
      <c r="T6" s="37">
        <f t="shared" si="0"/>
        <v>36.85</v>
      </c>
      <c r="U6" s="84">
        <f t="shared" si="0"/>
        <v>5.7249999999999996</v>
      </c>
      <c r="V6" s="98">
        <f t="shared" ref="V6:V8" si="4">COUNTIF($B$4:$B$19,R6)</f>
        <v>4</v>
      </c>
    </row>
    <row r="7" spans="1:22" x14ac:dyDescent="0.35">
      <c r="A7">
        <f t="shared" si="1"/>
        <v>4</v>
      </c>
      <c r="B7" t="s">
        <v>158</v>
      </c>
      <c r="C7" s="401">
        <v>88.1</v>
      </c>
      <c r="D7" s="402">
        <v>45.1</v>
      </c>
      <c r="E7" s="403">
        <v>4.9000000000000004</v>
      </c>
      <c r="G7" t="s">
        <v>152</v>
      </c>
      <c r="H7" t="e">
        <f ca="1">MANOVA_HotelTrace(B4:E19)</f>
        <v>#NAME?</v>
      </c>
      <c r="I7" t="e">
        <f ca="1">MANOVA_HotelF(B4:E19)</f>
        <v>#NAME?</v>
      </c>
      <c r="J7" t="e">
        <f ca="1">MANOVA_Hoteldf1(B4:E19)</f>
        <v>#NAME?</v>
      </c>
      <c r="K7" t="e">
        <f ca="1">MANOVA_Hoteldf2(B4:E19)</f>
        <v>#NAME?</v>
      </c>
      <c r="L7" t="e">
        <f ca="1">F_DIST_RT(I7,J7,K7)</f>
        <v>#NAME?</v>
      </c>
      <c r="M7" t="e">
        <f t="shared" ca="1" si="2"/>
        <v>#NAME?</v>
      </c>
      <c r="O7" t="s">
        <v>56</v>
      </c>
      <c r="P7" s="98" t="e">
        <f ca="1">BOXdf2(B4:E19)</f>
        <v>#NAME?</v>
      </c>
      <c r="R7" t="s">
        <v>161</v>
      </c>
      <c r="S7" s="83">
        <f t="shared" si="3"/>
        <v>57.8</v>
      </c>
      <c r="T7" s="37">
        <f t="shared" si="0"/>
        <v>26.400000000000002</v>
      </c>
      <c r="U7" s="84">
        <f t="shared" si="0"/>
        <v>3.625</v>
      </c>
      <c r="V7" s="98">
        <f t="shared" si="4"/>
        <v>4</v>
      </c>
    </row>
    <row r="8" spans="1:22" x14ac:dyDescent="0.35">
      <c r="A8">
        <f t="shared" si="1"/>
        <v>5</v>
      </c>
      <c r="B8" t="s">
        <v>159</v>
      </c>
      <c r="C8" s="401">
        <v>66.900000000000006</v>
      </c>
      <c r="D8" s="402">
        <v>23.9</v>
      </c>
      <c r="E8" s="403">
        <v>1.1000000000000001</v>
      </c>
      <c r="G8" s="40" t="s">
        <v>153</v>
      </c>
      <c r="H8" s="40" t="e">
        <f ca="1">MANOVA_RoyRoot(B4:E19)</f>
        <v>#NAME?</v>
      </c>
      <c r="I8" s="40"/>
      <c r="J8" s="40"/>
      <c r="K8" s="40"/>
      <c r="L8" s="40"/>
      <c r="M8" s="40"/>
      <c r="O8" t="s">
        <v>65</v>
      </c>
      <c r="P8" s="99" t="e">
        <f ca="1">BOXTEST(B4:E19)</f>
        <v>#NAME?</v>
      </c>
      <c r="R8" t="s">
        <v>159</v>
      </c>
      <c r="S8" s="85">
        <f t="shared" si="3"/>
        <v>59.225000000000001</v>
      </c>
      <c r="T8" s="86">
        <f t="shared" si="0"/>
        <v>21.375</v>
      </c>
      <c r="U8" s="87">
        <f t="shared" si="0"/>
        <v>3.6499999999999995</v>
      </c>
      <c r="V8" s="99">
        <f t="shared" si="4"/>
        <v>4</v>
      </c>
    </row>
    <row r="9" spans="1:22" x14ac:dyDescent="0.35">
      <c r="A9">
        <f t="shared" si="1"/>
        <v>6</v>
      </c>
      <c r="B9" t="s">
        <v>159</v>
      </c>
      <c r="C9" s="401">
        <v>55.4</v>
      </c>
      <c r="D9" s="402">
        <v>29.1</v>
      </c>
      <c r="E9" s="403">
        <v>5</v>
      </c>
      <c r="R9" t="s">
        <v>168</v>
      </c>
      <c r="S9" s="134">
        <f>AVERAGE(C$4:C$19)</f>
        <v>63.093749999999986</v>
      </c>
      <c r="T9" s="135">
        <f t="shared" ref="T9:U9" si="5">AVERAGE(D$4:D$19)</f>
        <v>28.268750000000001</v>
      </c>
      <c r="U9" s="136">
        <f t="shared" si="5"/>
        <v>4.3062499999999995</v>
      </c>
      <c r="V9" s="137">
        <f>SUM(V5:V8)</f>
        <v>16</v>
      </c>
    </row>
    <row r="10" spans="1:22" x14ac:dyDescent="0.35">
      <c r="A10">
        <f t="shared" si="1"/>
        <v>7</v>
      </c>
      <c r="B10" t="s">
        <v>159</v>
      </c>
      <c r="C10" s="401">
        <v>50.5</v>
      </c>
      <c r="D10" s="402">
        <v>18</v>
      </c>
      <c r="E10" s="403">
        <v>4.8</v>
      </c>
      <c r="G10" t="s">
        <v>838</v>
      </c>
    </row>
    <row r="11" spans="1:22" x14ac:dyDescent="0.35">
      <c r="A11">
        <f t="shared" si="1"/>
        <v>8</v>
      </c>
      <c r="B11" t="s">
        <v>159</v>
      </c>
      <c r="C11" s="401">
        <v>64.099999999999994</v>
      </c>
      <c r="D11" s="402">
        <v>14.5</v>
      </c>
      <c r="E11" s="403">
        <v>3.7</v>
      </c>
    </row>
    <row r="12" spans="1:22" x14ac:dyDescent="0.35">
      <c r="A12">
        <f t="shared" si="1"/>
        <v>9</v>
      </c>
      <c r="B12" t="s">
        <v>161</v>
      </c>
      <c r="C12" s="401">
        <v>62.8</v>
      </c>
      <c r="D12" s="402">
        <v>25.9</v>
      </c>
      <c r="E12" s="403">
        <v>2.9</v>
      </c>
      <c r="G12" t="s">
        <v>843</v>
      </c>
      <c r="H12" s="132">
        <v>4</v>
      </c>
    </row>
    <row r="13" spans="1:22" x14ac:dyDescent="0.35">
      <c r="A13">
        <f t="shared" si="1"/>
        <v>10</v>
      </c>
      <c r="B13" t="s">
        <v>161</v>
      </c>
      <c r="C13" s="401">
        <v>45</v>
      </c>
      <c r="D13" s="402">
        <v>15.9</v>
      </c>
      <c r="E13" s="403">
        <v>1.2</v>
      </c>
      <c r="G13" t="s">
        <v>844</v>
      </c>
      <c r="H13" s="99">
        <v>1000</v>
      </c>
    </row>
    <row r="14" spans="1:22" x14ac:dyDescent="0.35">
      <c r="A14">
        <f t="shared" si="1"/>
        <v>11</v>
      </c>
      <c r="B14" t="s">
        <v>161</v>
      </c>
      <c r="C14" s="401">
        <v>47.8</v>
      </c>
      <c r="D14" s="402">
        <v>36.1</v>
      </c>
      <c r="E14" s="403">
        <v>4.0999999999999996</v>
      </c>
    </row>
    <row r="15" spans="1:22" x14ac:dyDescent="0.35">
      <c r="A15">
        <f t="shared" si="1"/>
        <v>12</v>
      </c>
      <c r="B15" t="s">
        <v>161</v>
      </c>
      <c r="C15" s="401">
        <v>75.599999999999994</v>
      </c>
      <c r="D15" s="402">
        <v>27.7</v>
      </c>
      <c r="E15" s="403">
        <v>6.3</v>
      </c>
      <c r="G15" t="s">
        <v>65</v>
      </c>
      <c r="H15" s="137" t="e">
        <f ca="1">PERMANOVA(C4:E19,H12,H13)</f>
        <v>#NAME?</v>
      </c>
    </row>
    <row r="16" spans="1:22" x14ac:dyDescent="0.35">
      <c r="A16">
        <f t="shared" si="1"/>
        <v>13</v>
      </c>
      <c r="B16" t="s">
        <v>160</v>
      </c>
      <c r="C16" s="401">
        <v>46.3</v>
      </c>
      <c r="D16" s="402">
        <v>31.8</v>
      </c>
      <c r="E16" s="403">
        <v>7.4</v>
      </c>
    </row>
    <row r="17" spans="1:5" x14ac:dyDescent="0.35">
      <c r="A17">
        <f t="shared" si="1"/>
        <v>14</v>
      </c>
      <c r="B17" t="s">
        <v>160</v>
      </c>
      <c r="C17" s="401">
        <v>61.5</v>
      </c>
      <c r="D17" s="402">
        <v>16.8</v>
      </c>
      <c r="E17" s="403">
        <v>1.9</v>
      </c>
    </row>
    <row r="18" spans="1:5" x14ac:dyDescent="0.35">
      <c r="A18">
        <f t="shared" si="1"/>
        <v>15</v>
      </c>
      <c r="B18" t="s">
        <v>160</v>
      </c>
      <c r="C18" s="401">
        <v>62.9</v>
      </c>
      <c r="D18" s="402">
        <v>25.8</v>
      </c>
      <c r="E18" s="403">
        <v>2.4</v>
      </c>
    </row>
    <row r="19" spans="1:5" x14ac:dyDescent="0.35">
      <c r="A19">
        <f t="shared" si="1"/>
        <v>16</v>
      </c>
      <c r="B19" t="s">
        <v>160</v>
      </c>
      <c r="C19" s="404">
        <v>49.3</v>
      </c>
      <c r="D19" s="405">
        <v>39.4</v>
      </c>
      <c r="E19" s="406">
        <v>5.2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4"/>
  <dimension ref="A1:Q19"/>
  <sheetViews>
    <sheetView workbookViewId="0">
      <selection activeCell="E16" sqref="E16"/>
    </sheetView>
  </sheetViews>
  <sheetFormatPr defaultRowHeight="14.5" x14ac:dyDescent="0.35"/>
  <cols>
    <col min="1" max="1" width="7.453125" customWidth="1"/>
    <col min="3" max="3" width="2.7265625" customWidth="1"/>
    <col min="8" max="8" width="3" customWidth="1"/>
    <col min="9" max="9" width="16" customWidth="1"/>
  </cols>
  <sheetData>
    <row r="1" spans="1:17" x14ac:dyDescent="0.35">
      <c r="A1" s="42" t="s">
        <v>840</v>
      </c>
    </row>
    <row r="3" spans="1:17" x14ac:dyDescent="0.35">
      <c r="B3" s="32" t="s">
        <v>144</v>
      </c>
      <c r="D3" t="s">
        <v>572</v>
      </c>
    </row>
    <row r="4" spans="1:17" x14ac:dyDescent="0.35">
      <c r="A4" t="s">
        <v>158</v>
      </c>
      <c r="B4" s="394">
        <v>76.7</v>
      </c>
    </row>
    <row r="5" spans="1:17" x14ac:dyDescent="0.35">
      <c r="A5" t="s">
        <v>158</v>
      </c>
      <c r="B5" s="395">
        <v>60.5</v>
      </c>
      <c r="D5" t="e">
        <f t="array" aca="1" ref="D5:G9" ca="1">StdAnova1(A4:B19)</f>
        <v>#NAME?</v>
      </c>
      <c r="E5" t="e">
        <f ca="1"/>
        <v>#NAME?</v>
      </c>
      <c r="F5" t="e">
        <f ca="1"/>
        <v>#NAME?</v>
      </c>
      <c r="G5" t="e">
        <f ca="1"/>
        <v>#NAME?</v>
      </c>
      <c r="I5" t="s">
        <v>173</v>
      </c>
    </row>
    <row r="6" spans="1:17" x14ac:dyDescent="0.35">
      <c r="A6" t="s">
        <v>158</v>
      </c>
      <c r="B6" s="396">
        <v>96.1</v>
      </c>
      <c r="D6" s="149" t="e">
        <f ca="1"/>
        <v>#NAME?</v>
      </c>
      <c r="E6" s="141" t="e">
        <f ca="1"/>
        <v>#NAME?</v>
      </c>
      <c r="F6" s="141" t="e">
        <f ca="1"/>
        <v>#NAME?</v>
      </c>
      <c r="G6" s="150" t="e">
        <f ca="1"/>
        <v>#NAME?</v>
      </c>
    </row>
    <row r="7" spans="1:17" ht="15" thickBot="1" x14ac:dyDescent="0.4">
      <c r="A7" t="s">
        <v>158</v>
      </c>
      <c r="B7" s="396">
        <v>88.1</v>
      </c>
      <c r="D7" s="83" t="e">
        <f ca="1"/>
        <v>#NAME?</v>
      </c>
      <c r="E7" s="37" t="e">
        <f ca="1"/>
        <v>#NAME?</v>
      </c>
      <c r="F7" s="37" t="e">
        <f ca="1"/>
        <v>#NAME?</v>
      </c>
      <c r="G7" s="84" t="e">
        <f ca="1"/>
        <v>#NAME?</v>
      </c>
      <c r="I7" t="s">
        <v>174</v>
      </c>
      <c r="N7" t="s">
        <v>175</v>
      </c>
      <c r="O7">
        <v>0.05</v>
      </c>
    </row>
    <row r="8" spans="1:17" ht="15" thickTop="1" x14ac:dyDescent="0.35">
      <c r="A8" t="s">
        <v>159</v>
      </c>
      <c r="B8" s="396">
        <v>66.900000000000006</v>
      </c>
      <c r="D8" s="83" t="e">
        <f ca="1"/>
        <v>#NAME?</v>
      </c>
      <c r="E8" s="37" t="e">
        <f ca="1"/>
        <v>#NAME?</v>
      </c>
      <c r="F8" s="37" t="e">
        <f ca="1"/>
        <v>#NAME?</v>
      </c>
      <c r="G8" s="84" t="e">
        <f ca="1"/>
        <v>#NAME?</v>
      </c>
      <c r="I8" s="94" t="s">
        <v>841</v>
      </c>
      <c r="J8" s="94" t="s">
        <v>100</v>
      </c>
      <c r="K8" s="94" t="s">
        <v>177</v>
      </c>
      <c r="L8" s="94" t="s">
        <v>34</v>
      </c>
      <c r="M8" s="94" t="s">
        <v>178</v>
      </c>
      <c r="N8" s="94" t="s">
        <v>179</v>
      </c>
      <c r="O8" s="94" t="s">
        <v>180</v>
      </c>
      <c r="P8" s="94" t="s">
        <v>181</v>
      </c>
      <c r="Q8" s="94" t="s">
        <v>182</v>
      </c>
    </row>
    <row r="9" spans="1:17" x14ac:dyDescent="0.35">
      <c r="A9" t="s">
        <v>159</v>
      </c>
      <c r="B9" s="396">
        <v>55.4</v>
      </c>
      <c r="D9" s="85" t="e">
        <f ca="1"/>
        <v>#NAME?</v>
      </c>
      <c r="E9" s="86" t="e">
        <f ca="1"/>
        <v>#NAME?</v>
      </c>
      <c r="F9" s="86" t="e">
        <f ca="1"/>
        <v>#NAME?</v>
      </c>
      <c r="G9" s="87" t="e">
        <f ca="1"/>
        <v>#NAME?</v>
      </c>
      <c r="I9" t="e">
        <f ca="1">D5</f>
        <v>#NAME?</v>
      </c>
      <c r="J9">
        <f ca="1">COUNT(D6:D9)</f>
        <v>0</v>
      </c>
      <c r="K9" t="e">
        <f ca="1">SUM(D6:D9)</f>
        <v>#NAME?</v>
      </c>
      <c r="L9" t="e">
        <f ca="1">AVERAGE(D6:D9)</f>
        <v>#NAME?</v>
      </c>
      <c r="M9" t="e">
        <f ca="1">_xlfn.VAR.S(D6:D9)</f>
        <v>#NAME?</v>
      </c>
      <c r="N9" t="e">
        <f ca="1">DEVSQ(D6:D9)</f>
        <v>#NAME?</v>
      </c>
      <c r="O9" t="e">
        <f ca="1">SQRT(L17/J9)</f>
        <v>#NAME?</v>
      </c>
      <c r="P9" t="e">
        <f ca="1">L9-O9*_xlfn.T.INV.2T(O7,K17)</f>
        <v>#NAME?</v>
      </c>
      <c r="Q9" t="e">
        <f ca="1">L9+O9*_xlfn.T.INV.2T(O7,K17)</f>
        <v>#NAME?</v>
      </c>
    </row>
    <row r="10" spans="1:17" x14ac:dyDescent="0.35">
      <c r="A10" t="s">
        <v>159</v>
      </c>
      <c r="B10" s="396">
        <v>50.5</v>
      </c>
      <c r="I10" t="e">
        <f ca="1">E5</f>
        <v>#NAME?</v>
      </c>
      <c r="J10">
        <f ca="1">COUNT(E6:E9)</f>
        <v>0</v>
      </c>
      <c r="K10" t="e">
        <f ca="1">SUM(E6:E9)</f>
        <v>#NAME?</v>
      </c>
      <c r="L10" t="e">
        <f ca="1">AVERAGE(E6:E9)</f>
        <v>#NAME?</v>
      </c>
      <c r="M10" t="e">
        <f ca="1">_xlfn.VAR.S(E6:E9)</f>
        <v>#NAME?</v>
      </c>
      <c r="N10" t="e">
        <f ca="1">DEVSQ(E6:E9)</f>
        <v>#NAME?</v>
      </c>
      <c r="O10" t="e">
        <f ca="1">SQRT(L17/J10)</f>
        <v>#NAME?</v>
      </c>
      <c r="P10" t="e">
        <f ca="1">L10-O10*_xlfn.T.INV.2T(O7,K17)</f>
        <v>#NAME?</v>
      </c>
      <c r="Q10" t="e">
        <f ca="1">L10+O10*_xlfn.T.INV.2T(O7,K17)</f>
        <v>#NAME?</v>
      </c>
    </row>
    <row r="11" spans="1:17" x14ac:dyDescent="0.35">
      <c r="A11" t="s">
        <v>159</v>
      </c>
      <c r="B11" s="396">
        <v>64.099999999999994</v>
      </c>
      <c r="D11" t="s">
        <v>842</v>
      </c>
      <c r="I11" t="e">
        <f ca="1">F5</f>
        <v>#NAME?</v>
      </c>
      <c r="J11">
        <f ca="1">COUNT(F6:F9)</f>
        <v>0</v>
      </c>
      <c r="K11" t="e">
        <f ca="1">SUM(F6:F9)</f>
        <v>#NAME?</v>
      </c>
      <c r="L11" t="e">
        <f ca="1">AVERAGE(F6:F9)</f>
        <v>#NAME?</v>
      </c>
      <c r="M11" t="e">
        <f ca="1">_xlfn.VAR.S(F6:F9)</f>
        <v>#NAME?</v>
      </c>
      <c r="N11" t="e">
        <f ca="1">DEVSQ(F6:F9)</f>
        <v>#NAME?</v>
      </c>
      <c r="O11" t="e">
        <f ca="1">SQRT(L17/J11)</f>
        <v>#NAME?</v>
      </c>
      <c r="P11" t="e">
        <f ca="1">L11-O11*_xlfn.T.INV.2T(O7,K17)</f>
        <v>#NAME?</v>
      </c>
      <c r="Q11" t="e">
        <f ca="1">L11+O11*_xlfn.T.INV.2T(O7,K17)</f>
        <v>#NAME?</v>
      </c>
    </row>
    <row r="12" spans="1:17" x14ac:dyDescent="0.35">
      <c r="A12" t="s">
        <v>161</v>
      </c>
      <c r="B12" s="396">
        <v>62.8</v>
      </c>
      <c r="I12" t="e">
        <f ca="1">G5</f>
        <v>#NAME?</v>
      </c>
      <c r="J12">
        <f ca="1">COUNT(G6:G9)</f>
        <v>0</v>
      </c>
      <c r="K12" t="e">
        <f ca="1">SUM(G6:G9)</f>
        <v>#NAME?</v>
      </c>
      <c r="L12" t="e">
        <f ca="1">AVERAGE(G6:G9)</f>
        <v>#NAME?</v>
      </c>
      <c r="M12" t="e">
        <f ca="1">_xlfn.VAR.S(G6:G9)</f>
        <v>#NAME?</v>
      </c>
      <c r="N12" t="e">
        <f ca="1">DEVSQ(G6:G9)</f>
        <v>#NAME?</v>
      </c>
      <c r="O12" t="e">
        <f ca="1">SQRT(L17/J12)</f>
        <v>#NAME?</v>
      </c>
      <c r="P12" t="e">
        <f ca="1">L12-O12*_xlfn.T.INV.2T(O7,K17)</f>
        <v>#NAME?</v>
      </c>
      <c r="Q12" t="e">
        <f ca="1">L12+O12*_xlfn.T.INV.2T(O7,K17)</f>
        <v>#NAME?</v>
      </c>
    </row>
    <row r="13" spans="1:17" x14ac:dyDescent="0.35">
      <c r="A13" t="s">
        <v>161</v>
      </c>
      <c r="B13" s="396">
        <v>45</v>
      </c>
      <c r="D13" t="s">
        <v>843</v>
      </c>
      <c r="E13" s="132">
        <v>4</v>
      </c>
      <c r="I13" s="139"/>
      <c r="J13" s="139"/>
      <c r="K13" s="139"/>
      <c r="L13" s="139"/>
      <c r="M13" s="139"/>
      <c r="N13" s="139"/>
      <c r="O13" s="139"/>
      <c r="P13" s="139"/>
      <c r="Q13" s="139"/>
    </row>
    <row r="14" spans="1:17" ht="15" thickBot="1" x14ac:dyDescent="0.4">
      <c r="A14" t="s">
        <v>161</v>
      </c>
      <c r="B14" s="396">
        <v>47.8</v>
      </c>
      <c r="D14" t="s">
        <v>844</v>
      </c>
      <c r="E14" s="99">
        <v>1000</v>
      </c>
      <c r="I14" t="s">
        <v>183</v>
      </c>
    </row>
    <row r="15" spans="1:17" ht="15" thickTop="1" x14ac:dyDescent="0.35">
      <c r="A15" t="s">
        <v>161</v>
      </c>
      <c r="B15" s="396">
        <v>75.599999999999994</v>
      </c>
      <c r="I15" s="94" t="s">
        <v>184</v>
      </c>
      <c r="J15" s="94" t="s">
        <v>179</v>
      </c>
      <c r="K15" s="94" t="s">
        <v>62</v>
      </c>
      <c r="L15" s="94" t="s">
        <v>185</v>
      </c>
      <c r="M15" s="94" t="s">
        <v>54</v>
      </c>
      <c r="N15" s="94" t="s">
        <v>186</v>
      </c>
      <c r="O15" s="94" t="s">
        <v>187</v>
      </c>
      <c r="P15" s="94" t="s">
        <v>188</v>
      </c>
      <c r="Q15" s="94" t="s">
        <v>189</v>
      </c>
    </row>
    <row r="16" spans="1:17" x14ac:dyDescent="0.35">
      <c r="A16" t="s">
        <v>160</v>
      </c>
      <c r="B16" s="396">
        <v>46.3</v>
      </c>
      <c r="D16" t="s">
        <v>65</v>
      </c>
      <c r="E16" s="137" t="e">
        <f ca="1">PERMANOVA(B4:B19,E13,E14)</f>
        <v>#NAME?</v>
      </c>
      <c r="I16" t="s">
        <v>190</v>
      </c>
      <c r="J16" t="e">
        <f ca="1">J18-J17</f>
        <v>#NAME?</v>
      </c>
      <c r="K16">
        <f ca="1">COUNTA(I9:I12)-1</f>
        <v>3</v>
      </c>
      <c r="L16" t="e">
        <f ca="1">J16/K16</f>
        <v>#NAME?</v>
      </c>
      <c r="M16" t="e">
        <f ca="1">L16/L17</f>
        <v>#NAME?</v>
      </c>
      <c r="N16" t="e">
        <f ca="1">_xlfn.F.DIST.RT(M16,K16,K17)</f>
        <v>#NAME?</v>
      </c>
      <c r="O16" t="e">
        <f ca="1">_xlfn.F.INV.RT(O7,K16,K17)</f>
        <v>#NUM!</v>
      </c>
      <c r="P16" t="e">
        <f ca="1">SQRT(DEVSQ(L9:L12)/(L17*K16))</f>
        <v>#NAME?</v>
      </c>
      <c r="Q16" t="e">
        <f ca="1">(J18-K18*L17)/(J18+L17)</f>
        <v>#NAME?</v>
      </c>
    </row>
    <row r="17" spans="1:17" x14ac:dyDescent="0.35">
      <c r="A17" t="s">
        <v>160</v>
      </c>
      <c r="B17" s="396">
        <v>61.5</v>
      </c>
      <c r="I17" t="s">
        <v>191</v>
      </c>
      <c r="J17" t="e">
        <f ca="1">SUM(N9:N12)</f>
        <v>#NAME?</v>
      </c>
      <c r="K17">
        <f ca="1">K18-K16</f>
        <v>-4</v>
      </c>
      <c r="L17" t="e">
        <f ca="1">J17/K17</f>
        <v>#NAME?</v>
      </c>
    </row>
    <row r="18" spans="1:17" x14ac:dyDescent="0.35">
      <c r="A18" t="s">
        <v>160</v>
      </c>
      <c r="B18" s="396">
        <v>62.9</v>
      </c>
      <c r="I18" s="40" t="s">
        <v>168</v>
      </c>
      <c r="J18" s="40" t="e">
        <f ca="1">DEVSQ(D6:G9)</f>
        <v>#NAME?</v>
      </c>
      <c r="K18" s="40">
        <f ca="1">COUNT(D6:G9)-1</f>
        <v>-1</v>
      </c>
      <c r="L18" s="40" t="e">
        <f ca="1">J18/K18</f>
        <v>#NAME?</v>
      </c>
      <c r="M18" s="40"/>
      <c r="N18" s="40"/>
      <c r="O18" s="40"/>
      <c r="P18" s="40"/>
      <c r="Q18" s="40"/>
    </row>
    <row r="19" spans="1:17" x14ac:dyDescent="0.35">
      <c r="A19" t="s">
        <v>160</v>
      </c>
      <c r="B19" s="397">
        <v>49.3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8"/>
  <dimension ref="A1:AC33"/>
  <sheetViews>
    <sheetView workbookViewId="0"/>
  </sheetViews>
  <sheetFormatPr defaultRowHeight="14.5" x14ac:dyDescent="0.35"/>
  <cols>
    <col min="6" max="6" width="6.26953125" customWidth="1"/>
    <col min="12" max="12" width="6.26953125" customWidth="1"/>
    <col min="13" max="14" width="10.81640625" customWidth="1"/>
    <col min="15" max="15" width="6.453125" customWidth="1"/>
    <col min="16" max="21" width="10.81640625" customWidth="1"/>
    <col min="22" max="22" width="10.453125" customWidth="1"/>
    <col min="29" max="29" width="9.1796875" customWidth="1"/>
  </cols>
  <sheetData>
    <row r="1" spans="1:29" x14ac:dyDescent="0.35">
      <c r="A1" s="42" t="s">
        <v>108</v>
      </c>
    </row>
    <row r="2" spans="1:29" x14ac:dyDescent="0.35">
      <c r="X2" t="s">
        <v>291</v>
      </c>
      <c r="AB2" t="s">
        <v>108</v>
      </c>
    </row>
    <row r="3" spans="1:29" x14ac:dyDescent="0.35">
      <c r="A3" t="s">
        <v>287</v>
      </c>
      <c r="G3" t="s">
        <v>288</v>
      </c>
      <c r="M3" t="s">
        <v>108</v>
      </c>
      <c r="Q3" s="32" t="s">
        <v>289</v>
      </c>
      <c r="R3" s="32" t="s">
        <v>123</v>
      </c>
      <c r="S3" s="32" t="s">
        <v>124</v>
      </c>
      <c r="T3" s="32" t="s">
        <v>109</v>
      </c>
      <c r="U3" s="32" t="s">
        <v>110</v>
      </c>
      <c r="V3" s="32" t="s">
        <v>122</v>
      </c>
    </row>
    <row r="4" spans="1:29" x14ac:dyDescent="0.35">
      <c r="P4" t="s">
        <v>287</v>
      </c>
      <c r="Q4" s="145">
        <v>6</v>
      </c>
      <c r="R4" s="139">
        <f>1/Q4</f>
        <v>0.16666666666666666</v>
      </c>
      <c r="S4" s="139">
        <f>R4^2</f>
        <v>2.7777777777777776E-2</v>
      </c>
      <c r="T4" s="139">
        <f>MDETERM(A5:E9)</f>
        <v>1.0473579666471442E+16</v>
      </c>
      <c r="U4" s="139">
        <f>LN(T4)</f>
        <v>36.887632258825739</v>
      </c>
      <c r="V4" s="139">
        <f>U4*Q4</f>
        <v>221.32579355295445</v>
      </c>
      <c r="Y4" t="s">
        <v>292</v>
      </c>
      <c r="Z4" t="s">
        <v>293</v>
      </c>
      <c r="AB4" t="s">
        <v>113</v>
      </c>
      <c r="AC4" s="146" t="e">
        <f t="array" aca="1" ref="AC4:AC8" ca="1">BOX(Y5:Z7,5)</f>
        <v>#NAME?</v>
      </c>
    </row>
    <row r="5" spans="1:29" x14ac:dyDescent="0.35">
      <c r="A5" s="138">
        <v>5971.1428571428569</v>
      </c>
      <c r="B5" s="139">
        <v>2240.1428571428573</v>
      </c>
      <c r="C5" s="139">
        <v>2635.9761904761899</v>
      </c>
      <c r="D5" s="139">
        <v>2408.5952380952376</v>
      </c>
      <c r="E5" s="140">
        <v>3615.4523809523807</v>
      </c>
      <c r="F5" s="37"/>
      <c r="G5" s="138">
        <v>937.61904761904748</v>
      </c>
      <c r="H5" s="139">
        <v>181.30952380952377</v>
      </c>
      <c r="I5" s="139">
        <v>432.38095238095235</v>
      </c>
      <c r="J5" s="139">
        <v>-228.64285714285711</v>
      </c>
      <c r="K5" s="140">
        <v>124.33333333333329</v>
      </c>
      <c r="M5" t="s">
        <v>53</v>
      </c>
      <c r="N5" s="146">
        <f>COUNTA(A5:E5)</f>
        <v>5</v>
      </c>
      <c r="P5" t="s">
        <v>290</v>
      </c>
      <c r="Q5" s="73">
        <f>Q4</f>
        <v>6</v>
      </c>
      <c r="R5" s="37">
        <f>1/Q5</f>
        <v>0.16666666666666666</v>
      </c>
      <c r="S5" s="37">
        <f>R5^2</f>
        <v>2.7777777777777776E-2</v>
      </c>
      <c r="T5" s="37">
        <f>MDETERM(A13:E17)</f>
        <v>4.5544512692109672E+16</v>
      </c>
      <c r="U5" s="37">
        <f>LN(T5)</f>
        <v>38.357466543568599</v>
      </c>
      <c r="V5" s="37">
        <f>U5*Q5</f>
        <v>230.14479926141161</v>
      </c>
      <c r="X5" t="s">
        <v>287</v>
      </c>
      <c r="Y5" s="138">
        <f>A5</f>
        <v>5971.1428571428569</v>
      </c>
      <c r="Z5" s="140">
        <v>7</v>
      </c>
      <c r="AB5" t="s">
        <v>55</v>
      </c>
      <c r="AC5" s="49" t="e">
        <f ca="1"/>
        <v>#NAME?</v>
      </c>
    </row>
    <row r="6" spans="1:29" x14ac:dyDescent="0.35">
      <c r="A6" s="36">
        <v>2240.1428571428573</v>
      </c>
      <c r="B6" s="37">
        <v>2915.1428571428573</v>
      </c>
      <c r="C6" s="37">
        <v>3314.8095238095239</v>
      </c>
      <c r="D6" s="37">
        <v>1553.0952380952378</v>
      </c>
      <c r="E6" s="38">
        <v>2755.9523809523803</v>
      </c>
      <c r="F6" s="37"/>
      <c r="G6" s="36">
        <v>181.30952380952377</v>
      </c>
      <c r="H6" s="37">
        <v>4400.9047619047624</v>
      </c>
      <c r="I6" s="37">
        <v>1918.0238095238096</v>
      </c>
      <c r="J6" s="37">
        <v>2596.0952380952376</v>
      </c>
      <c r="K6" s="38">
        <v>2264.9999999999995</v>
      </c>
      <c r="M6" t="s">
        <v>111</v>
      </c>
      <c r="N6" s="52">
        <f>COUNTA(P4:P6)</f>
        <v>3</v>
      </c>
      <c r="P6" t="s">
        <v>288</v>
      </c>
      <c r="Q6" s="73">
        <f>Q4</f>
        <v>6</v>
      </c>
      <c r="R6" s="37">
        <f>1/Q6</f>
        <v>0.16666666666666666</v>
      </c>
      <c r="S6" s="37">
        <f>R6^2</f>
        <v>2.7777777777777776E-2</v>
      </c>
      <c r="T6" s="37">
        <f>MDETERM(G5:K9)</f>
        <v>1.8162198398096784E+16</v>
      </c>
      <c r="U6" s="37">
        <f>LN(T6)</f>
        <v>37.438118817920923</v>
      </c>
      <c r="V6" s="37">
        <f>U6*Q6</f>
        <v>224.62871290752554</v>
      </c>
      <c r="X6" t="s">
        <v>290</v>
      </c>
      <c r="Y6" s="36">
        <f>A13</f>
        <v>4377.6190476190468</v>
      </c>
      <c r="Z6" s="38">
        <v>7</v>
      </c>
      <c r="AB6" t="s">
        <v>56</v>
      </c>
      <c r="AC6" s="49" t="e">
        <f ca="1"/>
        <v>#NAME?</v>
      </c>
    </row>
    <row r="7" spans="1:29" x14ac:dyDescent="0.35">
      <c r="A7" s="36">
        <v>2635.9761904761899</v>
      </c>
      <c r="B7" s="37">
        <v>3314.8095238095239</v>
      </c>
      <c r="C7" s="37">
        <v>4241.1428571428569</v>
      </c>
      <c r="D7" s="37">
        <v>2092.2619047619046</v>
      </c>
      <c r="E7" s="38">
        <v>3222.4523809523807</v>
      </c>
      <c r="F7" s="37"/>
      <c r="G7" s="36">
        <v>432.38095238095235</v>
      </c>
      <c r="H7" s="37">
        <v>1918.0238095238096</v>
      </c>
      <c r="I7" s="37">
        <v>3550.6190476190468</v>
      </c>
      <c r="J7" s="37">
        <v>1563.9761904761904</v>
      </c>
      <c r="K7" s="38">
        <v>1917</v>
      </c>
      <c r="P7" t="s">
        <v>112</v>
      </c>
      <c r="Q7" s="74">
        <f>SUM(Q4:Q6)</f>
        <v>18</v>
      </c>
      <c r="R7" s="40">
        <f>1/Q7</f>
        <v>5.5555555555555552E-2</v>
      </c>
      <c r="S7" s="40">
        <f>R7^2</f>
        <v>3.0864197530864196E-3</v>
      </c>
      <c r="T7" s="40">
        <f>MDETERM(G13:K17)</f>
        <v>1.4203888611701739E+17</v>
      </c>
      <c r="U7" s="40">
        <f>LN(T7)</f>
        <v>39.494877260917491</v>
      </c>
      <c r="V7" s="40">
        <f>U7*Q7</f>
        <v>710.90779069651489</v>
      </c>
      <c r="X7" t="s">
        <v>288</v>
      </c>
      <c r="Y7" s="39">
        <f>G5</f>
        <v>937.61904761904748</v>
      </c>
      <c r="Z7" s="41">
        <v>7</v>
      </c>
      <c r="AB7" t="s">
        <v>54</v>
      </c>
      <c r="AC7" s="49" t="e">
        <f ca="1"/>
        <v>#NAME?</v>
      </c>
    </row>
    <row r="8" spans="1:29" x14ac:dyDescent="0.35">
      <c r="A8" s="36">
        <v>2408.5952380952376</v>
      </c>
      <c r="B8" s="37">
        <v>1553.0952380952378</v>
      </c>
      <c r="C8" s="37">
        <v>2092.2619047619046</v>
      </c>
      <c r="D8" s="37">
        <v>3318.2857142857147</v>
      </c>
      <c r="E8" s="38">
        <v>1225.6904761904761</v>
      </c>
      <c r="F8" s="37"/>
      <c r="G8" s="36">
        <v>-228.64285714285711</v>
      </c>
      <c r="H8" s="37">
        <v>2596.0952380952376</v>
      </c>
      <c r="I8" s="37">
        <v>1563.9761904761904</v>
      </c>
      <c r="J8" s="37">
        <v>2882.9047619047619</v>
      </c>
      <c r="K8" s="38">
        <v>2364.1666666666665</v>
      </c>
      <c r="P8" t="s">
        <v>96</v>
      </c>
      <c r="R8">
        <f>SUM(R4:R6)-R7</f>
        <v>0.44444444444444442</v>
      </c>
      <c r="S8">
        <f>SUM(S4:S6)-S7</f>
        <v>8.0246913580246909E-2</v>
      </c>
      <c r="V8" s="37">
        <f>V7-SUM(V4:V6)</f>
        <v>34.808484974623298</v>
      </c>
      <c r="AB8" t="s">
        <v>65</v>
      </c>
      <c r="AC8" s="52" t="e">
        <f ca="1"/>
        <v>#NAME?</v>
      </c>
    </row>
    <row r="9" spans="1:29" x14ac:dyDescent="0.35">
      <c r="A9" s="39">
        <v>3615.4523809523807</v>
      </c>
      <c r="B9" s="40">
        <v>2755.9523809523803</v>
      </c>
      <c r="C9" s="40">
        <v>3222.4523809523807</v>
      </c>
      <c r="D9" s="40">
        <v>1225.6904761904761</v>
      </c>
      <c r="E9" s="41">
        <v>4318.9047619047615</v>
      </c>
      <c r="F9" s="37"/>
      <c r="G9" s="39">
        <v>124.33333333333329</v>
      </c>
      <c r="H9" s="40">
        <v>2264.9999999999995</v>
      </c>
      <c r="I9" s="40">
        <v>1917</v>
      </c>
      <c r="J9" s="40">
        <v>2364.1666666666665</v>
      </c>
      <c r="K9" s="41">
        <v>3680.333333333333</v>
      </c>
    </row>
    <row r="11" spans="1:29" x14ac:dyDescent="0.35">
      <c r="A11" t="s">
        <v>290</v>
      </c>
      <c r="G11" t="s">
        <v>112</v>
      </c>
      <c r="M11" t="s">
        <v>113</v>
      </c>
      <c r="N11" s="146">
        <f>V8</f>
        <v>34.808484974623298</v>
      </c>
      <c r="P11" t="s">
        <v>283</v>
      </c>
      <c r="Q11" s="146">
        <f>(N5-1)*(N5+2)/(6*(N6-1))*S8</f>
        <v>0.18724279835390947</v>
      </c>
    </row>
    <row r="12" spans="1:29" x14ac:dyDescent="0.35">
      <c r="M12" t="s">
        <v>114</v>
      </c>
      <c r="N12" s="49">
        <f>(2*N5^2+3*N5-1)/(6*(N5+1)*(N6-1))*R8</f>
        <v>0.39506172839506171</v>
      </c>
      <c r="P12" t="s">
        <v>56</v>
      </c>
      <c r="Q12" s="49">
        <f>(N14+2)/ABS(Q11-N12^2)</f>
        <v>1026.6601466992654</v>
      </c>
    </row>
    <row r="13" spans="1:29" x14ac:dyDescent="0.35">
      <c r="A13" s="138">
        <v>4377.6190476190468</v>
      </c>
      <c r="B13" s="139">
        <v>1656.2619047619046</v>
      </c>
      <c r="C13" s="139">
        <v>-896.38095238095229</v>
      </c>
      <c r="D13" s="139">
        <v>-549.95238095238096</v>
      </c>
      <c r="E13" s="140">
        <v>-168.92857142857133</v>
      </c>
      <c r="F13" s="37"/>
      <c r="G13" s="138">
        <v>3762.1269841269841</v>
      </c>
      <c r="H13" s="139">
        <v>1359.2380952380952</v>
      </c>
      <c r="I13" s="139">
        <v>723.99206349206327</v>
      </c>
      <c r="J13" s="139">
        <v>543.33333333333314</v>
      </c>
      <c r="K13" s="140">
        <v>1190.2857142857142</v>
      </c>
      <c r="M13" s="71" t="s">
        <v>115</v>
      </c>
      <c r="N13" s="49">
        <f>N11*(1-N12)</f>
        <v>21.056984737735082</v>
      </c>
      <c r="P13" t="s">
        <v>116</v>
      </c>
      <c r="Q13" s="49">
        <f>N14/(1-N12-N14/Q12)</f>
        <v>52.108907696507906</v>
      </c>
    </row>
    <row r="14" spans="1:29" x14ac:dyDescent="0.35">
      <c r="A14" s="36">
        <v>1656.2619047619046</v>
      </c>
      <c r="B14" s="37">
        <v>2236.8095238095239</v>
      </c>
      <c r="C14" s="37">
        <v>1085.4285714285711</v>
      </c>
      <c r="D14" s="37">
        <v>888.73809523809507</v>
      </c>
      <c r="E14" s="38">
        <v>2671.8571428571427</v>
      </c>
      <c r="F14" s="37"/>
      <c r="G14" s="36">
        <v>1359.2380952380952</v>
      </c>
      <c r="H14" s="37">
        <v>3184.2857142857151</v>
      </c>
      <c r="I14" s="37">
        <v>2106.0873015873017</v>
      </c>
      <c r="J14" s="37">
        <v>1679.3095238095236</v>
      </c>
      <c r="K14" s="38">
        <v>2564.269841269841</v>
      </c>
      <c r="M14" s="71" t="s">
        <v>62</v>
      </c>
      <c r="N14" s="49">
        <f>N5*(N5+1)*(N6-1)/2</f>
        <v>30</v>
      </c>
      <c r="P14" t="s">
        <v>117</v>
      </c>
      <c r="Q14" s="49">
        <f>Q12/(1-N12+2/Q12)</f>
        <v>1691.6843994114142</v>
      </c>
    </row>
    <row r="15" spans="1:29" x14ac:dyDescent="0.35">
      <c r="A15" s="36">
        <v>-896.38095238095229</v>
      </c>
      <c r="B15" s="37">
        <v>1085.4285714285711</v>
      </c>
      <c r="C15" s="37">
        <v>5699.2857142857138</v>
      </c>
      <c r="D15" s="37">
        <v>3818.0476190476193</v>
      </c>
      <c r="E15" s="38">
        <v>2991.7380952380954</v>
      </c>
      <c r="F15" s="37"/>
      <c r="G15" s="36">
        <v>723.99206349206327</v>
      </c>
      <c r="H15" s="37">
        <v>2106.0873015873017</v>
      </c>
      <c r="I15" s="37">
        <v>4497.0158730158728</v>
      </c>
      <c r="J15" s="37">
        <v>2491.4285714285711</v>
      </c>
      <c r="K15" s="38">
        <v>2710.3968253968255</v>
      </c>
      <c r="M15" s="71" t="s">
        <v>65</v>
      </c>
      <c r="N15" s="49">
        <f>CHIDIST(N13,N14)</f>
        <v>0.88609754039959765</v>
      </c>
      <c r="P15" t="s">
        <v>118</v>
      </c>
      <c r="Q15" s="49">
        <f>N11/Q13</f>
        <v>0.66799490746101364</v>
      </c>
    </row>
    <row r="16" spans="1:29" x14ac:dyDescent="0.35">
      <c r="A16" s="36">
        <v>-549.95238095238096</v>
      </c>
      <c r="B16" s="37">
        <v>888.73809523809507</v>
      </c>
      <c r="C16" s="37">
        <v>3818.0476190476193</v>
      </c>
      <c r="D16" s="37">
        <v>3628.9523809523803</v>
      </c>
      <c r="E16" s="38">
        <v>1338.7619047619048</v>
      </c>
      <c r="F16" s="37"/>
      <c r="G16" s="36">
        <v>543.33333333333314</v>
      </c>
      <c r="H16" s="37">
        <v>1679.3095238095236</v>
      </c>
      <c r="I16" s="37">
        <v>2491.4285714285711</v>
      </c>
      <c r="J16" s="37">
        <v>3276.7142857142858</v>
      </c>
      <c r="K16" s="38">
        <v>1642.8730158730159</v>
      </c>
      <c r="M16" s="71" t="s">
        <v>57</v>
      </c>
      <c r="N16" s="49">
        <v>1E-3</v>
      </c>
      <c r="P16" t="s">
        <v>119</v>
      </c>
      <c r="Q16" s="49">
        <f>Q12*N11/(N14*(Q14-N11))</f>
        <v>0.71895314104986463</v>
      </c>
    </row>
    <row r="17" spans="1:17" x14ac:dyDescent="0.35">
      <c r="A17" s="39">
        <v>-168.92857142857133</v>
      </c>
      <c r="B17" s="40">
        <v>2671.8571428571427</v>
      </c>
      <c r="C17" s="40">
        <v>2991.7380952380954</v>
      </c>
      <c r="D17" s="40">
        <v>1338.7619047619048</v>
      </c>
      <c r="E17" s="41">
        <v>6914.4761904761908</v>
      </c>
      <c r="F17" s="37"/>
      <c r="G17" s="39">
        <v>1190.2857142857142</v>
      </c>
      <c r="H17" s="40">
        <v>2564.269841269841</v>
      </c>
      <c r="I17" s="40">
        <v>2710.3968253968255</v>
      </c>
      <c r="J17" s="40">
        <v>1642.8730158730159</v>
      </c>
      <c r="K17" s="41">
        <v>4971.2380952380954</v>
      </c>
      <c r="M17" s="71" t="s">
        <v>120</v>
      </c>
      <c r="N17" s="49">
        <f>CHIINV(N16,N14)</f>
        <v>59.70306430442993</v>
      </c>
      <c r="P17" t="s">
        <v>54</v>
      </c>
      <c r="Q17" s="49">
        <f>IF(Q11&gt;N12^2,Q15,Q16)</f>
        <v>0.66799490746101364</v>
      </c>
    </row>
    <row r="18" spans="1:17" x14ac:dyDescent="0.35">
      <c r="M18" s="71" t="s">
        <v>60</v>
      </c>
      <c r="N18" s="51" t="str">
        <f>IF(N15&lt;N16,"yes","no")</f>
        <v>no</v>
      </c>
      <c r="P18" t="s">
        <v>65</v>
      </c>
      <c r="Q18" s="49">
        <f>FDIST(Q17,N14,Q12)</f>
        <v>0.91347717728266986</v>
      </c>
    </row>
    <row r="19" spans="1:17" x14ac:dyDescent="0.35">
      <c r="P19" t="s">
        <v>58</v>
      </c>
      <c r="Q19" s="49">
        <f>FINV(N16,N14,Q12)</f>
        <v>2.020965765571419</v>
      </c>
    </row>
    <row r="20" spans="1:17" x14ac:dyDescent="0.35">
      <c r="P20" t="s">
        <v>60</v>
      </c>
      <c r="Q20" s="51" t="str">
        <f>IF(Q18&lt;N16,"yes","no")</f>
        <v>no</v>
      </c>
    </row>
    <row r="21" spans="1:17" x14ac:dyDescent="0.35">
      <c r="F21" s="37"/>
      <c r="G21" s="37"/>
      <c r="J21" s="37"/>
      <c r="K21" s="37"/>
    </row>
    <row r="22" spans="1:17" x14ac:dyDescent="0.35">
      <c r="F22" s="37"/>
      <c r="G22" s="37"/>
      <c r="J22" s="37"/>
      <c r="K22" s="37"/>
    </row>
    <row r="23" spans="1:17" x14ac:dyDescent="0.35">
      <c r="F23" s="37"/>
      <c r="G23" s="37"/>
      <c r="J23" s="37"/>
      <c r="K23" s="37"/>
    </row>
    <row r="24" spans="1:17" x14ac:dyDescent="0.35">
      <c r="F24" s="37"/>
      <c r="G24" s="37"/>
      <c r="J24" s="37"/>
      <c r="K24" s="37"/>
    </row>
    <row r="25" spans="1:17" x14ac:dyDescent="0.35">
      <c r="F25" s="37"/>
      <c r="G25" s="37"/>
      <c r="J25" s="37"/>
      <c r="K25" s="37"/>
    </row>
    <row r="29" spans="1:17" x14ac:dyDescent="0.35">
      <c r="F29" s="37"/>
      <c r="G29" s="37"/>
      <c r="H29" s="37"/>
      <c r="I29" s="37"/>
      <c r="J29" s="37"/>
      <c r="K29" s="37"/>
    </row>
    <row r="30" spans="1:17" x14ac:dyDescent="0.35">
      <c r="F30" s="37"/>
      <c r="G30" s="37"/>
      <c r="H30" s="37"/>
      <c r="I30" s="37"/>
      <c r="J30" s="37"/>
      <c r="K30" s="37"/>
    </row>
    <row r="31" spans="1:17" x14ac:dyDescent="0.35">
      <c r="F31" s="37"/>
      <c r="G31" s="37"/>
      <c r="H31" s="37"/>
      <c r="I31" s="37"/>
      <c r="J31" s="37"/>
      <c r="K31" s="37"/>
    </row>
    <row r="32" spans="1:17" x14ac:dyDescent="0.35">
      <c r="F32" s="37"/>
      <c r="G32" s="37"/>
      <c r="H32" s="37"/>
      <c r="I32" s="37"/>
      <c r="J32" s="37"/>
      <c r="K32" s="37"/>
    </row>
    <row r="33" spans="6:11" x14ac:dyDescent="0.35">
      <c r="F33" s="37"/>
      <c r="G33" s="37"/>
      <c r="H33" s="37"/>
      <c r="I33" s="37"/>
      <c r="J33" s="37"/>
      <c r="K33" s="3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3"/>
  <dimension ref="A1:BF129"/>
  <sheetViews>
    <sheetView zoomScaleNormal="100" workbookViewId="0"/>
  </sheetViews>
  <sheetFormatPr defaultRowHeight="14.5" x14ac:dyDescent="0.35"/>
  <cols>
    <col min="1" max="1" width="5.7265625" customWidth="1"/>
    <col min="2" max="10" width="10.26953125" customWidth="1"/>
    <col min="44" max="44" width="5" customWidth="1"/>
    <col min="46" max="46" width="4.81640625" customWidth="1"/>
    <col min="48" max="48" width="4.7265625" customWidth="1"/>
  </cols>
  <sheetData>
    <row r="1" spans="1:58" x14ac:dyDescent="0.35">
      <c r="A1" s="42" t="s">
        <v>370</v>
      </c>
      <c r="L1" s="42" t="s">
        <v>39</v>
      </c>
      <c r="AH1" s="42" t="s">
        <v>227</v>
      </c>
    </row>
    <row r="3" spans="1:58" s="47" customFormat="1" x14ac:dyDescent="0.35"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M3" s="47" t="str">
        <f t="array" ref="M3:U3">B3:J3</f>
        <v>Expect</v>
      </c>
      <c r="N3" s="47" t="str">
        <v>Entertain</v>
      </c>
      <c r="O3" s="47" t="str">
        <v>Comm</v>
      </c>
      <c r="P3" s="47" t="str">
        <v>Expert</v>
      </c>
      <c r="Q3" s="47" t="str">
        <v>Motivate</v>
      </c>
      <c r="R3" s="47" t="str">
        <v>Caring</v>
      </c>
      <c r="S3" s="47" t="str">
        <v>Charisma</v>
      </c>
      <c r="T3" s="47" t="str">
        <v>Passion</v>
      </c>
      <c r="U3" s="47" t="str">
        <v>Friendly</v>
      </c>
      <c r="X3" s="47" t="s">
        <v>371</v>
      </c>
      <c r="Y3" s="47" t="s">
        <v>372</v>
      </c>
      <c r="Z3" s="47" t="s">
        <v>373</v>
      </c>
      <c r="AA3" s="47" t="s">
        <v>376</v>
      </c>
      <c r="AB3" s="47" t="s">
        <v>377</v>
      </c>
      <c r="AC3" s="47" t="s">
        <v>374</v>
      </c>
      <c r="AD3" s="47" t="s">
        <v>375</v>
      </c>
      <c r="AE3" s="47" t="s">
        <v>378</v>
      </c>
      <c r="AF3" s="47" t="s">
        <v>379</v>
      </c>
      <c r="AI3" s="47" t="str">
        <f t="array" ref="AI3:AQ3">M3:U3</f>
        <v>Expect</v>
      </c>
      <c r="AJ3" s="47" t="str">
        <v>Entertain</v>
      </c>
      <c r="AK3" s="47" t="str">
        <v>Comm</v>
      </c>
      <c r="AL3" s="47" t="str">
        <v>Expert</v>
      </c>
      <c r="AM3" s="47" t="str">
        <v>Motivate</v>
      </c>
      <c r="AN3" s="47" t="str">
        <v>Caring</v>
      </c>
      <c r="AO3" s="47" t="str">
        <v>Charisma</v>
      </c>
      <c r="AP3" s="47" t="str">
        <v>Passion</v>
      </c>
      <c r="AQ3" s="47" t="str">
        <v>Friendly</v>
      </c>
      <c r="AW3"/>
      <c r="AX3"/>
      <c r="AY3"/>
      <c r="AZ3"/>
      <c r="BA3"/>
      <c r="BB3"/>
      <c r="BC3"/>
      <c r="BD3"/>
      <c r="BE3"/>
      <c r="BF3"/>
    </row>
    <row r="4" spans="1:58" x14ac:dyDescent="0.35">
      <c r="A4">
        <v>1</v>
      </c>
      <c r="B4" s="201">
        <v>2</v>
      </c>
      <c r="C4" s="202">
        <v>8</v>
      </c>
      <c r="D4" s="202">
        <v>1</v>
      </c>
      <c r="E4" s="202">
        <v>4</v>
      </c>
      <c r="F4" s="202">
        <v>7</v>
      </c>
      <c r="G4" s="202">
        <v>5</v>
      </c>
      <c r="H4" s="202">
        <v>4</v>
      </c>
      <c r="I4" s="202">
        <v>4</v>
      </c>
      <c r="J4" s="203">
        <v>8</v>
      </c>
      <c r="L4" t="str">
        <f t="array" ref="L4:L12">TRANSPOSE(M3:U3)</f>
        <v>Expect</v>
      </c>
      <c r="M4" s="156" t="e">
        <f t="array" aca="1" ref="M4:U12" ca="1">CORR(B4:J123)</f>
        <v>#NAME?</v>
      </c>
      <c r="N4" s="157" t="e">
        <f ca="1"/>
        <v>#NAME?</v>
      </c>
      <c r="O4" s="157" t="e">
        <f ca="1"/>
        <v>#NAME?</v>
      </c>
      <c r="P4" s="157" t="e">
        <f ca="1"/>
        <v>#NAME?</v>
      </c>
      <c r="Q4" s="157" t="e">
        <f ca="1"/>
        <v>#NAME?</v>
      </c>
      <c r="R4" s="157" t="e">
        <f ca="1"/>
        <v>#NAME?</v>
      </c>
      <c r="S4" s="157" t="e">
        <f ca="1"/>
        <v>#NAME?</v>
      </c>
      <c r="T4" s="157" t="e">
        <f ca="1"/>
        <v>#NAME?</v>
      </c>
      <c r="U4" s="158" t="e">
        <f ca="1"/>
        <v>#NAME?</v>
      </c>
      <c r="W4">
        <v>1</v>
      </c>
      <c r="X4" s="156">
        <f t="shared" ref="X4:AF32" si="0">STANDARDIZE(B4,B$126,B$127)</f>
        <v>-1.349169127354642</v>
      </c>
      <c r="Y4" s="157">
        <f t="shared" si="0"/>
        <v>-0.29238417492594532</v>
      </c>
      <c r="Z4" s="157">
        <f t="shared" si="0"/>
        <v>-1.4854848104327987</v>
      </c>
      <c r="AA4" s="157">
        <f t="shared" si="0"/>
        <v>0.60812434450388564</v>
      </c>
      <c r="AB4" s="157">
        <f t="shared" si="0"/>
        <v>0.30504398370210595</v>
      </c>
      <c r="AC4" s="157">
        <f t="shared" si="0"/>
        <v>-0.73660266912250705</v>
      </c>
      <c r="AD4" s="157">
        <f t="shared" si="0"/>
        <v>-0.32502325131756366</v>
      </c>
      <c r="AE4" s="157">
        <f t="shared" si="0"/>
        <v>-0.76129058458721444</v>
      </c>
      <c r="AF4" s="158">
        <f t="shared" si="0"/>
        <v>1.1896601456449316</v>
      </c>
      <c r="AH4" t="str">
        <f t="array" ref="AH4:AH12">L4:L12</f>
        <v>Expect</v>
      </c>
      <c r="AI4" s="156" t="e">
        <f t="array" aca="1" ref="AI4:AQ12" ca="1">COV(B4:J123)</f>
        <v>#NAME?</v>
      </c>
      <c r="AJ4" s="157" t="e">
        <f ca="1"/>
        <v>#NAME?</v>
      </c>
      <c r="AK4" s="157" t="e">
        <f ca="1"/>
        <v>#NAME?</v>
      </c>
      <c r="AL4" s="157" t="e">
        <f ca="1"/>
        <v>#NAME?</v>
      </c>
      <c r="AM4" s="157" t="e">
        <f ca="1"/>
        <v>#NAME?</v>
      </c>
      <c r="AN4" s="157" t="e">
        <f ca="1"/>
        <v>#NAME?</v>
      </c>
      <c r="AO4" s="157" t="e">
        <f ca="1"/>
        <v>#NAME?</v>
      </c>
      <c r="AP4" s="157" t="e">
        <f ca="1"/>
        <v>#NAME?</v>
      </c>
      <c r="AQ4" s="158" t="e">
        <f ca="1"/>
        <v>#NAME?</v>
      </c>
    </row>
    <row r="5" spans="1:58" x14ac:dyDescent="0.35">
      <c r="A5">
        <v>2</v>
      </c>
      <c r="B5" s="36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L5" t="str">
        <v>Entertain</v>
      </c>
      <c r="M5" s="123" t="e">
        <f ca="1"/>
        <v>#NAME?</v>
      </c>
      <c r="N5" s="37" t="e">
        <f ca="1"/>
        <v>#NAME?</v>
      </c>
      <c r="O5" s="37" t="e">
        <f ca="1"/>
        <v>#NAME?</v>
      </c>
      <c r="P5" s="37" t="e">
        <f ca="1"/>
        <v>#NAME?</v>
      </c>
      <c r="Q5" s="37" t="e">
        <f ca="1"/>
        <v>#NAME?</v>
      </c>
      <c r="R5" s="37" t="e">
        <f ca="1"/>
        <v>#NAME?</v>
      </c>
      <c r="S5" s="37" t="e">
        <f ca="1"/>
        <v>#NAME?</v>
      </c>
      <c r="T5" s="37" t="e">
        <f ca="1"/>
        <v>#NAME?</v>
      </c>
      <c r="U5" s="90" t="e">
        <f ca="1"/>
        <v>#NAME?</v>
      </c>
      <c r="W5">
        <f>W4+1</f>
        <v>2</v>
      </c>
      <c r="X5" s="123">
        <f t="shared" si="0"/>
        <v>0.23034594857274363</v>
      </c>
      <c r="Y5" s="37">
        <f t="shared" si="0"/>
        <v>-0.29238417492594532</v>
      </c>
      <c r="Z5" s="37">
        <f t="shared" si="0"/>
        <v>0.93979651272279086</v>
      </c>
      <c r="AA5" s="37">
        <f t="shared" si="0"/>
        <v>-0.378023241178091</v>
      </c>
      <c r="AB5" s="37">
        <f t="shared" si="0"/>
        <v>0.30504398370210595</v>
      </c>
      <c r="AC5" s="37">
        <f t="shared" si="0"/>
        <v>0.72442741839320879</v>
      </c>
      <c r="AD5" s="37">
        <f t="shared" si="0"/>
        <v>0.8334754662499898</v>
      </c>
      <c r="AE5" s="37">
        <f t="shared" si="0"/>
        <v>1.3388213728947576</v>
      </c>
      <c r="AF5" s="90">
        <f t="shared" si="0"/>
        <v>-2.2093688419120152</v>
      </c>
      <c r="AH5" t="str">
        <v>Entertain</v>
      </c>
      <c r="AI5" s="123" t="e">
        <f ca="1"/>
        <v>#NAME?</v>
      </c>
      <c r="AJ5" s="37" t="e">
        <f ca="1"/>
        <v>#NAME?</v>
      </c>
      <c r="AK5" s="37" t="e">
        <f ca="1"/>
        <v>#NAME?</v>
      </c>
      <c r="AL5" s="37" t="e">
        <f ca="1"/>
        <v>#NAME?</v>
      </c>
      <c r="AM5" s="37" t="e">
        <f ca="1"/>
        <v>#NAME?</v>
      </c>
      <c r="AN5" s="37" t="e">
        <f ca="1"/>
        <v>#NAME?</v>
      </c>
      <c r="AO5" s="37" t="e">
        <f ca="1"/>
        <v>#NAME?</v>
      </c>
      <c r="AP5" s="37" t="e">
        <f ca="1"/>
        <v>#NAME?</v>
      </c>
      <c r="AQ5" s="90" t="e">
        <f ca="1"/>
        <v>#NAME?</v>
      </c>
    </row>
    <row r="6" spans="1:58" x14ac:dyDescent="0.35">
      <c r="A6">
        <v>3</v>
      </c>
      <c r="B6" s="36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tr">
        <v>Comm</v>
      </c>
      <c r="M6" s="123" t="e">
        <f ca="1"/>
        <v>#NAME?</v>
      </c>
      <c r="N6" s="37" t="e">
        <f ca="1"/>
        <v>#NAME?</v>
      </c>
      <c r="O6" s="37" t="e">
        <f ca="1"/>
        <v>#NAME?</v>
      </c>
      <c r="P6" s="37" t="e">
        <f ca="1"/>
        <v>#NAME?</v>
      </c>
      <c r="Q6" s="37" t="e">
        <f ca="1"/>
        <v>#NAME?</v>
      </c>
      <c r="R6" s="37" t="e">
        <f ca="1"/>
        <v>#NAME?</v>
      </c>
      <c r="S6" s="37" t="e">
        <f ca="1"/>
        <v>#NAME?</v>
      </c>
      <c r="T6" s="37" t="e">
        <f ca="1"/>
        <v>#NAME?</v>
      </c>
      <c r="U6" s="90" t="e">
        <f ca="1"/>
        <v>#NAME?</v>
      </c>
      <c r="W6">
        <f t="shared" ref="W6:W69" si="1">W5+1</f>
        <v>3</v>
      </c>
      <c r="X6" s="123">
        <f t="shared" si="0"/>
        <v>-1.349169127354642</v>
      </c>
      <c r="Y6" s="37">
        <f t="shared" si="0"/>
        <v>-0.29238417492594532</v>
      </c>
      <c r="Z6" s="37">
        <f t="shared" si="0"/>
        <v>-0.87916447964390132</v>
      </c>
      <c r="AA6" s="37">
        <f t="shared" si="0"/>
        <v>-0.378023241178091</v>
      </c>
      <c r="AB6" s="37">
        <f t="shared" si="0"/>
        <v>-0.74082110327654205</v>
      </c>
      <c r="AC6" s="37">
        <f t="shared" si="0"/>
        <v>0.72442741839320879</v>
      </c>
      <c r="AD6" s="37">
        <f t="shared" si="0"/>
        <v>-1.4835219688851171</v>
      </c>
      <c r="AE6" s="37">
        <f t="shared" si="0"/>
        <v>-1.8113465633282004</v>
      </c>
      <c r="AF6" s="90">
        <f t="shared" si="0"/>
        <v>-0.50985434813354169</v>
      </c>
      <c r="AH6" t="str">
        <v>Comm</v>
      </c>
      <c r="AI6" s="123" t="e">
        <f ca="1"/>
        <v>#NAME?</v>
      </c>
      <c r="AJ6" s="37" t="e">
        <f ca="1"/>
        <v>#NAME?</v>
      </c>
      <c r="AK6" s="37" t="e">
        <f ca="1"/>
        <v>#NAME?</v>
      </c>
      <c r="AL6" s="37" t="e">
        <f ca="1"/>
        <v>#NAME?</v>
      </c>
      <c r="AM6" s="37" t="e">
        <f ca="1"/>
        <v>#NAME?</v>
      </c>
      <c r="AN6" s="37" t="e">
        <f ca="1"/>
        <v>#NAME?</v>
      </c>
      <c r="AO6" s="37" t="e">
        <f ca="1"/>
        <v>#NAME?</v>
      </c>
      <c r="AP6" s="37" t="e">
        <f ca="1"/>
        <v>#NAME?</v>
      </c>
      <c r="AQ6" s="90" t="e">
        <f ca="1"/>
        <v>#NAME?</v>
      </c>
    </row>
    <row r="7" spans="1:58" x14ac:dyDescent="0.35">
      <c r="A7">
        <v>4</v>
      </c>
      <c r="B7" s="36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tr">
        <v>Expert</v>
      </c>
      <c r="M7" s="123" t="e">
        <f ca="1"/>
        <v>#NAME?</v>
      </c>
      <c r="N7" s="37" t="e">
        <f ca="1"/>
        <v>#NAME?</v>
      </c>
      <c r="O7" s="37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37" t="e">
        <f ca="1"/>
        <v>#NAME?</v>
      </c>
      <c r="T7" s="37" t="e">
        <f ca="1"/>
        <v>#NAME?</v>
      </c>
      <c r="U7" s="90" t="e">
        <f ca="1"/>
        <v>#NAME?</v>
      </c>
      <c r="W7">
        <f t="shared" si="1"/>
        <v>4</v>
      </c>
      <c r="X7" s="123">
        <f t="shared" si="0"/>
        <v>0.23034594857274363</v>
      </c>
      <c r="Y7" s="37">
        <f t="shared" si="0"/>
        <v>-0.29238417492594532</v>
      </c>
      <c r="Z7" s="37">
        <f t="shared" si="0"/>
        <v>0.33347618193389345</v>
      </c>
      <c r="AA7" s="37">
        <f t="shared" si="0"/>
        <v>-1.3641708268600676</v>
      </c>
      <c r="AB7" s="37">
        <f t="shared" si="0"/>
        <v>1.3509090706807538</v>
      </c>
      <c r="AC7" s="37">
        <f t="shared" si="0"/>
        <v>0.72442741839320879</v>
      </c>
      <c r="AD7" s="37">
        <f t="shared" si="0"/>
        <v>0.8334754662499898</v>
      </c>
      <c r="AE7" s="37">
        <f t="shared" si="0"/>
        <v>0.2887653941537715</v>
      </c>
      <c r="AF7" s="90">
        <f t="shared" si="0"/>
        <v>-0.50985434813354169</v>
      </c>
      <c r="AH7" t="str">
        <v>Expert</v>
      </c>
      <c r="AI7" s="123" t="e">
        <f ca="1"/>
        <v>#NAME?</v>
      </c>
      <c r="AJ7" s="37" t="e">
        <f ca="1"/>
        <v>#NAME?</v>
      </c>
      <c r="AK7" s="37" t="e">
        <f ca="1"/>
        <v>#NAME?</v>
      </c>
      <c r="AL7" s="37" t="e">
        <f ca="1"/>
        <v>#NAME?</v>
      </c>
      <c r="AM7" s="37" t="e">
        <f ca="1"/>
        <v>#NAME?</v>
      </c>
      <c r="AN7" s="37" t="e">
        <f ca="1"/>
        <v>#NAME?</v>
      </c>
      <c r="AO7" s="37" t="e">
        <f ca="1"/>
        <v>#NAME?</v>
      </c>
      <c r="AP7" s="37" t="e">
        <f ca="1"/>
        <v>#NAME?</v>
      </c>
      <c r="AQ7" s="90" t="e">
        <f ca="1"/>
        <v>#NAME?</v>
      </c>
    </row>
    <row r="8" spans="1:58" x14ac:dyDescent="0.35">
      <c r="A8">
        <v>5</v>
      </c>
      <c r="B8" s="36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tr">
        <v>Motivate</v>
      </c>
      <c r="M8" s="123" t="e">
        <f ca="1"/>
        <v>#NAME?</v>
      </c>
      <c r="N8" s="37" t="e">
        <f ca="1"/>
        <v>#NAME?</v>
      </c>
      <c r="O8" s="37" t="e">
        <f ca="1"/>
        <v>#NAME?</v>
      </c>
      <c r="P8" s="37" t="e">
        <f ca="1"/>
        <v>#NAME?</v>
      </c>
      <c r="Q8" s="37" t="e">
        <f ca="1"/>
        <v>#NAME?</v>
      </c>
      <c r="R8" s="37" t="e">
        <f ca="1"/>
        <v>#NAME?</v>
      </c>
      <c r="S8" s="37" t="e">
        <f ca="1"/>
        <v>#NAME?</v>
      </c>
      <c r="T8" s="37" t="e">
        <f ca="1"/>
        <v>#NAME?</v>
      </c>
      <c r="U8" s="90" t="e">
        <f ca="1"/>
        <v>#NAME?</v>
      </c>
      <c r="W8">
        <f t="shared" si="1"/>
        <v>5</v>
      </c>
      <c r="X8" s="123">
        <f t="shared" si="0"/>
        <v>-0.55941158939094915</v>
      </c>
      <c r="Y8" s="37">
        <f t="shared" si="0"/>
        <v>-0.29238417492594532</v>
      </c>
      <c r="Z8" s="37">
        <f t="shared" si="0"/>
        <v>0.93979651272279086</v>
      </c>
      <c r="AA8" s="37">
        <f t="shared" si="0"/>
        <v>0.60812434450388564</v>
      </c>
      <c r="AB8" s="37">
        <f t="shared" si="0"/>
        <v>1.3509090706807538</v>
      </c>
      <c r="AC8" s="37">
        <f t="shared" si="0"/>
        <v>1.4549424621510667</v>
      </c>
      <c r="AD8" s="37">
        <f t="shared" si="0"/>
        <v>0.8334754662499898</v>
      </c>
      <c r="AE8" s="37">
        <f t="shared" si="0"/>
        <v>1.3388213728947576</v>
      </c>
      <c r="AF8" s="90">
        <f t="shared" si="0"/>
        <v>-0.50985434813354169</v>
      </c>
      <c r="AH8" t="str">
        <v>Motivate</v>
      </c>
      <c r="AI8" s="123" t="e">
        <f ca="1"/>
        <v>#NAME?</v>
      </c>
      <c r="AJ8" s="37" t="e">
        <f ca="1"/>
        <v>#NAME?</v>
      </c>
      <c r="AK8" s="37" t="e">
        <f ca="1"/>
        <v>#NAME?</v>
      </c>
      <c r="AL8" s="37" t="e">
        <f ca="1"/>
        <v>#NAME?</v>
      </c>
      <c r="AM8" s="37" t="e">
        <f ca="1"/>
        <v>#NAME?</v>
      </c>
      <c r="AN8" s="37" t="e">
        <f ca="1"/>
        <v>#NAME?</v>
      </c>
      <c r="AO8" s="37" t="e">
        <f ca="1"/>
        <v>#NAME?</v>
      </c>
      <c r="AP8" s="37" t="e">
        <f ca="1"/>
        <v>#NAME?</v>
      </c>
      <c r="AQ8" s="90" t="e">
        <f ca="1"/>
        <v>#NAME?</v>
      </c>
    </row>
    <row r="9" spans="1:58" x14ac:dyDescent="0.35">
      <c r="A9">
        <v>6</v>
      </c>
      <c r="B9" s="36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tr">
        <v>Caring</v>
      </c>
      <c r="M9" s="123" t="e">
        <f ca="1"/>
        <v>#NAME?</v>
      </c>
      <c r="N9" s="37" t="e">
        <f ca="1"/>
        <v>#NAME?</v>
      </c>
      <c r="O9" s="37" t="e">
        <f ca="1"/>
        <v>#NAME?</v>
      </c>
      <c r="P9" s="37" t="e">
        <f ca="1"/>
        <v>#NAME?</v>
      </c>
      <c r="Q9" s="37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90" t="e">
        <f ca="1"/>
        <v>#NAME?</v>
      </c>
      <c r="W9">
        <f t="shared" si="1"/>
        <v>6</v>
      </c>
      <c r="X9" s="123">
        <f t="shared" si="0"/>
        <v>0.23034594857274363</v>
      </c>
      <c r="Y9" s="37">
        <f t="shared" si="0"/>
        <v>-2.0466892244816233</v>
      </c>
      <c r="Z9" s="37">
        <f t="shared" si="0"/>
        <v>-0.27284414885500391</v>
      </c>
      <c r="AA9" s="37">
        <f t="shared" si="0"/>
        <v>-0.378023241178091</v>
      </c>
      <c r="AB9" s="37">
        <f t="shared" si="0"/>
        <v>-0.74082110327654205</v>
      </c>
      <c r="AC9" s="37">
        <f t="shared" si="0"/>
        <v>-6.0876253646491192E-3</v>
      </c>
      <c r="AD9" s="37">
        <f t="shared" si="0"/>
        <v>-1.4835219688851171</v>
      </c>
      <c r="AE9" s="37">
        <f t="shared" si="0"/>
        <v>-0.76129058458721444</v>
      </c>
      <c r="AF9" s="90">
        <f t="shared" si="0"/>
        <v>-0.50985434813354169</v>
      </c>
      <c r="AH9" t="str">
        <v>Caring</v>
      </c>
      <c r="AI9" s="123" t="e">
        <f ca="1"/>
        <v>#NAME?</v>
      </c>
      <c r="AJ9" s="37" t="e">
        <f ca="1"/>
        <v>#NAME?</v>
      </c>
      <c r="AK9" s="37" t="e">
        <f ca="1"/>
        <v>#NAME?</v>
      </c>
      <c r="AL9" s="37" t="e">
        <f ca="1"/>
        <v>#NAME?</v>
      </c>
      <c r="AM9" s="37" t="e">
        <f ca="1"/>
        <v>#NAME?</v>
      </c>
      <c r="AN9" s="37" t="e">
        <f ca="1"/>
        <v>#NAME?</v>
      </c>
      <c r="AO9" s="37" t="e">
        <f ca="1"/>
        <v>#NAME?</v>
      </c>
      <c r="AP9" s="37" t="e">
        <f ca="1"/>
        <v>#NAME?</v>
      </c>
      <c r="AQ9" s="90" t="e">
        <f ca="1"/>
        <v>#NAME?</v>
      </c>
    </row>
    <row r="10" spans="1:58" x14ac:dyDescent="0.35">
      <c r="A10">
        <v>7</v>
      </c>
      <c r="B10" s="36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  <c r="L10" t="str">
        <v>Charisma</v>
      </c>
      <c r="M10" s="123" t="e">
        <f ca="1"/>
        <v>#NAME?</v>
      </c>
      <c r="N10" s="37" t="e">
        <f ca="1"/>
        <v>#NAME?</v>
      </c>
      <c r="O10" s="37" t="e">
        <f ca="1"/>
        <v>#NAME?</v>
      </c>
      <c r="P10" s="37" t="e">
        <f ca="1"/>
        <v>#NAME?</v>
      </c>
      <c r="Q10" s="37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90" t="e">
        <f ca="1"/>
        <v>#NAME?</v>
      </c>
      <c r="W10">
        <f t="shared" si="1"/>
        <v>7</v>
      </c>
      <c r="X10" s="123">
        <f t="shared" si="0"/>
        <v>0.23034594857274363</v>
      </c>
      <c r="Y10" s="37">
        <f t="shared" si="0"/>
        <v>-0.29238417492594532</v>
      </c>
      <c r="Z10" s="37">
        <f t="shared" si="0"/>
        <v>0.33347618193389345</v>
      </c>
      <c r="AA10" s="37">
        <f t="shared" si="0"/>
        <v>-1.3641708268600676</v>
      </c>
      <c r="AB10" s="37">
        <f t="shared" si="0"/>
        <v>-0.74082110327654205</v>
      </c>
      <c r="AC10" s="37">
        <f t="shared" si="0"/>
        <v>-1.467117712880365</v>
      </c>
      <c r="AD10" s="37">
        <f t="shared" si="0"/>
        <v>6.1142987871620834E-2</v>
      </c>
      <c r="AE10" s="37">
        <f t="shared" si="0"/>
        <v>-0.76129058458721444</v>
      </c>
      <c r="AF10" s="90">
        <f t="shared" si="0"/>
        <v>-0.50985434813354169</v>
      </c>
      <c r="AH10" t="str">
        <v>Charisma</v>
      </c>
      <c r="AI10" s="123" t="e">
        <f ca="1"/>
        <v>#NAME?</v>
      </c>
      <c r="AJ10" s="37" t="e">
        <f ca="1"/>
        <v>#NAME?</v>
      </c>
      <c r="AK10" s="37" t="e">
        <f ca="1"/>
        <v>#NAME?</v>
      </c>
      <c r="AL10" s="37" t="e">
        <f ca="1"/>
        <v>#NAME?</v>
      </c>
      <c r="AM10" s="37" t="e">
        <f ca="1"/>
        <v>#NAME?</v>
      </c>
      <c r="AN10" s="37" t="e">
        <f ca="1"/>
        <v>#NAME?</v>
      </c>
      <c r="AO10" s="37" t="e">
        <f ca="1"/>
        <v>#NAME?</v>
      </c>
      <c r="AP10" s="37" t="e">
        <f ca="1"/>
        <v>#NAME?</v>
      </c>
      <c r="AQ10" s="90" t="e">
        <f ca="1"/>
        <v>#NAME?</v>
      </c>
    </row>
    <row r="11" spans="1:58" x14ac:dyDescent="0.35">
      <c r="A11">
        <v>8</v>
      </c>
      <c r="B11" s="36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tr">
        <v>Passion</v>
      </c>
      <c r="M11" s="123" t="e">
        <f ca="1"/>
        <v>#NAME?</v>
      </c>
      <c r="N11" s="37" t="e">
        <f ca="1"/>
        <v>#NAME?</v>
      </c>
      <c r="O11" s="37" t="e">
        <f ca="1"/>
        <v>#NAME?</v>
      </c>
      <c r="P11" s="37" t="e">
        <f ca="1"/>
        <v>#NAME?</v>
      </c>
      <c r="Q11" s="37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90" t="e">
        <f ca="1"/>
        <v>#NAME?</v>
      </c>
      <c r="W11">
        <f t="shared" si="1"/>
        <v>8</v>
      </c>
      <c r="X11" s="123">
        <f t="shared" si="0"/>
        <v>0.23034594857274363</v>
      </c>
      <c r="Y11" s="37">
        <f t="shared" si="0"/>
        <v>-0.29238417492594532</v>
      </c>
      <c r="Z11" s="37">
        <f t="shared" si="0"/>
        <v>-0.27284414885500391</v>
      </c>
      <c r="AA11" s="37">
        <f t="shared" si="0"/>
        <v>-0.378023241178091</v>
      </c>
      <c r="AB11" s="37">
        <f t="shared" si="0"/>
        <v>0.30504398370210595</v>
      </c>
      <c r="AC11" s="37">
        <f t="shared" si="0"/>
        <v>-0.73660266912250705</v>
      </c>
      <c r="AD11" s="37">
        <f t="shared" si="0"/>
        <v>-0.32502325131756366</v>
      </c>
      <c r="AE11" s="37">
        <f t="shared" si="0"/>
        <v>-0.76129058458721444</v>
      </c>
      <c r="AF11" s="90">
        <f t="shared" si="0"/>
        <v>-0.50985434813354169</v>
      </c>
      <c r="AH11" t="str">
        <v>Passion</v>
      </c>
      <c r="AI11" s="123" t="e">
        <f ca="1"/>
        <v>#NAME?</v>
      </c>
      <c r="AJ11" s="37" t="e">
        <f ca="1"/>
        <v>#NAME?</v>
      </c>
      <c r="AK11" s="37" t="e">
        <f ca="1"/>
        <v>#NAME?</v>
      </c>
      <c r="AL11" s="37" t="e">
        <f ca="1"/>
        <v>#NAME?</v>
      </c>
      <c r="AM11" s="37" t="e">
        <f ca="1"/>
        <v>#NAME?</v>
      </c>
      <c r="AN11" s="37" t="e">
        <f ca="1"/>
        <v>#NAME?</v>
      </c>
      <c r="AO11" s="37" t="e">
        <f ca="1"/>
        <v>#NAME?</v>
      </c>
      <c r="AP11" s="37" t="e">
        <f ca="1"/>
        <v>#NAME?</v>
      </c>
      <c r="AQ11" s="90" t="e">
        <f ca="1"/>
        <v>#NAME?</v>
      </c>
    </row>
    <row r="12" spans="1:58" x14ac:dyDescent="0.35">
      <c r="A12">
        <v>9</v>
      </c>
      <c r="B12" s="36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  <c r="L12" t="str">
        <v>Friendly</v>
      </c>
      <c r="M12" s="91" t="e">
        <f ca="1"/>
        <v>#NAME?</v>
      </c>
      <c r="N12" s="92" t="e">
        <f ca="1"/>
        <v>#NAME?</v>
      </c>
      <c r="O12" s="92" t="e">
        <f ca="1"/>
        <v>#NAME?</v>
      </c>
      <c r="P12" s="92" t="e">
        <f ca="1"/>
        <v>#NAME?</v>
      </c>
      <c r="Q12" s="92" t="e">
        <f ca="1"/>
        <v>#NAME?</v>
      </c>
      <c r="R12" s="92" t="e">
        <f ca="1"/>
        <v>#NAME?</v>
      </c>
      <c r="S12" s="92" t="e">
        <f ca="1"/>
        <v>#NAME?</v>
      </c>
      <c r="T12" s="92" t="e">
        <f ca="1"/>
        <v>#NAME?</v>
      </c>
      <c r="U12" s="93" t="e">
        <f ca="1"/>
        <v>#NAME?</v>
      </c>
      <c r="W12">
        <f t="shared" si="1"/>
        <v>9</v>
      </c>
      <c r="X12" s="123">
        <f t="shared" si="0"/>
        <v>-1.349169127354642</v>
      </c>
      <c r="Y12" s="37">
        <f t="shared" si="0"/>
        <v>-0.29238417492594532</v>
      </c>
      <c r="Z12" s="37">
        <f t="shared" si="0"/>
        <v>-0.87916447964390132</v>
      </c>
      <c r="AA12" s="37">
        <f t="shared" si="0"/>
        <v>-1.3641708268600676</v>
      </c>
      <c r="AB12" s="37">
        <f t="shared" si="0"/>
        <v>0.30504398370210595</v>
      </c>
      <c r="AC12" s="37">
        <f t="shared" si="0"/>
        <v>-6.0876253646491192E-3</v>
      </c>
      <c r="AD12" s="37">
        <f t="shared" si="0"/>
        <v>-1.4835219688851171</v>
      </c>
      <c r="AE12" s="37">
        <f t="shared" si="0"/>
        <v>-0.76129058458721444</v>
      </c>
      <c r="AF12" s="90">
        <f t="shared" si="0"/>
        <v>-0.50985434813354169</v>
      </c>
      <c r="AH12" t="str">
        <v>Friendly</v>
      </c>
      <c r="AI12" s="91" t="e">
        <f ca="1"/>
        <v>#NAME?</v>
      </c>
      <c r="AJ12" s="92" t="e">
        <f ca="1"/>
        <v>#NAME?</v>
      </c>
      <c r="AK12" s="92" t="e">
        <f ca="1"/>
        <v>#NAME?</v>
      </c>
      <c r="AL12" s="92" t="e">
        <f ca="1"/>
        <v>#NAME?</v>
      </c>
      <c r="AM12" s="92" t="e">
        <f ca="1"/>
        <v>#NAME?</v>
      </c>
      <c r="AN12" s="92" t="e">
        <f ca="1"/>
        <v>#NAME?</v>
      </c>
      <c r="AO12" s="92" t="e">
        <f ca="1"/>
        <v>#NAME?</v>
      </c>
      <c r="AP12" s="92" t="e">
        <f ca="1"/>
        <v>#NAME?</v>
      </c>
      <c r="AQ12" s="93" t="e">
        <f ca="1"/>
        <v>#NAME?</v>
      </c>
    </row>
    <row r="13" spans="1:58" x14ac:dyDescent="0.35">
      <c r="A13">
        <v>10</v>
      </c>
      <c r="B13" s="36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W13">
        <f t="shared" si="1"/>
        <v>10</v>
      </c>
      <c r="X13" s="123">
        <f t="shared" si="0"/>
        <v>0.23034594857274363</v>
      </c>
      <c r="Y13" s="37">
        <f t="shared" si="0"/>
        <v>-0.29238417492594532</v>
      </c>
      <c r="Z13" s="37">
        <f t="shared" si="0"/>
        <v>-0.27284414885500391</v>
      </c>
      <c r="AA13" s="37">
        <f t="shared" si="0"/>
        <v>0.60812434450388564</v>
      </c>
      <c r="AB13" s="37">
        <f t="shared" si="0"/>
        <v>1.3509090706807538</v>
      </c>
      <c r="AC13" s="37">
        <f t="shared" si="0"/>
        <v>0.72442741839320879</v>
      </c>
      <c r="AD13" s="37">
        <f t="shared" si="0"/>
        <v>-0.32502325131756366</v>
      </c>
      <c r="AE13" s="37">
        <f t="shared" si="0"/>
        <v>-0.76129058458721444</v>
      </c>
      <c r="AF13" s="90">
        <f t="shared" si="0"/>
        <v>1.1896601456449316</v>
      </c>
    </row>
    <row r="14" spans="1:58" x14ac:dyDescent="0.35">
      <c r="A14">
        <v>11</v>
      </c>
      <c r="B14" s="36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M14" t="s">
        <v>109</v>
      </c>
      <c r="N14" s="159" t="e">
        <f ca="1">MDETERM(M4:U12)</f>
        <v>#NAME?</v>
      </c>
      <c r="W14">
        <f t="shared" si="1"/>
        <v>11</v>
      </c>
      <c r="X14" s="123">
        <f t="shared" si="0"/>
        <v>-0.55941158939094915</v>
      </c>
      <c r="Y14" s="37">
        <f t="shared" si="0"/>
        <v>3.2162259241854105</v>
      </c>
      <c r="Z14" s="37">
        <f t="shared" si="0"/>
        <v>0.93979651272279086</v>
      </c>
      <c r="AA14" s="37">
        <f t="shared" si="0"/>
        <v>0.60812434450388564</v>
      </c>
      <c r="AB14" s="37">
        <f t="shared" si="0"/>
        <v>0.30504398370210595</v>
      </c>
      <c r="AC14" s="37">
        <f t="shared" si="0"/>
        <v>1.4549424621510667</v>
      </c>
      <c r="AD14" s="37">
        <f t="shared" si="0"/>
        <v>0.8334754662499898</v>
      </c>
      <c r="AE14" s="37">
        <f t="shared" si="0"/>
        <v>1.3388213728947576</v>
      </c>
      <c r="AF14" s="90">
        <f t="shared" si="0"/>
        <v>1.1896601456449316</v>
      </c>
      <c r="AI14" t="s">
        <v>109</v>
      </c>
      <c r="AJ14" s="159" t="e">
        <f ca="1">MDETERM(AI4:AQ12)</f>
        <v>#NAME?</v>
      </c>
    </row>
    <row r="15" spans="1:58" x14ac:dyDescent="0.35">
      <c r="A15">
        <v>12</v>
      </c>
      <c r="B15" s="36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W15">
        <f t="shared" si="1"/>
        <v>12</v>
      </c>
      <c r="X15" s="123">
        <f t="shared" si="0"/>
        <v>-2.1389266653183348</v>
      </c>
      <c r="Y15" s="37">
        <f t="shared" si="0"/>
        <v>1.4619208746297327</v>
      </c>
      <c r="Z15" s="37">
        <f t="shared" si="0"/>
        <v>-0.87916447964390132</v>
      </c>
      <c r="AA15" s="37">
        <f t="shared" si="0"/>
        <v>1.5942719301858623</v>
      </c>
      <c r="AB15" s="37">
        <f t="shared" si="0"/>
        <v>2.3967741576594017</v>
      </c>
      <c r="AC15" s="37">
        <f t="shared" si="0"/>
        <v>0.72442741839320879</v>
      </c>
      <c r="AD15" s="37">
        <f t="shared" si="0"/>
        <v>6.1142987871620834E-2</v>
      </c>
      <c r="AE15" s="37">
        <f t="shared" si="0"/>
        <v>1.3388213728947576</v>
      </c>
      <c r="AF15" s="90">
        <f t="shared" si="0"/>
        <v>2.889174639423405</v>
      </c>
    </row>
    <row r="16" spans="1:58" x14ac:dyDescent="0.35">
      <c r="A16">
        <v>13</v>
      </c>
      <c r="B16" s="36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s="42" t="s">
        <v>380</v>
      </c>
      <c r="W16">
        <f t="shared" si="1"/>
        <v>13</v>
      </c>
      <c r="X16" s="123">
        <f t="shared" si="0"/>
        <v>1.0201034865364365</v>
      </c>
      <c r="Y16" s="37">
        <f t="shared" si="0"/>
        <v>-2.0466892244816233</v>
      </c>
      <c r="Z16" s="37">
        <f t="shared" si="0"/>
        <v>-0.87916447964390132</v>
      </c>
      <c r="AA16" s="37">
        <f t="shared" si="0"/>
        <v>-0.378023241178091</v>
      </c>
      <c r="AB16" s="37">
        <f t="shared" si="0"/>
        <v>-0.74082110327654205</v>
      </c>
      <c r="AC16" s="37">
        <f t="shared" si="0"/>
        <v>-1.467117712880365</v>
      </c>
      <c r="AD16" s="37">
        <f t="shared" si="0"/>
        <v>-1.0973557296959326</v>
      </c>
      <c r="AE16" s="37">
        <f t="shared" si="0"/>
        <v>-1.8113465633282004</v>
      </c>
      <c r="AF16" s="90">
        <f t="shared" si="0"/>
        <v>-2.2093688419120152</v>
      </c>
      <c r="AH16" s="42" t="s">
        <v>380</v>
      </c>
    </row>
    <row r="17" spans="1:43" x14ac:dyDescent="0.35">
      <c r="A17">
        <v>14</v>
      </c>
      <c r="B17" s="36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W17">
        <f t="shared" si="1"/>
        <v>14</v>
      </c>
      <c r="X17" s="123">
        <f t="shared" si="0"/>
        <v>-0.55941158939094915</v>
      </c>
      <c r="Y17" s="37">
        <f t="shared" si="0"/>
        <v>-2.0466892244816233</v>
      </c>
      <c r="Z17" s="37">
        <f t="shared" si="0"/>
        <v>-0.27284414885500391</v>
      </c>
      <c r="AA17" s="37">
        <f t="shared" si="0"/>
        <v>0.60812434450388564</v>
      </c>
      <c r="AB17" s="37">
        <f t="shared" si="0"/>
        <v>-0.74082110327654205</v>
      </c>
      <c r="AC17" s="37">
        <f t="shared" si="0"/>
        <v>0.72442741839320879</v>
      </c>
      <c r="AD17" s="37">
        <f t="shared" si="0"/>
        <v>-1.4835219688851171</v>
      </c>
      <c r="AE17" s="37">
        <f t="shared" si="0"/>
        <v>-1.8113465633282004</v>
      </c>
      <c r="AF17" s="90">
        <f t="shared" si="0"/>
        <v>-0.50985434813354169</v>
      </c>
    </row>
    <row r="18" spans="1:43" x14ac:dyDescent="0.35">
      <c r="A18">
        <v>15</v>
      </c>
      <c r="B18" s="36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M18" s="160" t="e">
        <f t="array" aca="1" ref="M18:U27" ca="1">eigVECTSym(M4:U12)</f>
        <v>#NAME?</v>
      </c>
      <c r="N18" s="161" t="e">
        <f ca="1"/>
        <v>#NAME?</v>
      </c>
      <c r="O18" s="161" t="e">
        <f ca="1"/>
        <v>#NAME?</v>
      </c>
      <c r="P18" s="161" t="e">
        <f ca="1"/>
        <v>#NAME?</v>
      </c>
      <c r="Q18" s="161" t="e">
        <f ca="1"/>
        <v>#NAME?</v>
      </c>
      <c r="R18" s="161" t="e">
        <f ca="1"/>
        <v>#NAME?</v>
      </c>
      <c r="S18" s="161" t="e">
        <f ca="1"/>
        <v>#NAME?</v>
      </c>
      <c r="T18" s="161" t="e">
        <f ca="1"/>
        <v>#NAME?</v>
      </c>
      <c r="U18" s="162" t="e">
        <f ca="1"/>
        <v>#NAME?</v>
      </c>
      <c r="W18">
        <f t="shared" si="1"/>
        <v>15</v>
      </c>
      <c r="X18" s="123">
        <f t="shared" si="0"/>
        <v>-1.349169127354642</v>
      </c>
      <c r="Y18" s="37">
        <f t="shared" si="0"/>
        <v>1.4619208746297327</v>
      </c>
      <c r="Z18" s="37">
        <f t="shared" si="0"/>
        <v>1.5461168435116881</v>
      </c>
      <c r="AA18" s="37">
        <f t="shared" si="0"/>
        <v>0.60812434450388564</v>
      </c>
      <c r="AB18" s="37">
        <f t="shared" si="0"/>
        <v>-0.74082110327654205</v>
      </c>
      <c r="AC18" s="37">
        <f t="shared" si="0"/>
        <v>-2.1976327566382228</v>
      </c>
      <c r="AD18" s="37">
        <f t="shared" si="0"/>
        <v>1.2196417054391744</v>
      </c>
      <c r="AE18" s="37">
        <f t="shared" si="0"/>
        <v>0.2887653941537715</v>
      </c>
      <c r="AF18" s="90">
        <f t="shared" si="0"/>
        <v>-0.50985434813354169</v>
      </c>
      <c r="AI18" s="160" t="e">
        <f t="array" aca="1" ref="AI18:AQ27" ca="1">eVECTORS(AI4:AQ12)</f>
        <v>#NAME?</v>
      </c>
      <c r="AJ18" s="161" t="e">
        <f ca="1"/>
        <v>#NAME?</v>
      </c>
      <c r="AK18" s="161" t="e">
        <f ca="1"/>
        <v>#NAME?</v>
      </c>
      <c r="AL18" s="161" t="e">
        <f ca="1"/>
        <v>#NAME?</v>
      </c>
      <c r="AM18" s="161" t="e">
        <f ca="1"/>
        <v>#NAME?</v>
      </c>
      <c r="AN18" s="161" t="e">
        <f ca="1"/>
        <v>#NAME?</v>
      </c>
      <c r="AO18" s="161" t="e">
        <f ca="1"/>
        <v>#NAME?</v>
      </c>
      <c r="AP18" s="161" t="e">
        <f ca="1"/>
        <v>#NAME?</v>
      </c>
      <c r="AQ18" s="162" t="e">
        <f ca="1"/>
        <v>#NAME?</v>
      </c>
    </row>
    <row r="19" spans="1:43" x14ac:dyDescent="0.35">
      <c r="A19">
        <v>16</v>
      </c>
      <c r="B19" s="36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f t="array" ref="L19:L27">L4:L12</f>
        <v>Expect</v>
      </c>
      <c r="M19" s="12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90" t="e">
        <f ca="1"/>
        <v>#NAME?</v>
      </c>
      <c r="W19">
        <f t="shared" si="1"/>
        <v>16</v>
      </c>
      <c r="X19" s="123">
        <f t="shared" si="0"/>
        <v>2.5996185624638222</v>
      </c>
      <c r="Y19" s="37">
        <f t="shared" si="0"/>
        <v>-2.0466892244816233</v>
      </c>
      <c r="Z19" s="37">
        <f t="shared" si="0"/>
        <v>-0.87916447964390132</v>
      </c>
      <c r="AA19" s="37">
        <f t="shared" si="0"/>
        <v>3.5665671015498153</v>
      </c>
      <c r="AB19" s="37">
        <f t="shared" si="0"/>
        <v>-0.74082110327654205</v>
      </c>
      <c r="AC19" s="37">
        <f t="shared" si="0"/>
        <v>-0.73660266912250705</v>
      </c>
      <c r="AD19" s="37">
        <f t="shared" si="0"/>
        <v>-1.4835219688851171</v>
      </c>
      <c r="AE19" s="37">
        <f t="shared" si="0"/>
        <v>-0.76129058458721444</v>
      </c>
      <c r="AF19" s="90">
        <f t="shared" si="0"/>
        <v>-0.50985434813354169</v>
      </c>
      <c r="AH19" t="str">
        <f t="array" ref="AH19:AH27">AH4:AH12</f>
        <v>Expect</v>
      </c>
      <c r="AI19" s="123" t="e">
        <f ca="1"/>
        <v>#NAME?</v>
      </c>
      <c r="AJ19" s="37" t="e">
        <f ca="1"/>
        <v>#NAME?</v>
      </c>
      <c r="AK19" s="37" t="e">
        <f ca="1"/>
        <v>#NAME?</v>
      </c>
      <c r="AL19" s="37" t="e">
        <f ca="1"/>
        <v>#NAME?</v>
      </c>
      <c r="AM19" s="37" t="e">
        <f ca="1"/>
        <v>#NAME?</v>
      </c>
      <c r="AN19" s="37" t="e">
        <f ca="1"/>
        <v>#NAME?</v>
      </c>
      <c r="AO19" s="37" t="e">
        <f ca="1"/>
        <v>#NAME?</v>
      </c>
      <c r="AP19" s="37" t="e">
        <f ca="1"/>
        <v>#NAME?</v>
      </c>
      <c r="AQ19" s="90" t="e">
        <f ca="1"/>
        <v>#NAME?</v>
      </c>
    </row>
    <row r="20" spans="1:43" x14ac:dyDescent="0.35">
      <c r="A20">
        <v>17</v>
      </c>
      <c r="B20" s="36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s="60" t="str">
        <v>Entertain</v>
      </c>
      <c r="M20" s="12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90" t="e">
        <f ca="1"/>
        <v>#NAME?</v>
      </c>
      <c r="W20">
        <f t="shared" si="1"/>
        <v>17</v>
      </c>
      <c r="X20" s="123">
        <f t="shared" si="0"/>
        <v>-1.349169127354642</v>
      </c>
      <c r="Y20" s="37">
        <f t="shared" si="0"/>
        <v>-0.29238417492594532</v>
      </c>
      <c r="Z20" s="37">
        <f t="shared" si="0"/>
        <v>-0.27284414885500391</v>
      </c>
      <c r="AA20" s="37">
        <f t="shared" si="0"/>
        <v>-1.3641708268600676</v>
      </c>
      <c r="AB20" s="37">
        <f t="shared" si="0"/>
        <v>-0.74082110327654205</v>
      </c>
      <c r="AC20" s="37">
        <f t="shared" si="0"/>
        <v>0.72442741839320879</v>
      </c>
      <c r="AD20" s="37">
        <f t="shared" si="0"/>
        <v>-0.32502325131756366</v>
      </c>
      <c r="AE20" s="37">
        <f t="shared" si="0"/>
        <v>0.2887653941537715</v>
      </c>
      <c r="AF20" s="90">
        <f t="shared" si="0"/>
        <v>-0.50985434813354169</v>
      </c>
      <c r="AH20" s="60" t="str">
        <v>Entertain</v>
      </c>
      <c r="AI20" s="123" t="e">
        <f ca="1"/>
        <v>#NAME?</v>
      </c>
      <c r="AJ20" s="37" t="e">
        <f ca="1"/>
        <v>#NAME?</v>
      </c>
      <c r="AK20" s="37" t="e">
        <f ca="1"/>
        <v>#NAME?</v>
      </c>
      <c r="AL20" s="37" t="e">
        <f ca="1"/>
        <v>#NAME?</v>
      </c>
      <c r="AM20" s="37" t="e">
        <f ca="1"/>
        <v>#NAME?</v>
      </c>
      <c r="AN20" s="37" t="e">
        <f ca="1"/>
        <v>#NAME?</v>
      </c>
      <c r="AO20" s="37" t="e">
        <f ca="1"/>
        <v>#NAME?</v>
      </c>
      <c r="AP20" s="37" t="e">
        <f ca="1"/>
        <v>#NAME?</v>
      </c>
      <c r="AQ20" s="90" t="e">
        <f ca="1"/>
        <v>#NAME?</v>
      </c>
    </row>
    <row r="21" spans="1:43" x14ac:dyDescent="0.35">
      <c r="A21">
        <v>18</v>
      </c>
      <c r="B21" s="36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Comm</v>
      </c>
      <c r="M21" s="12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90" t="e">
        <f ca="1"/>
        <v>#NAME?</v>
      </c>
      <c r="W21">
        <f t="shared" si="1"/>
        <v>18</v>
      </c>
      <c r="X21" s="123">
        <f t="shared" si="0"/>
        <v>0.23034594857274363</v>
      </c>
      <c r="Y21" s="37">
        <f t="shared" si="0"/>
        <v>-0.29238417492594532</v>
      </c>
      <c r="Z21" s="37">
        <f t="shared" si="0"/>
        <v>0.33347618193389345</v>
      </c>
      <c r="AA21" s="37">
        <f t="shared" si="0"/>
        <v>-1.3641708268600676</v>
      </c>
      <c r="AB21" s="37">
        <f t="shared" si="0"/>
        <v>0.30504398370210595</v>
      </c>
      <c r="AC21" s="37">
        <f t="shared" si="0"/>
        <v>1.4549424621510667</v>
      </c>
      <c r="AD21" s="37">
        <f t="shared" si="0"/>
        <v>-0.32502325131756366</v>
      </c>
      <c r="AE21" s="37">
        <f t="shared" si="0"/>
        <v>0.2887653941537715</v>
      </c>
      <c r="AF21" s="90">
        <f t="shared" si="0"/>
        <v>-0.50985434813354169</v>
      </c>
      <c r="AH21" t="str">
        <v>Comm</v>
      </c>
      <c r="AI21" s="123" t="e">
        <f ca="1"/>
        <v>#NAME?</v>
      </c>
      <c r="AJ21" s="37" t="e">
        <f ca="1"/>
        <v>#NAME?</v>
      </c>
      <c r="AK21" s="37" t="e">
        <f ca="1"/>
        <v>#NAME?</v>
      </c>
      <c r="AL21" s="37" t="e">
        <f ca="1"/>
        <v>#NAME?</v>
      </c>
      <c r="AM21" s="37" t="e">
        <f ca="1"/>
        <v>#NAME?</v>
      </c>
      <c r="AN21" s="37" t="e">
        <f ca="1"/>
        <v>#NAME?</v>
      </c>
      <c r="AO21" s="37" t="e">
        <f ca="1"/>
        <v>#NAME?</v>
      </c>
      <c r="AP21" s="37" t="e">
        <f ca="1"/>
        <v>#NAME?</v>
      </c>
      <c r="AQ21" s="90" t="e">
        <f ca="1"/>
        <v>#NAME?</v>
      </c>
    </row>
    <row r="22" spans="1:43" x14ac:dyDescent="0.35">
      <c r="A22">
        <v>19</v>
      </c>
      <c r="B22" s="36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Expert</v>
      </c>
      <c r="M22" s="123" t="e">
        <f ca="1"/>
        <v>#NAME?</v>
      </c>
      <c r="N22" s="37" t="e">
        <f ca="1"/>
        <v>#NAME?</v>
      </c>
      <c r="O22" s="37" t="e">
        <f ca="1"/>
        <v>#NAME?</v>
      </c>
      <c r="P22" s="37" t="e">
        <f ca="1"/>
        <v>#NAME?</v>
      </c>
      <c r="Q22" s="37" t="e">
        <f ca="1"/>
        <v>#NAME?</v>
      </c>
      <c r="R22" s="37" t="e">
        <f ca="1"/>
        <v>#NAME?</v>
      </c>
      <c r="S22" s="37" t="e">
        <f ca="1"/>
        <v>#NAME?</v>
      </c>
      <c r="T22" s="37" t="e">
        <f ca="1"/>
        <v>#NAME?</v>
      </c>
      <c r="U22" s="90" t="e">
        <f ca="1"/>
        <v>#NAME?</v>
      </c>
      <c r="W22">
        <f t="shared" si="1"/>
        <v>19</v>
      </c>
      <c r="X22" s="123">
        <f t="shared" si="0"/>
        <v>-1.349169127354642</v>
      </c>
      <c r="Y22" s="37">
        <f t="shared" si="0"/>
        <v>-0.29238417492594532</v>
      </c>
      <c r="Z22" s="37">
        <f t="shared" si="0"/>
        <v>-0.87916447964390132</v>
      </c>
      <c r="AA22" s="37">
        <f t="shared" si="0"/>
        <v>-0.378023241178091</v>
      </c>
      <c r="AB22" s="37">
        <f t="shared" si="0"/>
        <v>-1.78668619025519</v>
      </c>
      <c r="AC22" s="37">
        <f t="shared" si="0"/>
        <v>-1.467117712880365</v>
      </c>
      <c r="AD22" s="37">
        <f t="shared" si="0"/>
        <v>0.44730922706080534</v>
      </c>
      <c r="AE22" s="37">
        <f t="shared" si="0"/>
        <v>-0.76129058458721444</v>
      </c>
      <c r="AF22" s="90">
        <f t="shared" si="0"/>
        <v>2.889174639423405</v>
      </c>
      <c r="AH22" t="str">
        <v>Expert</v>
      </c>
      <c r="AI22" s="123" t="e">
        <f ca="1"/>
        <v>#NAME?</v>
      </c>
      <c r="AJ22" s="37" t="e">
        <f ca="1"/>
        <v>#NAME?</v>
      </c>
      <c r="AK22" s="37" t="e">
        <f ca="1"/>
        <v>#NAME?</v>
      </c>
      <c r="AL22" s="37" t="e">
        <f ca="1"/>
        <v>#NAME?</v>
      </c>
      <c r="AM22" s="37" t="e">
        <f ca="1"/>
        <v>#NAME?</v>
      </c>
      <c r="AN22" s="37" t="e">
        <f ca="1"/>
        <v>#NAME?</v>
      </c>
      <c r="AO22" s="37" t="e">
        <f ca="1"/>
        <v>#NAME?</v>
      </c>
      <c r="AP22" s="37" t="e">
        <f ca="1"/>
        <v>#NAME?</v>
      </c>
      <c r="AQ22" s="90" t="e">
        <f ca="1"/>
        <v>#NAME?</v>
      </c>
    </row>
    <row r="23" spans="1:43" x14ac:dyDescent="0.35">
      <c r="A23">
        <v>20</v>
      </c>
      <c r="B23" s="36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L23" t="str">
        <v>Motivate</v>
      </c>
      <c r="M23" s="123" t="e">
        <f ca="1"/>
        <v>#NAME?</v>
      </c>
      <c r="N23" s="37" t="e">
        <f ca="1"/>
        <v>#NAME?</v>
      </c>
      <c r="O23" s="37" t="e">
        <f ca="1"/>
        <v>#NAME?</v>
      </c>
      <c r="P23" s="37" t="e">
        <f ca="1"/>
        <v>#NAME?</v>
      </c>
      <c r="Q23" s="37" t="e">
        <f ca="1"/>
        <v>#NAME?</v>
      </c>
      <c r="R23" s="37" t="e">
        <f ca="1"/>
        <v>#NAME?</v>
      </c>
      <c r="S23" s="37" t="e">
        <f ca="1"/>
        <v>#NAME?</v>
      </c>
      <c r="T23" s="37" t="e">
        <f ca="1"/>
        <v>#NAME?</v>
      </c>
      <c r="U23" s="90" t="e">
        <f ca="1"/>
        <v>#NAME?</v>
      </c>
      <c r="W23">
        <f t="shared" si="1"/>
        <v>20</v>
      </c>
      <c r="X23" s="123">
        <f t="shared" si="0"/>
        <v>-0.55941158939094915</v>
      </c>
      <c r="Y23" s="37">
        <f t="shared" si="0"/>
        <v>-0.29238417492594532</v>
      </c>
      <c r="Z23" s="37">
        <f t="shared" si="0"/>
        <v>1.5461168435116881</v>
      </c>
      <c r="AA23" s="37">
        <f t="shared" si="0"/>
        <v>0.60812434450388564</v>
      </c>
      <c r="AB23" s="37">
        <f t="shared" si="0"/>
        <v>2.3967741576594017</v>
      </c>
      <c r="AC23" s="37">
        <f t="shared" si="0"/>
        <v>2.1854575059089245</v>
      </c>
      <c r="AD23" s="37">
        <f t="shared" si="0"/>
        <v>1.2196417054391744</v>
      </c>
      <c r="AE23" s="37">
        <f t="shared" si="0"/>
        <v>0.2887653941537715</v>
      </c>
      <c r="AF23" s="90">
        <f t="shared" si="0"/>
        <v>-0.50985434813354169</v>
      </c>
      <c r="AH23" t="str">
        <v>Motivate</v>
      </c>
      <c r="AI23" s="123" t="e">
        <f ca="1"/>
        <v>#NAME?</v>
      </c>
      <c r="AJ23" s="37" t="e">
        <f ca="1"/>
        <v>#NAME?</v>
      </c>
      <c r="AK23" s="37" t="e">
        <f ca="1"/>
        <v>#NAME?</v>
      </c>
      <c r="AL23" s="37" t="e">
        <f ca="1"/>
        <v>#NAME?</v>
      </c>
      <c r="AM23" s="37" t="e">
        <f ca="1"/>
        <v>#NAME?</v>
      </c>
      <c r="AN23" s="37" t="e">
        <f ca="1"/>
        <v>#NAME?</v>
      </c>
      <c r="AO23" s="37" t="e">
        <f ca="1"/>
        <v>#NAME?</v>
      </c>
      <c r="AP23" s="37" t="e">
        <f ca="1"/>
        <v>#NAME?</v>
      </c>
      <c r="AQ23" s="90" t="e">
        <f ca="1"/>
        <v>#NAME?</v>
      </c>
    </row>
    <row r="24" spans="1:43" x14ac:dyDescent="0.35">
      <c r="A24">
        <v>21</v>
      </c>
      <c r="B24" s="36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  <c r="L24" t="str">
        <v>Caring</v>
      </c>
      <c r="M24" s="123" t="e">
        <f ca="1"/>
        <v>#NAME?</v>
      </c>
      <c r="N24" s="37" t="e">
        <f ca="1"/>
        <v>#NAME?</v>
      </c>
      <c r="O24" s="37" t="e">
        <f ca="1"/>
        <v>#NAME?</v>
      </c>
      <c r="P24" s="37" t="e">
        <f ca="1"/>
        <v>#NAME?</v>
      </c>
      <c r="Q24" s="37" t="e">
        <f ca="1"/>
        <v>#NAME?</v>
      </c>
      <c r="R24" s="37" t="e">
        <f ca="1"/>
        <v>#NAME?</v>
      </c>
      <c r="S24" s="37" t="e">
        <f ca="1"/>
        <v>#NAME?</v>
      </c>
      <c r="T24" s="37" t="e">
        <f ca="1"/>
        <v>#NAME?</v>
      </c>
      <c r="U24" s="90" t="e">
        <f ca="1"/>
        <v>#NAME?</v>
      </c>
      <c r="W24">
        <f t="shared" si="1"/>
        <v>21</v>
      </c>
      <c r="X24" s="123">
        <f t="shared" si="0"/>
        <v>1.0201034865364365</v>
      </c>
      <c r="Y24" s="37">
        <f t="shared" si="0"/>
        <v>1.4619208746297327</v>
      </c>
      <c r="Z24" s="37">
        <f t="shared" si="0"/>
        <v>-0.27284414885500391</v>
      </c>
      <c r="AA24" s="37">
        <f t="shared" si="0"/>
        <v>1.5942719301858623</v>
      </c>
      <c r="AB24" s="37">
        <f t="shared" si="0"/>
        <v>-0.74082110327654205</v>
      </c>
      <c r="AC24" s="37">
        <f t="shared" si="0"/>
        <v>-2.1976327566382228</v>
      </c>
      <c r="AD24" s="37">
        <f t="shared" si="0"/>
        <v>-0.71118949050674818</v>
      </c>
      <c r="AE24" s="37">
        <f t="shared" si="0"/>
        <v>1.3388213728947576</v>
      </c>
      <c r="AF24" s="90">
        <f t="shared" si="0"/>
        <v>1.1896601456449316</v>
      </c>
      <c r="AH24" t="str">
        <v>Caring</v>
      </c>
      <c r="AI24" s="123" t="e">
        <f ca="1"/>
        <v>#NAME?</v>
      </c>
      <c r="AJ24" s="37" t="e">
        <f ca="1"/>
        <v>#NAME?</v>
      </c>
      <c r="AK24" s="37" t="e">
        <f ca="1"/>
        <v>#NAME?</v>
      </c>
      <c r="AL24" s="37" t="e">
        <f ca="1"/>
        <v>#NAME?</v>
      </c>
      <c r="AM24" s="37" t="e">
        <f ca="1"/>
        <v>#NAME?</v>
      </c>
      <c r="AN24" s="37" t="e">
        <f ca="1"/>
        <v>#NAME?</v>
      </c>
      <c r="AO24" s="37" t="e">
        <f ca="1"/>
        <v>#NAME?</v>
      </c>
      <c r="AP24" s="37" t="e">
        <f ca="1"/>
        <v>#NAME?</v>
      </c>
      <c r="AQ24" s="90" t="e">
        <f ca="1"/>
        <v>#NAME?</v>
      </c>
    </row>
    <row r="25" spans="1:43" x14ac:dyDescent="0.35">
      <c r="A25">
        <v>22</v>
      </c>
      <c r="B25" s="36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tr">
        <v>Charisma</v>
      </c>
      <c r="M25" s="123" t="e">
        <f ca="1"/>
        <v>#NAME?</v>
      </c>
      <c r="N25" s="37" t="e">
        <f ca="1"/>
        <v>#NAME?</v>
      </c>
      <c r="O25" s="37" t="e">
        <f ca="1"/>
        <v>#NAME?</v>
      </c>
      <c r="P25" s="37" t="e">
        <f ca="1"/>
        <v>#NAME?</v>
      </c>
      <c r="Q25" s="37" t="e">
        <f ca="1"/>
        <v>#NAME?</v>
      </c>
      <c r="R25" s="37" t="e">
        <f ca="1"/>
        <v>#NAME?</v>
      </c>
      <c r="S25" s="37" t="e">
        <f ca="1"/>
        <v>#NAME?</v>
      </c>
      <c r="T25" s="37" t="e">
        <f ca="1"/>
        <v>#NAME?</v>
      </c>
      <c r="U25" s="90" t="e">
        <f ca="1"/>
        <v>#NAME?</v>
      </c>
      <c r="W25">
        <f t="shared" si="1"/>
        <v>22</v>
      </c>
      <c r="X25" s="123">
        <f t="shared" si="0"/>
        <v>1.0201034865364365</v>
      </c>
      <c r="Y25" s="37">
        <f t="shared" si="0"/>
        <v>-0.29238417492594532</v>
      </c>
      <c r="Z25" s="37">
        <f t="shared" si="0"/>
        <v>0.93979651272279086</v>
      </c>
      <c r="AA25" s="37">
        <f t="shared" si="0"/>
        <v>-0.378023241178091</v>
      </c>
      <c r="AB25" s="37">
        <f t="shared" si="0"/>
        <v>-0.74082110327654205</v>
      </c>
      <c r="AC25" s="37">
        <f t="shared" si="0"/>
        <v>-1.467117712880365</v>
      </c>
      <c r="AD25" s="37">
        <f t="shared" si="0"/>
        <v>-0.32502325131756366</v>
      </c>
      <c r="AE25" s="37">
        <f t="shared" si="0"/>
        <v>-1.8113465633282004</v>
      </c>
      <c r="AF25" s="90">
        <f t="shared" si="0"/>
        <v>-0.50985434813354169</v>
      </c>
      <c r="AH25" t="str">
        <v>Charisma</v>
      </c>
      <c r="AI25" s="123" t="e">
        <f ca="1"/>
        <v>#NAME?</v>
      </c>
      <c r="AJ25" s="37" t="e">
        <f ca="1"/>
        <v>#NAME?</v>
      </c>
      <c r="AK25" s="37" t="e">
        <f ca="1"/>
        <v>#NAME?</v>
      </c>
      <c r="AL25" s="37" t="e">
        <f ca="1"/>
        <v>#NAME?</v>
      </c>
      <c r="AM25" s="37" t="e">
        <f ca="1"/>
        <v>#NAME?</v>
      </c>
      <c r="AN25" s="37" t="e">
        <f ca="1"/>
        <v>#NAME?</v>
      </c>
      <c r="AO25" s="37" t="e">
        <f ca="1"/>
        <v>#NAME?</v>
      </c>
      <c r="AP25" s="37" t="e">
        <f ca="1"/>
        <v>#NAME?</v>
      </c>
      <c r="AQ25" s="90" t="e">
        <f ca="1"/>
        <v>#NAME?</v>
      </c>
    </row>
    <row r="26" spans="1:43" x14ac:dyDescent="0.35">
      <c r="A26">
        <v>23</v>
      </c>
      <c r="B26" s="36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  <c r="L26" t="str">
        <v>Passion</v>
      </c>
      <c r="M26" s="123" t="e">
        <f ca="1"/>
        <v>#NAME?</v>
      </c>
      <c r="N26" s="37" t="e">
        <f ca="1"/>
        <v>#NAME?</v>
      </c>
      <c r="O26" s="37" t="e">
        <f ca="1"/>
        <v>#NAME?</v>
      </c>
      <c r="P26" s="37" t="e">
        <f ca="1"/>
        <v>#NAME?</v>
      </c>
      <c r="Q26" s="37" t="e">
        <f ca="1"/>
        <v>#NAME?</v>
      </c>
      <c r="R26" s="37" t="e">
        <f ca="1"/>
        <v>#NAME?</v>
      </c>
      <c r="S26" s="37" t="e">
        <f ca="1"/>
        <v>#NAME?</v>
      </c>
      <c r="T26" s="37" t="e">
        <f ca="1"/>
        <v>#NAME?</v>
      </c>
      <c r="U26" s="90" t="e">
        <f ca="1"/>
        <v>#NAME?</v>
      </c>
      <c r="W26">
        <f t="shared" si="1"/>
        <v>23</v>
      </c>
      <c r="X26" s="123">
        <f t="shared" si="0"/>
        <v>0.23034594857274363</v>
      </c>
      <c r="Y26" s="37">
        <f t="shared" si="0"/>
        <v>1.4619208746297327</v>
      </c>
      <c r="Z26" s="37">
        <f t="shared" si="0"/>
        <v>0.33347618193389345</v>
      </c>
      <c r="AA26" s="37">
        <f t="shared" si="0"/>
        <v>-0.378023241178091</v>
      </c>
      <c r="AB26" s="37">
        <f t="shared" si="0"/>
        <v>0.30504398370210595</v>
      </c>
      <c r="AC26" s="37">
        <f t="shared" si="0"/>
        <v>0.72442741839320879</v>
      </c>
      <c r="AD26" s="37">
        <f t="shared" si="0"/>
        <v>0.8334754662499898</v>
      </c>
      <c r="AE26" s="37">
        <f t="shared" si="0"/>
        <v>0.2887653941537715</v>
      </c>
      <c r="AF26" s="90">
        <f t="shared" si="0"/>
        <v>-0.50985434813354169</v>
      </c>
      <c r="AH26" t="str">
        <v>Passion</v>
      </c>
      <c r="AI26" s="123" t="e">
        <f ca="1"/>
        <v>#NAME?</v>
      </c>
      <c r="AJ26" s="37" t="e">
        <f ca="1"/>
        <v>#NAME?</v>
      </c>
      <c r="AK26" s="37" t="e">
        <f ca="1"/>
        <v>#NAME?</v>
      </c>
      <c r="AL26" s="37" t="e">
        <f ca="1"/>
        <v>#NAME?</v>
      </c>
      <c r="AM26" s="37" t="e">
        <f ca="1"/>
        <v>#NAME?</v>
      </c>
      <c r="AN26" s="37" t="e">
        <f ca="1"/>
        <v>#NAME?</v>
      </c>
      <c r="AO26" s="37" t="e">
        <f ca="1"/>
        <v>#NAME?</v>
      </c>
      <c r="AP26" s="37" t="e">
        <f ca="1"/>
        <v>#NAME?</v>
      </c>
      <c r="AQ26" s="90" t="e">
        <f ca="1"/>
        <v>#NAME?</v>
      </c>
    </row>
    <row r="27" spans="1:43" x14ac:dyDescent="0.35">
      <c r="A27">
        <v>24</v>
      </c>
      <c r="B27" s="36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L27" t="str">
        <v>Friendly</v>
      </c>
      <c r="M27" s="91" t="e">
        <f ca="1"/>
        <v>#NAME?</v>
      </c>
      <c r="N27" s="92" t="e">
        <f ca="1"/>
        <v>#NAME?</v>
      </c>
      <c r="O27" s="92" t="e">
        <f ca="1"/>
        <v>#NAME?</v>
      </c>
      <c r="P27" s="92" t="e">
        <f ca="1"/>
        <v>#NAME?</v>
      </c>
      <c r="Q27" s="92" t="e">
        <f ca="1"/>
        <v>#NAME?</v>
      </c>
      <c r="R27" s="92" t="e">
        <f ca="1"/>
        <v>#NAME?</v>
      </c>
      <c r="S27" s="92" t="e">
        <f ca="1"/>
        <v>#NAME?</v>
      </c>
      <c r="T27" s="92" t="e">
        <f ca="1"/>
        <v>#NAME?</v>
      </c>
      <c r="U27" s="93" t="e">
        <f ca="1"/>
        <v>#NAME?</v>
      </c>
      <c r="W27">
        <f t="shared" si="1"/>
        <v>24</v>
      </c>
      <c r="X27" s="123">
        <f t="shared" si="0"/>
        <v>0.23034594857274363</v>
      </c>
      <c r="Y27" s="37">
        <f t="shared" si="0"/>
        <v>-0.29238417492594532</v>
      </c>
      <c r="Z27" s="37">
        <f t="shared" si="0"/>
        <v>-0.27284414885500391</v>
      </c>
      <c r="AA27" s="37">
        <f t="shared" si="0"/>
        <v>0.60812434450388564</v>
      </c>
      <c r="AB27" s="37">
        <f t="shared" si="0"/>
        <v>-0.74082110327654205</v>
      </c>
      <c r="AC27" s="37">
        <f t="shared" si="0"/>
        <v>-0.73660266912250705</v>
      </c>
      <c r="AD27" s="37">
        <f t="shared" si="0"/>
        <v>0.8334754662499898</v>
      </c>
      <c r="AE27" s="37">
        <f t="shared" si="0"/>
        <v>-0.76129058458721444</v>
      </c>
      <c r="AF27" s="90">
        <f t="shared" si="0"/>
        <v>1.1896601456449316</v>
      </c>
      <c r="AH27" t="str">
        <v>Friendly</v>
      </c>
      <c r="AI27" s="91" t="e">
        <f ca="1"/>
        <v>#NAME?</v>
      </c>
      <c r="AJ27" s="92" t="e">
        <f ca="1"/>
        <v>#NAME?</v>
      </c>
      <c r="AK27" s="92" t="e">
        <f ca="1"/>
        <v>#NAME?</v>
      </c>
      <c r="AL27" s="92" t="e">
        <f ca="1"/>
        <v>#NAME?</v>
      </c>
      <c r="AM27" s="92" t="e">
        <f ca="1"/>
        <v>#NAME?</v>
      </c>
      <c r="AN27" s="92" t="e">
        <f ca="1"/>
        <v>#NAME?</v>
      </c>
      <c r="AO27" s="92" t="e">
        <f ca="1"/>
        <v>#NAME?</v>
      </c>
      <c r="AP27" s="92" t="e">
        <f ca="1"/>
        <v>#NAME?</v>
      </c>
      <c r="AQ27" s="93" t="e">
        <f ca="1"/>
        <v>#NAME?</v>
      </c>
    </row>
    <row r="28" spans="1:43" x14ac:dyDescent="0.35">
      <c r="A28">
        <v>25</v>
      </c>
      <c r="B28" s="36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W28">
        <f t="shared" si="1"/>
        <v>25</v>
      </c>
      <c r="X28" s="123">
        <f t="shared" si="0"/>
        <v>-1.349169127354642</v>
      </c>
      <c r="Y28" s="37">
        <f t="shared" si="0"/>
        <v>-0.29238417492594532</v>
      </c>
      <c r="Z28" s="37">
        <f t="shared" si="0"/>
        <v>-0.87916447964390132</v>
      </c>
      <c r="AA28" s="37">
        <f t="shared" si="0"/>
        <v>1.5942719301858623</v>
      </c>
      <c r="AB28" s="37">
        <f t="shared" si="0"/>
        <v>-0.74082110327654205</v>
      </c>
      <c r="AC28" s="37">
        <f t="shared" si="0"/>
        <v>1.4549424621510667</v>
      </c>
      <c r="AD28" s="37">
        <f t="shared" si="0"/>
        <v>-0.32502325131756366</v>
      </c>
      <c r="AE28" s="37">
        <f t="shared" si="0"/>
        <v>0.2887653941537715</v>
      </c>
      <c r="AF28" s="90">
        <f t="shared" si="0"/>
        <v>1.1896601456449316</v>
      </c>
    </row>
    <row r="29" spans="1:43" x14ac:dyDescent="0.35">
      <c r="A29">
        <v>26</v>
      </c>
      <c r="B29" s="36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s="42" t="s">
        <v>381</v>
      </c>
      <c r="W29">
        <f t="shared" si="1"/>
        <v>26</v>
      </c>
      <c r="X29" s="123">
        <f t="shared" si="0"/>
        <v>0.23034594857274363</v>
      </c>
      <c r="Y29" s="37">
        <f t="shared" si="0"/>
        <v>-0.29238417492594532</v>
      </c>
      <c r="Z29" s="37">
        <f t="shared" si="0"/>
        <v>1.5461168435116881</v>
      </c>
      <c r="AA29" s="37">
        <f t="shared" si="0"/>
        <v>1.5942719301858623</v>
      </c>
      <c r="AB29" s="37">
        <f t="shared" si="0"/>
        <v>1.3509090706807538</v>
      </c>
      <c r="AC29" s="37">
        <f t="shared" si="0"/>
        <v>0.72442741839320879</v>
      </c>
      <c r="AD29" s="37">
        <f t="shared" si="0"/>
        <v>1.6058079446283589</v>
      </c>
      <c r="AE29" s="37">
        <f t="shared" si="0"/>
        <v>1.3388213728947576</v>
      </c>
      <c r="AF29" s="90">
        <f t="shared" si="0"/>
        <v>-0.50985434813354169</v>
      </c>
      <c r="AH29" s="42" t="s">
        <v>381</v>
      </c>
    </row>
    <row r="30" spans="1:43" x14ac:dyDescent="0.35">
      <c r="A30">
        <v>27</v>
      </c>
      <c r="B30" s="36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R30" s="47" t="s">
        <v>382</v>
      </c>
      <c r="S30" s="47" t="s">
        <v>383</v>
      </c>
      <c r="T30" s="47" t="s">
        <v>384</v>
      </c>
      <c r="U30" s="47" t="s">
        <v>385</v>
      </c>
      <c r="W30">
        <f t="shared" si="1"/>
        <v>27</v>
      </c>
      <c r="X30" s="123">
        <f t="shared" si="0"/>
        <v>-1.349169127354642</v>
      </c>
      <c r="Y30" s="37">
        <f t="shared" si="0"/>
        <v>-0.29238417492594532</v>
      </c>
      <c r="Z30" s="37">
        <f t="shared" si="0"/>
        <v>-0.27284414885500391</v>
      </c>
      <c r="AA30" s="37">
        <f t="shared" si="0"/>
        <v>-0.378023241178091</v>
      </c>
      <c r="AB30" s="37">
        <f t="shared" si="0"/>
        <v>0.30504398370210595</v>
      </c>
      <c r="AC30" s="37">
        <f t="shared" si="0"/>
        <v>-0.73660266912250705</v>
      </c>
      <c r="AD30" s="37">
        <f t="shared" si="0"/>
        <v>6.1142987871620834E-2</v>
      </c>
      <c r="AE30" s="37">
        <f t="shared" si="0"/>
        <v>0.2887653941537715</v>
      </c>
      <c r="AF30" s="90">
        <f t="shared" si="0"/>
        <v>-0.50985434813354169</v>
      </c>
    </row>
    <row r="31" spans="1:43" x14ac:dyDescent="0.35">
      <c r="A31">
        <v>28</v>
      </c>
      <c r="B31" s="36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M31" s="47" t="s">
        <v>386</v>
      </c>
      <c r="N31" s="47" t="s">
        <v>387</v>
      </c>
      <c r="O31" s="47" t="s">
        <v>388</v>
      </c>
      <c r="R31" s="160" t="e">
        <f ca="1">M18</f>
        <v>#NAME?</v>
      </c>
      <c r="S31" s="161" t="e">
        <f ca="1">N18</f>
        <v>#NAME?</v>
      </c>
      <c r="T31" s="161" t="e">
        <f ca="1">O18</f>
        <v>#NAME?</v>
      </c>
      <c r="U31" s="162" t="e">
        <f ca="1">P18</f>
        <v>#NAME?</v>
      </c>
      <c r="W31">
        <f t="shared" si="1"/>
        <v>28</v>
      </c>
      <c r="X31" s="123">
        <f t="shared" si="0"/>
        <v>-1.349169127354642</v>
      </c>
      <c r="Y31" s="37">
        <f t="shared" si="0"/>
        <v>-0.29238417492594532</v>
      </c>
      <c r="Z31" s="37">
        <f t="shared" si="0"/>
        <v>-1.4854848104327987</v>
      </c>
      <c r="AA31" s="37">
        <f t="shared" si="0"/>
        <v>1.5942719301858623</v>
      </c>
      <c r="AB31" s="37">
        <f t="shared" si="0"/>
        <v>-0.74082110327654205</v>
      </c>
      <c r="AC31" s="37">
        <f t="shared" si="0"/>
        <v>1.4549424621510667</v>
      </c>
      <c r="AD31" s="37">
        <f t="shared" si="0"/>
        <v>0.8334754662499898</v>
      </c>
      <c r="AE31" s="37">
        <f t="shared" si="0"/>
        <v>-0.76129058458721444</v>
      </c>
      <c r="AF31" s="90">
        <f t="shared" si="0"/>
        <v>1.1896601456449316</v>
      </c>
      <c r="AH31" s="47" t="s">
        <v>386</v>
      </c>
      <c r="AI31" s="47" t="s">
        <v>387</v>
      </c>
      <c r="AJ31" s="47" t="s">
        <v>388</v>
      </c>
      <c r="AM31" s="160" t="e">
        <f t="shared" ref="AM31:AP40" ca="1" si="2">AI18</f>
        <v>#NAME?</v>
      </c>
      <c r="AN31" s="161" t="e">
        <f t="shared" ca="1" si="2"/>
        <v>#NAME?</v>
      </c>
      <c r="AO31" s="161" t="e">
        <f t="shared" ca="1" si="2"/>
        <v>#NAME?</v>
      </c>
      <c r="AP31" s="162" t="e">
        <f t="shared" ca="1" si="2"/>
        <v>#NAME?</v>
      </c>
      <c r="AQ31" s="163" t="s">
        <v>373</v>
      </c>
    </row>
    <row r="32" spans="1:43" x14ac:dyDescent="0.35">
      <c r="A32">
        <v>29</v>
      </c>
      <c r="B32" s="36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M32" s="156" t="e">
        <f t="array" aca="1" ref="M32:M40" ca="1">TRANSPOSE(M18:U18)</f>
        <v>#NAME?</v>
      </c>
      <c r="N32" s="164" t="e">
        <f t="shared" ref="N32:N40" ca="1" si="3">M32/M$41</f>
        <v>#NAME?</v>
      </c>
      <c r="O32" s="165" t="e">
        <f ca="1">N32</f>
        <v>#NAME?</v>
      </c>
      <c r="Q32" t="str">
        <f t="shared" ref="Q32:Q40" si="4">L4</f>
        <v>Expect</v>
      </c>
      <c r="R32" s="156" t="e">
        <f ca="1">-M19</f>
        <v>#NAME?</v>
      </c>
      <c r="S32" s="157" t="e">
        <f t="shared" ref="S32:U40" ca="1" si="5">N19</f>
        <v>#NAME?</v>
      </c>
      <c r="T32" s="157" t="e">
        <f t="shared" ca="1" si="5"/>
        <v>#NAME?</v>
      </c>
      <c r="U32" s="158" t="e">
        <f t="shared" ca="1" si="5"/>
        <v>#NAME?</v>
      </c>
      <c r="W32">
        <f t="shared" si="1"/>
        <v>29</v>
      </c>
      <c r="X32" s="123">
        <f t="shared" si="0"/>
        <v>1.0201034865364365</v>
      </c>
      <c r="Y32" s="37">
        <f t="shared" si="0"/>
        <v>-0.29238417492594532</v>
      </c>
      <c r="Z32" s="37">
        <f t="shared" si="0"/>
        <v>-0.27284414885500391</v>
      </c>
      <c r="AA32" s="37">
        <f t="shared" ref="AA32:AF63" si="6">STANDARDIZE(E32,E$126,E$127)</f>
        <v>0.60812434450388564</v>
      </c>
      <c r="AB32" s="37">
        <f t="shared" si="6"/>
        <v>0.30504398370210595</v>
      </c>
      <c r="AC32" s="37">
        <f t="shared" si="6"/>
        <v>0.72442741839320879</v>
      </c>
      <c r="AD32" s="37">
        <f t="shared" si="6"/>
        <v>-1.4835219688851171</v>
      </c>
      <c r="AE32" s="37">
        <f t="shared" si="6"/>
        <v>0.2887653941537715</v>
      </c>
      <c r="AF32" s="90">
        <f t="shared" si="6"/>
        <v>-0.50985434813354169</v>
      </c>
      <c r="AH32" s="156" t="e">
        <f t="array" aca="1" ref="AH32:AH40" ca="1">TRANSPOSE(AI18:AQ18)</f>
        <v>#NAME?</v>
      </c>
      <c r="AI32" s="164" t="e">
        <f t="shared" ref="AI32:AI40" ca="1" si="7">AH32/AI$41</f>
        <v>#NAME?</v>
      </c>
      <c r="AJ32" s="165" t="e">
        <f ca="1">AI32</f>
        <v>#NAME?</v>
      </c>
      <c r="AL32" t="str">
        <f t="shared" ref="AL32:AL40" si="8">AH4</f>
        <v>Expect</v>
      </c>
      <c r="AM32" s="123" t="e">
        <f t="shared" ca="1" si="2"/>
        <v>#NAME?</v>
      </c>
      <c r="AN32" s="37" t="e">
        <f t="shared" ca="1" si="2"/>
        <v>#NAME?</v>
      </c>
      <c r="AO32" s="37" t="e">
        <f t="shared" ca="1" si="2"/>
        <v>#NAME?</v>
      </c>
      <c r="AP32" s="90" t="e">
        <f t="shared" ca="1" si="2"/>
        <v>#NAME?</v>
      </c>
      <c r="AQ32" s="166" t="e">
        <f ca="1">SUMSQ(AM32:AP32)</f>
        <v>#NAME?</v>
      </c>
    </row>
    <row r="33" spans="1:43" x14ac:dyDescent="0.35">
      <c r="A33">
        <v>30</v>
      </c>
      <c r="B33" s="36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M33" s="123" t="e">
        <f ca="1"/>
        <v>#NAME?</v>
      </c>
      <c r="N33" s="167" t="e">
        <f t="shared" ca="1" si="3"/>
        <v>#NAME?</v>
      </c>
      <c r="O33" s="168" t="e">
        <f ca="1">O32+N33</f>
        <v>#NAME?</v>
      </c>
      <c r="Q33" t="str">
        <f t="shared" si="4"/>
        <v>Entertain</v>
      </c>
      <c r="R33" s="123" t="e">
        <f ca="1">-M20</f>
        <v>#NAME?</v>
      </c>
      <c r="S33" s="37" t="e">
        <f t="shared" ca="1" si="5"/>
        <v>#NAME?</v>
      </c>
      <c r="T33" s="37" t="e">
        <f t="shared" ca="1" si="5"/>
        <v>#NAME?</v>
      </c>
      <c r="U33" s="90" t="e">
        <f t="shared" ca="1" si="5"/>
        <v>#NAME?</v>
      </c>
      <c r="W33">
        <f t="shared" si="1"/>
        <v>30</v>
      </c>
      <c r="X33" s="123">
        <f t="shared" ref="X33:X64" si="9">STANDARDIZE(B33,B$126,B$127)</f>
        <v>-1.349169127354642</v>
      </c>
      <c r="Y33" s="37">
        <f t="shared" ref="Y33:Y64" si="10">STANDARDIZE(C33,C$126,C$127)</f>
        <v>-0.29238417492594532</v>
      </c>
      <c r="Z33" s="37">
        <f t="shared" ref="Z33:Z64" si="11">STANDARDIZE(D33,D$126,D$127)</f>
        <v>-0.87916447964390132</v>
      </c>
      <c r="AA33" s="37">
        <f t="shared" si="6"/>
        <v>0.60812434450388564</v>
      </c>
      <c r="AB33" s="37">
        <f t="shared" si="6"/>
        <v>-0.74082110327654205</v>
      </c>
      <c r="AC33" s="37">
        <f t="shared" si="6"/>
        <v>-0.73660266912250705</v>
      </c>
      <c r="AD33" s="37">
        <f t="shared" si="6"/>
        <v>6.1142987871620834E-2</v>
      </c>
      <c r="AE33" s="37">
        <f t="shared" si="6"/>
        <v>0.2887653941537715</v>
      </c>
      <c r="AF33" s="90">
        <f t="shared" si="6"/>
        <v>1.1896601456449316</v>
      </c>
      <c r="AH33" s="123" t="e">
        <f ca="1"/>
        <v>#NAME?</v>
      </c>
      <c r="AI33" s="167" t="e">
        <f t="shared" ca="1" si="7"/>
        <v>#NAME?</v>
      </c>
      <c r="AJ33" s="168" t="e">
        <f ca="1">AJ32+AI33</f>
        <v>#NAME?</v>
      </c>
      <c r="AL33" t="str">
        <f t="shared" si="8"/>
        <v>Entertain</v>
      </c>
      <c r="AM33" s="123" t="e">
        <f t="shared" ca="1" si="2"/>
        <v>#NAME?</v>
      </c>
      <c r="AN33" s="37" t="e">
        <f t="shared" ca="1" si="2"/>
        <v>#NAME?</v>
      </c>
      <c r="AO33" s="37" t="e">
        <f t="shared" ca="1" si="2"/>
        <v>#NAME?</v>
      </c>
      <c r="AP33" s="90" t="e">
        <f t="shared" ca="1" si="2"/>
        <v>#NAME?</v>
      </c>
      <c r="AQ33" s="166" t="e">
        <f t="shared" ref="AQ33:AQ40" ca="1" si="12">SUMSQ(AM33:AP33)</f>
        <v>#NAME?</v>
      </c>
    </row>
    <row r="34" spans="1:43" x14ac:dyDescent="0.35">
      <c r="A34">
        <v>31</v>
      </c>
      <c r="B34" s="36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M34" s="123" t="e">
        <f ca="1"/>
        <v>#NAME?</v>
      </c>
      <c r="N34" s="167" t="e">
        <f t="shared" ca="1" si="3"/>
        <v>#NAME?</v>
      </c>
      <c r="O34" s="168" t="e">
        <f t="shared" ref="O34:O40" ca="1" si="13">O33+N34</f>
        <v>#NAME?</v>
      </c>
      <c r="Q34" t="str">
        <f t="shared" si="4"/>
        <v>Comm</v>
      </c>
      <c r="R34" s="123" t="e">
        <f t="shared" ref="R34:R40" ca="1" si="14">-M21</f>
        <v>#NAME?</v>
      </c>
      <c r="S34" s="37" t="e">
        <f t="shared" ca="1" si="5"/>
        <v>#NAME?</v>
      </c>
      <c r="T34" s="37" t="e">
        <f t="shared" ca="1" si="5"/>
        <v>#NAME?</v>
      </c>
      <c r="U34" s="90" t="e">
        <f t="shared" ca="1" si="5"/>
        <v>#NAME?</v>
      </c>
      <c r="W34">
        <f t="shared" si="1"/>
        <v>31</v>
      </c>
      <c r="X34" s="123">
        <f t="shared" si="9"/>
        <v>1.8098610245001292</v>
      </c>
      <c r="Y34" s="37">
        <f t="shared" si="10"/>
        <v>-0.29238417492594532</v>
      </c>
      <c r="Z34" s="37">
        <f t="shared" si="11"/>
        <v>-0.27284414885500391</v>
      </c>
      <c r="AA34" s="37">
        <f t="shared" si="6"/>
        <v>-2.3503184125420442</v>
      </c>
      <c r="AB34" s="37">
        <f t="shared" si="6"/>
        <v>-0.74082110327654205</v>
      </c>
      <c r="AC34" s="37">
        <f t="shared" si="6"/>
        <v>1.4549424621510667</v>
      </c>
      <c r="AD34" s="37">
        <f t="shared" si="6"/>
        <v>-0.32502325131756366</v>
      </c>
      <c r="AE34" s="37">
        <f t="shared" si="6"/>
        <v>-0.76129058458721444</v>
      </c>
      <c r="AF34" s="90">
        <f t="shared" si="6"/>
        <v>-2.2093688419120152</v>
      </c>
      <c r="AH34" s="123" t="e">
        <f ca="1"/>
        <v>#NAME?</v>
      </c>
      <c r="AI34" s="167" t="e">
        <f t="shared" ca="1" si="7"/>
        <v>#NAME?</v>
      </c>
      <c r="AJ34" s="168" t="e">
        <f t="shared" ref="AJ34:AJ40" ca="1" si="15">AJ33+AI34</f>
        <v>#NAME?</v>
      </c>
      <c r="AL34" t="str">
        <f t="shared" si="8"/>
        <v>Comm</v>
      </c>
      <c r="AM34" s="123" t="e">
        <f t="shared" ca="1" si="2"/>
        <v>#NAME?</v>
      </c>
      <c r="AN34" s="37" t="e">
        <f t="shared" ca="1" si="2"/>
        <v>#NAME?</v>
      </c>
      <c r="AO34" s="37" t="e">
        <f t="shared" ca="1" si="2"/>
        <v>#NAME?</v>
      </c>
      <c r="AP34" s="90" t="e">
        <f t="shared" ca="1" si="2"/>
        <v>#NAME?</v>
      </c>
      <c r="AQ34" s="166" t="e">
        <f t="shared" ca="1" si="12"/>
        <v>#NAME?</v>
      </c>
    </row>
    <row r="35" spans="1:43" x14ac:dyDescent="0.35">
      <c r="A35">
        <v>32</v>
      </c>
      <c r="B35" s="36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M35" s="123" t="e">
        <f ca="1"/>
        <v>#NAME?</v>
      </c>
      <c r="N35" s="167" t="e">
        <f t="shared" ca="1" si="3"/>
        <v>#NAME?</v>
      </c>
      <c r="O35" s="168" t="e">
        <f t="shared" ca="1" si="13"/>
        <v>#NAME?</v>
      </c>
      <c r="Q35" t="str">
        <f t="shared" si="4"/>
        <v>Expert</v>
      </c>
      <c r="R35" s="123" t="e">
        <f t="shared" ca="1" si="14"/>
        <v>#NAME?</v>
      </c>
      <c r="S35" s="37" t="e">
        <f t="shared" ca="1" si="5"/>
        <v>#NAME?</v>
      </c>
      <c r="T35" s="37" t="e">
        <f t="shared" ca="1" si="5"/>
        <v>#NAME?</v>
      </c>
      <c r="U35" s="90" t="e">
        <f t="shared" ca="1" si="5"/>
        <v>#NAME?</v>
      </c>
      <c r="W35">
        <f t="shared" si="1"/>
        <v>32</v>
      </c>
      <c r="X35" s="123">
        <f t="shared" si="9"/>
        <v>-1.349169127354642</v>
      </c>
      <c r="Y35" s="37">
        <f t="shared" si="10"/>
        <v>-0.29238417492594532</v>
      </c>
      <c r="Z35" s="37">
        <f t="shared" si="11"/>
        <v>-1.4854848104327987</v>
      </c>
      <c r="AA35" s="37">
        <f t="shared" si="6"/>
        <v>-0.378023241178091</v>
      </c>
      <c r="AB35" s="37">
        <f t="shared" si="6"/>
        <v>0.30504398370210595</v>
      </c>
      <c r="AC35" s="37">
        <f t="shared" si="6"/>
        <v>0.72442741839320879</v>
      </c>
      <c r="AD35" s="37">
        <f t="shared" si="6"/>
        <v>-0.32502325131756366</v>
      </c>
      <c r="AE35" s="37">
        <f t="shared" si="6"/>
        <v>1.3388213728947576</v>
      </c>
      <c r="AF35" s="90">
        <f t="shared" si="6"/>
        <v>-0.50985434813354169</v>
      </c>
      <c r="AH35" s="123" t="e">
        <f ca="1"/>
        <v>#NAME?</v>
      </c>
      <c r="AI35" s="167" t="e">
        <f t="shared" ca="1" si="7"/>
        <v>#NAME?</v>
      </c>
      <c r="AJ35" s="168" t="e">
        <f t="shared" ca="1" si="15"/>
        <v>#NAME?</v>
      </c>
      <c r="AL35" t="str">
        <f t="shared" si="8"/>
        <v>Expert</v>
      </c>
      <c r="AM35" s="123" t="e">
        <f t="shared" ca="1" si="2"/>
        <v>#NAME?</v>
      </c>
      <c r="AN35" s="37" t="e">
        <f t="shared" ca="1" si="2"/>
        <v>#NAME?</v>
      </c>
      <c r="AO35" s="37" t="e">
        <f t="shared" ca="1" si="2"/>
        <v>#NAME?</v>
      </c>
      <c r="AP35" s="90" t="e">
        <f t="shared" ca="1" si="2"/>
        <v>#NAME?</v>
      </c>
      <c r="AQ35" s="166" t="e">
        <f t="shared" ca="1" si="12"/>
        <v>#NAME?</v>
      </c>
    </row>
    <row r="36" spans="1:43" x14ac:dyDescent="0.35">
      <c r="A36">
        <v>33</v>
      </c>
      <c r="B36" s="36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M36" s="123" t="e">
        <f ca="1"/>
        <v>#NAME?</v>
      </c>
      <c r="N36" s="167" t="e">
        <f t="shared" ca="1" si="3"/>
        <v>#NAME?</v>
      </c>
      <c r="O36" s="168" t="e">
        <f t="shared" ca="1" si="13"/>
        <v>#NAME?</v>
      </c>
      <c r="Q36" t="str">
        <f t="shared" si="4"/>
        <v>Motivate</v>
      </c>
      <c r="R36" s="123" t="e">
        <f t="shared" ca="1" si="14"/>
        <v>#NAME?</v>
      </c>
      <c r="S36" s="37" t="e">
        <f t="shared" ca="1" si="5"/>
        <v>#NAME?</v>
      </c>
      <c r="T36" s="37" t="e">
        <f t="shared" ca="1" si="5"/>
        <v>#NAME?</v>
      </c>
      <c r="U36" s="90" t="e">
        <f t="shared" ca="1" si="5"/>
        <v>#NAME?</v>
      </c>
      <c r="W36">
        <f t="shared" si="1"/>
        <v>33</v>
      </c>
      <c r="X36" s="123">
        <f t="shared" si="9"/>
        <v>0.23034594857274363</v>
      </c>
      <c r="Y36" s="37">
        <f t="shared" si="10"/>
        <v>-0.29238417492594532</v>
      </c>
      <c r="Z36" s="37">
        <f t="shared" si="11"/>
        <v>-0.87916447964390132</v>
      </c>
      <c r="AA36" s="37">
        <f t="shared" si="6"/>
        <v>0.60812434450388564</v>
      </c>
      <c r="AB36" s="37">
        <f t="shared" si="6"/>
        <v>-0.74082110327654205</v>
      </c>
      <c r="AC36" s="37">
        <f t="shared" si="6"/>
        <v>-6.0876253646491192E-3</v>
      </c>
      <c r="AD36" s="37">
        <f t="shared" si="6"/>
        <v>-1.4835219688851171</v>
      </c>
      <c r="AE36" s="37">
        <f t="shared" si="6"/>
        <v>-0.76129058458721444</v>
      </c>
      <c r="AF36" s="90">
        <f t="shared" si="6"/>
        <v>-2.2093688419120152</v>
      </c>
      <c r="AH36" s="123" t="e">
        <f ca="1"/>
        <v>#NAME?</v>
      </c>
      <c r="AI36" s="167" t="e">
        <f t="shared" ca="1" si="7"/>
        <v>#NAME?</v>
      </c>
      <c r="AJ36" s="168" t="e">
        <f t="shared" ca="1" si="15"/>
        <v>#NAME?</v>
      </c>
      <c r="AL36" t="str">
        <f t="shared" si="8"/>
        <v>Motivate</v>
      </c>
      <c r="AM36" s="123" t="e">
        <f t="shared" ca="1" si="2"/>
        <v>#NAME?</v>
      </c>
      <c r="AN36" s="37" t="e">
        <f t="shared" ca="1" si="2"/>
        <v>#NAME?</v>
      </c>
      <c r="AO36" s="37" t="e">
        <f t="shared" ca="1" si="2"/>
        <v>#NAME?</v>
      </c>
      <c r="AP36" s="90" t="e">
        <f t="shared" ca="1" si="2"/>
        <v>#NAME?</v>
      </c>
      <c r="AQ36" s="166" t="e">
        <f t="shared" ca="1" si="12"/>
        <v>#NAME?</v>
      </c>
    </row>
    <row r="37" spans="1:43" x14ac:dyDescent="0.35">
      <c r="A37">
        <v>34</v>
      </c>
      <c r="B37" s="36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  <c r="M37" s="123" t="e">
        <f ca="1"/>
        <v>#NAME?</v>
      </c>
      <c r="N37" s="167" t="e">
        <f t="shared" ca="1" si="3"/>
        <v>#NAME?</v>
      </c>
      <c r="O37" s="168" t="e">
        <f t="shared" ca="1" si="13"/>
        <v>#NAME?</v>
      </c>
      <c r="Q37" t="str">
        <f t="shared" si="4"/>
        <v>Caring</v>
      </c>
      <c r="R37" s="123" t="e">
        <f t="shared" ca="1" si="14"/>
        <v>#NAME?</v>
      </c>
      <c r="S37" s="37" t="e">
        <f t="shared" ca="1" si="5"/>
        <v>#NAME?</v>
      </c>
      <c r="T37" s="37" t="e">
        <f t="shared" ca="1" si="5"/>
        <v>#NAME?</v>
      </c>
      <c r="U37" s="90" t="e">
        <f t="shared" ca="1" si="5"/>
        <v>#NAME?</v>
      </c>
      <c r="W37">
        <f t="shared" si="1"/>
        <v>34</v>
      </c>
      <c r="X37" s="123">
        <f t="shared" si="9"/>
        <v>-0.55941158939094915</v>
      </c>
      <c r="Y37" s="37">
        <f t="shared" si="10"/>
        <v>1.4619208746297327</v>
      </c>
      <c r="Z37" s="37">
        <f t="shared" si="11"/>
        <v>1.5461168435116881</v>
      </c>
      <c r="AA37" s="37">
        <f t="shared" si="6"/>
        <v>-0.378023241178091</v>
      </c>
      <c r="AB37" s="37">
        <f t="shared" si="6"/>
        <v>-0.74082110327654205</v>
      </c>
      <c r="AC37" s="37">
        <f t="shared" si="6"/>
        <v>-0.73660266912250705</v>
      </c>
      <c r="AD37" s="37">
        <f t="shared" si="6"/>
        <v>1.6058079446283589</v>
      </c>
      <c r="AE37" s="37">
        <f t="shared" si="6"/>
        <v>0.2887653941537715</v>
      </c>
      <c r="AF37" s="90">
        <f t="shared" si="6"/>
        <v>1.1896601456449316</v>
      </c>
      <c r="AH37" s="123" t="e">
        <f ca="1"/>
        <v>#NAME?</v>
      </c>
      <c r="AI37" s="167" t="e">
        <f t="shared" ca="1" si="7"/>
        <v>#NAME?</v>
      </c>
      <c r="AJ37" s="168" t="e">
        <f t="shared" ca="1" si="15"/>
        <v>#NAME?</v>
      </c>
      <c r="AL37" t="str">
        <f t="shared" si="8"/>
        <v>Caring</v>
      </c>
      <c r="AM37" s="123" t="e">
        <f t="shared" ca="1" si="2"/>
        <v>#NAME?</v>
      </c>
      <c r="AN37" s="37" t="e">
        <f t="shared" ca="1" si="2"/>
        <v>#NAME?</v>
      </c>
      <c r="AO37" s="37" t="e">
        <f t="shared" ca="1" si="2"/>
        <v>#NAME?</v>
      </c>
      <c r="AP37" s="90" t="e">
        <f t="shared" ca="1" si="2"/>
        <v>#NAME?</v>
      </c>
      <c r="AQ37" s="166" t="e">
        <f t="shared" ca="1" si="12"/>
        <v>#NAME?</v>
      </c>
    </row>
    <row r="38" spans="1:43" x14ac:dyDescent="0.35">
      <c r="A38">
        <v>35</v>
      </c>
      <c r="B38" s="36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M38" s="123" t="e">
        <f ca="1"/>
        <v>#NAME?</v>
      </c>
      <c r="N38" s="167" t="e">
        <f t="shared" ca="1" si="3"/>
        <v>#NAME?</v>
      </c>
      <c r="O38" s="168" t="e">
        <f t="shared" ca="1" si="13"/>
        <v>#NAME?</v>
      </c>
      <c r="Q38" t="str">
        <f t="shared" si="4"/>
        <v>Charisma</v>
      </c>
      <c r="R38" s="123" t="e">
        <f t="shared" ca="1" si="14"/>
        <v>#NAME?</v>
      </c>
      <c r="S38" s="37" t="e">
        <f t="shared" ca="1" si="5"/>
        <v>#NAME?</v>
      </c>
      <c r="T38" s="37" t="e">
        <f t="shared" ca="1" si="5"/>
        <v>#NAME?</v>
      </c>
      <c r="U38" s="90" t="e">
        <f t="shared" ca="1" si="5"/>
        <v>#NAME?</v>
      </c>
      <c r="W38">
        <f t="shared" si="1"/>
        <v>35</v>
      </c>
      <c r="X38" s="123">
        <f t="shared" si="9"/>
        <v>-1.349169127354642</v>
      </c>
      <c r="Y38" s="37">
        <f t="shared" si="10"/>
        <v>-0.29238417492594532</v>
      </c>
      <c r="Z38" s="37">
        <f t="shared" si="11"/>
        <v>-0.87916447964390132</v>
      </c>
      <c r="AA38" s="37">
        <f t="shared" si="6"/>
        <v>-0.378023241178091</v>
      </c>
      <c r="AB38" s="37">
        <f t="shared" si="6"/>
        <v>1.3509090706807538</v>
      </c>
      <c r="AC38" s="37">
        <f t="shared" si="6"/>
        <v>2.1854575059089245</v>
      </c>
      <c r="AD38" s="37">
        <f t="shared" si="6"/>
        <v>-0.71118949050674818</v>
      </c>
      <c r="AE38" s="37">
        <f t="shared" si="6"/>
        <v>0.2887653941537715</v>
      </c>
      <c r="AF38" s="90">
        <f t="shared" si="6"/>
        <v>-0.50985434813354169</v>
      </c>
      <c r="AH38" s="123" t="e">
        <f ca="1"/>
        <v>#NAME?</v>
      </c>
      <c r="AI38" s="167" t="e">
        <f t="shared" ca="1" si="7"/>
        <v>#NAME?</v>
      </c>
      <c r="AJ38" s="168" t="e">
        <f t="shared" ca="1" si="15"/>
        <v>#NAME?</v>
      </c>
      <c r="AL38" t="str">
        <f t="shared" si="8"/>
        <v>Charisma</v>
      </c>
      <c r="AM38" s="123" t="e">
        <f t="shared" ca="1" si="2"/>
        <v>#NAME?</v>
      </c>
      <c r="AN38" s="37" t="e">
        <f t="shared" ca="1" si="2"/>
        <v>#NAME?</v>
      </c>
      <c r="AO38" s="37" t="e">
        <f t="shared" ca="1" si="2"/>
        <v>#NAME?</v>
      </c>
      <c r="AP38" s="90" t="e">
        <f t="shared" ca="1" si="2"/>
        <v>#NAME?</v>
      </c>
      <c r="AQ38" s="166" t="e">
        <f t="shared" ca="1" si="12"/>
        <v>#NAME?</v>
      </c>
    </row>
    <row r="39" spans="1:43" x14ac:dyDescent="0.35">
      <c r="A39">
        <v>36</v>
      </c>
      <c r="B39" s="36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  <c r="M39" s="123" t="e">
        <f ca="1"/>
        <v>#NAME?</v>
      </c>
      <c r="N39" s="167" t="e">
        <f t="shared" ca="1" si="3"/>
        <v>#NAME?</v>
      </c>
      <c r="O39" s="168" t="e">
        <f t="shared" ca="1" si="13"/>
        <v>#NAME?</v>
      </c>
      <c r="Q39" t="str">
        <f t="shared" si="4"/>
        <v>Passion</v>
      </c>
      <c r="R39" s="123" t="e">
        <f t="shared" ca="1" si="14"/>
        <v>#NAME?</v>
      </c>
      <c r="S39" s="37" t="e">
        <f t="shared" ca="1" si="5"/>
        <v>#NAME?</v>
      </c>
      <c r="T39" s="37" t="e">
        <f t="shared" ca="1" si="5"/>
        <v>#NAME?</v>
      </c>
      <c r="U39" s="90" t="e">
        <f t="shared" ca="1" si="5"/>
        <v>#NAME?</v>
      </c>
      <c r="W39">
        <f t="shared" si="1"/>
        <v>36</v>
      </c>
      <c r="X39" s="123">
        <f t="shared" si="9"/>
        <v>-1.349169127354642</v>
      </c>
      <c r="Y39" s="37">
        <f t="shared" si="10"/>
        <v>-0.29238417492594532</v>
      </c>
      <c r="Z39" s="37">
        <f t="shared" si="11"/>
        <v>-0.87916447964390132</v>
      </c>
      <c r="AA39" s="37">
        <f t="shared" si="6"/>
        <v>-0.378023241178091</v>
      </c>
      <c r="AB39" s="37">
        <f t="shared" si="6"/>
        <v>-0.74082110327654205</v>
      </c>
      <c r="AC39" s="37">
        <f t="shared" si="6"/>
        <v>-0.73660266912250705</v>
      </c>
      <c r="AD39" s="37">
        <f t="shared" si="6"/>
        <v>-0.71118949050674818</v>
      </c>
      <c r="AE39" s="37">
        <f t="shared" si="6"/>
        <v>0.2887653941537715</v>
      </c>
      <c r="AF39" s="90">
        <f t="shared" si="6"/>
        <v>-0.50985434813354169</v>
      </c>
      <c r="AH39" s="123" t="e">
        <f ca="1"/>
        <v>#NAME?</v>
      </c>
      <c r="AI39" s="167" t="e">
        <f t="shared" ca="1" si="7"/>
        <v>#NAME?</v>
      </c>
      <c r="AJ39" s="168" t="e">
        <f t="shared" ca="1" si="15"/>
        <v>#NAME?</v>
      </c>
      <c r="AL39" t="str">
        <f t="shared" si="8"/>
        <v>Passion</v>
      </c>
      <c r="AM39" s="123" t="e">
        <f t="shared" ca="1" si="2"/>
        <v>#NAME?</v>
      </c>
      <c r="AN39" s="37" t="e">
        <f t="shared" ca="1" si="2"/>
        <v>#NAME?</v>
      </c>
      <c r="AO39" s="37" t="e">
        <f t="shared" ca="1" si="2"/>
        <v>#NAME?</v>
      </c>
      <c r="AP39" s="90" t="e">
        <f t="shared" ca="1" si="2"/>
        <v>#NAME?</v>
      </c>
      <c r="AQ39" s="166" t="e">
        <f t="shared" ca="1" si="12"/>
        <v>#NAME?</v>
      </c>
    </row>
    <row r="40" spans="1:43" x14ac:dyDescent="0.35">
      <c r="A40">
        <v>37</v>
      </c>
      <c r="B40" s="36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s="91" t="e">
        <f ca="1"/>
        <v>#NAME?</v>
      </c>
      <c r="N40" s="169" t="e">
        <f t="shared" ca="1" si="3"/>
        <v>#NAME?</v>
      </c>
      <c r="O40" s="170" t="e">
        <f t="shared" ca="1" si="13"/>
        <v>#NAME?</v>
      </c>
      <c r="Q40" t="str">
        <f t="shared" si="4"/>
        <v>Friendly</v>
      </c>
      <c r="R40" s="91" t="e">
        <f t="shared" ca="1" si="14"/>
        <v>#NAME?</v>
      </c>
      <c r="S40" s="92" t="e">
        <f t="shared" ca="1" si="5"/>
        <v>#NAME?</v>
      </c>
      <c r="T40" s="92" t="e">
        <f t="shared" ca="1" si="5"/>
        <v>#NAME?</v>
      </c>
      <c r="U40" s="93" t="e">
        <f t="shared" ca="1" si="5"/>
        <v>#NAME?</v>
      </c>
      <c r="W40">
        <f t="shared" si="1"/>
        <v>37</v>
      </c>
      <c r="X40" s="123">
        <f t="shared" si="9"/>
        <v>-1.349169127354642</v>
      </c>
      <c r="Y40" s="37">
        <f t="shared" si="10"/>
        <v>-0.29238417492594532</v>
      </c>
      <c r="Z40" s="37">
        <f t="shared" si="11"/>
        <v>0.33347618193389345</v>
      </c>
      <c r="AA40" s="37">
        <f t="shared" si="6"/>
        <v>-1.3641708268600676</v>
      </c>
      <c r="AB40" s="37">
        <f t="shared" si="6"/>
        <v>0.30504398370210595</v>
      </c>
      <c r="AC40" s="37">
        <f t="shared" si="6"/>
        <v>0.72442741839320879</v>
      </c>
      <c r="AD40" s="37">
        <f t="shared" si="6"/>
        <v>6.1142987871620834E-2</v>
      </c>
      <c r="AE40" s="37">
        <f t="shared" si="6"/>
        <v>0.2887653941537715</v>
      </c>
      <c r="AF40" s="90">
        <f t="shared" si="6"/>
        <v>-0.50985434813354169</v>
      </c>
      <c r="AH40" s="91" t="e">
        <f ca="1"/>
        <v>#NAME?</v>
      </c>
      <c r="AI40" s="169" t="e">
        <f t="shared" ca="1" si="7"/>
        <v>#NAME?</v>
      </c>
      <c r="AJ40" s="170" t="e">
        <f t="shared" ca="1" si="15"/>
        <v>#NAME?</v>
      </c>
      <c r="AL40" t="str">
        <f t="shared" si="8"/>
        <v>Friendly</v>
      </c>
      <c r="AM40" s="91" t="e">
        <f t="shared" ca="1" si="2"/>
        <v>#NAME?</v>
      </c>
      <c r="AN40" s="92" t="e">
        <f t="shared" ca="1" si="2"/>
        <v>#NAME?</v>
      </c>
      <c r="AO40" s="92" t="e">
        <f t="shared" ca="1" si="2"/>
        <v>#NAME?</v>
      </c>
      <c r="AP40" s="93" t="e">
        <f t="shared" ca="1" si="2"/>
        <v>#NAME?</v>
      </c>
      <c r="AQ40" s="171" t="e">
        <f t="shared" ca="1" si="12"/>
        <v>#NAME?</v>
      </c>
    </row>
    <row r="41" spans="1:43" x14ac:dyDescent="0.35">
      <c r="A41">
        <v>38</v>
      </c>
      <c r="B41" s="36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M41" t="e">
        <f ca="1">SUM(M32:M40)</f>
        <v>#NAME?</v>
      </c>
      <c r="W41">
        <f t="shared" si="1"/>
        <v>38</v>
      </c>
      <c r="X41" s="123">
        <f t="shared" si="9"/>
        <v>1.0201034865364365</v>
      </c>
      <c r="Y41" s="37">
        <f t="shared" si="10"/>
        <v>-0.29238417492594532</v>
      </c>
      <c r="Z41" s="37">
        <f t="shared" si="11"/>
        <v>0.93979651272279086</v>
      </c>
      <c r="AA41" s="37">
        <f t="shared" si="6"/>
        <v>0.60812434450388564</v>
      </c>
      <c r="AB41" s="37">
        <f t="shared" si="6"/>
        <v>0.30504398370210595</v>
      </c>
      <c r="AC41" s="37">
        <f t="shared" si="6"/>
        <v>0.72442741839320879</v>
      </c>
      <c r="AD41" s="37">
        <f t="shared" si="6"/>
        <v>0.8334754662499898</v>
      </c>
      <c r="AE41" s="37">
        <f t="shared" si="6"/>
        <v>-0.76129058458721444</v>
      </c>
      <c r="AF41" s="90">
        <f t="shared" si="6"/>
        <v>-0.50985434813354169</v>
      </c>
      <c r="AI41" t="e">
        <f ca="1">SUM(AH32:AH40)</f>
        <v>#NAME?</v>
      </c>
    </row>
    <row r="42" spans="1:43" x14ac:dyDescent="0.35">
      <c r="A42">
        <v>39</v>
      </c>
      <c r="B42" s="36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W42">
        <f t="shared" si="1"/>
        <v>39</v>
      </c>
      <c r="X42" s="123">
        <f t="shared" si="9"/>
        <v>-2.1389266653183348</v>
      </c>
      <c r="Y42" s="37">
        <f t="shared" si="10"/>
        <v>-0.29238417492594532</v>
      </c>
      <c r="Z42" s="37">
        <f t="shared" si="11"/>
        <v>-0.27284414885500391</v>
      </c>
      <c r="AA42" s="37">
        <f t="shared" si="6"/>
        <v>-1.3641708268600676</v>
      </c>
      <c r="AB42" s="37">
        <f t="shared" si="6"/>
        <v>0.30504398370210595</v>
      </c>
      <c r="AC42" s="37">
        <f t="shared" si="6"/>
        <v>1.4549424621510667</v>
      </c>
      <c r="AD42" s="37">
        <f t="shared" si="6"/>
        <v>-0.32502325131756366</v>
      </c>
      <c r="AE42" s="37">
        <f t="shared" si="6"/>
        <v>0.2887653941537715</v>
      </c>
      <c r="AF42" s="90">
        <f t="shared" si="6"/>
        <v>1.1896601456449316</v>
      </c>
    </row>
    <row r="43" spans="1:43" x14ac:dyDescent="0.35">
      <c r="A43">
        <v>40</v>
      </c>
      <c r="B43" s="36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W43">
        <f t="shared" si="1"/>
        <v>40</v>
      </c>
      <c r="X43" s="123">
        <f t="shared" si="9"/>
        <v>1.8098610245001292</v>
      </c>
      <c r="Y43" s="37">
        <f t="shared" si="10"/>
        <v>-0.29238417492594532</v>
      </c>
      <c r="Z43" s="37">
        <f t="shared" si="11"/>
        <v>-0.27284414885500391</v>
      </c>
      <c r="AA43" s="37">
        <f t="shared" si="6"/>
        <v>-0.378023241178091</v>
      </c>
      <c r="AB43" s="37">
        <f t="shared" si="6"/>
        <v>-2.8325512772338381</v>
      </c>
      <c r="AC43" s="37">
        <f t="shared" si="6"/>
        <v>-6.0876253646491192E-3</v>
      </c>
      <c r="AD43" s="37">
        <f t="shared" si="6"/>
        <v>6.1142987871620834E-2</v>
      </c>
      <c r="AE43" s="37">
        <f t="shared" si="6"/>
        <v>0.2887653941537715</v>
      </c>
      <c r="AF43" s="90">
        <f t="shared" si="6"/>
        <v>-0.50985434813354169</v>
      </c>
    </row>
    <row r="44" spans="1:43" x14ac:dyDescent="0.35">
      <c r="A44">
        <v>41</v>
      </c>
      <c r="B44" s="36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W44">
        <f t="shared" si="1"/>
        <v>41</v>
      </c>
      <c r="X44" s="123">
        <f t="shared" si="9"/>
        <v>0.23034594857274363</v>
      </c>
      <c r="Y44" s="37">
        <f t="shared" si="10"/>
        <v>-0.29238417492594532</v>
      </c>
      <c r="Z44" s="37">
        <f t="shared" si="11"/>
        <v>-0.27284414885500391</v>
      </c>
      <c r="AA44" s="37">
        <f t="shared" si="6"/>
        <v>-0.378023241178091</v>
      </c>
      <c r="AB44" s="37">
        <f t="shared" si="6"/>
        <v>2.3967741576594017</v>
      </c>
      <c r="AC44" s="37">
        <f t="shared" si="6"/>
        <v>-6.0876253646491192E-3</v>
      </c>
      <c r="AD44" s="37">
        <f t="shared" si="6"/>
        <v>-0.32502325131756366</v>
      </c>
      <c r="AE44" s="37">
        <f t="shared" si="6"/>
        <v>-0.76129058458721444</v>
      </c>
      <c r="AF44" s="90">
        <f t="shared" si="6"/>
        <v>-0.50985434813354169</v>
      </c>
    </row>
    <row r="45" spans="1:43" x14ac:dyDescent="0.35">
      <c r="A45">
        <v>42</v>
      </c>
      <c r="B45" s="36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W45">
        <f t="shared" si="1"/>
        <v>42</v>
      </c>
      <c r="X45" s="123">
        <f t="shared" si="9"/>
        <v>0.23034594857274363</v>
      </c>
      <c r="Y45" s="37">
        <f t="shared" si="10"/>
        <v>-0.29238417492594532</v>
      </c>
      <c r="Z45" s="37">
        <f t="shared" si="11"/>
        <v>-0.87916447964390132</v>
      </c>
      <c r="AA45" s="37">
        <f t="shared" si="6"/>
        <v>-0.378023241178091</v>
      </c>
      <c r="AB45" s="37">
        <f t="shared" si="6"/>
        <v>1.3509090706807538</v>
      </c>
      <c r="AC45" s="37">
        <f t="shared" si="6"/>
        <v>-0.73660266912250705</v>
      </c>
      <c r="AD45" s="37">
        <f t="shared" si="6"/>
        <v>6.1142987871620834E-2</v>
      </c>
      <c r="AE45" s="37">
        <f t="shared" si="6"/>
        <v>0.2887653941537715</v>
      </c>
      <c r="AF45" s="90">
        <f t="shared" si="6"/>
        <v>-0.50985434813354169</v>
      </c>
    </row>
    <row r="46" spans="1:43" x14ac:dyDescent="0.35">
      <c r="A46">
        <v>43</v>
      </c>
      <c r="B46" s="36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W46">
        <f t="shared" si="1"/>
        <v>43</v>
      </c>
      <c r="X46" s="123">
        <f t="shared" si="9"/>
        <v>-0.55941158939094915</v>
      </c>
      <c r="Y46" s="37">
        <f t="shared" si="10"/>
        <v>1.4619208746297327</v>
      </c>
      <c r="Z46" s="37">
        <f t="shared" si="11"/>
        <v>2.1524371743005855</v>
      </c>
      <c r="AA46" s="37">
        <f t="shared" si="6"/>
        <v>0.60812434450388564</v>
      </c>
      <c r="AB46" s="37">
        <f t="shared" si="6"/>
        <v>1.3509090706807538</v>
      </c>
      <c r="AC46" s="37">
        <f t="shared" si="6"/>
        <v>-6.0876253646491192E-3</v>
      </c>
      <c r="AD46" s="37">
        <f t="shared" si="6"/>
        <v>1.9919741838175433</v>
      </c>
      <c r="AE46" s="37">
        <f t="shared" si="6"/>
        <v>1.3388213728947576</v>
      </c>
      <c r="AF46" s="90">
        <f t="shared" si="6"/>
        <v>1.1896601456449316</v>
      </c>
    </row>
    <row r="47" spans="1:43" x14ac:dyDescent="0.35">
      <c r="A47">
        <v>44</v>
      </c>
      <c r="B47" s="36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W47">
        <f t="shared" si="1"/>
        <v>44</v>
      </c>
      <c r="X47" s="123">
        <f t="shared" si="9"/>
        <v>-1.349169127354642</v>
      </c>
      <c r="Y47" s="37">
        <f t="shared" si="10"/>
        <v>1.4619208746297327</v>
      </c>
      <c r="Z47" s="37">
        <f t="shared" si="11"/>
        <v>-0.27284414885500391</v>
      </c>
      <c r="AA47" s="37">
        <f t="shared" si="6"/>
        <v>0.60812434450388564</v>
      </c>
      <c r="AB47" s="37">
        <f t="shared" si="6"/>
        <v>1.3509090706807538</v>
      </c>
      <c r="AC47" s="37">
        <f t="shared" si="6"/>
        <v>1.4549424621510667</v>
      </c>
      <c r="AD47" s="37">
        <f t="shared" si="6"/>
        <v>0.44730922706080534</v>
      </c>
      <c r="AE47" s="37">
        <f t="shared" si="6"/>
        <v>2.3888773516357436</v>
      </c>
      <c r="AF47" s="90">
        <f t="shared" si="6"/>
        <v>1.1896601456449316</v>
      </c>
    </row>
    <row r="48" spans="1:43" x14ac:dyDescent="0.35">
      <c r="A48">
        <v>45</v>
      </c>
      <c r="B48" s="36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W48">
        <f t="shared" si="1"/>
        <v>45</v>
      </c>
      <c r="X48" s="123">
        <f t="shared" si="9"/>
        <v>1.0201034865364365</v>
      </c>
      <c r="Y48" s="37">
        <f t="shared" si="10"/>
        <v>-0.29238417492594532</v>
      </c>
      <c r="Z48" s="37">
        <f t="shared" si="11"/>
        <v>-1.4854848104327987</v>
      </c>
      <c r="AA48" s="37">
        <f t="shared" si="6"/>
        <v>0.60812434450388564</v>
      </c>
      <c r="AB48" s="37">
        <f t="shared" si="6"/>
        <v>0.30504398370210595</v>
      </c>
      <c r="AC48" s="37">
        <f t="shared" si="6"/>
        <v>0.72442741839320879</v>
      </c>
      <c r="AD48" s="37">
        <f t="shared" si="6"/>
        <v>-1.4835219688851171</v>
      </c>
      <c r="AE48" s="37">
        <f t="shared" si="6"/>
        <v>-0.76129058458721444</v>
      </c>
      <c r="AF48" s="90">
        <f t="shared" si="6"/>
        <v>1.1896601456449316</v>
      </c>
    </row>
    <row r="49" spans="1:49" x14ac:dyDescent="0.35">
      <c r="A49">
        <v>46</v>
      </c>
      <c r="B49" s="36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W49">
        <f t="shared" si="1"/>
        <v>46</v>
      </c>
      <c r="X49" s="123">
        <f t="shared" si="9"/>
        <v>1.0201034865364365</v>
      </c>
      <c r="Y49" s="37">
        <f t="shared" si="10"/>
        <v>-0.29238417492594532</v>
      </c>
      <c r="Z49" s="37">
        <f t="shared" si="11"/>
        <v>-0.87916447964390132</v>
      </c>
      <c r="AA49" s="37">
        <f t="shared" si="6"/>
        <v>-0.378023241178091</v>
      </c>
      <c r="AB49" s="37">
        <f t="shared" si="6"/>
        <v>-0.74082110327654205</v>
      </c>
      <c r="AC49" s="37">
        <f t="shared" si="6"/>
        <v>0.72442741839320879</v>
      </c>
      <c r="AD49" s="37">
        <f t="shared" si="6"/>
        <v>-0.32502325131756366</v>
      </c>
      <c r="AE49" s="37">
        <f t="shared" si="6"/>
        <v>-0.76129058458721444</v>
      </c>
      <c r="AF49" s="90">
        <f t="shared" si="6"/>
        <v>1.1896601456449316</v>
      </c>
    </row>
    <row r="50" spans="1:49" x14ac:dyDescent="0.35">
      <c r="A50">
        <v>47</v>
      </c>
      <c r="B50" s="36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W50">
        <f t="shared" si="1"/>
        <v>47</v>
      </c>
      <c r="X50" s="123">
        <f t="shared" si="9"/>
        <v>-0.55941158939094915</v>
      </c>
      <c r="Y50" s="37">
        <f t="shared" si="10"/>
        <v>-0.29238417492594532</v>
      </c>
      <c r="Z50" s="37">
        <f t="shared" si="11"/>
        <v>-1.4854848104327987</v>
      </c>
      <c r="AA50" s="37">
        <f t="shared" si="6"/>
        <v>-0.378023241178091</v>
      </c>
      <c r="AB50" s="37">
        <f t="shared" si="6"/>
        <v>-1.78668619025519</v>
      </c>
      <c r="AC50" s="37">
        <f t="shared" si="6"/>
        <v>-0.73660266912250705</v>
      </c>
      <c r="AD50" s="37">
        <f t="shared" si="6"/>
        <v>-1.4835219688851171</v>
      </c>
      <c r="AE50" s="37">
        <f t="shared" si="6"/>
        <v>0.2887653941537715</v>
      </c>
      <c r="AF50" s="90">
        <f t="shared" si="6"/>
        <v>-0.50985434813354169</v>
      </c>
    </row>
    <row r="51" spans="1:49" x14ac:dyDescent="0.35">
      <c r="A51">
        <v>48</v>
      </c>
      <c r="B51" s="36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  <c r="W51">
        <f t="shared" si="1"/>
        <v>48</v>
      </c>
      <c r="X51" s="123">
        <f t="shared" si="9"/>
        <v>0.23034594857274363</v>
      </c>
      <c r="Y51" s="37">
        <f t="shared" si="10"/>
        <v>1.4619208746297327</v>
      </c>
      <c r="Z51" s="37">
        <f t="shared" si="11"/>
        <v>1.5461168435116881</v>
      </c>
      <c r="AA51" s="37">
        <f t="shared" si="6"/>
        <v>-0.378023241178091</v>
      </c>
      <c r="AB51" s="37">
        <f t="shared" si="6"/>
        <v>-0.74082110327654205</v>
      </c>
      <c r="AC51" s="37">
        <f t="shared" si="6"/>
        <v>-1.467117712880365</v>
      </c>
      <c r="AD51" s="37">
        <f t="shared" si="6"/>
        <v>1.2196417054391744</v>
      </c>
      <c r="AE51" s="37">
        <f t="shared" si="6"/>
        <v>0.2887653941537715</v>
      </c>
      <c r="AF51" s="90">
        <f t="shared" si="6"/>
        <v>1.1896601456449316</v>
      </c>
    </row>
    <row r="52" spans="1:49" x14ac:dyDescent="0.35">
      <c r="A52">
        <v>49</v>
      </c>
      <c r="B52" s="36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W52">
        <f t="shared" si="1"/>
        <v>49</v>
      </c>
      <c r="X52" s="123">
        <f t="shared" si="9"/>
        <v>-0.55941158939094915</v>
      </c>
      <c r="Y52" s="37">
        <f t="shared" si="10"/>
        <v>1.4619208746297327</v>
      </c>
      <c r="Z52" s="37">
        <f t="shared" si="11"/>
        <v>0.33347618193389345</v>
      </c>
      <c r="AA52" s="37">
        <f t="shared" si="6"/>
        <v>-1.3641708268600676</v>
      </c>
      <c r="AB52" s="37">
        <f t="shared" si="6"/>
        <v>0.30504398370210595</v>
      </c>
      <c r="AC52" s="37">
        <f t="shared" si="6"/>
        <v>0.72442741839320879</v>
      </c>
      <c r="AD52" s="37">
        <f t="shared" si="6"/>
        <v>-1.0973557296959326</v>
      </c>
      <c r="AE52" s="37">
        <f t="shared" si="6"/>
        <v>-1.8113465633282004</v>
      </c>
      <c r="AF52" s="90">
        <f t="shared" si="6"/>
        <v>1.1896601456449316</v>
      </c>
    </row>
    <row r="53" spans="1:49" x14ac:dyDescent="0.35">
      <c r="A53">
        <v>50</v>
      </c>
      <c r="B53" s="36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  <c r="W53">
        <f t="shared" si="1"/>
        <v>50</v>
      </c>
      <c r="X53" s="123">
        <f t="shared" si="9"/>
        <v>-0.55941158939094915</v>
      </c>
      <c r="Y53" s="37">
        <f t="shared" si="10"/>
        <v>-0.29238417492594532</v>
      </c>
      <c r="Z53" s="37">
        <f t="shared" si="11"/>
        <v>-0.27284414885500391</v>
      </c>
      <c r="AA53" s="37">
        <f t="shared" si="6"/>
        <v>0.60812434450388564</v>
      </c>
      <c r="AB53" s="37">
        <f t="shared" si="6"/>
        <v>0.30504398370210595</v>
      </c>
      <c r="AC53" s="37">
        <f t="shared" si="6"/>
        <v>0.72442741839320879</v>
      </c>
      <c r="AD53" s="37">
        <f t="shared" si="6"/>
        <v>6.1142987871620834E-2</v>
      </c>
      <c r="AE53" s="37">
        <f t="shared" si="6"/>
        <v>-0.76129058458721444</v>
      </c>
      <c r="AF53" s="90">
        <f t="shared" si="6"/>
        <v>1.1896601456449316</v>
      </c>
    </row>
    <row r="54" spans="1:49" x14ac:dyDescent="0.35">
      <c r="A54">
        <v>51</v>
      </c>
      <c r="B54" s="36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W54">
        <f t="shared" si="1"/>
        <v>51</v>
      </c>
      <c r="X54" s="123">
        <f t="shared" si="9"/>
        <v>-0.55941158939094915</v>
      </c>
      <c r="Y54" s="37">
        <f t="shared" si="10"/>
        <v>-2.0466892244816233</v>
      </c>
      <c r="Z54" s="37">
        <f t="shared" si="11"/>
        <v>-1.4854848104327987</v>
      </c>
      <c r="AA54" s="37">
        <f t="shared" si="6"/>
        <v>0.60812434450388564</v>
      </c>
      <c r="AB54" s="37">
        <f t="shared" si="6"/>
        <v>-0.74082110327654205</v>
      </c>
      <c r="AC54" s="37">
        <f t="shared" si="6"/>
        <v>-1.467117712880365</v>
      </c>
      <c r="AD54" s="37">
        <f t="shared" si="6"/>
        <v>-1.4835219688851171</v>
      </c>
      <c r="AE54" s="37">
        <f t="shared" si="6"/>
        <v>1.3388213728947576</v>
      </c>
      <c r="AF54" s="90">
        <f t="shared" si="6"/>
        <v>-0.50985434813354169</v>
      </c>
    </row>
    <row r="55" spans="1:49" x14ac:dyDescent="0.35">
      <c r="A55">
        <v>52</v>
      </c>
      <c r="B55" s="36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W55">
        <f t="shared" si="1"/>
        <v>52</v>
      </c>
      <c r="X55" s="123">
        <f t="shared" si="9"/>
        <v>-2.1389266653183348</v>
      </c>
      <c r="Y55" s="37">
        <f t="shared" si="10"/>
        <v>-0.29238417492594532</v>
      </c>
      <c r="Z55" s="37">
        <f t="shared" si="11"/>
        <v>-0.27284414885500391</v>
      </c>
      <c r="AA55" s="37">
        <f t="shared" si="6"/>
        <v>0.60812434450388564</v>
      </c>
      <c r="AB55" s="37">
        <f t="shared" si="6"/>
        <v>-0.74082110327654205</v>
      </c>
      <c r="AC55" s="37">
        <f t="shared" si="6"/>
        <v>-2.1976327566382228</v>
      </c>
      <c r="AD55" s="37">
        <f t="shared" si="6"/>
        <v>6.1142987871620834E-2</v>
      </c>
      <c r="AE55" s="37">
        <f t="shared" si="6"/>
        <v>-0.76129058458721444</v>
      </c>
      <c r="AF55" s="90">
        <f t="shared" si="6"/>
        <v>1.1896601456449316</v>
      </c>
    </row>
    <row r="56" spans="1:49" x14ac:dyDescent="0.35">
      <c r="A56">
        <v>53</v>
      </c>
      <c r="B56" s="36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  <c r="W56">
        <f t="shared" si="1"/>
        <v>53</v>
      </c>
      <c r="X56" s="123">
        <f t="shared" si="9"/>
        <v>0.23034594857274363</v>
      </c>
      <c r="Y56" s="37">
        <f t="shared" si="10"/>
        <v>-0.29238417492594532</v>
      </c>
      <c r="Z56" s="37">
        <f t="shared" si="11"/>
        <v>1.5461168435116881</v>
      </c>
      <c r="AA56" s="37">
        <f t="shared" si="6"/>
        <v>-0.378023241178091</v>
      </c>
      <c r="AB56" s="37">
        <f t="shared" si="6"/>
        <v>0.30504398370210595</v>
      </c>
      <c r="AC56" s="37">
        <f t="shared" si="6"/>
        <v>0.72442741839320879</v>
      </c>
      <c r="AD56" s="37">
        <f t="shared" si="6"/>
        <v>1.2196417054391744</v>
      </c>
      <c r="AE56" s="37">
        <f t="shared" si="6"/>
        <v>1.3388213728947576</v>
      </c>
      <c r="AF56" s="90">
        <f t="shared" si="6"/>
        <v>-0.50985434813354169</v>
      </c>
    </row>
    <row r="57" spans="1:49" x14ac:dyDescent="0.35">
      <c r="A57">
        <v>54</v>
      </c>
      <c r="B57" s="36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W57">
        <f t="shared" si="1"/>
        <v>54</v>
      </c>
      <c r="X57" s="123">
        <f t="shared" si="9"/>
        <v>-0.55941158939094915</v>
      </c>
      <c r="Y57" s="37">
        <f t="shared" si="10"/>
        <v>-0.29238417492594532</v>
      </c>
      <c r="Z57" s="37">
        <f t="shared" si="11"/>
        <v>0.33347618193389345</v>
      </c>
      <c r="AA57" s="37">
        <f t="shared" si="6"/>
        <v>-0.378023241178091</v>
      </c>
      <c r="AB57" s="37">
        <f t="shared" si="6"/>
        <v>-1.78668619025519</v>
      </c>
      <c r="AC57" s="37">
        <f t="shared" si="6"/>
        <v>1.4549424621510667</v>
      </c>
      <c r="AD57" s="37">
        <f t="shared" si="6"/>
        <v>-1.4835219688851171</v>
      </c>
      <c r="AE57" s="37">
        <f t="shared" si="6"/>
        <v>-1.8113465633282004</v>
      </c>
      <c r="AF57" s="90">
        <f t="shared" si="6"/>
        <v>-0.50985434813354169</v>
      </c>
    </row>
    <row r="58" spans="1:49" x14ac:dyDescent="0.35">
      <c r="A58">
        <v>55</v>
      </c>
      <c r="B58" s="36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  <c r="M58" s="60">
        <v>1</v>
      </c>
      <c r="N58" s="60">
        <v>2</v>
      </c>
      <c r="O58" s="60">
        <v>3</v>
      </c>
      <c r="P58" s="60">
        <v>4</v>
      </c>
      <c r="W58">
        <f t="shared" si="1"/>
        <v>55</v>
      </c>
      <c r="X58" s="123">
        <f t="shared" si="9"/>
        <v>-1.349169127354642</v>
      </c>
      <c r="Y58" s="37">
        <f t="shared" si="10"/>
        <v>1.4619208746297327</v>
      </c>
      <c r="Z58" s="37">
        <f t="shared" si="11"/>
        <v>0.93979651272279086</v>
      </c>
      <c r="AA58" s="37">
        <f t="shared" si="6"/>
        <v>-1.3641708268600676</v>
      </c>
      <c r="AB58" s="37">
        <f t="shared" si="6"/>
        <v>1.3509090706807538</v>
      </c>
      <c r="AC58" s="37">
        <f t="shared" si="6"/>
        <v>-1.467117712880365</v>
      </c>
      <c r="AD58" s="37">
        <f t="shared" si="6"/>
        <v>6.1142987871620834E-2</v>
      </c>
      <c r="AE58" s="37">
        <f t="shared" si="6"/>
        <v>1.3388213728947576</v>
      </c>
      <c r="AF58" s="90">
        <f t="shared" si="6"/>
        <v>1.1896601456449316</v>
      </c>
    </row>
    <row r="59" spans="1:49" x14ac:dyDescent="0.35">
      <c r="A59">
        <v>56</v>
      </c>
      <c r="B59" s="36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L59" t="str">
        <f t="array" ref="L59:L67">L4:L12</f>
        <v>Expect</v>
      </c>
      <c r="M59" s="156" t="e">
        <f t="shared" ref="M59:P67" ca="1" si="16">M19</f>
        <v>#NAME?</v>
      </c>
      <c r="N59" s="157" t="e">
        <f t="shared" ca="1" si="16"/>
        <v>#NAME?</v>
      </c>
      <c r="O59" s="157" t="e">
        <f t="shared" ca="1" si="16"/>
        <v>#NAME?</v>
      </c>
      <c r="P59" s="158" t="e">
        <f t="shared" ca="1" si="16"/>
        <v>#NAME?</v>
      </c>
      <c r="W59">
        <f t="shared" si="1"/>
        <v>56</v>
      </c>
      <c r="X59" s="123">
        <f t="shared" si="9"/>
        <v>0.23034594857274363</v>
      </c>
      <c r="Y59" s="37">
        <f t="shared" si="10"/>
        <v>-0.29238417492594532</v>
      </c>
      <c r="Z59" s="37">
        <f t="shared" si="11"/>
        <v>-0.87916447964390132</v>
      </c>
      <c r="AA59" s="37">
        <f t="shared" si="6"/>
        <v>-0.378023241178091</v>
      </c>
      <c r="AB59" s="37">
        <f t="shared" si="6"/>
        <v>0.30504398370210595</v>
      </c>
      <c r="AC59" s="37">
        <f t="shared" si="6"/>
        <v>-1.467117712880365</v>
      </c>
      <c r="AD59" s="37">
        <f t="shared" si="6"/>
        <v>-0.32502325131756366</v>
      </c>
      <c r="AE59" s="37">
        <f t="shared" si="6"/>
        <v>-0.76129058458721444</v>
      </c>
      <c r="AF59" s="90">
        <f t="shared" si="6"/>
        <v>-0.50985434813354169</v>
      </c>
    </row>
    <row r="60" spans="1:49" x14ac:dyDescent="0.35">
      <c r="A60">
        <v>57</v>
      </c>
      <c r="B60" s="36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L60" t="str">
        <v>Entertain</v>
      </c>
      <c r="M60" s="123" t="e">
        <f t="shared" ca="1" si="16"/>
        <v>#NAME?</v>
      </c>
      <c r="N60" s="37" t="e">
        <f t="shared" ca="1" si="16"/>
        <v>#NAME?</v>
      </c>
      <c r="O60" s="37" t="e">
        <f t="shared" ca="1" si="16"/>
        <v>#NAME?</v>
      </c>
      <c r="P60" s="90" t="e">
        <f t="shared" ca="1" si="16"/>
        <v>#NAME?</v>
      </c>
      <c r="W60">
        <f t="shared" si="1"/>
        <v>57</v>
      </c>
      <c r="X60" s="123">
        <f t="shared" si="9"/>
        <v>0.23034594857274363</v>
      </c>
      <c r="Y60" s="37">
        <f t="shared" si="10"/>
        <v>1.4619208746297327</v>
      </c>
      <c r="Z60" s="37">
        <f t="shared" si="11"/>
        <v>-1.4854848104327987</v>
      </c>
      <c r="AA60" s="37">
        <f t="shared" si="6"/>
        <v>0.60812434450388564</v>
      </c>
      <c r="AB60" s="37">
        <f t="shared" si="6"/>
        <v>0.30504398370210595</v>
      </c>
      <c r="AC60" s="37">
        <f t="shared" si="6"/>
        <v>0.72442741839320879</v>
      </c>
      <c r="AD60" s="37">
        <f t="shared" si="6"/>
        <v>-1.4835219688851171</v>
      </c>
      <c r="AE60" s="37">
        <f t="shared" si="6"/>
        <v>-0.76129058458721444</v>
      </c>
      <c r="AF60" s="90">
        <f t="shared" si="6"/>
        <v>1.1896601456449316</v>
      </c>
      <c r="AI60" t="s">
        <v>389</v>
      </c>
      <c r="AS60" s="47" t="s">
        <v>390</v>
      </c>
      <c r="AU60" s="47" t="s">
        <v>391</v>
      </c>
      <c r="AW60" s="47" t="s">
        <v>392</v>
      </c>
    </row>
    <row r="61" spans="1:49" x14ac:dyDescent="0.35">
      <c r="A61">
        <v>58</v>
      </c>
      <c r="B61" s="36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L61" t="str">
        <v>Comm</v>
      </c>
      <c r="M61" s="123" t="e">
        <f t="shared" ca="1" si="16"/>
        <v>#NAME?</v>
      </c>
      <c r="N61" s="37" t="e">
        <f t="shared" ca="1" si="16"/>
        <v>#NAME?</v>
      </c>
      <c r="O61" s="37" t="e">
        <f t="shared" ca="1" si="16"/>
        <v>#NAME?</v>
      </c>
      <c r="P61" s="90" t="e">
        <f t="shared" ca="1" si="16"/>
        <v>#NAME?</v>
      </c>
      <c r="W61">
        <f t="shared" si="1"/>
        <v>58</v>
      </c>
      <c r="X61" s="123">
        <f t="shared" si="9"/>
        <v>0.23034594857274363</v>
      </c>
      <c r="Y61" s="37">
        <f t="shared" si="10"/>
        <v>-0.29238417492594532</v>
      </c>
      <c r="Z61" s="37">
        <f t="shared" si="11"/>
        <v>-0.27284414885500391</v>
      </c>
      <c r="AA61" s="37">
        <f t="shared" si="6"/>
        <v>-0.378023241178091</v>
      </c>
      <c r="AB61" s="37">
        <f t="shared" si="6"/>
        <v>0.30504398370210595</v>
      </c>
      <c r="AC61" s="37">
        <f t="shared" si="6"/>
        <v>-6.0876253646491192E-3</v>
      </c>
      <c r="AD61" s="37">
        <f t="shared" si="6"/>
        <v>-0.71118949050674818</v>
      </c>
      <c r="AE61" s="37">
        <f t="shared" si="6"/>
        <v>-0.76129058458721444</v>
      </c>
      <c r="AF61" s="90">
        <f t="shared" si="6"/>
        <v>-0.50985434813354169</v>
      </c>
      <c r="AI61" s="156" t="e">
        <f t="array" ref="AI61:AQ69" ca="1">M19:U27</f>
        <v>#NAME?</v>
      </c>
      <c r="AJ61" s="157" t="e">
        <f ca="1"/>
        <v>#NAME?</v>
      </c>
      <c r="AK61" s="157" t="e">
        <f ca="1"/>
        <v>#NAME?</v>
      </c>
      <c r="AL61" s="157" t="e">
        <f ca="1"/>
        <v>#NAME?</v>
      </c>
      <c r="AM61" s="157" t="e">
        <f ca="1"/>
        <v>#NAME?</v>
      </c>
      <c r="AN61" s="157" t="e">
        <f ca="1"/>
        <v>#NAME?</v>
      </c>
      <c r="AO61" s="157" t="e">
        <f ca="1"/>
        <v>#NAME?</v>
      </c>
      <c r="AP61" s="157" t="e">
        <f ca="1"/>
        <v>#NAME?</v>
      </c>
      <c r="AQ61" s="158" t="e">
        <f ca="1"/>
        <v>#NAME?</v>
      </c>
      <c r="AS61" s="172">
        <f t="array" ref="AS61:AS69">TRANSPOSE(B4:AS69)</f>
        <v>2</v>
      </c>
      <c r="AU61" s="172">
        <f t="array" ref="AU61:AU69">STANDARDIZE(AS61:AS69,TRANSPOSE(B126:J126),TRANSPOSE(B127:J127))</f>
        <v>-1.349169127354642</v>
      </c>
      <c r="AW61" s="172" t="e">
        <f t="array" aca="1" ref="AW61:AW69" ca="1">MMULT(TRANSPOSE(AI61:AQ69),AU61:AU69)</f>
        <v>#NAME?</v>
      </c>
    </row>
    <row r="62" spans="1:49" x14ac:dyDescent="0.35">
      <c r="A62">
        <v>59</v>
      </c>
      <c r="B62" s="36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L62" t="str">
        <v>Expert</v>
      </c>
      <c r="M62" s="123" t="e">
        <f t="shared" ca="1" si="16"/>
        <v>#NAME?</v>
      </c>
      <c r="N62" s="37" t="e">
        <f t="shared" ca="1" si="16"/>
        <v>#NAME?</v>
      </c>
      <c r="O62" s="37" t="e">
        <f t="shared" ca="1" si="16"/>
        <v>#NAME?</v>
      </c>
      <c r="P62" s="90" t="e">
        <f t="shared" ca="1" si="16"/>
        <v>#NAME?</v>
      </c>
      <c r="W62">
        <f t="shared" si="1"/>
        <v>59</v>
      </c>
      <c r="X62" s="123">
        <f t="shared" si="9"/>
        <v>1.0201034865364365</v>
      </c>
      <c r="Y62" s="37">
        <f t="shared" si="10"/>
        <v>-0.29238417492594532</v>
      </c>
      <c r="Z62" s="37">
        <f t="shared" si="11"/>
        <v>-0.27284414885500391</v>
      </c>
      <c r="AA62" s="37">
        <f t="shared" si="6"/>
        <v>0.60812434450388564</v>
      </c>
      <c r="AB62" s="37">
        <f t="shared" si="6"/>
        <v>1.3509090706807538</v>
      </c>
      <c r="AC62" s="37">
        <f t="shared" si="6"/>
        <v>-6.0876253646491192E-3</v>
      </c>
      <c r="AD62" s="37">
        <f t="shared" si="6"/>
        <v>6.1142987871620834E-2</v>
      </c>
      <c r="AE62" s="37">
        <f t="shared" si="6"/>
        <v>0.2887653941537715</v>
      </c>
      <c r="AF62" s="90">
        <f t="shared" si="6"/>
        <v>-0.50985434813354169</v>
      </c>
      <c r="AI62" s="123" t="e">
        <f ca="1"/>
        <v>#NAME?</v>
      </c>
      <c r="AJ62" s="37" t="e">
        <f ca="1"/>
        <v>#NAME?</v>
      </c>
      <c r="AK62" s="37" t="e">
        <f ca="1"/>
        <v>#NAME?</v>
      </c>
      <c r="AL62" s="37" t="e">
        <f ca="1"/>
        <v>#NAME?</v>
      </c>
      <c r="AM62" s="37" t="e">
        <f ca="1"/>
        <v>#NAME?</v>
      </c>
      <c r="AN62" s="37" t="e">
        <f ca="1"/>
        <v>#NAME?</v>
      </c>
      <c r="AO62" s="37" t="e">
        <f ca="1"/>
        <v>#NAME?</v>
      </c>
      <c r="AP62" s="37" t="e">
        <f ca="1"/>
        <v>#NAME?</v>
      </c>
      <c r="AQ62" s="90" t="e">
        <f ca="1"/>
        <v>#NAME?</v>
      </c>
      <c r="AS62" s="173">
        <v>8</v>
      </c>
      <c r="AU62" s="173">
        <v>-0.29238417492594532</v>
      </c>
      <c r="AW62" s="173" t="e">
        <f ca="1"/>
        <v>#NAME?</v>
      </c>
    </row>
    <row r="63" spans="1:49" x14ac:dyDescent="0.35">
      <c r="A63">
        <v>60</v>
      </c>
      <c r="B63" s="36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L63" t="str">
        <v>Motivate</v>
      </c>
      <c r="M63" s="123" t="e">
        <f t="shared" ca="1" si="16"/>
        <v>#NAME?</v>
      </c>
      <c r="N63" s="37" t="e">
        <f t="shared" ca="1" si="16"/>
        <v>#NAME?</v>
      </c>
      <c r="O63" s="37" t="e">
        <f t="shared" ca="1" si="16"/>
        <v>#NAME?</v>
      </c>
      <c r="P63" s="90" t="e">
        <f t="shared" ca="1" si="16"/>
        <v>#NAME?</v>
      </c>
      <c r="W63">
        <f t="shared" si="1"/>
        <v>60</v>
      </c>
      <c r="X63" s="123">
        <f t="shared" si="9"/>
        <v>2.5996185624638222</v>
      </c>
      <c r="Y63" s="37">
        <f t="shared" si="10"/>
        <v>-0.29238417492594532</v>
      </c>
      <c r="Z63" s="37">
        <f t="shared" si="11"/>
        <v>0.33347618193389345</v>
      </c>
      <c r="AA63" s="37">
        <f t="shared" si="6"/>
        <v>0.60812434450388564</v>
      </c>
      <c r="AB63" s="37">
        <f t="shared" si="6"/>
        <v>0.30504398370210595</v>
      </c>
      <c r="AC63" s="37">
        <f t="shared" si="6"/>
        <v>0.72442741839320879</v>
      </c>
      <c r="AD63" s="37">
        <f t="shared" si="6"/>
        <v>0.44730922706080534</v>
      </c>
      <c r="AE63" s="37">
        <f t="shared" si="6"/>
        <v>1.3388213728947576</v>
      </c>
      <c r="AF63" s="90">
        <f t="shared" si="6"/>
        <v>-0.50985434813354169</v>
      </c>
      <c r="AI63" s="123" t="e">
        <f ca="1"/>
        <v>#NAME?</v>
      </c>
      <c r="AJ63" s="37" t="e">
        <f ca="1"/>
        <v>#NAME?</v>
      </c>
      <c r="AK63" s="37" t="e">
        <f ca="1"/>
        <v>#NAME?</v>
      </c>
      <c r="AL63" s="37" t="e">
        <f ca="1"/>
        <v>#NAME?</v>
      </c>
      <c r="AM63" s="37" t="e">
        <f ca="1"/>
        <v>#NAME?</v>
      </c>
      <c r="AN63" s="37" t="e">
        <f ca="1"/>
        <v>#NAME?</v>
      </c>
      <c r="AO63" s="37" t="e">
        <f ca="1"/>
        <v>#NAME?</v>
      </c>
      <c r="AP63" s="37" t="e">
        <f ca="1"/>
        <v>#NAME?</v>
      </c>
      <c r="AQ63" s="90" t="e">
        <f ca="1"/>
        <v>#NAME?</v>
      </c>
      <c r="AS63" s="173">
        <v>1</v>
      </c>
      <c r="AU63" s="173">
        <v>-1.4854848104327987</v>
      </c>
      <c r="AW63" s="173" t="e">
        <f ca="1"/>
        <v>#NAME?</v>
      </c>
    </row>
    <row r="64" spans="1:49" x14ac:dyDescent="0.35">
      <c r="A64">
        <v>61</v>
      </c>
      <c r="B64" s="36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L64" t="str">
        <v>Caring</v>
      </c>
      <c r="M64" s="123" t="e">
        <f t="shared" ca="1" si="16"/>
        <v>#NAME?</v>
      </c>
      <c r="N64" s="37" t="e">
        <f t="shared" ca="1" si="16"/>
        <v>#NAME?</v>
      </c>
      <c r="O64" s="37" t="e">
        <f t="shared" ca="1" si="16"/>
        <v>#NAME?</v>
      </c>
      <c r="P64" s="90" t="e">
        <f t="shared" ca="1" si="16"/>
        <v>#NAME?</v>
      </c>
      <c r="W64">
        <f t="shared" si="1"/>
        <v>61</v>
      </c>
      <c r="X64" s="123">
        <f t="shared" si="9"/>
        <v>0.23034594857274363</v>
      </c>
      <c r="Y64" s="37">
        <f t="shared" si="10"/>
        <v>-0.29238417492594532</v>
      </c>
      <c r="Z64" s="37">
        <f t="shared" si="11"/>
        <v>-0.27284414885500391</v>
      </c>
      <c r="AA64" s="37">
        <f t="shared" ref="AA64:AF64" si="17">STANDARDIZE(E64,E$126,E$127)</f>
        <v>-0.378023241178091</v>
      </c>
      <c r="AB64" s="37">
        <f t="shared" si="17"/>
        <v>0.30504398370210595</v>
      </c>
      <c r="AC64" s="37">
        <f t="shared" si="17"/>
        <v>-0.73660266912250705</v>
      </c>
      <c r="AD64" s="37">
        <f t="shared" si="17"/>
        <v>0.44730922706080534</v>
      </c>
      <c r="AE64" s="37">
        <f t="shared" si="17"/>
        <v>-1.8113465633282004</v>
      </c>
      <c r="AF64" s="90">
        <f t="shared" si="17"/>
        <v>-0.50985434813354169</v>
      </c>
      <c r="AI64" s="123" t="e">
        <f ca="1"/>
        <v>#NAME?</v>
      </c>
      <c r="AJ64" s="37" t="e">
        <f ca="1"/>
        <v>#NAME?</v>
      </c>
      <c r="AK64" s="37" t="e">
        <f ca="1"/>
        <v>#NAME?</v>
      </c>
      <c r="AL64" s="37" t="e">
        <f ca="1"/>
        <v>#NAME?</v>
      </c>
      <c r="AM64" s="37" t="e">
        <f ca="1"/>
        <v>#NAME?</v>
      </c>
      <c r="AN64" s="37" t="e">
        <f ca="1"/>
        <v>#NAME?</v>
      </c>
      <c r="AO64" s="37" t="e">
        <f ca="1"/>
        <v>#NAME?</v>
      </c>
      <c r="AP64" s="37" t="e">
        <f ca="1"/>
        <v>#NAME?</v>
      </c>
      <c r="AQ64" s="90" t="e">
        <f ca="1"/>
        <v>#NAME?</v>
      </c>
      <c r="AS64" s="173">
        <v>4</v>
      </c>
      <c r="AU64" s="173">
        <v>0.60812434450388564</v>
      </c>
      <c r="AW64" s="173" t="e">
        <f ca="1"/>
        <v>#NAME?</v>
      </c>
    </row>
    <row r="65" spans="1:49" x14ac:dyDescent="0.35">
      <c r="A65">
        <v>62</v>
      </c>
      <c r="B65" s="36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L65" t="str">
        <v>Charisma</v>
      </c>
      <c r="M65" s="123" t="e">
        <f t="shared" ca="1" si="16"/>
        <v>#NAME?</v>
      </c>
      <c r="N65" s="37" t="e">
        <f t="shared" ca="1" si="16"/>
        <v>#NAME?</v>
      </c>
      <c r="O65" s="37" t="e">
        <f t="shared" ca="1" si="16"/>
        <v>#NAME?</v>
      </c>
      <c r="P65" s="90" t="e">
        <f t="shared" ca="1" si="16"/>
        <v>#NAME?</v>
      </c>
      <c r="W65">
        <f t="shared" si="1"/>
        <v>62</v>
      </c>
      <c r="X65" s="123">
        <f t="shared" ref="X65:AF93" si="18">STANDARDIZE(B65,B$126,B$127)</f>
        <v>0.23034594857274363</v>
      </c>
      <c r="Y65" s="37">
        <f t="shared" si="18"/>
        <v>-0.29238417492594532</v>
      </c>
      <c r="Z65" s="37">
        <f t="shared" si="18"/>
        <v>0.33347618193389345</v>
      </c>
      <c r="AA65" s="37">
        <f t="shared" si="18"/>
        <v>0.60812434450388564</v>
      </c>
      <c r="AB65" s="37">
        <f t="shared" si="18"/>
        <v>1.3509090706807538</v>
      </c>
      <c r="AC65" s="37">
        <f t="shared" si="18"/>
        <v>-0.73660266912250705</v>
      </c>
      <c r="AD65" s="37">
        <f t="shared" si="18"/>
        <v>0.8334754662499898</v>
      </c>
      <c r="AE65" s="37">
        <f t="shared" si="18"/>
        <v>-0.76129058458721444</v>
      </c>
      <c r="AF65" s="90">
        <f t="shared" si="18"/>
        <v>-0.50985434813354169</v>
      </c>
      <c r="AI65" s="123" t="e">
        <f ca="1"/>
        <v>#NAME?</v>
      </c>
      <c r="AJ65" s="37" t="e">
        <f ca="1"/>
        <v>#NAME?</v>
      </c>
      <c r="AK65" s="37" t="e">
        <f ca="1"/>
        <v>#NAME?</v>
      </c>
      <c r="AL65" s="37" t="e">
        <f ca="1"/>
        <v>#NAME?</v>
      </c>
      <c r="AM65" s="37" t="e">
        <f ca="1"/>
        <v>#NAME?</v>
      </c>
      <c r="AN65" s="37" t="e">
        <f ca="1"/>
        <v>#NAME?</v>
      </c>
      <c r="AO65" s="37" t="e">
        <f ca="1"/>
        <v>#NAME?</v>
      </c>
      <c r="AP65" s="37" t="e">
        <f ca="1"/>
        <v>#NAME?</v>
      </c>
      <c r="AQ65" s="90" t="e">
        <f ca="1"/>
        <v>#NAME?</v>
      </c>
      <c r="AS65" s="173">
        <v>7</v>
      </c>
      <c r="AU65" s="173">
        <v>0.30504398370210595</v>
      </c>
      <c r="AW65" s="173" t="e">
        <f ca="1"/>
        <v>#NAME?</v>
      </c>
    </row>
    <row r="66" spans="1:49" x14ac:dyDescent="0.35">
      <c r="A66">
        <v>63</v>
      </c>
      <c r="B66" s="36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L66" t="str">
        <v>Passion</v>
      </c>
      <c r="M66" s="123" t="e">
        <f t="shared" ca="1" si="16"/>
        <v>#NAME?</v>
      </c>
      <c r="N66" s="37" t="e">
        <f t="shared" ca="1" si="16"/>
        <v>#NAME?</v>
      </c>
      <c r="O66" s="37" t="e">
        <f t="shared" ca="1" si="16"/>
        <v>#NAME?</v>
      </c>
      <c r="P66" s="90" t="e">
        <f t="shared" ca="1" si="16"/>
        <v>#NAME?</v>
      </c>
      <c r="W66">
        <f t="shared" si="1"/>
        <v>63</v>
      </c>
      <c r="X66" s="123">
        <f t="shared" si="18"/>
        <v>-0.55941158939094915</v>
      </c>
      <c r="Y66" s="37">
        <f t="shared" si="18"/>
        <v>1.4619208746297327</v>
      </c>
      <c r="Z66" s="37">
        <f t="shared" si="18"/>
        <v>0.33347618193389345</v>
      </c>
      <c r="AA66" s="37">
        <f t="shared" si="18"/>
        <v>-0.378023241178091</v>
      </c>
      <c r="AB66" s="37">
        <f t="shared" si="18"/>
        <v>1.3509090706807538</v>
      </c>
      <c r="AC66" s="37">
        <f t="shared" si="18"/>
        <v>-6.0876253646491192E-3</v>
      </c>
      <c r="AD66" s="37">
        <f t="shared" si="18"/>
        <v>-0.32502325131756366</v>
      </c>
      <c r="AE66" s="37">
        <f t="shared" si="18"/>
        <v>0.2887653941537715</v>
      </c>
      <c r="AF66" s="90">
        <f t="shared" si="18"/>
        <v>1.1896601456449316</v>
      </c>
      <c r="AI66" s="123" t="e">
        <f ca="1"/>
        <v>#NAME?</v>
      </c>
      <c r="AJ66" s="37" t="e">
        <f ca="1"/>
        <v>#NAME?</v>
      </c>
      <c r="AK66" s="37" t="e">
        <f ca="1"/>
        <v>#NAME?</v>
      </c>
      <c r="AL66" s="37" t="e">
        <f ca="1"/>
        <v>#NAME?</v>
      </c>
      <c r="AM66" s="37" t="e">
        <f ca="1"/>
        <v>#NAME?</v>
      </c>
      <c r="AN66" s="37" t="e">
        <f ca="1"/>
        <v>#NAME?</v>
      </c>
      <c r="AO66" s="37" t="e">
        <f ca="1"/>
        <v>#NAME?</v>
      </c>
      <c r="AP66" s="37" t="e">
        <f ca="1"/>
        <v>#NAME?</v>
      </c>
      <c r="AQ66" s="90" t="e">
        <f ca="1"/>
        <v>#NAME?</v>
      </c>
      <c r="AS66" s="173">
        <v>5</v>
      </c>
      <c r="AU66" s="173">
        <v>-0.73660266912250705</v>
      </c>
      <c r="AW66" s="173" t="e">
        <f ca="1"/>
        <v>#NAME?</v>
      </c>
    </row>
    <row r="67" spans="1:49" x14ac:dyDescent="0.35">
      <c r="A67">
        <v>64</v>
      </c>
      <c r="B67" s="36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L67" t="str">
        <v>Friendly</v>
      </c>
      <c r="M67" s="91" t="e">
        <f t="shared" ca="1" si="16"/>
        <v>#NAME?</v>
      </c>
      <c r="N67" s="92" t="e">
        <f t="shared" ca="1" si="16"/>
        <v>#NAME?</v>
      </c>
      <c r="O67" s="92" t="e">
        <f t="shared" ca="1" si="16"/>
        <v>#NAME?</v>
      </c>
      <c r="P67" s="93" t="e">
        <f t="shared" ca="1" si="16"/>
        <v>#NAME?</v>
      </c>
      <c r="Q67" s="37"/>
      <c r="W67">
        <f t="shared" si="1"/>
        <v>64</v>
      </c>
      <c r="X67" s="123">
        <f t="shared" si="18"/>
        <v>1.0201034865364365</v>
      </c>
      <c r="Y67" s="37">
        <f t="shared" si="18"/>
        <v>-0.29238417492594532</v>
      </c>
      <c r="Z67" s="37">
        <f t="shared" si="18"/>
        <v>-0.87916447964390132</v>
      </c>
      <c r="AA67" s="37">
        <f t="shared" si="18"/>
        <v>-0.378023241178091</v>
      </c>
      <c r="AB67" s="37">
        <f t="shared" si="18"/>
        <v>-0.74082110327654205</v>
      </c>
      <c r="AC67" s="37">
        <f t="shared" si="18"/>
        <v>-1.467117712880365</v>
      </c>
      <c r="AD67" s="37">
        <f t="shared" si="18"/>
        <v>0.44730922706080534</v>
      </c>
      <c r="AE67" s="37">
        <f t="shared" si="18"/>
        <v>-0.76129058458721444</v>
      </c>
      <c r="AF67" s="90">
        <f t="shared" si="18"/>
        <v>-0.50985434813354169</v>
      </c>
      <c r="AI67" s="123" t="e">
        <f ca="1"/>
        <v>#NAME?</v>
      </c>
      <c r="AJ67" s="37" t="e">
        <f ca="1"/>
        <v>#NAME?</v>
      </c>
      <c r="AK67" s="37" t="e">
        <f ca="1"/>
        <v>#NAME?</v>
      </c>
      <c r="AL67" s="37" t="e">
        <f ca="1"/>
        <v>#NAME?</v>
      </c>
      <c r="AM67" s="37" t="e">
        <f ca="1"/>
        <v>#NAME?</v>
      </c>
      <c r="AN67" s="37" t="e">
        <f ca="1"/>
        <v>#NAME?</v>
      </c>
      <c r="AO67" s="37" t="e">
        <f ca="1"/>
        <v>#NAME?</v>
      </c>
      <c r="AP67" s="37" t="e">
        <f ca="1"/>
        <v>#NAME?</v>
      </c>
      <c r="AQ67" s="90" t="e">
        <f ca="1"/>
        <v>#NAME?</v>
      </c>
      <c r="AS67" s="173">
        <v>4</v>
      </c>
      <c r="AU67" s="173">
        <v>-0.32502325131756366</v>
      </c>
      <c r="AW67" s="173" t="e">
        <f ca="1"/>
        <v>#NAME?</v>
      </c>
    </row>
    <row r="68" spans="1:49" x14ac:dyDescent="0.35">
      <c r="A68">
        <v>65</v>
      </c>
      <c r="B68" s="36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Q68" s="60"/>
      <c r="W68">
        <f t="shared" si="1"/>
        <v>65</v>
      </c>
      <c r="X68" s="123">
        <f t="shared" si="18"/>
        <v>2.5996185624638222</v>
      </c>
      <c r="Y68" s="37">
        <f t="shared" si="18"/>
        <v>1.4619208746297327</v>
      </c>
      <c r="Z68" s="37">
        <f t="shared" si="18"/>
        <v>2.1524371743005855</v>
      </c>
      <c r="AA68" s="37">
        <f t="shared" si="18"/>
        <v>0.60812434450388564</v>
      </c>
      <c r="AB68" s="37">
        <f t="shared" si="18"/>
        <v>1.3509090706807538</v>
      </c>
      <c r="AC68" s="37">
        <f t="shared" si="18"/>
        <v>-6.0876253646491192E-3</v>
      </c>
      <c r="AD68" s="37">
        <f t="shared" si="18"/>
        <v>1.9919741838175433</v>
      </c>
      <c r="AE68" s="37">
        <f t="shared" si="18"/>
        <v>1.3388213728947576</v>
      </c>
      <c r="AF68" s="90">
        <f t="shared" si="18"/>
        <v>-0.50985434813354169</v>
      </c>
      <c r="AI68" s="123" t="e">
        <f ca="1"/>
        <v>#NAME?</v>
      </c>
      <c r="AJ68" s="37" t="e">
        <f ca="1"/>
        <v>#NAME?</v>
      </c>
      <c r="AK68" s="37" t="e">
        <f ca="1"/>
        <v>#NAME?</v>
      </c>
      <c r="AL68" s="37" t="e">
        <f ca="1"/>
        <v>#NAME?</v>
      </c>
      <c r="AM68" s="37" t="e">
        <f ca="1"/>
        <v>#NAME?</v>
      </c>
      <c r="AN68" s="37" t="e">
        <f ca="1"/>
        <v>#NAME?</v>
      </c>
      <c r="AO68" s="37" t="e">
        <f ca="1"/>
        <v>#NAME?</v>
      </c>
      <c r="AP68" s="37" t="e">
        <f ca="1"/>
        <v>#NAME?</v>
      </c>
      <c r="AQ68" s="90" t="e">
        <f ca="1"/>
        <v>#NAME?</v>
      </c>
      <c r="AS68" s="173">
        <v>4</v>
      </c>
      <c r="AU68" s="173">
        <v>-0.76129058458721444</v>
      </c>
      <c r="AW68" s="173" t="e">
        <f ca="1"/>
        <v>#NAME?</v>
      </c>
    </row>
    <row r="69" spans="1:49" x14ac:dyDescent="0.35">
      <c r="A69">
        <v>66</v>
      </c>
      <c r="B69" s="36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  <c r="W69">
        <f t="shared" si="1"/>
        <v>66</v>
      </c>
      <c r="X69" s="123">
        <f t="shared" si="18"/>
        <v>-0.55941158939094915</v>
      </c>
      <c r="Y69" s="37">
        <f t="shared" si="18"/>
        <v>-0.29238417492594532</v>
      </c>
      <c r="Z69" s="37">
        <f t="shared" si="18"/>
        <v>-1.4854848104327987</v>
      </c>
      <c r="AA69" s="37">
        <f t="shared" si="18"/>
        <v>-0.378023241178091</v>
      </c>
      <c r="AB69" s="37">
        <f t="shared" si="18"/>
        <v>0.30504398370210595</v>
      </c>
      <c r="AC69" s="37">
        <f t="shared" si="18"/>
        <v>-6.0876253646491192E-3</v>
      </c>
      <c r="AD69" s="37">
        <f t="shared" si="18"/>
        <v>6.1142987871620834E-2</v>
      </c>
      <c r="AE69" s="37">
        <f t="shared" si="18"/>
        <v>0.2887653941537715</v>
      </c>
      <c r="AF69" s="90">
        <f t="shared" si="18"/>
        <v>-0.50985434813354169</v>
      </c>
      <c r="AI69" s="91" t="e">
        <f ca="1"/>
        <v>#NAME?</v>
      </c>
      <c r="AJ69" s="92" t="e">
        <f ca="1"/>
        <v>#NAME?</v>
      </c>
      <c r="AK69" s="92" t="e">
        <f ca="1"/>
        <v>#NAME?</v>
      </c>
      <c r="AL69" s="92" t="e">
        <f ca="1"/>
        <v>#NAME?</v>
      </c>
      <c r="AM69" s="92" t="e">
        <f ca="1"/>
        <v>#NAME?</v>
      </c>
      <c r="AN69" s="92" t="e">
        <f ca="1"/>
        <v>#NAME?</v>
      </c>
      <c r="AO69" s="92" t="e">
        <f ca="1"/>
        <v>#NAME?</v>
      </c>
      <c r="AP69" s="92" t="e">
        <f ca="1"/>
        <v>#NAME?</v>
      </c>
      <c r="AQ69" s="93" t="e">
        <f ca="1"/>
        <v>#NAME?</v>
      </c>
      <c r="AS69" s="174">
        <v>8</v>
      </c>
      <c r="AU69" s="174">
        <v>1.1896601456449316</v>
      </c>
      <c r="AW69" s="174" t="e">
        <f ca="1"/>
        <v>#NAME?</v>
      </c>
    </row>
    <row r="70" spans="1:49" x14ac:dyDescent="0.35">
      <c r="A70">
        <v>67</v>
      </c>
      <c r="B70" s="36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W70">
        <f t="shared" ref="W70:W123" si="19">W69+1</f>
        <v>67</v>
      </c>
      <c r="X70" s="123">
        <f t="shared" si="18"/>
        <v>0.23034594857274363</v>
      </c>
      <c r="Y70" s="37">
        <f t="shared" si="18"/>
        <v>-0.29238417492594532</v>
      </c>
      <c r="Z70" s="37">
        <f t="shared" si="18"/>
        <v>0.93979651272279086</v>
      </c>
      <c r="AA70" s="37">
        <f t="shared" si="18"/>
        <v>0.60812434450388564</v>
      </c>
      <c r="AB70" s="37">
        <f t="shared" si="18"/>
        <v>0.30504398370210595</v>
      </c>
      <c r="AC70" s="37">
        <f t="shared" si="18"/>
        <v>-6.0876253646491192E-3</v>
      </c>
      <c r="AD70" s="37">
        <f t="shared" si="18"/>
        <v>1.6058079446283589</v>
      </c>
      <c r="AE70" s="37">
        <f t="shared" si="18"/>
        <v>1.3388213728947576</v>
      </c>
      <c r="AF70" s="90">
        <f t="shared" si="18"/>
        <v>-0.50985434813354169</v>
      </c>
    </row>
    <row r="71" spans="1:49" x14ac:dyDescent="0.35">
      <c r="A71">
        <v>68</v>
      </c>
      <c r="B71" s="36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  <c r="W71">
        <f t="shared" si="19"/>
        <v>68</v>
      </c>
      <c r="X71" s="123">
        <f t="shared" si="18"/>
        <v>1.0201034865364365</v>
      </c>
      <c r="Y71" s="37">
        <f t="shared" si="18"/>
        <v>-0.29238417492594532</v>
      </c>
      <c r="Z71" s="37">
        <f t="shared" si="18"/>
        <v>-0.87916447964390132</v>
      </c>
      <c r="AA71" s="37">
        <f t="shared" si="18"/>
        <v>-0.378023241178091</v>
      </c>
      <c r="AB71" s="37">
        <f t="shared" si="18"/>
        <v>-1.78668619025519</v>
      </c>
      <c r="AC71" s="37">
        <f t="shared" si="18"/>
        <v>0.72442741839320879</v>
      </c>
      <c r="AD71" s="37">
        <f t="shared" si="18"/>
        <v>-1.4835219688851171</v>
      </c>
      <c r="AE71" s="37">
        <f t="shared" si="18"/>
        <v>0.2887653941537715</v>
      </c>
      <c r="AF71" s="90">
        <f t="shared" si="18"/>
        <v>-0.50985434813354169</v>
      </c>
      <c r="AN71" t="s">
        <v>381</v>
      </c>
    </row>
    <row r="72" spans="1:49" x14ac:dyDescent="0.35">
      <c r="A72">
        <v>69</v>
      </c>
      <c r="B72" s="36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W72">
        <f t="shared" si="19"/>
        <v>69</v>
      </c>
      <c r="X72" s="123">
        <f t="shared" si="18"/>
        <v>0.23034594857274363</v>
      </c>
      <c r="Y72" s="37">
        <f t="shared" si="18"/>
        <v>-0.29238417492594532</v>
      </c>
      <c r="Z72" s="37">
        <f t="shared" si="18"/>
        <v>1.5461168435116881</v>
      </c>
      <c r="AA72" s="37">
        <f t="shared" si="18"/>
        <v>0.60812434450388564</v>
      </c>
      <c r="AB72" s="37">
        <f t="shared" si="18"/>
        <v>1.3509090706807538</v>
      </c>
      <c r="AC72" s="37">
        <f t="shared" si="18"/>
        <v>1.4549424621510667</v>
      </c>
      <c r="AD72" s="37">
        <f t="shared" si="18"/>
        <v>1.6058079446283589</v>
      </c>
      <c r="AE72" s="37">
        <f t="shared" si="18"/>
        <v>1.3388213728947576</v>
      </c>
      <c r="AF72" s="90">
        <f t="shared" si="18"/>
        <v>-0.50985434813354169</v>
      </c>
    </row>
    <row r="73" spans="1:49" x14ac:dyDescent="0.35">
      <c r="A73">
        <v>70</v>
      </c>
      <c r="B73" s="36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W73">
        <f t="shared" si="19"/>
        <v>70</v>
      </c>
      <c r="X73" s="123">
        <f t="shared" si="18"/>
        <v>-0.55941158939094915</v>
      </c>
      <c r="Y73" s="37">
        <f t="shared" si="18"/>
        <v>-0.29238417492594532</v>
      </c>
      <c r="Z73" s="37">
        <f t="shared" si="18"/>
        <v>-0.27284414885500391</v>
      </c>
      <c r="AA73" s="37">
        <f t="shared" si="18"/>
        <v>0.60812434450388564</v>
      </c>
      <c r="AB73" s="37">
        <f t="shared" si="18"/>
        <v>-0.74082110327654205</v>
      </c>
      <c r="AC73" s="37">
        <f t="shared" si="18"/>
        <v>-1.467117712880365</v>
      </c>
      <c r="AD73" s="37">
        <f t="shared" si="18"/>
        <v>6.1142987871620834E-2</v>
      </c>
      <c r="AE73" s="37">
        <f t="shared" si="18"/>
        <v>0.2887653941537715</v>
      </c>
      <c r="AF73" s="90">
        <f t="shared" si="18"/>
        <v>1.1896601456449316</v>
      </c>
      <c r="AN73" t="s">
        <v>389</v>
      </c>
      <c r="AS73" s="47" t="s">
        <v>392</v>
      </c>
      <c r="AT73" s="47"/>
      <c r="AU73" s="47" t="s">
        <v>391</v>
      </c>
      <c r="AV73" s="47"/>
      <c r="AW73" s="47" t="s">
        <v>390</v>
      </c>
    </row>
    <row r="74" spans="1:49" x14ac:dyDescent="0.35">
      <c r="A74">
        <v>71</v>
      </c>
      <c r="B74" s="36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W74">
        <f t="shared" si="19"/>
        <v>71</v>
      </c>
      <c r="X74" s="123">
        <f t="shared" si="18"/>
        <v>1.8098610245001292</v>
      </c>
      <c r="Y74" s="37">
        <f t="shared" si="18"/>
        <v>-0.29238417492594532</v>
      </c>
      <c r="Z74" s="37">
        <f t="shared" si="18"/>
        <v>0.93979651272279086</v>
      </c>
      <c r="AA74" s="37">
        <f t="shared" si="18"/>
        <v>0.60812434450388564</v>
      </c>
      <c r="AB74" s="37">
        <f t="shared" si="18"/>
        <v>0.30504398370210595</v>
      </c>
      <c r="AC74" s="37">
        <f t="shared" si="18"/>
        <v>-0.73660266912250705</v>
      </c>
      <c r="AD74" s="37">
        <f t="shared" si="18"/>
        <v>0.44730922706080534</v>
      </c>
      <c r="AE74" s="37">
        <f t="shared" si="18"/>
        <v>-0.76129058458721444</v>
      </c>
      <c r="AF74" s="90">
        <f t="shared" si="18"/>
        <v>-0.50985434813354169</v>
      </c>
      <c r="AN74" s="156" t="e">
        <f t="array" ref="AN74:AQ82" ca="1">AI61:AL69</f>
        <v>#NAME?</v>
      </c>
      <c r="AO74" s="157" t="e">
        <f ca="1"/>
        <v>#NAME?</v>
      </c>
      <c r="AP74" s="157" t="e">
        <f ca="1"/>
        <v>#NAME?</v>
      </c>
      <c r="AQ74" s="158" t="e">
        <f ca="1"/>
        <v>#NAME?</v>
      </c>
      <c r="AS74" s="172" t="e">
        <f t="array" ref="AS74:AS77" ca="1">AW61:AW64</f>
        <v>#NAME?</v>
      </c>
      <c r="AU74" s="172" t="e">
        <f t="array" aca="1" ref="AU74:AU82" ca="1">MMULT(AN74:AQ82,AS74:AS77)</f>
        <v>#NAME?</v>
      </c>
      <c r="AW74" s="172" t="e">
        <f t="array" aca="1" ref="AW74:AW82" ca="1">AU74:AU82*TRANSPOSE(B127:J127)+TRANSPOSE(B126:J126)</f>
        <v>#NAME?</v>
      </c>
    </row>
    <row r="75" spans="1:49" x14ac:dyDescent="0.35">
      <c r="A75">
        <v>72</v>
      </c>
      <c r="B75" s="36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W75">
        <f t="shared" si="19"/>
        <v>72</v>
      </c>
      <c r="X75" s="123">
        <f t="shared" si="18"/>
        <v>0.23034594857274363</v>
      </c>
      <c r="Y75" s="37">
        <f t="shared" si="18"/>
        <v>-0.29238417492594532</v>
      </c>
      <c r="Z75" s="37">
        <f t="shared" si="18"/>
        <v>0.33347618193389345</v>
      </c>
      <c r="AA75" s="37">
        <f t="shared" si="18"/>
        <v>0.60812434450388564</v>
      </c>
      <c r="AB75" s="37">
        <f t="shared" si="18"/>
        <v>0.30504398370210595</v>
      </c>
      <c r="AC75" s="37">
        <f t="shared" si="18"/>
        <v>0.72442741839320879</v>
      </c>
      <c r="AD75" s="37">
        <f t="shared" si="18"/>
        <v>0.44730922706080534</v>
      </c>
      <c r="AE75" s="37">
        <f t="shared" si="18"/>
        <v>-0.76129058458721444</v>
      </c>
      <c r="AF75" s="90">
        <f t="shared" si="18"/>
        <v>-0.50985434813354169</v>
      </c>
      <c r="AN75" s="123" t="e">
        <f ca="1"/>
        <v>#NAME?</v>
      </c>
      <c r="AO75" s="37" t="e">
        <f ca="1"/>
        <v>#NAME?</v>
      </c>
      <c r="AP75" s="37" t="e">
        <f ca="1"/>
        <v>#NAME?</v>
      </c>
      <c r="AQ75" s="90" t="e">
        <f ca="1"/>
        <v>#NAME?</v>
      </c>
      <c r="AS75" s="173" t="e">
        <f ca="1"/>
        <v>#NAME?</v>
      </c>
      <c r="AU75" s="173" t="e">
        <f ca="1"/>
        <v>#NAME?</v>
      </c>
      <c r="AW75" s="173" t="e">
        <f ca="1"/>
        <v>#NAME?</v>
      </c>
    </row>
    <row r="76" spans="1:49" x14ac:dyDescent="0.35">
      <c r="A76">
        <v>73</v>
      </c>
      <c r="B76" s="36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W76">
        <f t="shared" si="19"/>
        <v>73</v>
      </c>
      <c r="X76" s="123">
        <f t="shared" si="18"/>
        <v>0.23034594857274363</v>
      </c>
      <c r="Y76" s="37">
        <f t="shared" si="18"/>
        <v>-2.0466892244816233</v>
      </c>
      <c r="Z76" s="37">
        <f t="shared" si="18"/>
        <v>-0.27284414885500391</v>
      </c>
      <c r="AA76" s="37">
        <f t="shared" si="18"/>
        <v>-0.378023241178091</v>
      </c>
      <c r="AB76" s="37">
        <f t="shared" si="18"/>
        <v>-0.74082110327654205</v>
      </c>
      <c r="AC76" s="37">
        <f t="shared" si="18"/>
        <v>-0.73660266912250705</v>
      </c>
      <c r="AD76" s="37">
        <f t="shared" si="18"/>
        <v>6.1142987871620834E-2</v>
      </c>
      <c r="AE76" s="37">
        <f t="shared" si="18"/>
        <v>-0.76129058458721444</v>
      </c>
      <c r="AF76" s="90">
        <f t="shared" si="18"/>
        <v>-0.50985434813354169</v>
      </c>
      <c r="AN76" s="123" t="e">
        <f ca="1"/>
        <v>#NAME?</v>
      </c>
      <c r="AO76" s="37" t="e">
        <f ca="1"/>
        <v>#NAME?</v>
      </c>
      <c r="AP76" s="37" t="e">
        <f ca="1"/>
        <v>#NAME?</v>
      </c>
      <c r="AQ76" s="90" t="e">
        <f ca="1"/>
        <v>#NAME?</v>
      </c>
      <c r="AS76" s="173" t="e">
        <f ca="1"/>
        <v>#NAME?</v>
      </c>
      <c r="AU76" s="173" t="e">
        <f ca="1"/>
        <v>#NAME?</v>
      </c>
      <c r="AW76" s="173" t="e">
        <f ca="1"/>
        <v>#NAME?</v>
      </c>
    </row>
    <row r="77" spans="1:49" x14ac:dyDescent="0.35">
      <c r="A77">
        <v>74</v>
      </c>
      <c r="B77" s="36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W77">
        <f t="shared" si="19"/>
        <v>74</v>
      </c>
      <c r="X77" s="123">
        <f t="shared" si="18"/>
        <v>0.23034594857274363</v>
      </c>
      <c r="Y77" s="37">
        <f t="shared" si="18"/>
        <v>-0.29238417492594532</v>
      </c>
      <c r="Z77" s="37">
        <f t="shared" si="18"/>
        <v>0.93979651272279086</v>
      </c>
      <c r="AA77" s="37">
        <f t="shared" si="18"/>
        <v>0.60812434450388564</v>
      </c>
      <c r="AB77" s="37">
        <f t="shared" si="18"/>
        <v>0.30504398370210595</v>
      </c>
      <c r="AC77" s="37">
        <f t="shared" si="18"/>
        <v>1.4549424621510667</v>
      </c>
      <c r="AD77" s="37">
        <f t="shared" si="18"/>
        <v>1.2196417054391744</v>
      </c>
      <c r="AE77" s="37">
        <f t="shared" si="18"/>
        <v>0.2887653941537715</v>
      </c>
      <c r="AF77" s="90">
        <f t="shared" si="18"/>
        <v>-0.50985434813354169</v>
      </c>
      <c r="AN77" s="123" t="e">
        <f ca="1"/>
        <v>#NAME?</v>
      </c>
      <c r="AO77" s="37" t="e">
        <f ca="1"/>
        <v>#NAME?</v>
      </c>
      <c r="AP77" s="37" t="e">
        <f ca="1"/>
        <v>#NAME?</v>
      </c>
      <c r="AQ77" s="90" t="e">
        <f ca="1"/>
        <v>#NAME?</v>
      </c>
      <c r="AS77" s="174" t="e">
        <f ca="1"/>
        <v>#NAME?</v>
      </c>
      <c r="AU77" s="173" t="e">
        <f ca="1"/>
        <v>#NAME?</v>
      </c>
      <c r="AW77" s="173" t="e">
        <f ca="1"/>
        <v>#NAME?</v>
      </c>
    </row>
    <row r="78" spans="1:49" x14ac:dyDescent="0.35">
      <c r="A78">
        <v>75</v>
      </c>
      <c r="B78" s="36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W78">
        <f t="shared" si="19"/>
        <v>75</v>
      </c>
      <c r="X78" s="123">
        <f t="shared" si="18"/>
        <v>-0.55941158939094915</v>
      </c>
      <c r="Y78" s="37">
        <f t="shared" si="18"/>
        <v>-0.29238417492594532</v>
      </c>
      <c r="Z78" s="37">
        <f t="shared" si="18"/>
        <v>-0.87916447964390132</v>
      </c>
      <c r="AA78" s="37">
        <f t="shared" si="18"/>
        <v>0.60812434450388564</v>
      </c>
      <c r="AB78" s="37">
        <f t="shared" si="18"/>
        <v>-0.74082110327654205</v>
      </c>
      <c r="AC78" s="37">
        <f t="shared" si="18"/>
        <v>-0.73660266912250705</v>
      </c>
      <c r="AD78" s="37">
        <f t="shared" si="18"/>
        <v>6.1142987871620834E-2</v>
      </c>
      <c r="AE78" s="37">
        <f t="shared" si="18"/>
        <v>0.2887653941537715</v>
      </c>
      <c r="AF78" s="90">
        <f t="shared" si="18"/>
        <v>1.1896601456449316</v>
      </c>
      <c r="AN78" s="123" t="e">
        <f ca="1"/>
        <v>#NAME?</v>
      </c>
      <c r="AO78" s="37" t="e">
        <f ca="1"/>
        <v>#NAME?</v>
      </c>
      <c r="AP78" s="37" t="e">
        <f ca="1"/>
        <v>#NAME?</v>
      </c>
      <c r="AQ78" s="90" t="e">
        <f ca="1"/>
        <v>#NAME?</v>
      </c>
      <c r="AU78" s="173" t="e">
        <f ca="1"/>
        <v>#NAME?</v>
      </c>
      <c r="AW78" s="173" t="e">
        <f ca="1"/>
        <v>#NAME?</v>
      </c>
    </row>
    <row r="79" spans="1:49" x14ac:dyDescent="0.35">
      <c r="A79">
        <v>76</v>
      </c>
      <c r="B79" s="36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W79">
        <f t="shared" si="19"/>
        <v>76</v>
      </c>
      <c r="X79" s="123">
        <f t="shared" si="18"/>
        <v>0.23034594857274363</v>
      </c>
      <c r="Y79" s="37">
        <f t="shared" si="18"/>
        <v>-0.29238417492594532</v>
      </c>
      <c r="Z79" s="37">
        <f t="shared" si="18"/>
        <v>-0.27284414885500391</v>
      </c>
      <c r="AA79" s="37">
        <f t="shared" si="18"/>
        <v>-2.3503184125420442</v>
      </c>
      <c r="AB79" s="37">
        <f t="shared" si="18"/>
        <v>-0.74082110327654205</v>
      </c>
      <c r="AC79" s="37">
        <f t="shared" si="18"/>
        <v>-1.467117712880365</v>
      </c>
      <c r="AD79" s="37">
        <f t="shared" si="18"/>
        <v>-1.4835219688851171</v>
      </c>
      <c r="AE79" s="37">
        <f t="shared" si="18"/>
        <v>-0.76129058458721444</v>
      </c>
      <c r="AF79" s="90">
        <f t="shared" si="18"/>
        <v>-0.50985434813354169</v>
      </c>
      <c r="AN79" s="123" t="e">
        <f ca="1"/>
        <v>#NAME?</v>
      </c>
      <c r="AO79" s="37" t="e">
        <f ca="1"/>
        <v>#NAME?</v>
      </c>
      <c r="AP79" s="37" t="e">
        <f ca="1"/>
        <v>#NAME?</v>
      </c>
      <c r="AQ79" s="90" t="e">
        <f ca="1"/>
        <v>#NAME?</v>
      </c>
      <c r="AU79" s="173" t="e">
        <f ca="1"/>
        <v>#NAME?</v>
      </c>
      <c r="AW79" s="173" t="e">
        <f ca="1"/>
        <v>#NAME?</v>
      </c>
    </row>
    <row r="80" spans="1:49" x14ac:dyDescent="0.35">
      <c r="A80">
        <v>77</v>
      </c>
      <c r="B80" s="36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W80">
        <f t="shared" si="19"/>
        <v>77</v>
      </c>
      <c r="X80" s="123">
        <f t="shared" si="18"/>
        <v>0.23034594857274363</v>
      </c>
      <c r="Y80" s="37">
        <f t="shared" si="18"/>
        <v>1.4619208746297327</v>
      </c>
      <c r="Z80" s="37">
        <f t="shared" si="18"/>
        <v>1.5461168435116881</v>
      </c>
      <c r="AA80" s="37">
        <f t="shared" si="18"/>
        <v>1.5942719301858623</v>
      </c>
      <c r="AB80" s="37">
        <f t="shared" si="18"/>
        <v>1.3509090706807538</v>
      </c>
      <c r="AC80" s="37">
        <f t="shared" si="18"/>
        <v>-0.73660266912250705</v>
      </c>
      <c r="AD80" s="37">
        <f t="shared" si="18"/>
        <v>1.6058079446283589</v>
      </c>
      <c r="AE80" s="37">
        <f t="shared" si="18"/>
        <v>0.2887653941537715</v>
      </c>
      <c r="AF80" s="90">
        <f t="shared" si="18"/>
        <v>1.1896601456449316</v>
      </c>
      <c r="AN80" s="123" t="e">
        <f ca="1"/>
        <v>#NAME?</v>
      </c>
      <c r="AO80" s="37" t="e">
        <f ca="1"/>
        <v>#NAME?</v>
      </c>
      <c r="AP80" s="37" t="e">
        <f ca="1"/>
        <v>#NAME?</v>
      </c>
      <c r="AQ80" s="90" t="e">
        <f ca="1"/>
        <v>#NAME?</v>
      </c>
      <c r="AU80" s="173" t="e">
        <f ca="1"/>
        <v>#NAME?</v>
      </c>
      <c r="AW80" s="173" t="e">
        <f ca="1"/>
        <v>#NAME?</v>
      </c>
    </row>
    <row r="81" spans="1:49" x14ac:dyDescent="0.35">
      <c r="A81">
        <v>78</v>
      </c>
      <c r="B81" s="36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W81">
        <f t="shared" si="19"/>
        <v>78</v>
      </c>
      <c r="X81" s="123">
        <f t="shared" si="18"/>
        <v>-1.349169127354642</v>
      </c>
      <c r="Y81" s="37">
        <f t="shared" si="18"/>
        <v>1.4619208746297327</v>
      </c>
      <c r="Z81" s="37">
        <f t="shared" si="18"/>
        <v>0.93979651272279086</v>
      </c>
      <c r="AA81" s="37">
        <f t="shared" si="18"/>
        <v>-1.3641708268600676</v>
      </c>
      <c r="AB81" s="37">
        <f t="shared" si="18"/>
        <v>-0.74082110327654205</v>
      </c>
      <c r="AC81" s="37">
        <f t="shared" si="18"/>
        <v>0.72442741839320879</v>
      </c>
      <c r="AD81" s="37">
        <f t="shared" si="18"/>
        <v>1.2196417054391744</v>
      </c>
      <c r="AE81" s="37">
        <f t="shared" si="18"/>
        <v>0.2887653941537715</v>
      </c>
      <c r="AF81" s="90">
        <f t="shared" si="18"/>
        <v>1.1896601456449316</v>
      </c>
      <c r="AN81" s="123" t="e">
        <f ca="1"/>
        <v>#NAME?</v>
      </c>
      <c r="AO81" s="37" t="e">
        <f ca="1"/>
        <v>#NAME?</v>
      </c>
      <c r="AP81" s="37" t="e">
        <f ca="1"/>
        <v>#NAME?</v>
      </c>
      <c r="AQ81" s="90" t="e">
        <f ca="1"/>
        <v>#NAME?</v>
      </c>
      <c r="AU81" s="173" t="e">
        <f ca="1"/>
        <v>#NAME?</v>
      </c>
      <c r="AW81" s="173" t="e">
        <f ca="1"/>
        <v>#NAME?</v>
      </c>
    </row>
    <row r="82" spans="1:49" x14ac:dyDescent="0.35">
      <c r="A82">
        <v>79</v>
      </c>
      <c r="B82" s="36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  <c r="W82">
        <f t="shared" si="19"/>
        <v>79</v>
      </c>
      <c r="X82" s="123">
        <f t="shared" si="18"/>
        <v>0.23034594857274363</v>
      </c>
      <c r="Y82" s="37">
        <f t="shared" si="18"/>
        <v>-2.0466892244816233</v>
      </c>
      <c r="Z82" s="37">
        <f t="shared" si="18"/>
        <v>-0.87916447964390132</v>
      </c>
      <c r="AA82" s="37">
        <f t="shared" si="18"/>
        <v>-2.3503184125420442</v>
      </c>
      <c r="AB82" s="37">
        <f t="shared" si="18"/>
        <v>-0.74082110327654205</v>
      </c>
      <c r="AC82" s="37">
        <f t="shared" si="18"/>
        <v>-2.1976327566382228</v>
      </c>
      <c r="AD82" s="37">
        <f t="shared" si="18"/>
        <v>-1.4835219688851171</v>
      </c>
      <c r="AE82" s="37">
        <f t="shared" si="18"/>
        <v>-2.8614025420691864</v>
      </c>
      <c r="AF82" s="90">
        <f t="shared" si="18"/>
        <v>-0.50985434813354169</v>
      </c>
      <c r="AN82" s="91" t="e">
        <f ca="1"/>
        <v>#NAME?</v>
      </c>
      <c r="AO82" s="92" t="e">
        <f ca="1"/>
        <v>#NAME?</v>
      </c>
      <c r="AP82" s="92" t="e">
        <f ca="1"/>
        <v>#NAME?</v>
      </c>
      <c r="AQ82" s="93" t="e">
        <f ca="1"/>
        <v>#NAME?</v>
      </c>
      <c r="AU82" s="174" t="e">
        <f ca="1"/>
        <v>#NAME?</v>
      </c>
      <c r="AW82" s="174" t="e">
        <f ca="1"/>
        <v>#NAME?</v>
      </c>
    </row>
    <row r="83" spans="1:49" x14ac:dyDescent="0.35">
      <c r="A83">
        <v>80</v>
      </c>
      <c r="B83" s="36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W83">
        <f t="shared" si="19"/>
        <v>80</v>
      </c>
      <c r="X83" s="123">
        <f t="shared" si="18"/>
        <v>1.0201034865364365</v>
      </c>
      <c r="Y83" s="37">
        <f t="shared" si="18"/>
        <v>-0.29238417492594532</v>
      </c>
      <c r="Z83" s="37">
        <f t="shared" si="18"/>
        <v>0.33347618193389345</v>
      </c>
      <c r="AA83" s="37">
        <f t="shared" si="18"/>
        <v>-0.378023241178091</v>
      </c>
      <c r="AB83" s="37">
        <f t="shared" si="18"/>
        <v>0.30504398370210595</v>
      </c>
      <c r="AC83" s="37">
        <f t="shared" si="18"/>
        <v>-0.73660266912250705</v>
      </c>
      <c r="AD83" s="37">
        <f t="shared" si="18"/>
        <v>-0.32502325131756366</v>
      </c>
      <c r="AE83" s="37">
        <f t="shared" si="18"/>
        <v>0.2887653941537715</v>
      </c>
      <c r="AF83" s="90">
        <f t="shared" si="18"/>
        <v>-0.50985434813354169</v>
      </c>
    </row>
    <row r="84" spans="1:49" x14ac:dyDescent="0.35">
      <c r="A84">
        <v>81</v>
      </c>
      <c r="B84" s="36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  <c r="W84">
        <f t="shared" si="19"/>
        <v>81</v>
      </c>
      <c r="X84" s="123">
        <f t="shared" si="18"/>
        <v>0.23034594857274363</v>
      </c>
      <c r="Y84" s="37">
        <f t="shared" si="18"/>
        <v>-0.29238417492594532</v>
      </c>
      <c r="Z84" s="37">
        <f t="shared" si="18"/>
        <v>0.93979651272279086</v>
      </c>
      <c r="AA84" s="37">
        <f t="shared" si="18"/>
        <v>0.60812434450388564</v>
      </c>
      <c r="AB84" s="37">
        <f t="shared" si="18"/>
        <v>0.30504398370210595</v>
      </c>
      <c r="AC84" s="37">
        <f t="shared" si="18"/>
        <v>-6.0876253646491192E-3</v>
      </c>
      <c r="AD84" s="37">
        <f t="shared" si="18"/>
        <v>1.2196417054391744</v>
      </c>
      <c r="AE84" s="37">
        <f t="shared" si="18"/>
        <v>-0.76129058458721444</v>
      </c>
      <c r="AF84" s="90">
        <f t="shared" si="18"/>
        <v>-0.50985434813354169</v>
      </c>
      <c r="AI84" t="s">
        <v>393</v>
      </c>
    </row>
    <row r="85" spans="1:49" x14ac:dyDescent="0.35">
      <c r="A85">
        <v>82</v>
      </c>
      <c r="B85" s="36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W85">
        <f t="shared" si="19"/>
        <v>82</v>
      </c>
      <c r="X85" s="123">
        <f t="shared" si="18"/>
        <v>0.23034594857274363</v>
      </c>
      <c r="Y85" s="37">
        <f t="shared" si="18"/>
        <v>-0.29238417492594532</v>
      </c>
      <c r="Z85" s="37">
        <f t="shared" si="18"/>
        <v>-0.27284414885500391</v>
      </c>
      <c r="AA85" s="37">
        <f t="shared" si="18"/>
        <v>0.60812434450388564</v>
      </c>
      <c r="AB85" s="37">
        <f t="shared" si="18"/>
        <v>0.30504398370210595</v>
      </c>
      <c r="AC85" s="37">
        <f t="shared" si="18"/>
        <v>-6.0876253646491192E-3</v>
      </c>
      <c r="AD85" s="37">
        <f t="shared" si="18"/>
        <v>-0.71118949050674818</v>
      </c>
      <c r="AE85" s="37">
        <f t="shared" si="18"/>
        <v>2.3888773516357436</v>
      </c>
      <c r="AF85" s="90">
        <f t="shared" si="18"/>
        <v>1.1896601456449316</v>
      </c>
    </row>
    <row r="86" spans="1:49" x14ac:dyDescent="0.35">
      <c r="A86">
        <v>83</v>
      </c>
      <c r="B86" s="36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W86">
        <f t="shared" si="19"/>
        <v>83</v>
      </c>
      <c r="X86" s="123">
        <f t="shared" si="18"/>
        <v>1.0201034865364365</v>
      </c>
      <c r="Y86" s="37">
        <f t="shared" si="18"/>
        <v>-0.29238417492594532</v>
      </c>
      <c r="Z86" s="37">
        <f t="shared" si="18"/>
        <v>-0.27284414885500391</v>
      </c>
      <c r="AA86" s="37">
        <f t="shared" si="18"/>
        <v>-0.378023241178091</v>
      </c>
      <c r="AB86" s="37">
        <f t="shared" si="18"/>
        <v>0.30504398370210595</v>
      </c>
      <c r="AC86" s="37">
        <f t="shared" si="18"/>
        <v>-6.0876253646491192E-3</v>
      </c>
      <c r="AD86" s="37">
        <f t="shared" si="18"/>
        <v>-1.4835219688851171</v>
      </c>
      <c r="AE86" s="37">
        <f t="shared" si="18"/>
        <v>-0.76129058458721444</v>
      </c>
      <c r="AF86" s="90">
        <f t="shared" si="18"/>
        <v>-0.50985434813354169</v>
      </c>
      <c r="AI86" t="s">
        <v>389</v>
      </c>
      <c r="AS86" s="47" t="s">
        <v>392</v>
      </c>
      <c r="AT86" s="47"/>
      <c r="AU86" s="47" t="s">
        <v>391</v>
      </c>
      <c r="AV86" s="47"/>
      <c r="AW86" s="47" t="s">
        <v>390</v>
      </c>
    </row>
    <row r="87" spans="1:49" x14ac:dyDescent="0.35">
      <c r="A87">
        <v>84</v>
      </c>
      <c r="B87" s="36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  <c r="W87">
        <f t="shared" si="19"/>
        <v>84</v>
      </c>
      <c r="X87" s="123">
        <f t="shared" si="18"/>
        <v>-1.349169127354642</v>
      </c>
      <c r="Y87" s="37">
        <f t="shared" si="18"/>
        <v>1.4619208746297327</v>
      </c>
      <c r="Z87" s="37">
        <f t="shared" si="18"/>
        <v>1.5461168435116881</v>
      </c>
      <c r="AA87" s="37">
        <f t="shared" si="18"/>
        <v>0.60812434450388564</v>
      </c>
      <c r="AB87" s="37">
        <f t="shared" si="18"/>
        <v>1.3509090706807538</v>
      </c>
      <c r="AC87" s="37">
        <f t="shared" si="18"/>
        <v>-6.0876253646491192E-3</v>
      </c>
      <c r="AD87" s="37">
        <f t="shared" si="18"/>
        <v>1.2196417054391744</v>
      </c>
      <c r="AE87" s="37">
        <f t="shared" si="18"/>
        <v>0.2887653941537715</v>
      </c>
      <c r="AF87" s="90">
        <f t="shared" si="18"/>
        <v>1.1896601456449316</v>
      </c>
      <c r="AI87" s="156" t="e">
        <f t="array" ref="AI87:AQ95" ca="1">AI61:AQ69</f>
        <v>#NAME?</v>
      </c>
      <c r="AJ87" s="157" t="e">
        <f ca="1"/>
        <v>#NAME?</v>
      </c>
      <c r="AK87" s="157" t="e">
        <f ca="1"/>
        <v>#NAME?</v>
      </c>
      <c r="AL87" s="157" t="e">
        <f ca="1"/>
        <v>#NAME?</v>
      </c>
      <c r="AM87" s="157" t="e">
        <f ca="1"/>
        <v>#NAME?</v>
      </c>
      <c r="AN87" s="157" t="e">
        <f ca="1"/>
        <v>#NAME?</v>
      </c>
      <c r="AO87" s="157" t="e">
        <f ca="1"/>
        <v>#NAME?</v>
      </c>
      <c r="AP87" s="157" t="e">
        <f ca="1"/>
        <v>#NAME?</v>
      </c>
      <c r="AQ87" s="158" t="e">
        <f ca="1"/>
        <v>#NAME?</v>
      </c>
      <c r="AS87" s="172" t="e">
        <f t="array" ref="AS87:AS95" ca="1">AW61:AW69</f>
        <v>#NAME?</v>
      </c>
      <c r="AU87" s="172" t="e">
        <f t="array" aca="1" ref="AU87:AU95" ca="1">MMULT(AI87:AQ95,AS87:AS95)</f>
        <v>#NAME?</v>
      </c>
      <c r="AW87" s="172" t="e">
        <f t="array" aca="1" ref="AW87:AW95" ca="1">AU87:AU95*TRANSPOSE(B127:J127)+TRANSPOSE(B126:J126)</f>
        <v>#NAME?</v>
      </c>
    </row>
    <row r="88" spans="1:49" x14ac:dyDescent="0.35">
      <c r="A88">
        <v>85</v>
      </c>
      <c r="B88" s="36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W88">
        <f t="shared" si="19"/>
        <v>85</v>
      </c>
      <c r="X88" s="123">
        <f t="shared" si="18"/>
        <v>1.0201034865364365</v>
      </c>
      <c r="Y88" s="37">
        <f t="shared" si="18"/>
        <v>-0.29238417492594532</v>
      </c>
      <c r="Z88" s="37">
        <f t="shared" si="18"/>
        <v>0.33347618193389345</v>
      </c>
      <c r="AA88" s="37">
        <f t="shared" si="18"/>
        <v>0.60812434450388564</v>
      </c>
      <c r="AB88" s="37">
        <f t="shared" si="18"/>
        <v>0.30504398370210595</v>
      </c>
      <c r="AC88" s="37">
        <f t="shared" si="18"/>
        <v>-6.0876253646491192E-3</v>
      </c>
      <c r="AD88" s="37">
        <f t="shared" si="18"/>
        <v>6.1142987871620834E-2</v>
      </c>
      <c r="AE88" s="37">
        <f t="shared" si="18"/>
        <v>0.2887653941537715</v>
      </c>
      <c r="AF88" s="90">
        <f t="shared" si="18"/>
        <v>-0.50985434813354169</v>
      </c>
      <c r="AI88" s="123" t="e">
        <f ca="1"/>
        <v>#NAME?</v>
      </c>
      <c r="AJ88" s="37" t="e">
        <f ca="1"/>
        <v>#NAME?</v>
      </c>
      <c r="AK88" s="37" t="e">
        <f ca="1"/>
        <v>#NAME?</v>
      </c>
      <c r="AL88" s="37" t="e">
        <f ca="1"/>
        <v>#NAME?</v>
      </c>
      <c r="AM88" s="37" t="e">
        <f ca="1"/>
        <v>#NAME?</v>
      </c>
      <c r="AN88" s="37" t="e">
        <f ca="1"/>
        <v>#NAME?</v>
      </c>
      <c r="AO88" s="37" t="e">
        <f ca="1"/>
        <v>#NAME?</v>
      </c>
      <c r="AP88" s="37" t="e">
        <f ca="1"/>
        <v>#NAME?</v>
      </c>
      <c r="AQ88" s="90" t="e">
        <f ca="1"/>
        <v>#NAME?</v>
      </c>
      <c r="AS88" s="173" t="e">
        <f ca="1"/>
        <v>#NAME?</v>
      </c>
      <c r="AU88" s="173" t="e">
        <f ca="1"/>
        <v>#NAME?</v>
      </c>
      <c r="AW88" s="173" t="e">
        <f ca="1"/>
        <v>#NAME?</v>
      </c>
    </row>
    <row r="89" spans="1:49" x14ac:dyDescent="0.35">
      <c r="A89">
        <v>86</v>
      </c>
      <c r="B89" s="36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  <c r="W89">
        <f t="shared" si="19"/>
        <v>86</v>
      </c>
      <c r="X89" s="123">
        <f t="shared" si="18"/>
        <v>0.23034594857274363</v>
      </c>
      <c r="Y89" s="37">
        <f t="shared" si="18"/>
        <v>-0.29238417492594532</v>
      </c>
      <c r="Z89" s="37">
        <f t="shared" si="18"/>
        <v>2.1524371743005855</v>
      </c>
      <c r="AA89" s="37">
        <f t="shared" si="18"/>
        <v>1.5942719301858623</v>
      </c>
      <c r="AB89" s="37">
        <f t="shared" si="18"/>
        <v>0.30504398370210595</v>
      </c>
      <c r="AC89" s="37">
        <f t="shared" si="18"/>
        <v>-6.0876253646491192E-3</v>
      </c>
      <c r="AD89" s="37">
        <f t="shared" si="18"/>
        <v>1.6058079446283589</v>
      </c>
      <c r="AE89" s="37">
        <f t="shared" si="18"/>
        <v>1.3388213728947576</v>
      </c>
      <c r="AF89" s="90">
        <f t="shared" si="18"/>
        <v>-0.50985434813354169</v>
      </c>
      <c r="AI89" s="123" t="e">
        <f ca="1"/>
        <v>#NAME?</v>
      </c>
      <c r="AJ89" s="37" t="e">
        <f ca="1"/>
        <v>#NAME?</v>
      </c>
      <c r="AK89" s="37" t="e">
        <f ca="1"/>
        <v>#NAME?</v>
      </c>
      <c r="AL89" s="37" t="e">
        <f ca="1"/>
        <v>#NAME?</v>
      </c>
      <c r="AM89" s="37" t="e">
        <f ca="1"/>
        <v>#NAME?</v>
      </c>
      <c r="AN89" s="37" t="e">
        <f ca="1"/>
        <v>#NAME?</v>
      </c>
      <c r="AO89" s="37" t="e">
        <f ca="1"/>
        <v>#NAME?</v>
      </c>
      <c r="AP89" s="37" t="e">
        <f ca="1"/>
        <v>#NAME?</v>
      </c>
      <c r="AQ89" s="90" t="e">
        <f ca="1"/>
        <v>#NAME?</v>
      </c>
      <c r="AS89" s="173" t="e">
        <f ca="1"/>
        <v>#NAME?</v>
      </c>
      <c r="AU89" s="173" t="e">
        <f ca="1"/>
        <v>#NAME?</v>
      </c>
      <c r="AW89" s="173" t="e">
        <f ca="1"/>
        <v>#NAME?</v>
      </c>
    </row>
    <row r="90" spans="1:49" x14ac:dyDescent="0.35">
      <c r="A90">
        <v>87</v>
      </c>
      <c r="B90" s="36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W90">
        <f t="shared" si="19"/>
        <v>87</v>
      </c>
      <c r="X90" s="123">
        <f t="shared" si="18"/>
        <v>1.0201034865364365</v>
      </c>
      <c r="Y90" s="37">
        <f t="shared" si="18"/>
        <v>-2.0466892244816233</v>
      </c>
      <c r="Z90" s="37">
        <f t="shared" si="18"/>
        <v>-0.87916447964390132</v>
      </c>
      <c r="AA90" s="37">
        <f t="shared" si="18"/>
        <v>-0.378023241178091</v>
      </c>
      <c r="AB90" s="37">
        <f t="shared" si="18"/>
        <v>-1.78668619025519</v>
      </c>
      <c r="AC90" s="37">
        <f t="shared" si="18"/>
        <v>-0.73660266912250705</v>
      </c>
      <c r="AD90" s="37">
        <f t="shared" si="18"/>
        <v>-1.4835219688851171</v>
      </c>
      <c r="AE90" s="37">
        <f t="shared" si="18"/>
        <v>-1.8113465633282004</v>
      </c>
      <c r="AF90" s="90">
        <f t="shared" si="18"/>
        <v>-0.50985434813354169</v>
      </c>
      <c r="AI90" s="123" t="e">
        <f ca="1"/>
        <v>#NAME?</v>
      </c>
      <c r="AJ90" s="37" t="e">
        <f ca="1"/>
        <v>#NAME?</v>
      </c>
      <c r="AK90" s="37" t="e">
        <f ca="1"/>
        <v>#NAME?</v>
      </c>
      <c r="AL90" s="37" t="e">
        <f ca="1"/>
        <v>#NAME?</v>
      </c>
      <c r="AM90" s="37" t="e">
        <f ca="1"/>
        <v>#NAME?</v>
      </c>
      <c r="AN90" s="37" t="e">
        <f ca="1"/>
        <v>#NAME?</v>
      </c>
      <c r="AO90" s="37" t="e">
        <f ca="1"/>
        <v>#NAME?</v>
      </c>
      <c r="AP90" s="37" t="e">
        <f ca="1"/>
        <v>#NAME?</v>
      </c>
      <c r="AQ90" s="90" t="e">
        <f ca="1"/>
        <v>#NAME?</v>
      </c>
      <c r="AS90" s="173" t="e">
        <f ca="1"/>
        <v>#NAME?</v>
      </c>
      <c r="AU90" s="173" t="e">
        <f ca="1"/>
        <v>#NAME?</v>
      </c>
      <c r="AW90" s="173" t="e">
        <f ca="1"/>
        <v>#NAME?</v>
      </c>
    </row>
    <row r="91" spans="1:49" x14ac:dyDescent="0.35">
      <c r="A91">
        <v>88</v>
      </c>
      <c r="B91" s="36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W91">
        <f t="shared" si="19"/>
        <v>88</v>
      </c>
      <c r="X91" s="123">
        <f t="shared" si="18"/>
        <v>-0.55941158939094915</v>
      </c>
      <c r="Y91" s="37">
        <f t="shared" si="18"/>
        <v>-0.29238417492594532</v>
      </c>
      <c r="Z91" s="37">
        <f t="shared" si="18"/>
        <v>-0.27284414885500391</v>
      </c>
      <c r="AA91" s="37">
        <f t="shared" si="18"/>
        <v>-1.3641708268600676</v>
      </c>
      <c r="AB91" s="37">
        <f t="shared" si="18"/>
        <v>-0.74082110327654205</v>
      </c>
      <c r="AC91" s="37">
        <f t="shared" si="18"/>
        <v>-6.0876253646491192E-3</v>
      </c>
      <c r="AD91" s="37">
        <f t="shared" si="18"/>
        <v>-1.4835219688851171</v>
      </c>
      <c r="AE91" s="37">
        <f t="shared" si="18"/>
        <v>0.2887653941537715</v>
      </c>
      <c r="AF91" s="90">
        <f t="shared" si="18"/>
        <v>-0.50985434813354169</v>
      </c>
      <c r="AI91" s="123" t="e">
        <f ca="1"/>
        <v>#NAME?</v>
      </c>
      <c r="AJ91" s="37" t="e">
        <f ca="1"/>
        <v>#NAME?</v>
      </c>
      <c r="AK91" s="37" t="e">
        <f ca="1"/>
        <v>#NAME?</v>
      </c>
      <c r="AL91" s="37" t="e">
        <f ca="1"/>
        <v>#NAME?</v>
      </c>
      <c r="AM91" s="37" t="e">
        <f ca="1"/>
        <v>#NAME?</v>
      </c>
      <c r="AN91" s="37" t="e">
        <f ca="1"/>
        <v>#NAME?</v>
      </c>
      <c r="AO91" s="37" t="e">
        <f ca="1"/>
        <v>#NAME?</v>
      </c>
      <c r="AP91" s="37" t="e">
        <f ca="1"/>
        <v>#NAME?</v>
      </c>
      <c r="AQ91" s="90" t="e">
        <f ca="1"/>
        <v>#NAME?</v>
      </c>
      <c r="AS91" s="173" t="e">
        <f ca="1"/>
        <v>#NAME?</v>
      </c>
      <c r="AU91" s="173" t="e">
        <f ca="1"/>
        <v>#NAME?</v>
      </c>
      <c r="AW91" s="173" t="e">
        <f ca="1"/>
        <v>#NAME?</v>
      </c>
    </row>
    <row r="92" spans="1:49" x14ac:dyDescent="0.35">
      <c r="A92">
        <v>89</v>
      </c>
      <c r="B92" s="36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  <c r="W92">
        <f t="shared" si="19"/>
        <v>89</v>
      </c>
      <c r="X92" s="123">
        <f t="shared" si="18"/>
        <v>-1.349169127354642</v>
      </c>
      <c r="Y92" s="37">
        <f t="shared" si="18"/>
        <v>-0.29238417492594532</v>
      </c>
      <c r="Z92" s="37">
        <f t="shared" si="18"/>
        <v>0.33347618193389345</v>
      </c>
      <c r="AA92" s="37">
        <f t="shared" si="18"/>
        <v>-1.3641708268600676</v>
      </c>
      <c r="AB92" s="37">
        <f t="shared" si="18"/>
        <v>0.30504398370210595</v>
      </c>
      <c r="AC92" s="37">
        <f t="shared" si="18"/>
        <v>-6.0876253646491192E-3</v>
      </c>
      <c r="AD92" s="37">
        <f t="shared" si="18"/>
        <v>6.1142987871620834E-2</v>
      </c>
      <c r="AE92" s="37">
        <f t="shared" si="18"/>
        <v>1.3388213728947576</v>
      </c>
      <c r="AF92" s="90">
        <f t="shared" si="18"/>
        <v>-0.50985434813354169</v>
      </c>
      <c r="AI92" s="123" t="e">
        <f ca="1"/>
        <v>#NAME?</v>
      </c>
      <c r="AJ92" s="37" t="e">
        <f ca="1"/>
        <v>#NAME?</v>
      </c>
      <c r="AK92" s="37" t="e">
        <f ca="1"/>
        <v>#NAME?</v>
      </c>
      <c r="AL92" s="37" t="e">
        <f ca="1"/>
        <v>#NAME?</v>
      </c>
      <c r="AM92" s="37" t="e">
        <f ca="1"/>
        <v>#NAME?</v>
      </c>
      <c r="AN92" s="37" t="e">
        <f ca="1"/>
        <v>#NAME?</v>
      </c>
      <c r="AO92" s="37" t="e">
        <f ca="1"/>
        <v>#NAME?</v>
      </c>
      <c r="AP92" s="37" t="e">
        <f ca="1"/>
        <v>#NAME?</v>
      </c>
      <c r="AQ92" s="90" t="e">
        <f ca="1"/>
        <v>#NAME?</v>
      </c>
      <c r="AS92" s="173" t="e">
        <f ca="1"/>
        <v>#NAME?</v>
      </c>
      <c r="AU92" s="173" t="e">
        <f ca="1"/>
        <v>#NAME?</v>
      </c>
      <c r="AW92" s="173" t="e">
        <f ca="1"/>
        <v>#NAME?</v>
      </c>
    </row>
    <row r="93" spans="1:49" x14ac:dyDescent="0.35">
      <c r="A93">
        <v>90</v>
      </c>
      <c r="B93" s="66">
        <v>3</v>
      </c>
      <c r="C93" s="56">
        <v>8</v>
      </c>
      <c r="D93" s="56">
        <v>2</v>
      </c>
      <c r="E93" s="56">
        <v>4</v>
      </c>
      <c r="F93" s="56">
        <v>8</v>
      </c>
      <c r="G93" s="56">
        <v>7</v>
      </c>
      <c r="H93" s="56">
        <v>3</v>
      </c>
      <c r="I93" s="56">
        <v>5</v>
      </c>
      <c r="J93" s="208">
        <v>8</v>
      </c>
      <c r="W93">
        <f t="shared" si="19"/>
        <v>90</v>
      </c>
      <c r="X93" s="123">
        <f t="shared" si="18"/>
        <v>-0.55941158939094915</v>
      </c>
      <c r="Y93" s="37">
        <f t="shared" si="18"/>
        <v>-0.29238417492594532</v>
      </c>
      <c r="Z93" s="37">
        <f t="shared" si="18"/>
        <v>-0.87916447964390132</v>
      </c>
      <c r="AA93" s="37">
        <f t="shared" ref="AA93:AF123" si="20">STANDARDIZE(E93,E$126,E$127)</f>
        <v>0.60812434450388564</v>
      </c>
      <c r="AB93" s="37">
        <f t="shared" si="20"/>
        <v>1.3509090706807538</v>
      </c>
      <c r="AC93" s="37">
        <f t="shared" si="20"/>
        <v>0.72442741839320879</v>
      </c>
      <c r="AD93" s="37">
        <f t="shared" si="20"/>
        <v>-0.71118949050674818</v>
      </c>
      <c r="AE93" s="37">
        <f t="shared" si="20"/>
        <v>0.2887653941537715</v>
      </c>
      <c r="AF93" s="90">
        <f t="shared" si="20"/>
        <v>1.1896601456449316</v>
      </c>
      <c r="AI93" s="123" t="e">
        <f ca="1"/>
        <v>#NAME?</v>
      </c>
      <c r="AJ93" s="37" t="e">
        <f ca="1"/>
        <v>#NAME?</v>
      </c>
      <c r="AK93" s="37" t="e">
        <f ca="1"/>
        <v>#NAME?</v>
      </c>
      <c r="AL93" s="37" t="e">
        <f ca="1"/>
        <v>#NAME?</v>
      </c>
      <c r="AM93" s="37" t="e">
        <f ca="1"/>
        <v>#NAME?</v>
      </c>
      <c r="AN93" s="37" t="e">
        <f ca="1"/>
        <v>#NAME?</v>
      </c>
      <c r="AO93" s="37" t="e">
        <f ca="1"/>
        <v>#NAME?</v>
      </c>
      <c r="AP93" s="37" t="e">
        <f ca="1"/>
        <v>#NAME?</v>
      </c>
      <c r="AQ93" s="90" t="e">
        <f ca="1"/>
        <v>#NAME?</v>
      </c>
      <c r="AS93" s="173" t="e">
        <f ca="1"/>
        <v>#NAME?</v>
      </c>
      <c r="AU93" s="173" t="e">
        <f ca="1"/>
        <v>#NAME?</v>
      </c>
      <c r="AW93" s="173" t="e">
        <f ca="1"/>
        <v>#NAME?</v>
      </c>
    </row>
    <row r="94" spans="1:49" x14ac:dyDescent="0.35">
      <c r="A94">
        <v>91</v>
      </c>
      <c r="B94" s="36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  <c r="W94">
        <f t="shared" si="19"/>
        <v>91</v>
      </c>
      <c r="X94" s="123">
        <f t="shared" ref="X94:Z123" si="21">STANDARDIZE(B94,B$126,B$127)</f>
        <v>1.0201034865364365</v>
      </c>
      <c r="Y94" s="37">
        <f t="shared" si="21"/>
        <v>-0.29238417492594532</v>
      </c>
      <c r="Z94" s="37">
        <f t="shared" si="21"/>
        <v>-0.27284414885500391</v>
      </c>
      <c r="AA94" s="37">
        <f t="shared" si="20"/>
        <v>-1.3641708268600676</v>
      </c>
      <c r="AB94" s="37">
        <f t="shared" si="20"/>
        <v>-1.78668619025519</v>
      </c>
      <c r="AC94" s="37">
        <f t="shared" si="20"/>
        <v>-0.73660266912250705</v>
      </c>
      <c r="AD94" s="37">
        <f t="shared" si="20"/>
        <v>6.1142987871620834E-2</v>
      </c>
      <c r="AE94" s="37">
        <f t="shared" si="20"/>
        <v>-0.76129058458721444</v>
      </c>
      <c r="AF94" s="90">
        <f t="shared" si="20"/>
        <v>-0.50985434813354169</v>
      </c>
      <c r="AI94" s="123" t="e">
        <f ca="1"/>
        <v>#NAME?</v>
      </c>
      <c r="AJ94" s="37" t="e">
        <f ca="1"/>
        <v>#NAME?</v>
      </c>
      <c r="AK94" s="37" t="e">
        <f ca="1"/>
        <v>#NAME?</v>
      </c>
      <c r="AL94" s="37" t="e">
        <f ca="1"/>
        <v>#NAME?</v>
      </c>
      <c r="AM94" s="37" t="e">
        <f ca="1"/>
        <v>#NAME?</v>
      </c>
      <c r="AN94" s="37" t="e">
        <f ca="1"/>
        <v>#NAME?</v>
      </c>
      <c r="AO94" s="37" t="e">
        <f ca="1"/>
        <v>#NAME?</v>
      </c>
      <c r="AP94" s="37" t="e">
        <f ca="1"/>
        <v>#NAME?</v>
      </c>
      <c r="AQ94" s="90" t="e">
        <f ca="1"/>
        <v>#NAME?</v>
      </c>
      <c r="AS94" s="173" t="e">
        <f ca="1"/>
        <v>#NAME?</v>
      </c>
      <c r="AU94" s="173" t="e">
        <f ca="1"/>
        <v>#NAME?</v>
      </c>
      <c r="AW94" s="173" t="e">
        <f ca="1"/>
        <v>#NAME?</v>
      </c>
    </row>
    <row r="95" spans="1:49" x14ac:dyDescent="0.35">
      <c r="A95">
        <v>92</v>
      </c>
      <c r="B95" s="36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W95">
        <f t="shared" si="19"/>
        <v>92</v>
      </c>
      <c r="X95" s="123">
        <f t="shared" si="21"/>
        <v>-0.55941158939094915</v>
      </c>
      <c r="Y95" s="37">
        <f t="shared" si="21"/>
        <v>-0.29238417492594532</v>
      </c>
      <c r="Z95" s="37">
        <f t="shared" si="21"/>
        <v>-0.87916447964390132</v>
      </c>
      <c r="AA95" s="37">
        <f t="shared" si="20"/>
        <v>0.60812434450388564</v>
      </c>
      <c r="AB95" s="37">
        <f t="shared" si="20"/>
        <v>-0.74082110327654205</v>
      </c>
      <c r="AC95" s="37">
        <f t="shared" si="20"/>
        <v>-6.0876253646491192E-3</v>
      </c>
      <c r="AD95" s="37">
        <f t="shared" si="20"/>
        <v>0.8334754662499898</v>
      </c>
      <c r="AE95" s="37">
        <f t="shared" si="20"/>
        <v>-0.76129058458721444</v>
      </c>
      <c r="AF95" s="90">
        <f t="shared" si="20"/>
        <v>-0.50985434813354169</v>
      </c>
      <c r="AI95" s="91" t="e">
        <f ca="1"/>
        <v>#NAME?</v>
      </c>
      <c r="AJ95" s="92" t="e">
        <f ca="1"/>
        <v>#NAME?</v>
      </c>
      <c r="AK95" s="92" t="e">
        <f ca="1"/>
        <v>#NAME?</v>
      </c>
      <c r="AL95" s="92" t="e">
        <f ca="1"/>
        <v>#NAME?</v>
      </c>
      <c r="AM95" s="92" t="e">
        <f ca="1"/>
        <v>#NAME?</v>
      </c>
      <c r="AN95" s="92" t="e">
        <f ca="1"/>
        <v>#NAME?</v>
      </c>
      <c r="AO95" s="92" t="e">
        <f ca="1"/>
        <v>#NAME?</v>
      </c>
      <c r="AP95" s="92" t="e">
        <f ca="1"/>
        <v>#NAME?</v>
      </c>
      <c r="AQ95" s="93" t="e">
        <f ca="1"/>
        <v>#NAME?</v>
      </c>
      <c r="AS95" s="174" t="e">
        <f ca="1"/>
        <v>#NAME?</v>
      </c>
      <c r="AU95" s="174" t="e">
        <f ca="1"/>
        <v>#NAME?</v>
      </c>
      <c r="AW95" s="174" t="e">
        <f ca="1"/>
        <v>#NAME?</v>
      </c>
    </row>
    <row r="96" spans="1:49" x14ac:dyDescent="0.35">
      <c r="A96">
        <v>93</v>
      </c>
      <c r="B96" s="36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  <c r="W96">
        <f t="shared" si="19"/>
        <v>93</v>
      </c>
      <c r="X96" s="123">
        <f t="shared" si="21"/>
        <v>-0.55941158939094915</v>
      </c>
      <c r="Y96" s="37">
        <f t="shared" si="21"/>
        <v>-0.29238417492594532</v>
      </c>
      <c r="Z96" s="37">
        <f t="shared" si="21"/>
        <v>-0.87916447964390132</v>
      </c>
      <c r="AA96" s="37">
        <f t="shared" si="20"/>
        <v>-1.3641708268600676</v>
      </c>
      <c r="AB96" s="37">
        <f t="shared" si="20"/>
        <v>0.30504398370210595</v>
      </c>
      <c r="AC96" s="37">
        <f t="shared" si="20"/>
        <v>1.4549424621510667</v>
      </c>
      <c r="AD96" s="37">
        <f t="shared" si="20"/>
        <v>-1.4835219688851171</v>
      </c>
      <c r="AE96" s="37">
        <f t="shared" si="20"/>
        <v>-0.76129058458721444</v>
      </c>
      <c r="AF96" s="90">
        <f t="shared" si="20"/>
        <v>-0.50985434813354169</v>
      </c>
    </row>
    <row r="97" spans="1:32" x14ac:dyDescent="0.35">
      <c r="A97">
        <v>94</v>
      </c>
      <c r="B97" s="36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W97">
        <f t="shared" si="19"/>
        <v>94</v>
      </c>
      <c r="X97" s="123">
        <f t="shared" si="21"/>
        <v>-0.55941158939094915</v>
      </c>
      <c r="Y97" s="37">
        <f t="shared" si="21"/>
        <v>-0.29238417492594532</v>
      </c>
      <c r="Z97" s="37">
        <f t="shared" si="21"/>
        <v>-0.87916447964390132</v>
      </c>
      <c r="AA97" s="37">
        <f t="shared" si="20"/>
        <v>-1.3641708268600676</v>
      </c>
      <c r="AB97" s="37">
        <f t="shared" si="20"/>
        <v>-0.74082110327654205</v>
      </c>
      <c r="AC97" s="37">
        <f t="shared" si="20"/>
        <v>-1.467117712880365</v>
      </c>
      <c r="AD97" s="37">
        <f t="shared" si="20"/>
        <v>-0.32502325131756366</v>
      </c>
      <c r="AE97" s="37">
        <f t="shared" si="20"/>
        <v>0.2887653941537715</v>
      </c>
      <c r="AF97" s="90">
        <f t="shared" si="20"/>
        <v>-0.50985434813354169</v>
      </c>
    </row>
    <row r="98" spans="1:32" x14ac:dyDescent="0.35">
      <c r="A98">
        <v>95</v>
      </c>
      <c r="B98" s="36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  <c r="W98">
        <f t="shared" si="19"/>
        <v>95</v>
      </c>
      <c r="X98" s="123">
        <f t="shared" si="21"/>
        <v>0.23034594857274363</v>
      </c>
      <c r="Y98" s="37">
        <f t="shared" si="21"/>
        <v>-0.29238417492594532</v>
      </c>
      <c r="Z98" s="37">
        <f t="shared" si="21"/>
        <v>-0.27284414885500391</v>
      </c>
      <c r="AA98" s="37">
        <f t="shared" si="20"/>
        <v>-0.378023241178091</v>
      </c>
      <c r="AB98" s="37">
        <f t="shared" si="20"/>
        <v>-1.78668619025519</v>
      </c>
      <c r="AC98" s="37">
        <f t="shared" si="20"/>
        <v>-0.73660266912250705</v>
      </c>
      <c r="AD98" s="37">
        <f t="shared" si="20"/>
        <v>-1.4835219688851171</v>
      </c>
      <c r="AE98" s="37">
        <f t="shared" si="20"/>
        <v>-0.76129058458721444</v>
      </c>
      <c r="AF98" s="90">
        <f t="shared" si="20"/>
        <v>1.1896601456449316</v>
      </c>
    </row>
    <row r="99" spans="1:32" x14ac:dyDescent="0.35">
      <c r="A99">
        <v>96</v>
      </c>
      <c r="B99" s="36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W99">
        <f t="shared" si="19"/>
        <v>96</v>
      </c>
      <c r="X99" s="123">
        <f t="shared" si="21"/>
        <v>1.0201034865364365</v>
      </c>
      <c r="Y99" s="37">
        <f t="shared" si="21"/>
        <v>-0.29238417492594532</v>
      </c>
      <c r="Z99" s="37">
        <f t="shared" si="21"/>
        <v>-0.87916447964390132</v>
      </c>
      <c r="AA99" s="37">
        <f t="shared" si="20"/>
        <v>-0.378023241178091</v>
      </c>
      <c r="AB99" s="37">
        <f t="shared" si="20"/>
        <v>0.30504398370210595</v>
      </c>
      <c r="AC99" s="37">
        <f t="shared" si="20"/>
        <v>-6.0876253646491192E-3</v>
      </c>
      <c r="AD99" s="37">
        <f t="shared" si="20"/>
        <v>6.1142987871620834E-2</v>
      </c>
      <c r="AE99" s="37">
        <f t="shared" si="20"/>
        <v>-0.76129058458721444</v>
      </c>
      <c r="AF99" s="90">
        <f t="shared" si="20"/>
        <v>-0.50985434813354169</v>
      </c>
    </row>
    <row r="100" spans="1:32" x14ac:dyDescent="0.35">
      <c r="A100">
        <v>97</v>
      </c>
      <c r="B100" s="36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W100">
        <f t="shared" si="19"/>
        <v>97</v>
      </c>
      <c r="X100" s="123">
        <f t="shared" si="21"/>
        <v>0.23034594857274363</v>
      </c>
      <c r="Y100" s="37">
        <f t="shared" si="21"/>
        <v>1.4619208746297327</v>
      </c>
      <c r="Z100" s="37">
        <f t="shared" si="21"/>
        <v>-0.87916447964390132</v>
      </c>
      <c r="AA100" s="37">
        <f t="shared" si="20"/>
        <v>-0.378023241178091</v>
      </c>
      <c r="AB100" s="37">
        <f t="shared" si="20"/>
        <v>0.30504398370210595</v>
      </c>
      <c r="AC100" s="37">
        <f t="shared" si="20"/>
        <v>0.72442741839320879</v>
      </c>
      <c r="AD100" s="37">
        <f t="shared" si="20"/>
        <v>0.44730922706080534</v>
      </c>
      <c r="AE100" s="37">
        <f t="shared" si="20"/>
        <v>1.3388213728947576</v>
      </c>
      <c r="AF100" s="90">
        <f t="shared" si="20"/>
        <v>-2.2093688419120152</v>
      </c>
    </row>
    <row r="101" spans="1:32" x14ac:dyDescent="0.35">
      <c r="A101">
        <v>98</v>
      </c>
      <c r="B101" s="36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W101">
        <f t="shared" si="19"/>
        <v>98</v>
      </c>
      <c r="X101" s="123">
        <f t="shared" si="21"/>
        <v>0.23034594857274363</v>
      </c>
      <c r="Y101" s="37">
        <f t="shared" si="21"/>
        <v>-0.29238417492594532</v>
      </c>
      <c r="Z101" s="37">
        <f t="shared" si="21"/>
        <v>-0.27284414885500391</v>
      </c>
      <c r="AA101" s="37">
        <f t="shared" si="20"/>
        <v>-0.378023241178091</v>
      </c>
      <c r="AB101" s="37">
        <f t="shared" si="20"/>
        <v>-0.74082110327654205</v>
      </c>
      <c r="AC101" s="37">
        <f t="shared" si="20"/>
        <v>-6.0876253646491192E-3</v>
      </c>
      <c r="AD101" s="37">
        <f t="shared" si="20"/>
        <v>6.1142987871620834E-2</v>
      </c>
      <c r="AE101" s="37">
        <f t="shared" si="20"/>
        <v>0.2887653941537715</v>
      </c>
      <c r="AF101" s="90">
        <f t="shared" si="20"/>
        <v>-0.50985434813354169</v>
      </c>
    </row>
    <row r="102" spans="1:32" x14ac:dyDescent="0.35">
      <c r="A102">
        <v>99</v>
      </c>
      <c r="B102" s="36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W102">
        <f t="shared" si="19"/>
        <v>99</v>
      </c>
      <c r="X102" s="123">
        <f t="shared" si="21"/>
        <v>-0.55941158939094915</v>
      </c>
      <c r="Y102" s="37">
        <f t="shared" si="21"/>
        <v>-0.29238417492594532</v>
      </c>
      <c r="Z102" s="37">
        <f t="shared" si="21"/>
        <v>-0.27284414885500391</v>
      </c>
      <c r="AA102" s="37">
        <f t="shared" si="20"/>
        <v>-0.378023241178091</v>
      </c>
      <c r="AB102" s="37">
        <f t="shared" si="20"/>
        <v>0.30504398370210595</v>
      </c>
      <c r="AC102" s="37">
        <f t="shared" si="20"/>
        <v>-0.73660266912250705</v>
      </c>
      <c r="AD102" s="37">
        <f t="shared" si="20"/>
        <v>-0.71118949050674818</v>
      </c>
      <c r="AE102" s="37">
        <f t="shared" si="20"/>
        <v>0.2887653941537715</v>
      </c>
      <c r="AF102" s="90">
        <f t="shared" si="20"/>
        <v>-0.50985434813354169</v>
      </c>
    </row>
    <row r="103" spans="1:32" x14ac:dyDescent="0.35">
      <c r="A103">
        <v>100</v>
      </c>
      <c r="B103" s="36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W103">
        <f t="shared" si="19"/>
        <v>100</v>
      </c>
      <c r="X103" s="123">
        <f t="shared" si="21"/>
        <v>-1.349169127354642</v>
      </c>
      <c r="Y103" s="37">
        <f t="shared" si="21"/>
        <v>-0.29238417492594532</v>
      </c>
      <c r="Z103" s="37">
        <f t="shared" si="21"/>
        <v>-0.27284414885500391</v>
      </c>
      <c r="AA103" s="37">
        <f t="shared" si="20"/>
        <v>-1.3641708268600676</v>
      </c>
      <c r="AB103" s="37">
        <f t="shared" si="20"/>
        <v>1.3509090706807538</v>
      </c>
      <c r="AC103" s="37">
        <f t="shared" si="20"/>
        <v>1.4549424621510667</v>
      </c>
      <c r="AD103" s="37">
        <f t="shared" si="20"/>
        <v>6.1142987871620834E-2</v>
      </c>
      <c r="AE103" s="37">
        <f t="shared" si="20"/>
        <v>-0.76129058458721444</v>
      </c>
      <c r="AF103" s="90">
        <f t="shared" si="20"/>
        <v>-0.50985434813354169</v>
      </c>
    </row>
    <row r="104" spans="1:32" x14ac:dyDescent="0.35">
      <c r="A104">
        <f>A103+1</f>
        <v>101</v>
      </c>
      <c r="B104" s="36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W104">
        <f t="shared" si="19"/>
        <v>101</v>
      </c>
      <c r="X104" s="123">
        <f t="shared" si="21"/>
        <v>1.0201034865364365</v>
      </c>
      <c r="Y104" s="37">
        <f t="shared" si="21"/>
        <v>-0.29238417492594532</v>
      </c>
      <c r="Z104" s="37">
        <f t="shared" si="21"/>
        <v>-1.4854848104327987</v>
      </c>
      <c r="AA104" s="37">
        <f t="shared" si="20"/>
        <v>-0.378023241178091</v>
      </c>
      <c r="AB104" s="37">
        <f t="shared" si="20"/>
        <v>-0.74082110327654205</v>
      </c>
      <c r="AC104" s="37">
        <f t="shared" si="20"/>
        <v>-6.0876253646491192E-3</v>
      </c>
      <c r="AD104" s="37">
        <f t="shared" si="20"/>
        <v>-0.32502325131756366</v>
      </c>
      <c r="AE104" s="37">
        <f t="shared" si="20"/>
        <v>0.2887653941537715</v>
      </c>
      <c r="AF104" s="90">
        <f t="shared" si="20"/>
        <v>-0.50985434813354169</v>
      </c>
    </row>
    <row r="105" spans="1:32" x14ac:dyDescent="0.35">
      <c r="A105">
        <f t="shared" ref="A105:A123" si="22">A104+1</f>
        <v>102</v>
      </c>
      <c r="B105" s="36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  <c r="W105">
        <f t="shared" si="19"/>
        <v>102</v>
      </c>
      <c r="X105" s="123">
        <f t="shared" si="21"/>
        <v>1.8098610245001292</v>
      </c>
      <c r="Y105" s="37">
        <f t="shared" si="21"/>
        <v>-0.29238417492594532</v>
      </c>
      <c r="Z105" s="37">
        <f t="shared" si="21"/>
        <v>-0.27284414885500391</v>
      </c>
      <c r="AA105" s="37">
        <f t="shared" si="20"/>
        <v>-0.378023241178091</v>
      </c>
      <c r="AB105" s="37">
        <f t="shared" si="20"/>
        <v>-0.74082110327654205</v>
      </c>
      <c r="AC105" s="37">
        <f t="shared" si="20"/>
        <v>-0.73660266912250705</v>
      </c>
      <c r="AD105" s="37">
        <f t="shared" si="20"/>
        <v>-0.32502325131756366</v>
      </c>
      <c r="AE105" s="37">
        <f t="shared" si="20"/>
        <v>-0.76129058458721444</v>
      </c>
      <c r="AF105" s="90">
        <f t="shared" si="20"/>
        <v>-0.50985434813354169</v>
      </c>
    </row>
    <row r="106" spans="1:32" x14ac:dyDescent="0.35">
      <c r="A106">
        <f t="shared" si="22"/>
        <v>103</v>
      </c>
      <c r="B106" s="36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W106">
        <f t="shared" si="19"/>
        <v>103</v>
      </c>
      <c r="X106" s="123">
        <f t="shared" si="21"/>
        <v>1.0201034865364365</v>
      </c>
      <c r="Y106" s="37">
        <f t="shared" si="21"/>
        <v>-2.0466892244816233</v>
      </c>
      <c r="Z106" s="37">
        <f t="shared" si="21"/>
        <v>-0.27284414885500391</v>
      </c>
      <c r="AA106" s="37">
        <f t="shared" si="20"/>
        <v>-0.378023241178091</v>
      </c>
      <c r="AB106" s="37">
        <f t="shared" si="20"/>
        <v>0.30504398370210595</v>
      </c>
      <c r="AC106" s="37">
        <f t="shared" si="20"/>
        <v>-6.0876253646491192E-3</v>
      </c>
      <c r="AD106" s="37">
        <f t="shared" si="20"/>
        <v>0.44730922706080534</v>
      </c>
      <c r="AE106" s="37">
        <f t="shared" si="20"/>
        <v>-0.76129058458721444</v>
      </c>
      <c r="AF106" s="90">
        <f t="shared" si="20"/>
        <v>-0.50985434813354169</v>
      </c>
    </row>
    <row r="107" spans="1:32" x14ac:dyDescent="0.35">
      <c r="A107">
        <f t="shared" si="22"/>
        <v>104</v>
      </c>
      <c r="B107" s="36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  <c r="W107">
        <f t="shared" si="19"/>
        <v>104</v>
      </c>
      <c r="X107" s="123">
        <f t="shared" si="21"/>
        <v>0.23034594857274363</v>
      </c>
      <c r="Y107" s="37">
        <f t="shared" si="21"/>
        <v>-0.29238417492594532</v>
      </c>
      <c r="Z107" s="37">
        <f t="shared" si="21"/>
        <v>-0.27284414885500391</v>
      </c>
      <c r="AA107" s="37">
        <f t="shared" si="20"/>
        <v>1.5942719301858623</v>
      </c>
      <c r="AB107" s="37">
        <f t="shared" si="20"/>
        <v>-0.74082110327654205</v>
      </c>
      <c r="AC107" s="37">
        <f t="shared" si="20"/>
        <v>0.72442741839320879</v>
      </c>
      <c r="AD107" s="37">
        <f t="shared" si="20"/>
        <v>-1.0973557296959326</v>
      </c>
      <c r="AE107" s="37">
        <f t="shared" si="20"/>
        <v>1.3388213728947576</v>
      </c>
      <c r="AF107" s="90">
        <f t="shared" si="20"/>
        <v>-2.2093688419120152</v>
      </c>
    </row>
    <row r="108" spans="1:32" x14ac:dyDescent="0.35">
      <c r="A108">
        <f t="shared" si="22"/>
        <v>105</v>
      </c>
      <c r="B108" s="36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W108">
        <f t="shared" si="19"/>
        <v>105</v>
      </c>
      <c r="X108" s="123">
        <f t="shared" si="21"/>
        <v>-0.55941158939094915</v>
      </c>
      <c r="Y108" s="37">
        <f t="shared" si="21"/>
        <v>1.4619208746297327</v>
      </c>
      <c r="Z108" s="37">
        <f t="shared" si="21"/>
        <v>-0.27284414885500391</v>
      </c>
      <c r="AA108" s="37">
        <f t="shared" si="20"/>
        <v>-1.3641708268600676</v>
      </c>
      <c r="AB108" s="37">
        <f t="shared" si="20"/>
        <v>-0.74082110327654205</v>
      </c>
      <c r="AC108" s="37">
        <f t="shared" si="20"/>
        <v>-6.0876253646491192E-3</v>
      </c>
      <c r="AD108" s="37">
        <f t="shared" si="20"/>
        <v>6.1142987871620834E-2</v>
      </c>
      <c r="AE108" s="37">
        <f t="shared" si="20"/>
        <v>-0.76129058458721444</v>
      </c>
      <c r="AF108" s="90">
        <f t="shared" si="20"/>
        <v>1.1896601456449316</v>
      </c>
    </row>
    <row r="109" spans="1:32" x14ac:dyDescent="0.35">
      <c r="A109">
        <f t="shared" si="22"/>
        <v>106</v>
      </c>
      <c r="B109" s="36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W109">
        <f t="shared" si="19"/>
        <v>106</v>
      </c>
      <c r="X109" s="123">
        <f t="shared" si="21"/>
        <v>0.23034594857274363</v>
      </c>
      <c r="Y109" s="37">
        <f t="shared" si="21"/>
        <v>-0.29238417492594532</v>
      </c>
      <c r="Z109" s="37">
        <f t="shared" si="21"/>
        <v>0.93979651272279086</v>
      </c>
      <c r="AA109" s="37">
        <f t="shared" si="20"/>
        <v>0.60812434450388564</v>
      </c>
      <c r="AB109" s="37">
        <f t="shared" si="20"/>
        <v>0.30504398370210595</v>
      </c>
      <c r="AC109" s="37">
        <f t="shared" si="20"/>
        <v>-6.0876253646491192E-3</v>
      </c>
      <c r="AD109" s="37">
        <f t="shared" si="20"/>
        <v>0.8334754662499898</v>
      </c>
      <c r="AE109" s="37">
        <f t="shared" si="20"/>
        <v>0.2887653941537715</v>
      </c>
      <c r="AF109" s="90">
        <f t="shared" si="20"/>
        <v>1.1896601456449316</v>
      </c>
    </row>
    <row r="110" spans="1:32" x14ac:dyDescent="0.35">
      <c r="A110">
        <f t="shared" si="22"/>
        <v>107</v>
      </c>
      <c r="B110" s="36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  <c r="W110">
        <f t="shared" si="19"/>
        <v>107</v>
      </c>
      <c r="X110" s="123">
        <f t="shared" si="21"/>
        <v>1.0201034865364365</v>
      </c>
      <c r="Y110" s="37">
        <f t="shared" si="21"/>
        <v>1.4619208746297327</v>
      </c>
      <c r="Z110" s="37">
        <f t="shared" si="21"/>
        <v>2.1524371743005855</v>
      </c>
      <c r="AA110" s="37">
        <f t="shared" si="20"/>
        <v>-1.3641708268600676</v>
      </c>
      <c r="AB110" s="37">
        <f t="shared" si="20"/>
        <v>-1.78668619025519</v>
      </c>
      <c r="AC110" s="37">
        <f t="shared" si="20"/>
        <v>-6.0876253646491192E-3</v>
      </c>
      <c r="AD110" s="37">
        <f t="shared" si="20"/>
        <v>1.2196417054391744</v>
      </c>
      <c r="AE110" s="37">
        <f t="shared" si="20"/>
        <v>1.3388213728947576</v>
      </c>
      <c r="AF110" s="90">
        <f t="shared" si="20"/>
        <v>1.1896601456449316</v>
      </c>
    </row>
    <row r="111" spans="1:32" x14ac:dyDescent="0.35">
      <c r="A111">
        <f t="shared" si="22"/>
        <v>108</v>
      </c>
      <c r="B111" s="36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W111">
        <f t="shared" si="19"/>
        <v>108</v>
      </c>
      <c r="X111" s="123">
        <f t="shared" si="21"/>
        <v>1.0201034865364365</v>
      </c>
      <c r="Y111" s="37">
        <f t="shared" si="21"/>
        <v>-0.29238417492594532</v>
      </c>
      <c r="Z111" s="37">
        <f t="shared" si="21"/>
        <v>-0.87916447964390132</v>
      </c>
      <c r="AA111" s="37">
        <f t="shared" si="20"/>
        <v>0.60812434450388564</v>
      </c>
      <c r="AB111" s="37">
        <f t="shared" si="20"/>
        <v>-0.74082110327654205</v>
      </c>
      <c r="AC111" s="37">
        <f t="shared" si="20"/>
        <v>0.72442741839320879</v>
      </c>
      <c r="AD111" s="37">
        <f t="shared" si="20"/>
        <v>-0.71118949050674818</v>
      </c>
      <c r="AE111" s="37">
        <f t="shared" si="20"/>
        <v>-0.76129058458721444</v>
      </c>
      <c r="AF111" s="90">
        <f t="shared" si="20"/>
        <v>-0.50985434813354169</v>
      </c>
    </row>
    <row r="112" spans="1:32" x14ac:dyDescent="0.35">
      <c r="A112">
        <f t="shared" si="22"/>
        <v>109</v>
      </c>
      <c r="B112" s="36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  <c r="W112">
        <f t="shared" si="19"/>
        <v>109</v>
      </c>
      <c r="X112" s="123">
        <f t="shared" si="21"/>
        <v>0.23034594857274363</v>
      </c>
      <c r="Y112" s="37">
        <f t="shared" si="21"/>
        <v>1.4619208746297327</v>
      </c>
      <c r="Z112" s="37">
        <f t="shared" si="21"/>
        <v>0.33347618193389345</v>
      </c>
      <c r="AA112" s="37">
        <f t="shared" si="20"/>
        <v>-0.378023241178091</v>
      </c>
      <c r="AB112" s="37">
        <f t="shared" si="20"/>
        <v>0.30504398370210595</v>
      </c>
      <c r="AC112" s="37">
        <f t="shared" si="20"/>
        <v>-6.0876253646491192E-3</v>
      </c>
      <c r="AD112" s="37">
        <f t="shared" si="20"/>
        <v>-0.32502325131756366</v>
      </c>
      <c r="AE112" s="37">
        <f t="shared" si="20"/>
        <v>-0.76129058458721444</v>
      </c>
      <c r="AF112" s="90">
        <f t="shared" si="20"/>
        <v>1.1896601456449316</v>
      </c>
    </row>
    <row r="113" spans="1:32" x14ac:dyDescent="0.35">
      <c r="A113">
        <f t="shared" si="22"/>
        <v>110</v>
      </c>
      <c r="B113" s="36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W113">
        <f t="shared" si="19"/>
        <v>110</v>
      </c>
      <c r="X113" s="123">
        <f t="shared" si="21"/>
        <v>0.23034594857274363</v>
      </c>
      <c r="Y113" s="37">
        <f t="shared" si="21"/>
        <v>1.4619208746297327</v>
      </c>
      <c r="Z113" s="37">
        <f t="shared" si="21"/>
        <v>0.93979651272279086</v>
      </c>
      <c r="AA113" s="37">
        <f t="shared" si="20"/>
        <v>-0.378023241178091</v>
      </c>
      <c r="AB113" s="37">
        <f t="shared" si="20"/>
        <v>1.3509090706807538</v>
      </c>
      <c r="AC113" s="37">
        <f t="shared" si="20"/>
        <v>-6.0876253646491192E-3</v>
      </c>
      <c r="AD113" s="37">
        <f t="shared" si="20"/>
        <v>1.2196417054391744</v>
      </c>
      <c r="AE113" s="37">
        <f t="shared" si="20"/>
        <v>0.2887653941537715</v>
      </c>
      <c r="AF113" s="90">
        <f t="shared" si="20"/>
        <v>-0.50985434813354169</v>
      </c>
    </row>
    <row r="114" spans="1:32" x14ac:dyDescent="0.35">
      <c r="A114">
        <f t="shared" si="22"/>
        <v>111</v>
      </c>
      <c r="B114" s="36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W114">
        <f t="shared" si="19"/>
        <v>111</v>
      </c>
      <c r="X114" s="123">
        <f t="shared" si="21"/>
        <v>0.23034594857274363</v>
      </c>
      <c r="Y114" s="37">
        <f t="shared" si="21"/>
        <v>1.4619208746297327</v>
      </c>
      <c r="Z114" s="37">
        <f t="shared" si="21"/>
        <v>-0.87916447964390132</v>
      </c>
      <c r="AA114" s="37">
        <f t="shared" si="20"/>
        <v>-0.378023241178091</v>
      </c>
      <c r="AB114" s="37">
        <f t="shared" si="20"/>
        <v>0.30504398370210595</v>
      </c>
      <c r="AC114" s="37">
        <f t="shared" si="20"/>
        <v>-6.0876253646491192E-3</v>
      </c>
      <c r="AD114" s="37">
        <f t="shared" si="20"/>
        <v>-0.32502325131756366</v>
      </c>
      <c r="AE114" s="37">
        <f t="shared" si="20"/>
        <v>0.2887653941537715</v>
      </c>
      <c r="AF114" s="90">
        <f t="shared" si="20"/>
        <v>1.1896601456449316</v>
      </c>
    </row>
    <row r="115" spans="1:32" x14ac:dyDescent="0.35">
      <c r="A115">
        <f t="shared" si="22"/>
        <v>112</v>
      </c>
      <c r="B115" s="36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W115">
        <f t="shared" si="19"/>
        <v>112</v>
      </c>
      <c r="X115" s="123">
        <f t="shared" si="21"/>
        <v>0.23034594857274363</v>
      </c>
      <c r="Y115" s="37">
        <f t="shared" si="21"/>
        <v>-0.29238417492594532</v>
      </c>
      <c r="Z115" s="37">
        <f t="shared" si="21"/>
        <v>1.5461168435116881</v>
      </c>
      <c r="AA115" s="37">
        <f t="shared" si="20"/>
        <v>1.5942719301858623</v>
      </c>
      <c r="AB115" s="37">
        <f t="shared" si="20"/>
        <v>0.30504398370210595</v>
      </c>
      <c r="AC115" s="37">
        <f t="shared" si="20"/>
        <v>0.72442741839320879</v>
      </c>
      <c r="AD115" s="37">
        <f t="shared" si="20"/>
        <v>1.2196417054391744</v>
      </c>
      <c r="AE115" s="37">
        <f t="shared" si="20"/>
        <v>1.3388213728947576</v>
      </c>
      <c r="AF115" s="90">
        <f t="shared" si="20"/>
        <v>1.1896601456449316</v>
      </c>
    </row>
    <row r="116" spans="1:32" x14ac:dyDescent="0.35">
      <c r="A116">
        <f t="shared" si="22"/>
        <v>113</v>
      </c>
      <c r="B116" s="36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W116">
        <f t="shared" si="19"/>
        <v>113</v>
      </c>
      <c r="X116" s="123">
        <f t="shared" si="21"/>
        <v>-0.55941158939094915</v>
      </c>
      <c r="Y116" s="37">
        <f t="shared" si="21"/>
        <v>1.4619208746297327</v>
      </c>
      <c r="Z116" s="37">
        <f t="shared" si="21"/>
        <v>2.7587575050894828</v>
      </c>
      <c r="AA116" s="37">
        <f t="shared" si="20"/>
        <v>2.5804195158678387</v>
      </c>
      <c r="AB116" s="37">
        <f t="shared" si="20"/>
        <v>1.3509090706807538</v>
      </c>
      <c r="AC116" s="37">
        <f t="shared" si="20"/>
        <v>0.72442741839320879</v>
      </c>
      <c r="AD116" s="37">
        <f t="shared" si="20"/>
        <v>1.9919741838175433</v>
      </c>
      <c r="AE116" s="37">
        <f t="shared" si="20"/>
        <v>1.3388213728947576</v>
      </c>
      <c r="AF116" s="90">
        <f t="shared" si="20"/>
        <v>-0.50985434813354169</v>
      </c>
    </row>
    <row r="117" spans="1:32" x14ac:dyDescent="0.35">
      <c r="A117">
        <f t="shared" si="22"/>
        <v>114</v>
      </c>
      <c r="B117" s="36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W117">
        <f t="shared" si="19"/>
        <v>114</v>
      </c>
      <c r="X117" s="123">
        <f t="shared" si="21"/>
        <v>-1.349169127354642</v>
      </c>
      <c r="Y117" s="37">
        <f t="shared" si="21"/>
        <v>1.4619208746297327</v>
      </c>
      <c r="Z117" s="37">
        <f t="shared" si="21"/>
        <v>2.1524371743005855</v>
      </c>
      <c r="AA117" s="37">
        <f t="shared" si="20"/>
        <v>0.60812434450388564</v>
      </c>
      <c r="AB117" s="37">
        <f t="shared" si="20"/>
        <v>-0.74082110327654205</v>
      </c>
      <c r="AC117" s="37">
        <f t="shared" si="20"/>
        <v>-6.0876253646491192E-3</v>
      </c>
      <c r="AD117" s="37">
        <f t="shared" si="20"/>
        <v>1.6058079446283589</v>
      </c>
      <c r="AE117" s="37">
        <f t="shared" si="20"/>
        <v>0.2887653941537715</v>
      </c>
      <c r="AF117" s="90">
        <f t="shared" si="20"/>
        <v>-0.50985434813354169</v>
      </c>
    </row>
    <row r="118" spans="1:32" x14ac:dyDescent="0.35">
      <c r="A118">
        <f t="shared" si="22"/>
        <v>115</v>
      </c>
      <c r="B118" s="36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  <c r="W118">
        <f t="shared" si="19"/>
        <v>115</v>
      </c>
      <c r="X118" s="123">
        <f t="shared" si="21"/>
        <v>0.23034594857274363</v>
      </c>
      <c r="Y118" s="37">
        <f t="shared" si="21"/>
        <v>-0.29238417492594532</v>
      </c>
      <c r="Z118" s="37">
        <f t="shared" si="21"/>
        <v>-0.87916447964390132</v>
      </c>
      <c r="AA118" s="37">
        <f t="shared" si="20"/>
        <v>-0.378023241178091</v>
      </c>
      <c r="AB118" s="37">
        <f t="shared" si="20"/>
        <v>0.30504398370210595</v>
      </c>
      <c r="AC118" s="37">
        <f t="shared" si="20"/>
        <v>-6.0876253646491192E-3</v>
      </c>
      <c r="AD118" s="37">
        <f t="shared" si="20"/>
        <v>-0.71118949050674818</v>
      </c>
      <c r="AE118" s="37">
        <f t="shared" si="20"/>
        <v>0.2887653941537715</v>
      </c>
      <c r="AF118" s="90">
        <f t="shared" si="20"/>
        <v>-0.50985434813354169</v>
      </c>
    </row>
    <row r="119" spans="1:32" x14ac:dyDescent="0.35">
      <c r="A119">
        <f t="shared" si="22"/>
        <v>116</v>
      </c>
      <c r="B119" s="36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W119">
        <f t="shared" si="19"/>
        <v>116</v>
      </c>
      <c r="X119" s="123">
        <f t="shared" si="21"/>
        <v>1.0201034865364365</v>
      </c>
      <c r="Y119" s="37">
        <f t="shared" si="21"/>
        <v>-0.29238417492594532</v>
      </c>
      <c r="Z119" s="37">
        <f t="shared" si="21"/>
        <v>0.93979651272279086</v>
      </c>
      <c r="AA119" s="37">
        <f t="shared" si="20"/>
        <v>0.60812434450388564</v>
      </c>
      <c r="AB119" s="37">
        <f t="shared" si="20"/>
        <v>-0.74082110327654205</v>
      </c>
      <c r="AC119" s="37">
        <f t="shared" si="20"/>
        <v>0.72442741839320879</v>
      </c>
      <c r="AD119" s="37">
        <f t="shared" si="20"/>
        <v>1.2196417054391744</v>
      </c>
      <c r="AE119" s="37">
        <f t="shared" si="20"/>
        <v>1.3388213728947576</v>
      </c>
      <c r="AF119" s="90">
        <f t="shared" si="20"/>
        <v>-0.50985434813354169</v>
      </c>
    </row>
    <row r="120" spans="1:32" x14ac:dyDescent="0.35">
      <c r="A120">
        <f t="shared" si="22"/>
        <v>117</v>
      </c>
      <c r="B120" s="36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  <c r="W120">
        <f t="shared" si="19"/>
        <v>117</v>
      </c>
      <c r="X120" s="123">
        <f t="shared" si="21"/>
        <v>0.23034594857274363</v>
      </c>
      <c r="Y120" s="37">
        <f t="shared" si="21"/>
        <v>3.2162259241854105</v>
      </c>
      <c r="Z120" s="37">
        <f t="shared" si="21"/>
        <v>1.5461168435116881</v>
      </c>
      <c r="AA120" s="37">
        <f t="shared" si="20"/>
        <v>-0.378023241178091</v>
      </c>
      <c r="AB120" s="37">
        <f t="shared" si="20"/>
        <v>-0.74082110327654205</v>
      </c>
      <c r="AC120" s="37">
        <f t="shared" si="20"/>
        <v>1.4549424621510667</v>
      </c>
      <c r="AD120" s="37">
        <f t="shared" si="20"/>
        <v>1.2196417054391744</v>
      </c>
      <c r="AE120" s="37">
        <f t="shared" si="20"/>
        <v>0.2887653941537715</v>
      </c>
      <c r="AF120" s="90">
        <f t="shared" si="20"/>
        <v>1.1896601456449316</v>
      </c>
    </row>
    <row r="121" spans="1:32" x14ac:dyDescent="0.35">
      <c r="A121">
        <f t="shared" si="22"/>
        <v>118</v>
      </c>
      <c r="B121" s="36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W121">
        <f t="shared" si="19"/>
        <v>118</v>
      </c>
      <c r="X121" s="123">
        <f t="shared" si="21"/>
        <v>1.0201034865364365</v>
      </c>
      <c r="Y121" s="37">
        <f t="shared" si="21"/>
        <v>1.4619208746297327</v>
      </c>
      <c r="Z121" s="37">
        <f t="shared" si="21"/>
        <v>0.93979651272279086</v>
      </c>
      <c r="AA121" s="37">
        <f t="shared" si="20"/>
        <v>1.5942719301858623</v>
      </c>
      <c r="AB121" s="37">
        <f t="shared" si="20"/>
        <v>1.3509090706807538</v>
      </c>
      <c r="AC121" s="37">
        <f t="shared" si="20"/>
        <v>-2.1976327566382228</v>
      </c>
      <c r="AD121" s="37">
        <f t="shared" si="20"/>
        <v>1.2196417054391744</v>
      </c>
      <c r="AE121" s="37">
        <f t="shared" si="20"/>
        <v>0.2887653941537715</v>
      </c>
      <c r="AF121" s="90">
        <f t="shared" si="20"/>
        <v>-0.50985434813354169</v>
      </c>
    </row>
    <row r="122" spans="1:32" x14ac:dyDescent="0.35">
      <c r="A122">
        <f t="shared" si="22"/>
        <v>119</v>
      </c>
      <c r="B122" s="36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W122">
        <f t="shared" si="19"/>
        <v>119</v>
      </c>
      <c r="X122" s="123">
        <f t="shared" si="21"/>
        <v>-0.55941158939094915</v>
      </c>
      <c r="Y122" s="37">
        <f t="shared" si="21"/>
        <v>-0.29238417492594532</v>
      </c>
      <c r="Z122" s="37">
        <f t="shared" si="21"/>
        <v>-0.87916447964390132</v>
      </c>
      <c r="AA122" s="37">
        <f t="shared" si="20"/>
        <v>0.60812434450388564</v>
      </c>
      <c r="AB122" s="37">
        <f t="shared" si="20"/>
        <v>0.30504398370210595</v>
      </c>
      <c r="AC122" s="37">
        <f t="shared" si="20"/>
        <v>-1.467117712880365</v>
      </c>
      <c r="AD122" s="37">
        <f t="shared" si="20"/>
        <v>-1.4835219688851171</v>
      </c>
      <c r="AE122" s="37">
        <f t="shared" si="20"/>
        <v>1.3388213728947576</v>
      </c>
      <c r="AF122" s="90">
        <f t="shared" si="20"/>
        <v>1.1896601456449316</v>
      </c>
    </row>
    <row r="123" spans="1:32" x14ac:dyDescent="0.35">
      <c r="A123">
        <f t="shared" si="22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W123">
        <f t="shared" si="19"/>
        <v>120</v>
      </c>
      <c r="X123" s="91">
        <f t="shared" si="21"/>
        <v>1.0201034865364365</v>
      </c>
      <c r="Y123" s="92">
        <f t="shared" si="21"/>
        <v>-0.29238417492594532</v>
      </c>
      <c r="Z123" s="92">
        <f t="shared" si="21"/>
        <v>-1.4854848104327987</v>
      </c>
      <c r="AA123" s="92">
        <f t="shared" si="20"/>
        <v>1.5942719301858623</v>
      </c>
      <c r="AB123" s="92">
        <f t="shared" si="20"/>
        <v>-1.78668619025519</v>
      </c>
      <c r="AC123" s="92">
        <f t="shared" si="20"/>
        <v>-6.0876253646491192E-3</v>
      </c>
      <c r="AD123" s="92">
        <f t="shared" si="20"/>
        <v>-1.4835219688851171</v>
      </c>
      <c r="AE123" s="92">
        <f t="shared" si="20"/>
        <v>-1.8113465633282004</v>
      </c>
      <c r="AF123" s="93">
        <f t="shared" si="20"/>
        <v>1.1896601456449316</v>
      </c>
    </row>
    <row r="124" spans="1:32" x14ac:dyDescent="0.35">
      <c r="B124" s="37"/>
      <c r="C124" s="37"/>
      <c r="D124" s="37"/>
      <c r="E124" s="37"/>
      <c r="F124" s="37"/>
      <c r="G124" s="37"/>
      <c r="H124" s="37"/>
      <c r="I124" s="37"/>
      <c r="J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 spans="1:32" x14ac:dyDescent="0.35">
      <c r="B125" s="47" t="str">
        <f>B3</f>
        <v>Expect</v>
      </c>
      <c r="C125" s="47" t="str">
        <f t="shared" ref="C125:J125" si="23">C3</f>
        <v>Entertain</v>
      </c>
      <c r="D125" s="47" t="str">
        <f t="shared" si="23"/>
        <v>Comm</v>
      </c>
      <c r="E125" s="47" t="str">
        <f t="shared" si="23"/>
        <v>Expert</v>
      </c>
      <c r="F125" s="47" t="str">
        <f t="shared" si="23"/>
        <v>Motivate</v>
      </c>
      <c r="G125" s="47" t="str">
        <f t="shared" si="23"/>
        <v>Caring</v>
      </c>
      <c r="H125" s="47" t="str">
        <f t="shared" si="23"/>
        <v>Charisma</v>
      </c>
      <c r="I125" s="47" t="str">
        <f t="shared" si="23"/>
        <v>Passion</v>
      </c>
      <c r="J125" s="47" t="str">
        <f t="shared" si="23"/>
        <v>Friendly</v>
      </c>
    </row>
    <row r="126" spans="1:32" x14ac:dyDescent="0.35">
      <c r="A126" t="s">
        <v>48</v>
      </c>
      <c r="B126" s="156">
        <f>AVERAGE(B4:B123)</f>
        <v>3.7083333333333335</v>
      </c>
      <c r="C126" s="157">
        <f t="shared" ref="C126:J126" si="24">AVERAGE(C4:C123)</f>
        <v>8.1666666666666661</v>
      </c>
      <c r="D126" s="157">
        <f t="shared" si="24"/>
        <v>3.45</v>
      </c>
      <c r="E126" s="157">
        <f t="shared" si="24"/>
        <v>3.3833333333333333</v>
      </c>
      <c r="F126" s="157">
        <f t="shared" si="24"/>
        <v>6.708333333333333</v>
      </c>
      <c r="G126" s="157">
        <f t="shared" si="24"/>
        <v>6.0083333333333337</v>
      </c>
      <c r="H126" s="157">
        <f t="shared" si="24"/>
        <v>4.8416666666666668</v>
      </c>
      <c r="I126" s="157">
        <f t="shared" si="24"/>
        <v>4.7249999999999996</v>
      </c>
      <c r="J126" s="158">
        <f t="shared" si="24"/>
        <v>7.3</v>
      </c>
    </row>
    <row r="127" spans="1:32" x14ac:dyDescent="0.35">
      <c r="A127" t="s">
        <v>49</v>
      </c>
      <c r="B127" s="123">
        <f>STDEV(B4:B123)</f>
        <v>1.2662114027786242</v>
      </c>
      <c r="C127" s="37">
        <f t="shared" ref="C127:J127" si="25">STDEV(C4:C123)</f>
        <v>0.57002629061192933</v>
      </c>
      <c r="D127" s="37">
        <f t="shared" si="25"/>
        <v>1.6492932023224043</v>
      </c>
      <c r="E127" s="37">
        <f t="shared" si="25"/>
        <v>1.0140469991704575</v>
      </c>
      <c r="F127" s="37">
        <f t="shared" si="25"/>
        <v>0.95614626824273719</v>
      </c>
      <c r="G127" s="37">
        <f t="shared" si="25"/>
        <v>1.3688972027952755</v>
      </c>
      <c r="H127" s="37">
        <f t="shared" si="25"/>
        <v>2.5895583262266895</v>
      </c>
      <c r="I127" s="37">
        <f t="shared" si="25"/>
        <v>0.95233018071950515</v>
      </c>
      <c r="J127" s="90">
        <f t="shared" si="25"/>
        <v>0.58840333734179207</v>
      </c>
    </row>
    <row r="128" spans="1:32" x14ac:dyDescent="0.35">
      <c r="A128" t="s">
        <v>394</v>
      </c>
      <c r="B128" s="123">
        <f>SKEW(B4:B123)</f>
        <v>0.13857831473517168</v>
      </c>
      <c r="C128" s="37">
        <f t="shared" ref="C128:J128" si="26">SKEW(C4:C123)</f>
        <v>0.55879383518869019</v>
      </c>
      <c r="D128" s="37">
        <f t="shared" si="26"/>
        <v>0.60968237468969244</v>
      </c>
      <c r="E128" s="37">
        <f t="shared" si="26"/>
        <v>0.25011903407769448</v>
      </c>
      <c r="F128" s="37">
        <f t="shared" si="26"/>
        <v>3.0992568092345463E-2</v>
      </c>
      <c r="G128" s="37">
        <f t="shared" si="26"/>
        <v>-0.23512012357640227</v>
      </c>
      <c r="H128" s="37">
        <f t="shared" si="26"/>
        <v>4.7501040439116834E-2</v>
      </c>
      <c r="I128" s="37">
        <f t="shared" si="26"/>
        <v>-7.3874092896665661E-2</v>
      </c>
      <c r="J128" s="90">
        <f t="shared" si="26"/>
        <v>0.32217223907072601</v>
      </c>
    </row>
    <row r="129" spans="1:10" x14ac:dyDescent="0.35">
      <c r="A129" s="60" t="s">
        <v>395</v>
      </c>
      <c r="B129" s="91">
        <f>KURT(B4:B123)</f>
        <v>-7.5087531931202989E-2</v>
      </c>
      <c r="C129" s="92">
        <f t="shared" ref="C129:J129" si="27">KURT(C4:C123)</f>
        <v>1.2245729768528379</v>
      </c>
      <c r="D129" s="92">
        <f t="shared" si="27"/>
        <v>-0.37097323594953835</v>
      </c>
      <c r="E129" s="92">
        <f t="shared" si="27"/>
        <v>0.79048099823017459</v>
      </c>
      <c r="F129" s="92">
        <f t="shared" si="27"/>
        <v>-9.1985537444213339E-2</v>
      </c>
      <c r="G129" s="92">
        <f t="shared" si="27"/>
        <v>-0.42617618904263521</v>
      </c>
      <c r="H129" s="92">
        <f t="shared" si="27"/>
        <v>-0.92188768731537785</v>
      </c>
      <c r="I129" s="92">
        <f t="shared" si="27"/>
        <v>-0.24984145123189316</v>
      </c>
      <c r="J129" s="93">
        <f t="shared" si="27"/>
        <v>0.13488543363239947</v>
      </c>
    </row>
  </sheetData>
  <conditionalFormatting sqref="AM32:AP40">
    <cfRule type="cellIs" dxfId="13" priority="1" operator="lessThan">
      <formula>-0.4</formula>
    </cfRule>
    <cfRule type="cellIs" dxfId="12" priority="2" operator="greaterThan">
      <formula>0.4</formula>
    </cfRule>
  </conditionalFormatting>
  <conditionalFormatting sqref="R32:U40">
    <cfRule type="cellIs" dxfId="11" priority="3" operator="lessThan">
      <formula>-0.4</formula>
    </cfRule>
    <cfRule type="cellIs" dxfId="10" priority="4" operator="greaterThan">
      <formula>0.4</formula>
    </cfRule>
  </conditionalFormatting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8"/>
  <dimension ref="A1:EN148"/>
  <sheetViews>
    <sheetView topLeftCell="A59" workbookViewId="0">
      <selection activeCell="R54" sqref="R54"/>
    </sheetView>
  </sheetViews>
  <sheetFormatPr defaultRowHeight="14.5" x14ac:dyDescent="0.35"/>
  <cols>
    <col min="1" max="4" width="9.26953125" bestFit="1" customWidth="1"/>
    <col min="5" max="8" width="9.26953125" customWidth="1"/>
    <col min="14" max="22" width="9.1796875" customWidth="1"/>
    <col min="25" max="25" width="9.1796875" customWidth="1"/>
    <col min="26" max="26" width="3.453125" customWidth="1"/>
    <col min="27" max="27" width="26" customWidth="1"/>
    <col min="52" max="61" width="9" customWidth="1"/>
    <col min="63" max="63" width="9.1796875" customWidth="1"/>
    <col min="64" max="72" width="9" customWidth="1"/>
    <col min="78" max="78" width="5.26953125" customWidth="1"/>
    <col min="80" max="80" width="3.54296875" customWidth="1"/>
    <col min="82" max="82" width="3.54296875" customWidth="1"/>
    <col min="86" max="86" width="9.1796875" customWidth="1"/>
    <col min="91" max="91" width="9.1796875" customWidth="1"/>
    <col min="92" max="92" width="9.26953125" bestFit="1" customWidth="1"/>
    <col min="93" max="93" width="9.1796875" customWidth="1"/>
    <col min="94" max="94" width="9.26953125" bestFit="1" customWidth="1"/>
    <col min="96" max="96" width="5.26953125" customWidth="1"/>
    <col min="98" max="98" width="3.54296875" customWidth="1"/>
    <col min="100" max="100" width="3.54296875" customWidth="1"/>
    <col min="104" max="104" width="9.1796875" customWidth="1"/>
    <col min="109" max="109" width="9.1796875" customWidth="1"/>
    <col min="110" max="110" width="9.26953125" bestFit="1" customWidth="1"/>
    <col min="111" max="111" width="9.1796875" customWidth="1"/>
    <col min="112" max="112" width="9.26953125" bestFit="1" customWidth="1"/>
    <col min="114" max="114" width="5.26953125" customWidth="1"/>
    <col min="116" max="116" width="3.54296875" customWidth="1"/>
    <col min="118" max="118" width="3.54296875" customWidth="1"/>
    <col min="122" max="122" width="9.1796875" customWidth="1"/>
  </cols>
  <sheetData>
    <row r="1" spans="1:130" x14ac:dyDescent="0.35">
      <c r="A1" s="42" t="s">
        <v>368</v>
      </c>
    </row>
    <row r="2" spans="1:130" x14ac:dyDescent="0.35">
      <c r="A2" s="42"/>
    </row>
    <row r="3" spans="1:130" ht="16.5" x14ac:dyDescent="0.35">
      <c r="A3" s="46" t="s">
        <v>39</v>
      </c>
      <c r="M3" t="s">
        <v>396</v>
      </c>
      <c r="X3" t="s">
        <v>397</v>
      </c>
      <c r="AC3" t="s">
        <v>398</v>
      </c>
      <c r="AN3" t="s">
        <v>399</v>
      </c>
      <c r="AY3" t="s">
        <v>400</v>
      </c>
      <c r="BK3" t="s">
        <v>401</v>
      </c>
      <c r="BU3" t="s">
        <v>402</v>
      </c>
      <c r="DF3" t="s">
        <v>403</v>
      </c>
      <c r="DR3" t="s">
        <v>404</v>
      </c>
    </row>
    <row r="4" spans="1:130" x14ac:dyDescent="0.35">
      <c r="A4" s="42"/>
    </row>
    <row r="5" spans="1:130" x14ac:dyDescent="0.35">
      <c r="A5" s="46"/>
      <c r="B5" s="175" t="str">
        <f>PCA!M3</f>
        <v>Expect</v>
      </c>
      <c r="C5" s="175" t="str">
        <f>PCA!N3</f>
        <v>Entertain</v>
      </c>
      <c r="D5" s="175" t="str">
        <f>PCA!O3</f>
        <v>Comm</v>
      </c>
      <c r="E5" s="175" t="str">
        <f>PCA!P3</f>
        <v>Expert</v>
      </c>
      <c r="F5" s="175" t="str">
        <f>PCA!Q3</f>
        <v>Motivate</v>
      </c>
      <c r="G5" s="175" t="str">
        <f>PCA!R3</f>
        <v>Caring</v>
      </c>
      <c r="H5" s="175" t="str">
        <f>PCA!S3</f>
        <v>Charisma</v>
      </c>
      <c r="I5" s="175" t="str">
        <f>PCA!T3</f>
        <v>Passion</v>
      </c>
      <c r="J5" s="175" t="str">
        <f>PCA!U3</f>
        <v>Friendly</v>
      </c>
      <c r="M5" s="47" t="s">
        <v>386</v>
      </c>
      <c r="N5" s="47" t="s">
        <v>387</v>
      </c>
      <c r="O5" s="47" t="s">
        <v>388</v>
      </c>
      <c r="X5" t="s">
        <v>109</v>
      </c>
      <c r="Y5" s="172" t="e">
        <f ca="1">MDETERM(B6:J14)</f>
        <v>#NAME?</v>
      </c>
      <c r="AA5" s="62" t="s">
        <v>405</v>
      </c>
      <c r="AC5" s="46"/>
      <c r="AD5" s="175" t="str">
        <f t="array" ref="AD5:AL5">B5:J5</f>
        <v>Expect</v>
      </c>
      <c r="AE5" s="175" t="str">
        <v>Entertain</v>
      </c>
      <c r="AF5" s="175" t="str">
        <v>Comm</v>
      </c>
      <c r="AG5" s="175" t="str">
        <v>Expert</v>
      </c>
      <c r="AH5" s="175" t="str">
        <v>Motivate</v>
      </c>
      <c r="AI5" s="175" t="str">
        <v>Caring</v>
      </c>
      <c r="AJ5" s="175" t="str">
        <v>Charisma</v>
      </c>
      <c r="AK5" s="175" t="str">
        <v>Passion</v>
      </c>
      <c r="AL5" s="175" t="str">
        <v>Friendly</v>
      </c>
      <c r="AO5" t="str">
        <f t="array" ref="AO5:AW5">B5:J5</f>
        <v>Expect</v>
      </c>
      <c r="AP5" t="str">
        <v>Entertain</v>
      </c>
      <c r="AQ5" t="str">
        <v>Comm</v>
      </c>
      <c r="AR5" t="str">
        <v>Expert</v>
      </c>
      <c r="AS5" t="str">
        <v>Motivate</v>
      </c>
      <c r="AT5" t="str">
        <v>Caring</v>
      </c>
      <c r="AU5" t="str">
        <v>Charisma</v>
      </c>
      <c r="AV5" t="str">
        <v>Passion</v>
      </c>
      <c r="AW5" t="str">
        <v>Friendly</v>
      </c>
      <c r="AZ5" t="str">
        <f t="array" ref="AZ5:BH5">AO5:AW5</f>
        <v>Expect</v>
      </c>
      <c r="BA5" t="str">
        <v>Entertain</v>
      </c>
      <c r="BB5" t="str">
        <v>Comm</v>
      </c>
      <c r="BC5" t="str">
        <v>Expert</v>
      </c>
      <c r="BD5" t="str">
        <v>Motivate</v>
      </c>
      <c r="BE5" t="str">
        <v>Caring</v>
      </c>
      <c r="BF5" t="str">
        <v>Charisma</v>
      </c>
      <c r="BG5" t="str">
        <v>Passion</v>
      </c>
      <c r="BH5" t="str">
        <v>Friendly</v>
      </c>
      <c r="BK5" s="156" t="e">
        <f t="array" aca="1" ref="BK5:BN8" ca="1">MMULT(TRANSPOSE(B44:E52),B44:E52)</f>
        <v>#NAME?</v>
      </c>
      <c r="BL5" s="157" t="e">
        <f ca="1"/>
        <v>#NAME?</v>
      </c>
      <c r="BM5" s="157" t="e">
        <f ca="1"/>
        <v>#NAME?</v>
      </c>
      <c r="BN5" s="158" t="e">
        <f ca="1"/>
        <v>#NAME?</v>
      </c>
      <c r="BV5">
        <v>1</v>
      </c>
      <c r="BW5">
        <f>BV5+1</f>
        <v>2</v>
      </c>
      <c r="BX5">
        <f>BW5+1</f>
        <v>3</v>
      </c>
      <c r="BY5">
        <f>BX5+1</f>
        <v>4</v>
      </c>
      <c r="CA5" s="47" t="s">
        <v>390</v>
      </c>
      <c r="CB5" s="47"/>
      <c r="CC5" s="47" t="s">
        <v>391</v>
      </c>
      <c r="CE5" s="47" t="s">
        <v>392</v>
      </c>
      <c r="CF5" s="47"/>
      <c r="DF5" s="156" t="e">
        <f t="array" aca="1" ref="DF5:DI13" ca="1">MMULT(MINVERSE(DIAGONAL(Q44:Q52)),B44:E52)</f>
        <v>#NAME?</v>
      </c>
      <c r="DG5" s="157" t="e">
        <f ca="1"/>
        <v>#NAME?</v>
      </c>
      <c r="DH5" s="157" t="e">
        <f ca="1"/>
        <v>#NAME?</v>
      </c>
      <c r="DI5" s="158" t="e">
        <f ca="1"/>
        <v>#NAME?</v>
      </c>
      <c r="DR5" s="156" t="e">
        <f t="array" aca="1" ref="DR5:DZ8" ca="1">MMULT(TRANSPOSE(B44:E52),MINVERSE(DIAGONAL(Q44:Q52)))</f>
        <v>#NAME?</v>
      </c>
      <c r="DS5" s="157" t="e">
        <f ca="1"/>
        <v>#NAME?</v>
      </c>
      <c r="DT5" s="157" t="e">
        <f ca="1"/>
        <v>#NAME?</v>
      </c>
      <c r="DU5" s="157" t="e">
        <f ca="1"/>
        <v>#NAME?</v>
      </c>
      <c r="DV5" s="157" t="e">
        <f ca="1"/>
        <v>#NAME?</v>
      </c>
      <c r="DW5" s="157" t="e">
        <f ca="1"/>
        <v>#NAME?</v>
      </c>
      <c r="DX5" s="157" t="e">
        <f ca="1"/>
        <v>#NAME?</v>
      </c>
      <c r="DY5" s="157" t="e">
        <f ca="1"/>
        <v>#NAME?</v>
      </c>
      <c r="DZ5" s="158" t="e">
        <f ca="1"/>
        <v>#NAME?</v>
      </c>
    </row>
    <row r="6" spans="1:130" x14ac:dyDescent="0.35">
      <c r="A6" s="46" t="str">
        <f>PCA!L4</f>
        <v>Expect</v>
      </c>
      <c r="B6" s="176" t="e">
        <f ca="1">PCA!M4</f>
        <v>#NAME?</v>
      </c>
      <c r="C6" s="177" t="e">
        <f ca="1">PCA!N4</f>
        <v>#NAME?</v>
      </c>
      <c r="D6" s="177" t="e">
        <f ca="1">PCA!O4</f>
        <v>#NAME?</v>
      </c>
      <c r="E6" s="177" t="e">
        <f ca="1">PCA!P4</f>
        <v>#NAME?</v>
      </c>
      <c r="F6" s="177" t="e">
        <f ca="1">PCA!Q4</f>
        <v>#NAME?</v>
      </c>
      <c r="G6" s="177" t="e">
        <f ca="1">PCA!R4</f>
        <v>#NAME?</v>
      </c>
      <c r="H6" s="177" t="e">
        <f ca="1">PCA!S4</f>
        <v>#NAME?</v>
      </c>
      <c r="I6" s="177" t="e">
        <f ca="1">PCA!T4</f>
        <v>#NAME?</v>
      </c>
      <c r="J6" s="178" t="e">
        <f ca="1">PCA!U4</f>
        <v>#NAME?</v>
      </c>
      <c r="M6" s="156" t="e">
        <f t="array" aca="1" ref="M6:M14" ca="1">TRANSPOSE(B18:J18)</f>
        <v>#NAME?</v>
      </c>
      <c r="N6" s="164" t="e">
        <f ca="1">M6/M$15</f>
        <v>#NAME?</v>
      </c>
      <c r="O6" s="165" t="e">
        <f ca="1">N6</f>
        <v>#NAME?</v>
      </c>
      <c r="X6" t="s">
        <v>53</v>
      </c>
      <c r="Y6" s="173">
        <f ca="1">COUNT(B6:B14)</f>
        <v>0</v>
      </c>
      <c r="AA6" s="62" t="s">
        <v>406</v>
      </c>
      <c r="AC6" s="46" t="str">
        <f t="array" ref="AC6:AC14">A6:A14</f>
        <v>Expect</v>
      </c>
      <c r="AD6" s="176" t="e">
        <f t="array" aca="1" ref="AD6:AL14" ca="1">B6:J14-MMULT(B31:J39,TRANSPOSE(B31:J39))</f>
        <v>#NAME?</v>
      </c>
      <c r="AE6" s="177" t="e">
        <f ca="1"/>
        <v>#NAME?</v>
      </c>
      <c r="AF6" s="177" t="e">
        <f ca="1"/>
        <v>#NAME?</v>
      </c>
      <c r="AG6" s="177" t="e">
        <f ca="1"/>
        <v>#NAME?</v>
      </c>
      <c r="AH6" s="177" t="e">
        <f ca="1"/>
        <v>#NAME?</v>
      </c>
      <c r="AI6" s="177" t="e">
        <f ca="1"/>
        <v>#NAME?</v>
      </c>
      <c r="AJ6" s="177" t="e">
        <f ca="1"/>
        <v>#NAME?</v>
      </c>
      <c r="AK6" s="177" t="e">
        <f ca="1"/>
        <v>#NAME?</v>
      </c>
      <c r="AL6" s="178" t="e">
        <f ca="1"/>
        <v>#NAME?</v>
      </c>
      <c r="AN6" t="str">
        <f t="array" ref="AN6:AN14">A31:A39</f>
        <v>Expect</v>
      </c>
      <c r="AO6" s="156" t="e">
        <f t="array" aca="1" ref="AO6:AW14" ca="1">MMULT(B31:J39,TRANSPOSE(B31:J39))</f>
        <v>#NAME?</v>
      </c>
      <c r="AP6" s="157" t="e">
        <f ca="1"/>
        <v>#NAME?</v>
      </c>
      <c r="AQ6" s="157" t="e">
        <f ca="1"/>
        <v>#NAME?</v>
      </c>
      <c r="AR6" s="157" t="e">
        <f ca="1"/>
        <v>#NAME?</v>
      </c>
      <c r="AS6" s="157" t="e">
        <f ca="1"/>
        <v>#NAME?</v>
      </c>
      <c r="AT6" s="157" t="e">
        <f ca="1"/>
        <v>#NAME?</v>
      </c>
      <c r="AU6" s="157" t="e">
        <f ca="1"/>
        <v>#NAME?</v>
      </c>
      <c r="AV6" s="157" t="e">
        <f ca="1"/>
        <v>#NAME?</v>
      </c>
      <c r="AW6" s="158" t="e">
        <f ca="1"/>
        <v>#NAME?</v>
      </c>
      <c r="AY6" t="str">
        <f t="array" ref="AY6:AY14">AN6:AN14</f>
        <v>Expect</v>
      </c>
      <c r="AZ6" s="156" t="e">
        <f t="array" aca="1" ref="AZ6:BH14" ca="1">MMULT(TRANSPOSE(B31:J39),B31:J39)</f>
        <v>#NAME?</v>
      </c>
      <c r="BA6" s="157" t="e">
        <f ca="1"/>
        <v>#NAME?</v>
      </c>
      <c r="BB6" s="157" t="e">
        <f ca="1"/>
        <v>#NAME?</v>
      </c>
      <c r="BC6" s="157" t="e">
        <f ca="1"/>
        <v>#NAME?</v>
      </c>
      <c r="BD6" s="157" t="e">
        <f ca="1"/>
        <v>#NAME?</v>
      </c>
      <c r="BE6" s="157" t="e">
        <f ca="1"/>
        <v>#NAME?</v>
      </c>
      <c r="BF6" s="157" t="e">
        <f ca="1"/>
        <v>#NAME?</v>
      </c>
      <c r="BG6" s="157" t="e">
        <f ca="1"/>
        <v>#NAME?</v>
      </c>
      <c r="BH6" s="158" t="e">
        <f ca="1"/>
        <v>#NAME?</v>
      </c>
      <c r="BI6" s="37"/>
      <c r="BK6" s="123" t="e">
        <f ca="1"/>
        <v>#NAME?</v>
      </c>
      <c r="BL6" s="37" t="e">
        <f ca="1"/>
        <v>#NAME?</v>
      </c>
      <c r="BM6" s="37" t="e">
        <f ca="1"/>
        <v>#NAME?</v>
      </c>
      <c r="BN6" s="90" t="e">
        <f ca="1"/>
        <v>#NAME?</v>
      </c>
      <c r="BU6" t="str">
        <f t="array" ref="BU6:BU14">AY6:AY14</f>
        <v>Expect</v>
      </c>
      <c r="BV6" s="156" t="e">
        <f t="array" ref="BV6:BY14" ca="1">B19:E27/SQRT(B18:E18)</f>
        <v>#NAME?</v>
      </c>
      <c r="BW6" s="157" t="e">
        <f ca="1"/>
        <v>#NAME?</v>
      </c>
      <c r="BX6" s="157" t="e">
        <f ca="1"/>
        <v>#NAME?</v>
      </c>
      <c r="BY6" s="158" t="e">
        <f ca="1"/>
        <v>#NAME?</v>
      </c>
      <c r="CA6" s="172">
        <f t="array" ref="CA6:CA14">PCA!AS61:AS69</f>
        <v>2</v>
      </c>
      <c r="CC6" s="172">
        <f t="array" ref="CC6:CC14">CA6:CA14-TRANSPOSE(BK27:BS27)</f>
        <v>-1.7083333333333335</v>
      </c>
      <c r="CE6" s="172" t="e">
        <f t="array" aca="1" ref="CE6:CE9" ca="1">MMULT(TRANSPOSE(BV6:BY14),CC6:CC14)</f>
        <v>#NAME?</v>
      </c>
      <c r="CF6" s="37"/>
      <c r="DF6" s="123" t="e">
        <f ca="1"/>
        <v>#NAME?</v>
      </c>
      <c r="DG6" s="37" t="e">
        <f ca="1"/>
        <v>#NAME?</v>
      </c>
      <c r="DH6" s="37" t="e">
        <f ca="1"/>
        <v>#NAME?</v>
      </c>
      <c r="DI6" s="90" t="e">
        <f ca="1"/>
        <v>#NAME?</v>
      </c>
      <c r="DR6" s="123" t="e">
        <f ca="1"/>
        <v>#NAME?</v>
      </c>
      <c r="DS6" s="37" t="e">
        <f ca="1"/>
        <v>#NAME?</v>
      </c>
      <c r="DT6" s="37" t="e">
        <f ca="1"/>
        <v>#NAME?</v>
      </c>
      <c r="DU6" s="37" t="e">
        <f ca="1"/>
        <v>#NAME?</v>
      </c>
      <c r="DV6" s="37" t="e">
        <f ca="1"/>
        <v>#NAME?</v>
      </c>
      <c r="DW6" s="37" t="e">
        <f ca="1"/>
        <v>#NAME?</v>
      </c>
      <c r="DX6" s="37" t="e">
        <f ca="1"/>
        <v>#NAME?</v>
      </c>
      <c r="DY6" s="37" t="e">
        <f ca="1"/>
        <v>#NAME?</v>
      </c>
      <c r="DZ6" s="90" t="e">
        <f ca="1"/>
        <v>#NAME?</v>
      </c>
    </row>
    <row r="7" spans="1:130" x14ac:dyDescent="0.35">
      <c r="A7" s="46" t="str">
        <f>PCA!L5</f>
        <v>Entertain</v>
      </c>
      <c r="B7" s="124" t="e">
        <f ca="1">PCA!M5</f>
        <v>#NAME?</v>
      </c>
      <c r="C7" s="3" t="e">
        <f ca="1">PCA!N5</f>
        <v>#NAME?</v>
      </c>
      <c r="D7" s="3" t="e">
        <f ca="1">PCA!O5</f>
        <v>#NAME?</v>
      </c>
      <c r="E7" s="3" t="e">
        <f ca="1">PCA!P5</f>
        <v>#NAME?</v>
      </c>
      <c r="F7" s="3" t="e">
        <f ca="1">PCA!Q5</f>
        <v>#NAME?</v>
      </c>
      <c r="G7" s="3" t="e">
        <f ca="1">PCA!R5</f>
        <v>#NAME?</v>
      </c>
      <c r="H7" s="3" t="e">
        <f ca="1">PCA!S5</f>
        <v>#NAME?</v>
      </c>
      <c r="I7" s="3" t="e">
        <f ca="1">PCA!T5</f>
        <v>#NAME?</v>
      </c>
      <c r="J7" s="179" t="e">
        <f ca="1">PCA!U5</f>
        <v>#NAME?</v>
      </c>
      <c r="M7" s="123" t="e">
        <f ca="1"/>
        <v>#NAME?</v>
      </c>
      <c r="N7" s="167" t="e">
        <f t="shared" ref="N7:N14" ca="1" si="0">M7/M$15</f>
        <v>#NAME?</v>
      </c>
      <c r="O7" s="168" t="e">
        <f ca="1">O6+N7</f>
        <v>#NAME?</v>
      </c>
      <c r="X7" t="s">
        <v>52</v>
      </c>
      <c r="Y7" s="173">
        <v>120</v>
      </c>
      <c r="AC7" s="46" t="str">
        <v>Entertain</v>
      </c>
      <c r="AD7" s="124" t="e">
        <f ca="1"/>
        <v>#NAME?</v>
      </c>
      <c r="AE7" s="3" t="e">
        <f ca="1"/>
        <v>#NAME?</v>
      </c>
      <c r="AF7" s="3" t="e">
        <f ca="1"/>
        <v>#NAME?</v>
      </c>
      <c r="AG7" s="3" t="e">
        <f ca="1"/>
        <v>#NAME?</v>
      </c>
      <c r="AH7" s="3" t="e">
        <f ca="1"/>
        <v>#NAME?</v>
      </c>
      <c r="AI7" s="3" t="e">
        <f ca="1"/>
        <v>#NAME?</v>
      </c>
      <c r="AJ7" s="3" t="e">
        <f ca="1"/>
        <v>#NAME?</v>
      </c>
      <c r="AK7" s="3" t="e">
        <f ca="1"/>
        <v>#NAME?</v>
      </c>
      <c r="AL7" s="179" t="e">
        <f ca="1"/>
        <v>#NAME?</v>
      </c>
      <c r="AN7" t="str">
        <v>Entertain</v>
      </c>
      <c r="AO7" s="123" t="e">
        <f ca="1"/>
        <v>#NAME?</v>
      </c>
      <c r="AP7" s="37" t="e">
        <f ca="1"/>
        <v>#NAME?</v>
      </c>
      <c r="AQ7" s="37" t="e">
        <f ca="1"/>
        <v>#NAME?</v>
      </c>
      <c r="AR7" s="37" t="e">
        <f ca="1"/>
        <v>#NAME?</v>
      </c>
      <c r="AS7" s="37" t="e">
        <f ca="1"/>
        <v>#NAME?</v>
      </c>
      <c r="AT7" s="37" t="e">
        <f ca="1"/>
        <v>#NAME?</v>
      </c>
      <c r="AU7" s="37" t="e">
        <f ca="1"/>
        <v>#NAME?</v>
      </c>
      <c r="AV7" s="37" t="e">
        <f ca="1"/>
        <v>#NAME?</v>
      </c>
      <c r="AW7" s="90" t="e">
        <f ca="1"/>
        <v>#NAME?</v>
      </c>
      <c r="AY7" t="str">
        <v>Entertain</v>
      </c>
      <c r="AZ7" s="123" t="e">
        <f ca="1"/>
        <v>#NAME?</v>
      </c>
      <c r="BA7" s="37" t="e">
        <f ca="1"/>
        <v>#NAME?</v>
      </c>
      <c r="BB7" s="37" t="e">
        <f ca="1"/>
        <v>#NAME?</v>
      </c>
      <c r="BC7" s="37" t="e">
        <f ca="1"/>
        <v>#NAME?</v>
      </c>
      <c r="BD7" s="37" t="e">
        <f ca="1"/>
        <v>#NAME?</v>
      </c>
      <c r="BE7" s="37" t="e">
        <f ca="1"/>
        <v>#NAME?</v>
      </c>
      <c r="BF7" s="37" t="e">
        <f ca="1"/>
        <v>#NAME?</v>
      </c>
      <c r="BG7" s="37" t="e">
        <f ca="1"/>
        <v>#NAME?</v>
      </c>
      <c r="BH7" s="90" t="e">
        <f ca="1"/>
        <v>#NAME?</v>
      </c>
      <c r="BI7" s="37"/>
      <c r="BK7" s="123" t="e">
        <f ca="1"/>
        <v>#NAME?</v>
      </c>
      <c r="BL7" s="37" t="e">
        <f ca="1"/>
        <v>#NAME?</v>
      </c>
      <c r="BM7" s="37" t="e">
        <f ca="1"/>
        <v>#NAME?</v>
      </c>
      <c r="BN7" s="90" t="e">
        <f ca="1"/>
        <v>#NAME?</v>
      </c>
      <c r="BU7" t="str">
        <v>Entertain</v>
      </c>
      <c r="BV7" s="123" t="e">
        <f ca="1"/>
        <v>#NAME?</v>
      </c>
      <c r="BW7" s="37" t="e">
        <f ca="1"/>
        <v>#NAME?</v>
      </c>
      <c r="BX7" s="37" t="e">
        <f ca="1"/>
        <v>#NAME?</v>
      </c>
      <c r="BY7" s="90" t="e">
        <f ca="1"/>
        <v>#NAME?</v>
      </c>
      <c r="CA7" s="173">
        <v>8</v>
      </c>
      <c r="CC7" s="173">
        <v>-0.16666666666666607</v>
      </c>
      <c r="CE7" s="173" t="e">
        <f ca="1"/>
        <v>#NAME?</v>
      </c>
      <c r="CF7" s="37"/>
      <c r="DF7" s="123" t="e">
        <f ca="1"/>
        <v>#NAME?</v>
      </c>
      <c r="DG7" s="37" t="e">
        <f ca="1"/>
        <v>#NAME?</v>
      </c>
      <c r="DH7" s="37" t="e">
        <f ca="1"/>
        <v>#NAME?</v>
      </c>
      <c r="DI7" s="90" t="e">
        <f ca="1"/>
        <v>#NAME?</v>
      </c>
      <c r="DR7" s="123" t="e">
        <f ca="1"/>
        <v>#NAME?</v>
      </c>
      <c r="DS7" s="37" t="e">
        <f ca="1"/>
        <v>#NAME?</v>
      </c>
      <c r="DT7" s="37" t="e">
        <f ca="1"/>
        <v>#NAME?</v>
      </c>
      <c r="DU7" s="37" t="e">
        <f ca="1"/>
        <v>#NAME?</v>
      </c>
      <c r="DV7" s="37" t="e">
        <f ca="1"/>
        <v>#NAME?</v>
      </c>
      <c r="DW7" s="37" t="e">
        <f ca="1"/>
        <v>#NAME?</v>
      </c>
      <c r="DX7" s="37" t="e">
        <f ca="1"/>
        <v>#NAME?</v>
      </c>
      <c r="DY7" s="37" t="e">
        <f ca="1"/>
        <v>#NAME?</v>
      </c>
      <c r="DZ7" s="90" t="e">
        <f ca="1"/>
        <v>#NAME?</v>
      </c>
    </row>
    <row r="8" spans="1:130" x14ac:dyDescent="0.35">
      <c r="A8" s="46" t="str">
        <f>PCA!L6</f>
        <v>Comm</v>
      </c>
      <c r="B8" s="124" t="e">
        <f ca="1">PCA!M6</f>
        <v>#NAME?</v>
      </c>
      <c r="C8" s="3" t="e">
        <f ca="1">PCA!N6</f>
        <v>#NAME?</v>
      </c>
      <c r="D8" s="3" t="e">
        <f ca="1">PCA!O6</f>
        <v>#NAME?</v>
      </c>
      <c r="E8" s="3" t="e">
        <f ca="1">PCA!P6</f>
        <v>#NAME?</v>
      </c>
      <c r="F8" s="3" t="e">
        <f ca="1">PCA!Q6</f>
        <v>#NAME?</v>
      </c>
      <c r="G8" s="3" t="e">
        <f ca="1">PCA!R6</f>
        <v>#NAME?</v>
      </c>
      <c r="H8" s="3" t="e">
        <f ca="1">PCA!S6</f>
        <v>#NAME?</v>
      </c>
      <c r="I8" s="3" t="e">
        <f ca="1">PCA!T6</f>
        <v>#NAME?</v>
      </c>
      <c r="J8" s="179" t="e">
        <f ca="1">PCA!U6</f>
        <v>#NAME?</v>
      </c>
      <c r="M8" s="123" t="e">
        <f ca="1"/>
        <v>#NAME?</v>
      </c>
      <c r="N8" s="167" t="e">
        <f t="shared" ca="1" si="0"/>
        <v>#NAME?</v>
      </c>
      <c r="O8" s="168" t="e">
        <f t="shared" ref="O8:O14" ca="1" si="1">O7+N8</f>
        <v>#NAME?</v>
      </c>
      <c r="X8" t="s">
        <v>407</v>
      </c>
      <c r="Y8" s="173">
        <f ca="1">Y6*(Y6-1)/2</f>
        <v>0</v>
      </c>
      <c r="AA8" s="62" t="s">
        <v>408</v>
      </c>
      <c r="AC8" s="46" t="str">
        <v>Comm</v>
      </c>
      <c r="AD8" s="124" t="e">
        <f ca="1"/>
        <v>#NAME?</v>
      </c>
      <c r="AE8" s="3" t="e">
        <f ca="1"/>
        <v>#NAME?</v>
      </c>
      <c r="AF8" s="3" t="e">
        <f ca="1"/>
        <v>#NAME?</v>
      </c>
      <c r="AG8" s="3" t="e">
        <f ca="1"/>
        <v>#NAME?</v>
      </c>
      <c r="AH8" s="3" t="e">
        <f ca="1"/>
        <v>#NAME?</v>
      </c>
      <c r="AI8" s="3" t="e">
        <f ca="1"/>
        <v>#NAME?</v>
      </c>
      <c r="AJ8" s="3" t="e">
        <f ca="1"/>
        <v>#NAME?</v>
      </c>
      <c r="AK8" s="3" t="e">
        <f ca="1"/>
        <v>#NAME?</v>
      </c>
      <c r="AL8" s="179" t="e">
        <f ca="1"/>
        <v>#NAME?</v>
      </c>
      <c r="AN8" t="str">
        <v>Comm</v>
      </c>
      <c r="AO8" s="123" t="e">
        <f ca="1"/>
        <v>#NAME?</v>
      </c>
      <c r="AP8" s="37" t="e">
        <f ca="1"/>
        <v>#NAME?</v>
      </c>
      <c r="AQ8" s="37" t="e">
        <f ca="1"/>
        <v>#NAME?</v>
      </c>
      <c r="AR8" s="37" t="e">
        <f ca="1"/>
        <v>#NAME?</v>
      </c>
      <c r="AS8" s="37" t="e">
        <f ca="1"/>
        <v>#NAME?</v>
      </c>
      <c r="AT8" s="37" t="e">
        <f ca="1"/>
        <v>#NAME?</v>
      </c>
      <c r="AU8" s="37" t="e">
        <f ca="1"/>
        <v>#NAME?</v>
      </c>
      <c r="AV8" s="37" t="e">
        <f ca="1"/>
        <v>#NAME?</v>
      </c>
      <c r="AW8" s="90" t="e">
        <f ca="1"/>
        <v>#NAME?</v>
      </c>
      <c r="AY8" t="str">
        <v>Comm</v>
      </c>
      <c r="AZ8" s="123" t="e">
        <f ca="1"/>
        <v>#NAME?</v>
      </c>
      <c r="BA8" s="37" t="e">
        <f ca="1"/>
        <v>#NAME?</v>
      </c>
      <c r="BB8" s="37" t="e">
        <f ca="1"/>
        <v>#NAME?</v>
      </c>
      <c r="BC8" s="37" t="e">
        <f ca="1"/>
        <v>#NAME?</v>
      </c>
      <c r="BD8" s="37" t="e">
        <f ca="1"/>
        <v>#NAME?</v>
      </c>
      <c r="BE8" s="37" t="e">
        <f ca="1"/>
        <v>#NAME?</v>
      </c>
      <c r="BF8" s="37" t="e">
        <f ca="1"/>
        <v>#NAME?</v>
      </c>
      <c r="BG8" s="37" t="e">
        <f ca="1"/>
        <v>#NAME?</v>
      </c>
      <c r="BH8" s="90" t="e">
        <f ca="1"/>
        <v>#NAME?</v>
      </c>
      <c r="BI8" s="37"/>
      <c r="BK8" s="91" t="e">
        <f ca="1"/>
        <v>#NAME?</v>
      </c>
      <c r="BL8" s="92" t="e">
        <f ca="1"/>
        <v>#NAME?</v>
      </c>
      <c r="BM8" s="92" t="e">
        <f ca="1"/>
        <v>#NAME?</v>
      </c>
      <c r="BN8" s="93" t="e">
        <f ca="1"/>
        <v>#NAME?</v>
      </c>
      <c r="BU8" t="str">
        <v>Comm</v>
      </c>
      <c r="BV8" s="123" t="e">
        <f ca="1"/>
        <v>#NAME?</v>
      </c>
      <c r="BW8" s="37" t="e">
        <f ca="1"/>
        <v>#NAME?</v>
      </c>
      <c r="BX8" s="37" t="e">
        <f ca="1"/>
        <v>#NAME?</v>
      </c>
      <c r="BY8" s="90" t="e">
        <f ca="1"/>
        <v>#NAME?</v>
      </c>
      <c r="CA8" s="173">
        <v>1</v>
      </c>
      <c r="CC8" s="173">
        <v>-2.4500000000000002</v>
      </c>
      <c r="CE8" s="173" t="e">
        <f ca="1"/>
        <v>#NAME?</v>
      </c>
      <c r="CF8" s="37"/>
      <c r="DF8" s="123" t="e">
        <f ca="1"/>
        <v>#NAME?</v>
      </c>
      <c r="DG8" s="37" t="e">
        <f ca="1"/>
        <v>#NAME?</v>
      </c>
      <c r="DH8" s="37" t="e">
        <f ca="1"/>
        <v>#NAME?</v>
      </c>
      <c r="DI8" s="90" t="e">
        <f ca="1"/>
        <v>#NAME?</v>
      </c>
      <c r="DR8" s="91" t="e">
        <f ca="1"/>
        <v>#NAME?</v>
      </c>
      <c r="DS8" s="92" t="e">
        <f ca="1"/>
        <v>#NAME?</v>
      </c>
      <c r="DT8" s="92" t="e">
        <f ca="1"/>
        <v>#NAME?</v>
      </c>
      <c r="DU8" s="92" t="e">
        <f ca="1"/>
        <v>#NAME?</v>
      </c>
      <c r="DV8" s="92" t="e">
        <f ca="1"/>
        <v>#NAME?</v>
      </c>
      <c r="DW8" s="92" t="e">
        <f ca="1"/>
        <v>#NAME?</v>
      </c>
      <c r="DX8" s="92" t="e">
        <f ca="1"/>
        <v>#NAME?</v>
      </c>
      <c r="DY8" s="92" t="e">
        <f ca="1"/>
        <v>#NAME?</v>
      </c>
      <c r="DZ8" s="93" t="e">
        <f ca="1"/>
        <v>#NAME?</v>
      </c>
    </row>
    <row r="9" spans="1:130" x14ac:dyDescent="0.35">
      <c r="A9" s="46" t="str">
        <f>PCA!L7</f>
        <v>Expert</v>
      </c>
      <c r="B9" s="124" t="e">
        <f ca="1">PCA!M7</f>
        <v>#NAME?</v>
      </c>
      <c r="C9" s="3" t="e">
        <f ca="1">PCA!N7</f>
        <v>#NAME?</v>
      </c>
      <c r="D9" s="3" t="e">
        <f ca="1">PCA!O7</f>
        <v>#NAME?</v>
      </c>
      <c r="E9" s="3" t="e">
        <f ca="1">PCA!P7</f>
        <v>#NAME?</v>
      </c>
      <c r="F9" s="3" t="e">
        <f ca="1">PCA!Q7</f>
        <v>#NAME?</v>
      </c>
      <c r="G9" s="3" t="e">
        <f ca="1">PCA!R7</f>
        <v>#NAME?</v>
      </c>
      <c r="H9" s="3" t="e">
        <f ca="1">PCA!S7</f>
        <v>#NAME?</v>
      </c>
      <c r="I9" s="3" t="e">
        <f ca="1">PCA!T7</f>
        <v>#NAME?</v>
      </c>
      <c r="J9" s="179" t="e">
        <f ca="1">PCA!U7</f>
        <v>#NAME?</v>
      </c>
      <c r="M9" s="123" t="e">
        <f ca="1"/>
        <v>#NAME?</v>
      </c>
      <c r="N9" s="167" t="e">
        <f t="shared" ca="1" si="0"/>
        <v>#NAME?</v>
      </c>
      <c r="O9" s="168" t="e">
        <f t="shared" ca="1" si="1"/>
        <v>#NAME?</v>
      </c>
      <c r="X9" t="s">
        <v>155</v>
      </c>
      <c r="Y9" s="173" t="e">
        <f ca="1">(1+(2*Y6+5)/6-Y7)*LN(1-Y5)</f>
        <v>#NAME?</v>
      </c>
      <c r="AA9" s="62" t="s">
        <v>409</v>
      </c>
      <c r="AC9" s="46" t="str">
        <v>Expert</v>
      </c>
      <c r="AD9" s="124" t="e">
        <f ca="1"/>
        <v>#NAME?</v>
      </c>
      <c r="AE9" s="3" t="e">
        <f ca="1"/>
        <v>#NAME?</v>
      </c>
      <c r="AF9" s="3" t="e">
        <f ca="1"/>
        <v>#NAME?</v>
      </c>
      <c r="AG9" s="3" t="e">
        <f ca="1"/>
        <v>#NAME?</v>
      </c>
      <c r="AH9" s="3" t="e">
        <f ca="1"/>
        <v>#NAME?</v>
      </c>
      <c r="AI9" s="3" t="e">
        <f ca="1"/>
        <v>#NAME?</v>
      </c>
      <c r="AJ9" s="3" t="e">
        <f ca="1"/>
        <v>#NAME?</v>
      </c>
      <c r="AK9" s="3" t="e">
        <f ca="1"/>
        <v>#NAME?</v>
      </c>
      <c r="AL9" s="179" t="e">
        <f ca="1"/>
        <v>#NAME?</v>
      </c>
      <c r="AN9" t="str">
        <v>Expert</v>
      </c>
      <c r="AO9" s="123" t="e">
        <f ca="1"/>
        <v>#NAME?</v>
      </c>
      <c r="AP9" s="37" t="e">
        <f ca="1"/>
        <v>#NAME?</v>
      </c>
      <c r="AQ9" s="37" t="e">
        <f ca="1"/>
        <v>#NAME?</v>
      </c>
      <c r="AR9" s="37" t="e">
        <f ca="1"/>
        <v>#NAME?</v>
      </c>
      <c r="AS9" s="37" t="e">
        <f ca="1"/>
        <v>#NAME?</v>
      </c>
      <c r="AT9" s="37" t="e">
        <f ca="1"/>
        <v>#NAME?</v>
      </c>
      <c r="AU9" s="37" t="e">
        <f ca="1"/>
        <v>#NAME?</v>
      </c>
      <c r="AV9" s="37" t="e">
        <f ca="1"/>
        <v>#NAME?</v>
      </c>
      <c r="AW9" s="90" t="e">
        <f ca="1"/>
        <v>#NAME?</v>
      </c>
      <c r="AY9" t="str">
        <v>Expert</v>
      </c>
      <c r="AZ9" s="123" t="e">
        <f ca="1"/>
        <v>#NAME?</v>
      </c>
      <c r="BA9" s="37" t="e">
        <f ca="1"/>
        <v>#NAME?</v>
      </c>
      <c r="BB9" s="37" t="e">
        <f ca="1"/>
        <v>#NAME?</v>
      </c>
      <c r="BC9" s="37" t="e">
        <f ca="1"/>
        <v>#NAME?</v>
      </c>
      <c r="BD9" s="37" t="e">
        <f ca="1"/>
        <v>#NAME?</v>
      </c>
      <c r="BE9" s="37" t="e">
        <f ca="1"/>
        <v>#NAME?</v>
      </c>
      <c r="BF9" s="37" t="e">
        <f ca="1"/>
        <v>#NAME?</v>
      </c>
      <c r="BG9" s="37" t="e">
        <f ca="1"/>
        <v>#NAME?</v>
      </c>
      <c r="BH9" s="90" t="e">
        <f ca="1"/>
        <v>#NAME?</v>
      </c>
      <c r="BI9" s="37"/>
      <c r="BU9" t="str">
        <v>Expert</v>
      </c>
      <c r="BV9" s="123" t="e">
        <f ca="1"/>
        <v>#NAME?</v>
      </c>
      <c r="BW9" s="37" t="e">
        <f ca="1"/>
        <v>#NAME?</v>
      </c>
      <c r="BX9" s="37" t="e">
        <f ca="1"/>
        <v>#NAME?</v>
      </c>
      <c r="BY9" s="90" t="e">
        <f ca="1"/>
        <v>#NAME?</v>
      </c>
      <c r="CA9" s="173">
        <v>4</v>
      </c>
      <c r="CC9" s="173">
        <v>0.6166666666666667</v>
      </c>
      <c r="CE9" s="174" t="e">
        <f ca="1"/>
        <v>#NAME?</v>
      </c>
      <c r="CF9" s="37"/>
      <c r="DF9" s="123" t="e">
        <f ca="1"/>
        <v>#NAME?</v>
      </c>
      <c r="DG9" s="37" t="e">
        <f ca="1"/>
        <v>#NAME?</v>
      </c>
      <c r="DH9" s="37" t="e">
        <f ca="1"/>
        <v>#NAME?</v>
      </c>
      <c r="DI9" s="90" t="e">
        <f ca="1"/>
        <v>#NAME?</v>
      </c>
    </row>
    <row r="10" spans="1:130" ht="16.5" x14ac:dyDescent="0.35">
      <c r="A10" s="46" t="str">
        <f>PCA!L8</f>
        <v>Motivate</v>
      </c>
      <c r="B10" s="124" t="e">
        <f ca="1">PCA!M8</f>
        <v>#NAME?</v>
      </c>
      <c r="C10" s="3" t="e">
        <f ca="1">PCA!N8</f>
        <v>#NAME?</v>
      </c>
      <c r="D10" s="3" t="e">
        <f ca="1">PCA!O8</f>
        <v>#NAME?</v>
      </c>
      <c r="E10" s="3" t="e">
        <f ca="1">PCA!P8</f>
        <v>#NAME?</v>
      </c>
      <c r="F10" s="3" t="e">
        <f ca="1">PCA!Q8</f>
        <v>#NAME?</v>
      </c>
      <c r="G10" s="3" t="e">
        <f ca="1">PCA!R8</f>
        <v>#NAME?</v>
      </c>
      <c r="H10" s="3" t="e">
        <f ca="1">PCA!S8</f>
        <v>#NAME?</v>
      </c>
      <c r="I10" s="3" t="e">
        <f ca="1">PCA!T8</f>
        <v>#NAME?</v>
      </c>
      <c r="J10" s="179" t="e">
        <f ca="1">PCA!U8</f>
        <v>#NAME?</v>
      </c>
      <c r="M10" s="123" t="e">
        <f ca="1"/>
        <v>#NAME?</v>
      </c>
      <c r="N10" s="167" t="e">
        <f t="shared" ca="1" si="0"/>
        <v>#NAME?</v>
      </c>
      <c r="O10" s="168" t="e">
        <f t="shared" ca="1" si="1"/>
        <v>#NAME?</v>
      </c>
      <c r="X10" s="71" t="s">
        <v>57</v>
      </c>
      <c r="Y10" s="173">
        <v>0.05</v>
      </c>
      <c r="AC10" s="46" t="str">
        <v>Motivate</v>
      </c>
      <c r="AD10" s="124" t="e">
        <f ca="1"/>
        <v>#NAME?</v>
      </c>
      <c r="AE10" s="3" t="e">
        <f ca="1"/>
        <v>#NAME?</v>
      </c>
      <c r="AF10" s="3" t="e">
        <f ca="1"/>
        <v>#NAME?</v>
      </c>
      <c r="AG10" s="3" t="e">
        <f ca="1"/>
        <v>#NAME?</v>
      </c>
      <c r="AH10" s="3" t="e">
        <f ca="1"/>
        <v>#NAME?</v>
      </c>
      <c r="AI10" s="3" t="e">
        <f ca="1"/>
        <v>#NAME?</v>
      </c>
      <c r="AJ10" s="3" t="e">
        <f ca="1"/>
        <v>#NAME?</v>
      </c>
      <c r="AK10" s="3" t="e">
        <f ca="1"/>
        <v>#NAME?</v>
      </c>
      <c r="AL10" s="179" t="e">
        <f ca="1"/>
        <v>#NAME?</v>
      </c>
      <c r="AN10" t="str">
        <v>Motivate</v>
      </c>
      <c r="AO10" s="123" t="e">
        <f ca="1"/>
        <v>#NAME?</v>
      </c>
      <c r="AP10" s="37" t="e">
        <f ca="1"/>
        <v>#NAME?</v>
      </c>
      <c r="AQ10" s="37" t="e">
        <f ca="1"/>
        <v>#NAME?</v>
      </c>
      <c r="AR10" s="37" t="e">
        <f ca="1"/>
        <v>#NAME?</v>
      </c>
      <c r="AS10" s="37" t="e">
        <f ca="1"/>
        <v>#NAME?</v>
      </c>
      <c r="AT10" s="37" t="e">
        <f ca="1"/>
        <v>#NAME?</v>
      </c>
      <c r="AU10" s="37" t="e">
        <f ca="1"/>
        <v>#NAME?</v>
      </c>
      <c r="AV10" s="37" t="e">
        <f ca="1"/>
        <v>#NAME?</v>
      </c>
      <c r="AW10" s="90" t="e">
        <f ca="1"/>
        <v>#NAME?</v>
      </c>
      <c r="AY10" t="str">
        <v>Motivate</v>
      </c>
      <c r="AZ10" s="123" t="e">
        <f ca="1"/>
        <v>#NAME?</v>
      </c>
      <c r="BA10" s="37" t="e">
        <f ca="1"/>
        <v>#NAME?</v>
      </c>
      <c r="BB10" s="37" t="e">
        <f ca="1"/>
        <v>#NAME?</v>
      </c>
      <c r="BC10" s="37" t="e">
        <f ca="1"/>
        <v>#NAME?</v>
      </c>
      <c r="BD10" s="37" t="e">
        <f ca="1"/>
        <v>#NAME?</v>
      </c>
      <c r="BE10" s="37" t="e">
        <f ca="1"/>
        <v>#NAME?</v>
      </c>
      <c r="BF10" s="37" t="e">
        <f ca="1"/>
        <v>#NAME?</v>
      </c>
      <c r="BG10" s="37" t="e">
        <f ca="1"/>
        <v>#NAME?</v>
      </c>
      <c r="BH10" s="90" t="e">
        <f ca="1"/>
        <v>#NAME?</v>
      </c>
      <c r="BI10" s="37"/>
      <c r="BK10" t="s">
        <v>410</v>
      </c>
      <c r="BP10" t="s">
        <v>411</v>
      </c>
      <c r="BU10" t="str">
        <v>Motivate</v>
      </c>
      <c r="BV10" s="123" t="e">
        <f ca="1"/>
        <v>#NAME?</v>
      </c>
      <c r="BW10" s="37" t="e">
        <f ca="1"/>
        <v>#NAME?</v>
      </c>
      <c r="BX10" s="37" t="e">
        <f ca="1"/>
        <v>#NAME?</v>
      </c>
      <c r="BY10" s="90" t="e">
        <f ca="1"/>
        <v>#NAME?</v>
      </c>
      <c r="CA10" s="173">
        <v>7</v>
      </c>
      <c r="CC10" s="173">
        <v>0.29166666666666696</v>
      </c>
      <c r="DF10" s="123" t="e">
        <f ca="1"/>
        <v>#NAME?</v>
      </c>
      <c r="DG10" s="37" t="e">
        <f ca="1"/>
        <v>#NAME?</v>
      </c>
      <c r="DH10" s="37" t="e">
        <f ca="1"/>
        <v>#NAME?</v>
      </c>
      <c r="DI10" s="90" t="e">
        <f ca="1"/>
        <v>#NAME?</v>
      </c>
      <c r="DR10" t="s">
        <v>412</v>
      </c>
    </row>
    <row r="11" spans="1:130" x14ac:dyDescent="0.35">
      <c r="A11" s="46" t="str">
        <f>PCA!L9</f>
        <v>Caring</v>
      </c>
      <c r="B11" s="124" t="e">
        <f ca="1">PCA!M9</f>
        <v>#NAME?</v>
      </c>
      <c r="C11" s="3" t="e">
        <f ca="1">PCA!N9</f>
        <v>#NAME?</v>
      </c>
      <c r="D11" s="3" t="e">
        <f ca="1">PCA!O9</f>
        <v>#NAME?</v>
      </c>
      <c r="E11" s="3" t="e">
        <f ca="1">PCA!P9</f>
        <v>#NAME?</v>
      </c>
      <c r="F11" s="3" t="e">
        <f ca="1">PCA!Q9</f>
        <v>#NAME?</v>
      </c>
      <c r="G11" s="3" t="e">
        <f ca="1">PCA!R9</f>
        <v>#NAME?</v>
      </c>
      <c r="H11" s="3" t="e">
        <f ca="1">PCA!S9</f>
        <v>#NAME?</v>
      </c>
      <c r="I11" s="3" t="e">
        <f ca="1">PCA!T9</f>
        <v>#NAME?</v>
      </c>
      <c r="J11" s="179" t="e">
        <f ca="1">PCA!U9</f>
        <v>#NAME?</v>
      </c>
      <c r="M11" s="123" t="e">
        <f ca="1"/>
        <v>#NAME?</v>
      </c>
      <c r="N11" s="167" t="e">
        <f t="shared" ca="1" si="0"/>
        <v>#NAME?</v>
      </c>
      <c r="O11" s="168" t="e">
        <f t="shared" ca="1" si="1"/>
        <v>#NAME?</v>
      </c>
      <c r="X11" t="s">
        <v>65</v>
      </c>
      <c r="Y11" s="173" t="e">
        <f ca="1">CHIDIST(Y9,Y8)</f>
        <v>#NAME?</v>
      </c>
      <c r="AA11" s="62" t="s">
        <v>413</v>
      </c>
      <c r="AC11" s="46" t="str">
        <v>Caring</v>
      </c>
      <c r="AD11" s="124" t="e">
        <f ca="1"/>
        <v>#NAME?</v>
      </c>
      <c r="AE11" s="3" t="e">
        <f ca="1"/>
        <v>#NAME?</v>
      </c>
      <c r="AF11" s="3" t="e">
        <f ca="1"/>
        <v>#NAME?</v>
      </c>
      <c r="AG11" s="3" t="e">
        <f ca="1"/>
        <v>#NAME?</v>
      </c>
      <c r="AH11" s="3" t="e">
        <f ca="1"/>
        <v>#NAME?</v>
      </c>
      <c r="AI11" s="3" t="e">
        <f ca="1"/>
        <v>#NAME?</v>
      </c>
      <c r="AJ11" s="3" t="e">
        <f ca="1"/>
        <v>#NAME?</v>
      </c>
      <c r="AK11" s="3" t="e">
        <f ca="1"/>
        <v>#NAME?</v>
      </c>
      <c r="AL11" s="179" t="e">
        <f ca="1"/>
        <v>#NAME?</v>
      </c>
      <c r="AN11" t="str">
        <v>Caring</v>
      </c>
      <c r="AO11" s="123" t="e">
        <f ca="1"/>
        <v>#NAME?</v>
      </c>
      <c r="AP11" s="37" t="e">
        <f ca="1"/>
        <v>#NAME?</v>
      </c>
      <c r="AQ11" s="37" t="e">
        <f ca="1"/>
        <v>#NAME?</v>
      </c>
      <c r="AR11" s="37" t="e">
        <f ca="1"/>
        <v>#NAME?</v>
      </c>
      <c r="AS11" s="37" t="e">
        <f ca="1"/>
        <v>#NAME?</v>
      </c>
      <c r="AT11" s="37" t="e">
        <f ca="1"/>
        <v>#NAME?</v>
      </c>
      <c r="AU11" s="37" t="e">
        <f ca="1"/>
        <v>#NAME?</v>
      </c>
      <c r="AV11" s="37" t="e">
        <f ca="1"/>
        <v>#NAME?</v>
      </c>
      <c r="AW11" s="90" t="e">
        <f ca="1"/>
        <v>#NAME?</v>
      </c>
      <c r="AY11" t="str">
        <v>Caring</v>
      </c>
      <c r="AZ11" s="123" t="e">
        <f ca="1"/>
        <v>#NAME?</v>
      </c>
      <c r="BA11" s="37" t="e">
        <f ca="1"/>
        <v>#NAME?</v>
      </c>
      <c r="BB11" s="37" t="e">
        <f ca="1"/>
        <v>#NAME?</v>
      </c>
      <c r="BC11" s="37" t="e">
        <f ca="1"/>
        <v>#NAME?</v>
      </c>
      <c r="BD11" s="37" t="e">
        <f ca="1"/>
        <v>#NAME?</v>
      </c>
      <c r="BE11" s="37" t="e">
        <f ca="1"/>
        <v>#NAME?</v>
      </c>
      <c r="BF11" s="37" t="e">
        <f ca="1"/>
        <v>#NAME?</v>
      </c>
      <c r="BG11" s="37" t="e">
        <f ca="1"/>
        <v>#NAME?</v>
      </c>
      <c r="BH11" s="90" t="e">
        <f ca="1"/>
        <v>#NAME?</v>
      </c>
      <c r="BI11" s="37"/>
      <c r="BU11" t="str">
        <v>Caring</v>
      </c>
      <c r="BV11" s="123" t="e">
        <f ca="1"/>
        <v>#NAME?</v>
      </c>
      <c r="BW11" s="37" t="e">
        <f ca="1"/>
        <v>#NAME?</v>
      </c>
      <c r="BX11" s="37" t="e">
        <f ca="1"/>
        <v>#NAME?</v>
      </c>
      <c r="BY11" s="90" t="e">
        <f ca="1"/>
        <v>#NAME?</v>
      </c>
      <c r="CA11" s="173">
        <v>5</v>
      </c>
      <c r="CC11" s="173">
        <v>-1.0083333333333337</v>
      </c>
      <c r="DF11" s="123" t="e">
        <f ca="1"/>
        <v>#NAME?</v>
      </c>
      <c r="DG11" s="37" t="e">
        <f ca="1"/>
        <v>#NAME?</v>
      </c>
      <c r="DH11" s="37" t="e">
        <f ca="1"/>
        <v>#NAME?</v>
      </c>
      <c r="DI11" s="90" t="e">
        <f ca="1"/>
        <v>#NAME?</v>
      </c>
    </row>
    <row r="12" spans="1:130" x14ac:dyDescent="0.35">
      <c r="A12" s="46" t="str">
        <f>PCA!L10</f>
        <v>Charisma</v>
      </c>
      <c r="B12" s="124" t="e">
        <f ca="1">PCA!M10</f>
        <v>#NAME?</v>
      </c>
      <c r="C12" s="3" t="e">
        <f ca="1">PCA!N10</f>
        <v>#NAME?</v>
      </c>
      <c r="D12" s="3" t="e">
        <f ca="1">PCA!O10</f>
        <v>#NAME?</v>
      </c>
      <c r="E12" s="3" t="e">
        <f ca="1">PCA!P10</f>
        <v>#NAME?</v>
      </c>
      <c r="F12" s="3" t="e">
        <f ca="1">PCA!Q10</f>
        <v>#NAME?</v>
      </c>
      <c r="G12" s="3" t="e">
        <f ca="1">PCA!R10</f>
        <v>#NAME?</v>
      </c>
      <c r="H12" s="3" t="e">
        <f ca="1">PCA!S10</f>
        <v>#NAME?</v>
      </c>
      <c r="I12" s="3" t="e">
        <f ca="1">PCA!T10</f>
        <v>#NAME?</v>
      </c>
      <c r="J12" s="179" t="e">
        <f ca="1">PCA!U10</f>
        <v>#NAME?</v>
      </c>
      <c r="M12" s="123" t="e">
        <f ca="1"/>
        <v>#NAME?</v>
      </c>
      <c r="N12" s="167" t="e">
        <f t="shared" ca="1" si="0"/>
        <v>#NAME?</v>
      </c>
      <c r="O12" s="168" t="e">
        <f t="shared" ca="1" si="1"/>
        <v>#NAME?</v>
      </c>
      <c r="X12" t="s">
        <v>414</v>
      </c>
      <c r="Y12" s="173" t="e">
        <f ca="1">CHIINV(Y10,Y8)</f>
        <v>#NUM!</v>
      </c>
      <c r="AA12" s="62" t="s">
        <v>415</v>
      </c>
      <c r="AC12" s="46" t="str">
        <v>Charisma</v>
      </c>
      <c r="AD12" s="124" t="e">
        <f ca="1"/>
        <v>#NAME?</v>
      </c>
      <c r="AE12" s="3" t="e">
        <f ca="1"/>
        <v>#NAME?</v>
      </c>
      <c r="AF12" s="3" t="e">
        <f ca="1"/>
        <v>#NAME?</v>
      </c>
      <c r="AG12" s="3" t="e">
        <f ca="1"/>
        <v>#NAME?</v>
      </c>
      <c r="AH12" s="3" t="e">
        <f ca="1"/>
        <v>#NAME?</v>
      </c>
      <c r="AI12" s="3" t="e">
        <f ca="1"/>
        <v>#NAME?</v>
      </c>
      <c r="AJ12" s="3" t="e">
        <f ca="1"/>
        <v>#NAME?</v>
      </c>
      <c r="AK12" s="3" t="e">
        <f ca="1"/>
        <v>#NAME?</v>
      </c>
      <c r="AL12" s="179" t="e">
        <f ca="1"/>
        <v>#NAME?</v>
      </c>
      <c r="AN12" t="str">
        <v>Charisma</v>
      </c>
      <c r="AO12" s="123" t="e">
        <f ca="1"/>
        <v>#NAME?</v>
      </c>
      <c r="AP12" s="37" t="e">
        <f ca="1"/>
        <v>#NAME?</v>
      </c>
      <c r="AQ12" s="37" t="e">
        <f ca="1"/>
        <v>#NAME?</v>
      </c>
      <c r="AR12" s="37" t="e">
        <f ca="1"/>
        <v>#NAME?</v>
      </c>
      <c r="AS12" s="37" t="e">
        <f ca="1"/>
        <v>#NAME?</v>
      </c>
      <c r="AT12" s="37" t="e">
        <f ca="1"/>
        <v>#NAME?</v>
      </c>
      <c r="AU12" s="37" t="e">
        <f ca="1"/>
        <v>#NAME?</v>
      </c>
      <c r="AV12" s="37" t="e">
        <f ca="1"/>
        <v>#NAME?</v>
      </c>
      <c r="AW12" s="90" t="e">
        <f ca="1"/>
        <v>#NAME?</v>
      </c>
      <c r="AY12" t="str">
        <v>Charisma</v>
      </c>
      <c r="AZ12" s="123" t="e">
        <f ca="1"/>
        <v>#NAME?</v>
      </c>
      <c r="BA12" s="37" t="e">
        <f ca="1"/>
        <v>#NAME?</v>
      </c>
      <c r="BB12" s="37" t="e">
        <f ca="1"/>
        <v>#NAME?</v>
      </c>
      <c r="BC12" s="37" t="e">
        <f ca="1"/>
        <v>#NAME?</v>
      </c>
      <c r="BD12" s="37" t="e">
        <f ca="1"/>
        <v>#NAME?</v>
      </c>
      <c r="BE12" s="37" t="e">
        <f ca="1"/>
        <v>#NAME?</v>
      </c>
      <c r="BF12" s="37" t="e">
        <f ca="1"/>
        <v>#NAME?</v>
      </c>
      <c r="BG12" s="37" t="e">
        <f ca="1"/>
        <v>#NAME?</v>
      </c>
      <c r="BH12" s="90" t="e">
        <f ca="1"/>
        <v>#NAME?</v>
      </c>
      <c r="BI12" s="37"/>
      <c r="BK12" s="156" t="e">
        <f t="array" aca="1" ref="BK12:BS15" ca="1">MMULT(MINVERSE(BK5:BN8),TRANSPOSE(B44:E52))</f>
        <v>#NAME?</v>
      </c>
      <c r="BL12" s="157" t="e">
        <f ca="1"/>
        <v>#NAME?</v>
      </c>
      <c r="BM12" s="157" t="e">
        <f ca="1"/>
        <v>#NAME?</v>
      </c>
      <c r="BN12" s="157" t="e">
        <f ca="1"/>
        <v>#NAME?</v>
      </c>
      <c r="BO12" s="157" t="e">
        <f ca="1"/>
        <v>#NAME?</v>
      </c>
      <c r="BP12" s="157" t="e">
        <f ca="1"/>
        <v>#NAME?</v>
      </c>
      <c r="BQ12" s="157" t="e">
        <f ca="1"/>
        <v>#NAME?</v>
      </c>
      <c r="BR12" s="157" t="e">
        <f ca="1"/>
        <v>#NAME?</v>
      </c>
      <c r="BS12" s="158" t="e">
        <f ca="1"/>
        <v>#NAME?</v>
      </c>
      <c r="BU12" t="str">
        <v>Charisma</v>
      </c>
      <c r="BV12" s="123" t="e">
        <f ca="1"/>
        <v>#NAME?</v>
      </c>
      <c r="BW12" s="37" t="e">
        <f ca="1"/>
        <v>#NAME?</v>
      </c>
      <c r="BX12" s="37" t="e">
        <f ca="1"/>
        <v>#NAME?</v>
      </c>
      <c r="BY12" s="90" t="e">
        <f ca="1"/>
        <v>#NAME?</v>
      </c>
      <c r="CA12" s="173">
        <v>4</v>
      </c>
      <c r="CC12" s="173">
        <v>-0.84166666666666679</v>
      </c>
      <c r="DF12" s="123" t="e">
        <f ca="1"/>
        <v>#NAME?</v>
      </c>
      <c r="DG12" s="37" t="e">
        <f ca="1"/>
        <v>#NAME?</v>
      </c>
      <c r="DH12" s="37" t="e">
        <f ca="1"/>
        <v>#NAME?</v>
      </c>
      <c r="DI12" s="90" t="e">
        <f ca="1"/>
        <v>#NAME?</v>
      </c>
      <c r="DR12" s="156" t="e">
        <f t="array" aca="1" ref="DR12:DU15" ca="1">MINVERSE(MSQRT(DF17:DI20))</f>
        <v>#NAME?</v>
      </c>
      <c r="DS12" s="157" t="e">
        <f ca="1"/>
        <v>#NAME?</v>
      </c>
      <c r="DT12" s="157" t="e">
        <f ca="1"/>
        <v>#NAME?</v>
      </c>
      <c r="DU12" s="158" t="e">
        <f ca="1"/>
        <v>#NAME?</v>
      </c>
    </row>
    <row r="13" spans="1:130" x14ac:dyDescent="0.35">
      <c r="A13" s="46" t="str">
        <f>PCA!L11</f>
        <v>Passion</v>
      </c>
      <c r="B13" s="124" t="e">
        <f ca="1">PCA!M11</f>
        <v>#NAME?</v>
      </c>
      <c r="C13" s="3" t="e">
        <f ca="1">PCA!N11</f>
        <v>#NAME?</v>
      </c>
      <c r="D13" s="3" t="e">
        <f ca="1">PCA!O11</f>
        <v>#NAME?</v>
      </c>
      <c r="E13" s="3" t="e">
        <f ca="1">PCA!P11</f>
        <v>#NAME?</v>
      </c>
      <c r="F13" s="3" t="e">
        <f ca="1">PCA!Q11</f>
        <v>#NAME?</v>
      </c>
      <c r="G13" s="3" t="e">
        <f ca="1">PCA!R11</f>
        <v>#NAME?</v>
      </c>
      <c r="H13" s="3" t="e">
        <f ca="1">PCA!S11</f>
        <v>#NAME?</v>
      </c>
      <c r="I13" s="3" t="e">
        <f ca="1">PCA!T11</f>
        <v>#NAME?</v>
      </c>
      <c r="J13" s="179" t="e">
        <f ca="1">PCA!U11</f>
        <v>#NAME?</v>
      </c>
      <c r="M13" s="123" t="e">
        <f ca="1"/>
        <v>#NAME?</v>
      </c>
      <c r="N13" s="167" t="e">
        <f t="shared" ca="1" si="0"/>
        <v>#NAME?</v>
      </c>
      <c r="O13" s="168" t="e">
        <f t="shared" ca="1" si="1"/>
        <v>#NAME?</v>
      </c>
      <c r="X13" t="s">
        <v>60</v>
      </c>
      <c r="Y13" s="183" t="e">
        <f ca="1">IF(Y9&gt;=Y12,"yes","no")</f>
        <v>#NAME?</v>
      </c>
      <c r="AA13" s="62" t="s">
        <v>528</v>
      </c>
      <c r="AC13" s="46" t="str">
        <v>Passion</v>
      </c>
      <c r="AD13" s="124" t="e">
        <f ca="1"/>
        <v>#NAME?</v>
      </c>
      <c r="AE13" s="3" t="e">
        <f ca="1"/>
        <v>#NAME?</v>
      </c>
      <c r="AF13" s="3" t="e">
        <f ca="1"/>
        <v>#NAME?</v>
      </c>
      <c r="AG13" s="3" t="e">
        <f ca="1"/>
        <v>#NAME?</v>
      </c>
      <c r="AH13" s="3" t="e">
        <f ca="1"/>
        <v>#NAME?</v>
      </c>
      <c r="AI13" s="3" t="e">
        <f ca="1"/>
        <v>#NAME?</v>
      </c>
      <c r="AJ13" s="3" t="e">
        <f ca="1"/>
        <v>#NAME?</v>
      </c>
      <c r="AK13" s="3" t="e">
        <f ca="1"/>
        <v>#NAME?</v>
      </c>
      <c r="AL13" s="179" t="e">
        <f ca="1"/>
        <v>#NAME?</v>
      </c>
      <c r="AN13" t="str">
        <v>Passion</v>
      </c>
      <c r="AO13" s="123" t="e">
        <f ca="1"/>
        <v>#NAME?</v>
      </c>
      <c r="AP13" s="37" t="e">
        <f ca="1"/>
        <v>#NAME?</v>
      </c>
      <c r="AQ13" s="37" t="e">
        <f ca="1"/>
        <v>#NAME?</v>
      </c>
      <c r="AR13" s="37" t="e">
        <f ca="1"/>
        <v>#NAME?</v>
      </c>
      <c r="AS13" s="37" t="e">
        <f ca="1"/>
        <v>#NAME?</v>
      </c>
      <c r="AT13" s="37" t="e">
        <f ca="1"/>
        <v>#NAME?</v>
      </c>
      <c r="AU13" s="37" t="e">
        <f ca="1"/>
        <v>#NAME?</v>
      </c>
      <c r="AV13" s="37" t="e">
        <f ca="1"/>
        <v>#NAME?</v>
      </c>
      <c r="AW13" s="90" t="e">
        <f ca="1"/>
        <v>#NAME?</v>
      </c>
      <c r="AY13" t="str">
        <v>Passion</v>
      </c>
      <c r="AZ13" s="123" t="e">
        <f ca="1"/>
        <v>#NAME?</v>
      </c>
      <c r="BA13" s="37" t="e">
        <f ca="1"/>
        <v>#NAME?</v>
      </c>
      <c r="BB13" s="37" t="e">
        <f ca="1"/>
        <v>#NAME?</v>
      </c>
      <c r="BC13" s="37" t="e">
        <f ca="1"/>
        <v>#NAME?</v>
      </c>
      <c r="BD13" s="37" t="e">
        <f ca="1"/>
        <v>#NAME?</v>
      </c>
      <c r="BE13" s="37" t="e">
        <f ca="1"/>
        <v>#NAME?</v>
      </c>
      <c r="BF13" s="37" t="e">
        <f ca="1"/>
        <v>#NAME?</v>
      </c>
      <c r="BG13" s="37" t="e">
        <f ca="1"/>
        <v>#NAME?</v>
      </c>
      <c r="BH13" s="90" t="e">
        <f ca="1"/>
        <v>#NAME?</v>
      </c>
      <c r="BI13" s="37"/>
      <c r="BK13" s="123" t="e">
        <f ca="1"/>
        <v>#NAME?</v>
      </c>
      <c r="BL13" s="37" t="e">
        <f ca="1"/>
        <v>#NAME?</v>
      </c>
      <c r="BM13" s="37" t="e">
        <f ca="1"/>
        <v>#NAME?</v>
      </c>
      <c r="BN13" s="37" t="e">
        <f ca="1"/>
        <v>#NAME?</v>
      </c>
      <c r="BO13" s="37" t="e">
        <f ca="1"/>
        <v>#NAME?</v>
      </c>
      <c r="BP13" s="37" t="e">
        <f ca="1"/>
        <v>#NAME?</v>
      </c>
      <c r="BQ13" s="37" t="e">
        <f ca="1"/>
        <v>#NAME?</v>
      </c>
      <c r="BR13" s="37" t="e">
        <f ca="1"/>
        <v>#NAME?</v>
      </c>
      <c r="BS13" s="90" t="e">
        <f ca="1"/>
        <v>#NAME?</v>
      </c>
      <c r="BU13" t="str">
        <v>Passion</v>
      </c>
      <c r="BV13" s="123" t="e">
        <f ca="1"/>
        <v>#NAME?</v>
      </c>
      <c r="BW13" s="37" t="e">
        <f ca="1"/>
        <v>#NAME?</v>
      </c>
      <c r="BX13" s="37" t="e">
        <f ca="1"/>
        <v>#NAME?</v>
      </c>
      <c r="BY13" s="90" t="e">
        <f ca="1"/>
        <v>#NAME?</v>
      </c>
      <c r="CA13" s="173">
        <v>4</v>
      </c>
      <c r="CC13" s="173">
        <v>-0.72499999999999964</v>
      </c>
      <c r="DF13" s="91" t="e">
        <f ca="1"/>
        <v>#NAME?</v>
      </c>
      <c r="DG13" s="92" t="e">
        <f ca="1"/>
        <v>#NAME?</v>
      </c>
      <c r="DH13" s="92" t="e">
        <f ca="1"/>
        <v>#NAME?</v>
      </c>
      <c r="DI13" s="93" t="e">
        <f ca="1"/>
        <v>#NAME?</v>
      </c>
      <c r="DR13" s="123" t="e">
        <f ca="1"/>
        <v>#NAME?</v>
      </c>
      <c r="DS13" s="37" t="e">
        <f ca="1"/>
        <v>#NAME?</v>
      </c>
      <c r="DT13" s="37" t="e">
        <f ca="1"/>
        <v>#NAME?</v>
      </c>
      <c r="DU13" s="90" t="e">
        <f ca="1"/>
        <v>#NAME?</v>
      </c>
    </row>
    <row r="14" spans="1:130" x14ac:dyDescent="0.35">
      <c r="A14" s="46" t="str">
        <f>PCA!L12</f>
        <v>Friendly</v>
      </c>
      <c r="B14" s="180" t="e">
        <f ca="1">PCA!M12</f>
        <v>#NAME?</v>
      </c>
      <c r="C14" s="181" t="e">
        <f ca="1">PCA!N12</f>
        <v>#NAME?</v>
      </c>
      <c r="D14" s="181" t="e">
        <f ca="1">PCA!O12</f>
        <v>#NAME?</v>
      </c>
      <c r="E14" s="181" t="e">
        <f ca="1">PCA!P12</f>
        <v>#NAME?</v>
      </c>
      <c r="F14" s="181" t="e">
        <f ca="1">PCA!Q12</f>
        <v>#NAME?</v>
      </c>
      <c r="G14" s="181" t="e">
        <f ca="1">PCA!R12</f>
        <v>#NAME?</v>
      </c>
      <c r="H14" s="181" t="e">
        <f ca="1">PCA!S12</f>
        <v>#NAME?</v>
      </c>
      <c r="I14" s="181" t="e">
        <f ca="1">PCA!T12</f>
        <v>#NAME?</v>
      </c>
      <c r="J14" s="182" t="e">
        <f ca="1">PCA!U12</f>
        <v>#NAME?</v>
      </c>
      <c r="M14" s="91" t="e">
        <f ca="1"/>
        <v>#NAME?</v>
      </c>
      <c r="N14" s="169" t="e">
        <f t="shared" ca="1" si="0"/>
        <v>#NAME?</v>
      </c>
      <c r="O14" s="170" t="e">
        <f t="shared" ca="1" si="1"/>
        <v>#NAME?</v>
      </c>
      <c r="AC14" s="46" t="str">
        <v>Friendly</v>
      </c>
      <c r="AD14" s="180" t="e">
        <f ca="1"/>
        <v>#NAME?</v>
      </c>
      <c r="AE14" s="181" t="e">
        <f ca="1"/>
        <v>#NAME?</v>
      </c>
      <c r="AF14" s="181" t="e">
        <f ca="1"/>
        <v>#NAME?</v>
      </c>
      <c r="AG14" s="181" t="e">
        <f ca="1"/>
        <v>#NAME?</v>
      </c>
      <c r="AH14" s="181" t="e">
        <f ca="1"/>
        <v>#NAME?</v>
      </c>
      <c r="AI14" s="181" t="e">
        <f ca="1"/>
        <v>#NAME?</v>
      </c>
      <c r="AJ14" s="181" t="e">
        <f ca="1"/>
        <v>#NAME?</v>
      </c>
      <c r="AK14" s="181" t="e">
        <f ca="1"/>
        <v>#NAME?</v>
      </c>
      <c r="AL14" s="182" t="e">
        <f ca="1"/>
        <v>#NAME?</v>
      </c>
      <c r="AN14" t="str">
        <v>Friendly</v>
      </c>
      <c r="AO14" s="91" t="e">
        <f ca="1"/>
        <v>#NAME?</v>
      </c>
      <c r="AP14" s="92" t="e">
        <f ca="1"/>
        <v>#NAME?</v>
      </c>
      <c r="AQ14" s="92" t="e">
        <f ca="1"/>
        <v>#NAME?</v>
      </c>
      <c r="AR14" s="92" t="e">
        <f ca="1"/>
        <v>#NAME?</v>
      </c>
      <c r="AS14" s="92" t="e">
        <f ca="1"/>
        <v>#NAME?</v>
      </c>
      <c r="AT14" s="92" t="e">
        <f ca="1"/>
        <v>#NAME?</v>
      </c>
      <c r="AU14" s="92" t="e">
        <f ca="1"/>
        <v>#NAME?</v>
      </c>
      <c r="AV14" s="92" t="e">
        <f ca="1"/>
        <v>#NAME?</v>
      </c>
      <c r="AW14" s="93" t="e">
        <f ca="1"/>
        <v>#NAME?</v>
      </c>
      <c r="AY14" t="str">
        <v>Friendly</v>
      </c>
      <c r="AZ14" s="91" t="e">
        <f ca="1"/>
        <v>#NAME?</v>
      </c>
      <c r="BA14" s="92" t="e">
        <f ca="1"/>
        <v>#NAME?</v>
      </c>
      <c r="BB14" s="92" t="e">
        <f ca="1"/>
        <v>#NAME?</v>
      </c>
      <c r="BC14" s="92" t="e">
        <f ca="1"/>
        <v>#NAME?</v>
      </c>
      <c r="BD14" s="92" t="e">
        <f ca="1"/>
        <v>#NAME?</v>
      </c>
      <c r="BE14" s="92" t="e">
        <f ca="1"/>
        <v>#NAME?</v>
      </c>
      <c r="BF14" s="92" t="e">
        <f ca="1"/>
        <v>#NAME?</v>
      </c>
      <c r="BG14" s="92" t="e">
        <f ca="1"/>
        <v>#NAME?</v>
      </c>
      <c r="BH14" s="93" t="e">
        <f ca="1"/>
        <v>#NAME?</v>
      </c>
      <c r="BI14" s="37"/>
      <c r="BK14" s="123" t="e">
        <f ca="1"/>
        <v>#NAME?</v>
      </c>
      <c r="BL14" s="37" t="e">
        <f ca="1"/>
        <v>#NAME?</v>
      </c>
      <c r="BM14" s="37" t="e">
        <f ca="1"/>
        <v>#NAME?</v>
      </c>
      <c r="BN14" s="37" t="e">
        <f ca="1"/>
        <v>#NAME?</v>
      </c>
      <c r="BO14" s="37" t="e">
        <f ca="1"/>
        <v>#NAME?</v>
      </c>
      <c r="BP14" s="37" t="e">
        <f ca="1"/>
        <v>#NAME?</v>
      </c>
      <c r="BQ14" s="37" t="e">
        <f ca="1"/>
        <v>#NAME?</v>
      </c>
      <c r="BR14" s="37" t="e">
        <f ca="1"/>
        <v>#NAME?</v>
      </c>
      <c r="BS14" s="90" t="e">
        <f ca="1"/>
        <v>#NAME?</v>
      </c>
      <c r="BU14" t="str">
        <v>Friendly</v>
      </c>
      <c r="BV14" s="91" t="e">
        <f ca="1"/>
        <v>#NAME?</v>
      </c>
      <c r="BW14" s="92" t="e">
        <f ca="1"/>
        <v>#NAME?</v>
      </c>
      <c r="BX14" s="92" t="e">
        <f ca="1"/>
        <v>#NAME?</v>
      </c>
      <c r="BY14" s="93" t="e">
        <f ca="1"/>
        <v>#NAME?</v>
      </c>
      <c r="CA14" s="174">
        <v>8</v>
      </c>
      <c r="CC14" s="174">
        <v>0.70000000000000018</v>
      </c>
      <c r="DR14" s="123" t="e">
        <f ca="1"/>
        <v>#NAME?</v>
      </c>
      <c r="DS14" s="37" t="e">
        <f ca="1"/>
        <v>#NAME?</v>
      </c>
      <c r="DT14" s="37" t="e">
        <f ca="1"/>
        <v>#NAME?</v>
      </c>
      <c r="DU14" s="90" t="e">
        <f ca="1"/>
        <v>#NAME?</v>
      </c>
    </row>
    <row r="15" spans="1:130" ht="16.5" x14ac:dyDescent="0.35">
      <c r="A15" s="46"/>
      <c r="B15" s="46"/>
      <c r="C15" s="46"/>
      <c r="D15" s="46"/>
      <c r="E15" s="46"/>
      <c r="F15" s="46"/>
      <c r="G15" s="46"/>
      <c r="H15" s="46"/>
      <c r="I15" s="46"/>
      <c r="J15" s="46"/>
      <c r="M15" t="e">
        <f ca="1">SUM(M6:M14)</f>
        <v>#NAME?</v>
      </c>
      <c r="BK15" s="91" t="e">
        <f ca="1"/>
        <v>#NAME?</v>
      </c>
      <c r="BL15" s="92" t="e">
        <f ca="1"/>
        <v>#NAME?</v>
      </c>
      <c r="BM15" s="92" t="e">
        <f ca="1"/>
        <v>#NAME?</v>
      </c>
      <c r="BN15" s="92" t="e">
        <f ca="1"/>
        <v>#NAME?</v>
      </c>
      <c r="BO15" s="92" t="e">
        <f ca="1"/>
        <v>#NAME?</v>
      </c>
      <c r="BP15" s="92" t="e">
        <f ca="1"/>
        <v>#NAME?</v>
      </c>
      <c r="BQ15" s="92" t="e">
        <f ca="1"/>
        <v>#NAME?</v>
      </c>
      <c r="BR15" s="92" t="e">
        <f ca="1"/>
        <v>#NAME?</v>
      </c>
      <c r="BS15" s="93" t="e">
        <f ca="1"/>
        <v>#NAME?</v>
      </c>
      <c r="DF15" t="s">
        <v>416</v>
      </c>
      <c r="DR15" s="91" t="e">
        <f ca="1"/>
        <v>#NAME?</v>
      </c>
      <c r="DS15" s="92" t="e">
        <f ca="1"/>
        <v>#NAME?</v>
      </c>
      <c r="DT15" s="92" t="e">
        <f ca="1"/>
        <v>#NAME?</v>
      </c>
      <c r="DU15" s="93" t="e">
        <f ca="1"/>
        <v>#NAME?</v>
      </c>
    </row>
    <row r="16" spans="1:130" ht="16.5" x14ac:dyDescent="0.35">
      <c r="A16" s="46" t="s">
        <v>417</v>
      </c>
      <c r="AC16" t="s">
        <v>418</v>
      </c>
      <c r="AN16" t="s">
        <v>419</v>
      </c>
      <c r="AY16" t="s">
        <v>420</v>
      </c>
      <c r="BU16" t="s">
        <v>421</v>
      </c>
      <c r="CH16" t="s">
        <v>422</v>
      </c>
      <c r="CM16" t="s">
        <v>423</v>
      </c>
      <c r="CZ16" t="s">
        <v>424</v>
      </c>
    </row>
    <row r="17" spans="1:144" ht="16.5" x14ac:dyDescent="0.35">
      <c r="BK17" t="s">
        <v>425</v>
      </c>
      <c r="BP17" t="s">
        <v>426</v>
      </c>
      <c r="CZ17" t="s">
        <v>427</v>
      </c>
      <c r="DF17" s="156" t="e">
        <f t="array" aca="1" ref="DF17:DI20" ca="1">MMULT(DR5:DZ8,MMULT(B6:J14,DF5:DI13))</f>
        <v>#NAME?</v>
      </c>
      <c r="DG17" s="157" t="e">
        <f ca="1"/>
        <v>#NAME?</v>
      </c>
      <c r="DH17" s="157" t="e">
        <f ca="1"/>
        <v>#NAME?</v>
      </c>
      <c r="DI17" s="158" t="e">
        <f ca="1"/>
        <v>#NAME?</v>
      </c>
    </row>
    <row r="18" spans="1:144" x14ac:dyDescent="0.35">
      <c r="B18" s="160" t="e">
        <f t="array" aca="1" ref="B18:J27" ca="1">eigVECTSym(B6:J14)</f>
        <v>#NAME?</v>
      </c>
      <c r="C18" s="161" t="e">
        <f ca="1"/>
        <v>#NAME?</v>
      </c>
      <c r="D18" s="161" t="e">
        <f ca="1"/>
        <v>#NAME?</v>
      </c>
      <c r="E18" s="161" t="e">
        <f ca="1"/>
        <v>#NAME?</v>
      </c>
      <c r="F18" s="161" t="e">
        <f ca="1"/>
        <v>#NAME?</v>
      </c>
      <c r="G18" s="161" t="e">
        <f ca="1"/>
        <v>#NAME?</v>
      </c>
      <c r="H18" s="161" t="e">
        <f ca="1"/>
        <v>#NAME?</v>
      </c>
      <c r="I18" s="161" t="e">
        <f ca="1"/>
        <v>#NAME?</v>
      </c>
      <c r="J18" s="162" t="e">
        <f ca="1"/>
        <v>#NAME?</v>
      </c>
      <c r="AC18" s="46"/>
      <c r="AD18" s="175" t="str">
        <f t="array" ref="AD18:AL18">AD5:AL5</f>
        <v>Expect</v>
      </c>
      <c r="AE18" s="175" t="str">
        <v>Entertain</v>
      </c>
      <c r="AF18" s="175" t="str">
        <v>Comm</v>
      </c>
      <c r="AG18" s="175" t="str">
        <v>Expert</v>
      </c>
      <c r="AH18" s="175" t="str">
        <v>Motivate</v>
      </c>
      <c r="AI18" s="175" t="str">
        <v>Caring</v>
      </c>
      <c r="AJ18" s="175" t="str">
        <v>Charisma</v>
      </c>
      <c r="AK18" s="175" t="str">
        <v>Passion</v>
      </c>
      <c r="AL18" s="175" t="str">
        <v>Friendly</v>
      </c>
      <c r="AO18" t="str">
        <f t="array" ref="AO18:AW18">AO5:AW5</f>
        <v>Expect</v>
      </c>
      <c r="AP18" t="str">
        <v>Entertain</v>
      </c>
      <c r="AQ18" t="str">
        <v>Comm</v>
      </c>
      <c r="AR18" t="str">
        <v>Expert</v>
      </c>
      <c r="AS18" t="str">
        <v>Motivate</v>
      </c>
      <c r="AT18" t="str">
        <v>Caring</v>
      </c>
      <c r="AU18" t="str">
        <v>Charisma</v>
      </c>
      <c r="AV18" t="str">
        <v>Passion</v>
      </c>
      <c r="AW18" t="str">
        <v>Friendly</v>
      </c>
      <c r="AZ18" t="str">
        <f t="array" ref="AZ18:BH18">AO18:AW18</f>
        <v>Expect</v>
      </c>
      <c r="BA18" t="str">
        <v>Entertain</v>
      </c>
      <c r="BB18" t="str">
        <v>Comm</v>
      </c>
      <c r="BC18" t="str">
        <v>Expert</v>
      </c>
      <c r="BD18" t="str">
        <v>Motivate</v>
      </c>
      <c r="BE18" t="str">
        <v>Caring</v>
      </c>
      <c r="BF18" t="str">
        <v>Charisma</v>
      </c>
      <c r="BG18" t="str">
        <v>Passion</v>
      </c>
      <c r="BH18" t="str">
        <v>Friendly</v>
      </c>
      <c r="BV18">
        <v>1</v>
      </c>
      <c r="BW18">
        <f>BV18+1</f>
        <v>2</v>
      </c>
      <c r="BX18">
        <f>BW18+1</f>
        <v>3</v>
      </c>
      <c r="BY18">
        <f>BX18+1</f>
        <v>4</v>
      </c>
      <c r="CA18" s="47" t="s">
        <v>390</v>
      </c>
      <c r="CB18" s="47"/>
      <c r="CC18" s="47" t="s">
        <v>391</v>
      </c>
      <c r="CE18" s="47" t="s">
        <v>392</v>
      </c>
      <c r="CF18" s="47"/>
      <c r="CH18">
        <v>1</v>
      </c>
      <c r="CI18">
        <f>CH18+1</f>
        <v>2</v>
      </c>
      <c r="CJ18">
        <f>CI18+1</f>
        <v>3</v>
      </c>
      <c r="CK18">
        <f>CJ18+1</f>
        <v>4</v>
      </c>
      <c r="CN18" s="156" t="e">
        <f t="array" aca="1" ref="CN18:CQ21" ca="1">MMULT(TRANSPOSE(B44:E52),MMULT(MINVERSE(DIAGONAL(Q44:Q52)),B44:E52))</f>
        <v>#NAME?</v>
      </c>
      <c r="CO18" s="157" t="e">
        <f ca="1"/>
        <v>#NAME?</v>
      </c>
      <c r="CP18" s="157" t="e">
        <f ca="1"/>
        <v>#NAME?</v>
      </c>
      <c r="CQ18" s="158" t="e">
        <f ca="1"/>
        <v>#NAME?</v>
      </c>
      <c r="CZ18">
        <v>1</v>
      </c>
      <c r="DA18">
        <f>CZ18+1</f>
        <v>2</v>
      </c>
      <c r="DB18">
        <f>DA18+1</f>
        <v>3</v>
      </c>
      <c r="DC18">
        <f>DB18+1</f>
        <v>4</v>
      </c>
      <c r="DF18" s="123" t="e">
        <f ca="1"/>
        <v>#NAME?</v>
      </c>
      <c r="DG18" s="37" t="e">
        <f ca="1"/>
        <v>#NAME?</v>
      </c>
      <c r="DH18" s="37" t="e">
        <f ca="1"/>
        <v>#NAME?</v>
      </c>
      <c r="DI18" s="90" t="e">
        <f ca="1"/>
        <v>#NAME?</v>
      </c>
    </row>
    <row r="19" spans="1:144" x14ac:dyDescent="0.35">
      <c r="A19" s="37" t="str">
        <f>A6</f>
        <v>Expect</v>
      </c>
      <c r="B19" s="156" t="e">
        <f ca="1"/>
        <v>#NAME?</v>
      </c>
      <c r="C19" s="157" t="e">
        <f ca="1"/>
        <v>#NAME?</v>
      </c>
      <c r="D19" s="157" t="e">
        <f ca="1"/>
        <v>#NAME?</v>
      </c>
      <c r="E19" s="157" t="e">
        <f ca="1"/>
        <v>#NAME?</v>
      </c>
      <c r="F19" s="157" t="e">
        <f ca="1"/>
        <v>#NAME?</v>
      </c>
      <c r="G19" s="157" t="e">
        <f ca="1"/>
        <v>#NAME?</v>
      </c>
      <c r="H19" s="157" t="e">
        <f ca="1"/>
        <v>#NAME?</v>
      </c>
      <c r="I19" s="157" t="e">
        <f ca="1"/>
        <v>#NAME?</v>
      </c>
      <c r="J19" s="158" t="e">
        <f ca="1"/>
        <v>#NAME?</v>
      </c>
      <c r="AC19" s="46" t="str">
        <f t="array" ref="AC19:AC27">A19:A27</f>
        <v>Expect</v>
      </c>
      <c r="AD19" s="176" t="e">
        <f t="array" aca="1" ref="AD19:AL27" ca="1">B6:J14-MMULT(B44:E52,TRANSPOSE(B44:E52))</f>
        <v>#NAME?</v>
      </c>
      <c r="AE19" s="177" t="e">
        <f ca="1"/>
        <v>#NAME?</v>
      </c>
      <c r="AF19" s="177" t="e">
        <f ca="1"/>
        <v>#NAME?</v>
      </c>
      <c r="AG19" s="177" t="e">
        <f ca="1"/>
        <v>#NAME?</v>
      </c>
      <c r="AH19" s="177" t="e">
        <f ca="1"/>
        <v>#NAME?</v>
      </c>
      <c r="AI19" s="177" t="e">
        <f ca="1"/>
        <v>#NAME?</v>
      </c>
      <c r="AJ19" s="177" t="e">
        <f ca="1"/>
        <v>#NAME?</v>
      </c>
      <c r="AK19" s="177" t="e">
        <f ca="1"/>
        <v>#NAME?</v>
      </c>
      <c r="AL19" s="178" t="e">
        <f ca="1"/>
        <v>#NAME?</v>
      </c>
      <c r="AN19" t="str">
        <f t="array" ref="AN19:AN27">A44:A52</f>
        <v>Expect</v>
      </c>
      <c r="AO19" s="156" t="e">
        <f t="array" aca="1" ref="AO19:AW27" ca="1">MMULT(B44:E52,TRANSPOSE(B44:E52))</f>
        <v>#NAME?</v>
      </c>
      <c r="AP19" s="157" t="e">
        <f ca="1"/>
        <v>#NAME?</v>
      </c>
      <c r="AQ19" s="157" t="e">
        <f ca="1"/>
        <v>#NAME?</v>
      </c>
      <c r="AR19" s="157" t="e">
        <f ca="1"/>
        <v>#NAME?</v>
      </c>
      <c r="AS19" s="157" t="e">
        <f ca="1"/>
        <v>#NAME?</v>
      </c>
      <c r="AT19" s="157" t="e">
        <f ca="1"/>
        <v>#NAME?</v>
      </c>
      <c r="AU19" s="157" t="e">
        <f ca="1"/>
        <v>#NAME?</v>
      </c>
      <c r="AV19" s="157" t="e">
        <f ca="1"/>
        <v>#NAME?</v>
      </c>
      <c r="AW19" s="158" t="e">
        <f ca="1"/>
        <v>#NAME?</v>
      </c>
      <c r="AY19" t="str">
        <f t="array" ref="AY19:AY27">AN19:AN27</f>
        <v>Expect</v>
      </c>
      <c r="AZ19" s="156" t="e">
        <f t="array" aca="1" ref="AZ19:BH27" ca="1">MMULT(MINVERSE(AZ6:BH14),TRANSPOSE(B31:J39))</f>
        <v>#NAME?</v>
      </c>
      <c r="BA19" s="157" t="e">
        <f ca="1"/>
        <v>#NAME?</v>
      </c>
      <c r="BB19" s="157" t="e">
        <f ca="1"/>
        <v>#NAME?</v>
      </c>
      <c r="BC19" s="157" t="e">
        <f ca="1"/>
        <v>#NAME?</v>
      </c>
      <c r="BD19" s="157" t="e">
        <f ca="1"/>
        <v>#NAME?</v>
      </c>
      <c r="BE19" s="157" t="e">
        <f ca="1"/>
        <v>#NAME?</v>
      </c>
      <c r="BF19" s="157" t="e">
        <f ca="1"/>
        <v>#NAME?</v>
      </c>
      <c r="BG19" s="157" t="e">
        <f ca="1"/>
        <v>#NAME?</v>
      </c>
      <c r="BH19" s="158" t="e">
        <f ca="1"/>
        <v>#NAME?</v>
      </c>
      <c r="BI19" s="37"/>
      <c r="BK19" s="156" t="e">
        <f t="array" aca="1" ref="BK19:BS22" ca="1">TRANSPOSE(B19:E27)/SQRT(TRANSPOSE(B18:E18))</f>
        <v>#NAME?</v>
      </c>
      <c r="BL19" s="157" t="e">
        <f ca="1"/>
        <v>#NAME?</v>
      </c>
      <c r="BM19" s="157" t="e">
        <f ca="1"/>
        <v>#NAME?</v>
      </c>
      <c r="BN19" s="157" t="e">
        <f ca="1"/>
        <v>#NAME?</v>
      </c>
      <c r="BO19" s="157" t="e">
        <f ca="1"/>
        <v>#NAME?</v>
      </c>
      <c r="BP19" s="157" t="e">
        <f ca="1"/>
        <v>#NAME?</v>
      </c>
      <c r="BQ19" s="157" t="e">
        <f ca="1"/>
        <v>#NAME?</v>
      </c>
      <c r="BR19" s="157" t="e">
        <f ca="1"/>
        <v>#NAME?</v>
      </c>
      <c r="BS19" s="158" t="e">
        <f ca="1"/>
        <v>#NAME?</v>
      </c>
      <c r="BU19" t="str">
        <f t="array" ref="BU19:BU27">AY19:AY27</f>
        <v>Expect</v>
      </c>
      <c r="BV19" s="156" t="e">
        <f t="array" ref="BV19:BV27" ca="1">-BV6:BV14</f>
        <v>#NAME?</v>
      </c>
      <c r="BW19" s="157" t="e">
        <f t="array" ref="BW19:BW27" ca="1">BW6:BW14</f>
        <v>#NAME?</v>
      </c>
      <c r="BX19" s="157" t="e">
        <f t="array" ref="BX19:BX27" ca="1">BX6:BX14</f>
        <v>#NAME?</v>
      </c>
      <c r="BY19" s="158" t="e">
        <f t="array" ref="BY19:BY27" ca="1">BY6:BY14</f>
        <v>#NAME?</v>
      </c>
      <c r="CA19" s="172">
        <f t="array" ref="CA19:CA27">CA6:CA14</f>
        <v>2</v>
      </c>
      <c r="CC19" s="172">
        <f t="array" ref="CC19:CC27">CC6:CC14</f>
        <v>-1.7083333333333335</v>
      </c>
      <c r="CE19" s="172" t="e">
        <f t="array" aca="1" ref="CE19:CE22" ca="1">MMULT(TRANSPOSE(BV19:BY27),CC19:CC27)</f>
        <v>#NAME?</v>
      </c>
      <c r="CF19" s="37"/>
      <c r="CG19">
        <v>1</v>
      </c>
      <c r="CH19" s="156" t="e">
        <f t="array" aca="1" ref="CH19:CK138" ca="1">MMULT(PCA!B4:J123-PCA!B126:J126,BV19:BY27)</f>
        <v>#NAME?</v>
      </c>
      <c r="CI19" s="157" t="e">
        <f ca="1"/>
        <v>#NAME?</v>
      </c>
      <c r="CJ19" s="157" t="e">
        <f ca="1"/>
        <v>#NAME?</v>
      </c>
      <c r="CK19" s="158" t="e">
        <f ca="1"/>
        <v>#NAME?</v>
      </c>
      <c r="CN19" s="123" t="e">
        <f ca="1"/>
        <v>#NAME?</v>
      </c>
      <c r="CO19" s="37" t="e">
        <f ca="1"/>
        <v>#NAME?</v>
      </c>
      <c r="CP19" s="37" t="e">
        <f ca="1"/>
        <v>#NAME?</v>
      </c>
      <c r="CQ19" s="90" t="e">
        <f ca="1"/>
        <v>#NAME?</v>
      </c>
      <c r="CY19">
        <v>1</v>
      </c>
      <c r="CZ19" s="156" t="e">
        <f t="array" aca="1" ref="CZ19:DC138" ca="1">MMULT(PCA!B4:J123-PCA!B126:J126,CN26:CQ34)</f>
        <v>#NAME?</v>
      </c>
      <c r="DA19" s="157" t="e">
        <f ca="1"/>
        <v>#NAME?</v>
      </c>
      <c r="DB19" s="157" t="e">
        <f ca="1"/>
        <v>#NAME?</v>
      </c>
      <c r="DC19" s="158" t="e">
        <f ca="1"/>
        <v>#NAME?</v>
      </c>
      <c r="DF19" s="123" t="e">
        <f ca="1"/>
        <v>#NAME?</v>
      </c>
      <c r="DG19" s="37" t="e">
        <f ca="1"/>
        <v>#NAME?</v>
      </c>
      <c r="DH19" s="37" t="e">
        <f ca="1"/>
        <v>#NAME?</v>
      </c>
      <c r="DI19" s="90" t="e">
        <f ca="1"/>
        <v>#NAME?</v>
      </c>
    </row>
    <row r="20" spans="1:144" x14ac:dyDescent="0.35">
      <c r="A20" s="37" t="str">
        <f t="shared" ref="A20:A27" si="2">A7</f>
        <v>Entertain</v>
      </c>
      <c r="B20" s="123" t="e">
        <f ca="1"/>
        <v>#NAME?</v>
      </c>
      <c r="C20" s="37" t="e">
        <f ca="1"/>
        <v>#NAME?</v>
      </c>
      <c r="D20" s="37" t="e">
        <f ca="1"/>
        <v>#NAME?</v>
      </c>
      <c r="E20" s="37" t="e">
        <f ca="1"/>
        <v>#NAME?</v>
      </c>
      <c r="F20" s="37" t="e">
        <f ca="1"/>
        <v>#NAME?</v>
      </c>
      <c r="G20" s="37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  <c r="AC20" s="46" t="str">
        <v>Entertain</v>
      </c>
      <c r="AD20" s="124" t="e">
        <f ca="1"/>
        <v>#NAME?</v>
      </c>
      <c r="AE20" s="3" t="e">
        <f ca="1"/>
        <v>#NAME?</v>
      </c>
      <c r="AF20" s="3" t="e">
        <f ca="1"/>
        <v>#NAME?</v>
      </c>
      <c r="AG20" s="3" t="e">
        <f ca="1"/>
        <v>#NAME?</v>
      </c>
      <c r="AH20" s="3" t="e">
        <f ca="1"/>
        <v>#NAME?</v>
      </c>
      <c r="AI20" s="3" t="e">
        <f ca="1"/>
        <v>#NAME?</v>
      </c>
      <c r="AJ20" s="3" t="e">
        <f ca="1"/>
        <v>#NAME?</v>
      </c>
      <c r="AK20" s="3" t="e">
        <f ca="1"/>
        <v>#NAME?</v>
      </c>
      <c r="AL20" s="179" t="e">
        <f ca="1"/>
        <v>#NAME?</v>
      </c>
      <c r="AN20" t="str">
        <v>Entertain</v>
      </c>
      <c r="AO20" s="123" t="e">
        <f ca="1"/>
        <v>#NAME?</v>
      </c>
      <c r="AP20" s="37" t="e">
        <f ca="1"/>
        <v>#NAME?</v>
      </c>
      <c r="AQ20" s="37" t="e">
        <f ca="1"/>
        <v>#NAME?</v>
      </c>
      <c r="AR20" s="37" t="e">
        <f ca="1"/>
        <v>#NAME?</v>
      </c>
      <c r="AS20" s="37" t="e">
        <f ca="1"/>
        <v>#NAME?</v>
      </c>
      <c r="AT20" s="37" t="e">
        <f ca="1"/>
        <v>#NAME?</v>
      </c>
      <c r="AU20" s="37" t="e">
        <f ca="1"/>
        <v>#NAME?</v>
      </c>
      <c r="AV20" s="37" t="e">
        <f ca="1"/>
        <v>#NAME?</v>
      </c>
      <c r="AW20" s="90" t="e">
        <f ca="1"/>
        <v>#NAME?</v>
      </c>
      <c r="AY20" t="str">
        <v>Entertain</v>
      </c>
      <c r="AZ20" s="123" t="e">
        <f ca="1"/>
        <v>#NAME?</v>
      </c>
      <c r="BA20" s="37" t="e">
        <f ca="1"/>
        <v>#NAME?</v>
      </c>
      <c r="BB20" s="37" t="e">
        <f ca="1"/>
        <v>#NAME?</v>
      </c>
      <c r="BC20" s="37" t="e">
        <f ca="1"/>
        <v>#NAME?</v>
      </c>
      <c r="BD20" s="37" t="e">
        <f ca="1"/>
        <v>#NAME?</v>
      </c>
      <c r="BE20" s="37" t="e">
        <f ca="1"/>
        <v>#NAME?</v>
      </c>
      <c r="BF20" s="37" t="e">
        <f ca="1"/>
        <v>#NAME?</v>
      </c>
      <c r="BG20" s="37" t="e">
        <f ca="1"/>
        <v>#NAME?</v>
      </c>
      <c r="BH20" s="90" t="e">
        <f ca="1"/>
        <v>#NAME?</v>
      </c>
      <c r="BI20" s="37"/>
      <c r="BK20" s="123" t="e">
        <f ca="1"/>
        <v>#NAME?</v>
      </c>
      <c r="BL20" s="37" t="e">
        <f ca="1"/>
        <v>#NAME?</v>
      </c>
      <c r="BM20" s="37" t="e">
        <f ca="1"/>
        <v>#NAME?</v>
      </c>
      <c r="BN20" s="37" t="e">
        <f ca="1"/>
        <v>#NAME?</v>
      </c>
      <c r="BO20" s="37" t="e">
        <f ca="1"/>
        <v>#NAME?</v>
      </c>
      <c r="BP20" s="37" t="e">
        <f ca="1"/>
        <v>#NAME?</v>
      </c>
      <c r="BQ20" s="37" t="e">
        <f ca="1"/>
        <v>#NAME?</v>
      </c>
      <c r="BR20" s="37" t="e">
        <f ca="1"/>
        <v>#NAME?</v>
      </c>
      <c r="BS20" s="90" t="e">
        <f ca="1"/>
        <v>#NAME?</v>
      </c>
      <c r="BU20" t="str">
        <v>Entertain</v>
      </c>
      <c r="BV20" s="123" t="e">
        <f ca="1"/>
        <v>#NAME?</v>
      </c>
      <c r="BW20" s="37" t="e">
        <f ca="1"/>
        <v>#NAME?</v>
      </c>
      <c r="BX20" s="37" t="e">
        <f ca="1"/>
        <v>#NAME?</v>
      </c>
      <c r="BY20" s="90" t="e">
        <f ca="1"/>
        <v>#NAME?</v>
      </c>
      <c r="CA20" s="173">
        <v>8</v>
      </c>
      <c r="CC20" s="173">
        <v>-0.16666666666666607</v>
      </c>
      <c r="CE20" s="173" t="e">
        <f ca="1"/>
        <v>#NAME?</v>
      </c>
      <c r="CF20" s="37"/>
      <c r="CG20">
        <f>CG19+1</f>
        <v>2</v>
      </c>
      <c r="CH20" s="123" t="e">
        <f ca="1"/>
        <v>#NAME?</v>
      </c>
      <c r="CI20" s="37" t="e">
        <f ca="1"/>
        <v>#NAME?</v>
      </c>
      <c r="CJ20" s="37" t="e">
        <f ca="1"/>
        <v>#NAME?</v>
      </c>
      <c r="CK20" s="90" t="e">
        <f ca="1"/>
        <v>#NAME?</v>
      </c>
      <c r="CN20" s="123" t="e">
        <f ca="1"/>
        <v>#NAME?</v>
      </c>
      <c r="CO20" s="37" t="e">
        <f ca="1"/>
        <v>#NAME?</v>
      </c>
      <c r="CP20" s="37" t="e">
        <f ca="1"/>
        <v>#NAME?</v>
      </c>
      <c r="CQ20" s="90" t="e">
        <f ca="1"/>
        <v>#NAME?</v>
      </c>
      <c r="CY20">
        <f>CY19+1</f>
        <v>2</v>
      </c>
      <c r="CZ20" s="123" t="e">
        <f ca="1"/>
        <v>#NAME?</v>
      </c>
      <c r="DA20" s="37" t="e">
        <f ca="1"/>
        <v>#NAME?</v>
      </c>
      <c r="DB20" s="37" t="e">
        <f ca="1"/>
        <v>#NAME?</v>
      </c>
      <c r="DC20" s="90" t="e">
        <f ca="1"/>
        <v>#NAME?</v>
      </c>
      <c r="DF20" s="91" t="e">
        <f ca="1"/>
        <v>#NAME?</v>
      </c>
      <c r="DG20" s="92" t="e">
        <f ca="1"/>
        <v>#NAME?</v>
      </c>
      <c r="DH20" s="92" t="e">
        <f ca="1"/>
        <v>#NAME?</v>
      </c>
      <c r="DI20" s="93" t="e">
        <f ca="1"/>
        <v>#NAME?</v>
      </c>
    </row>
    <row r="21" spans="1:144" x14ac:dyDescent="0.35">
      <c r="A21" s="37" t="str">
        <f t="shared" si="2"/>
        <v>Comm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  <c r="AC21" s="46" t="str">
        <v>Comm</v>
      </c>
      <c r="AD21" s="124" t="e">
        <f ca="1"/>
        <v>#NAME?</v>
      </c>
      <c r="AE21" s="3" t="e">
        <f ca="1"/>
        <v>#NAME?</v>
      </c>
      <c r="AF21" s="3" t="e">
        <f ca="1"/>
        <v>#NAME?</v>
      </c>
      <c r="AG21" s="3" t="e">
        <f ca="1"/>
        <v>#NAME?</v>
      </c>
      <c r="AH21" s="3" t="e">
        <f ca="1"/>
        <v>#NAME?</v>
      </c>
      <c r="AI21" s="3" t="e">
        <f ca="1"/>
        <v>#NAME?</v>
      </c>
      <c r="AJ21" s="3" t="e">
        <f ca="1"/>
        <v>#NAME?</v>
      </c>
      <c r="AK21" s="3" t="e">
        <f ca="1"/>
        <v>#NAME?</v>
      </c>
      <c r="AL21" s="179" t="e">
        <f ca="1"/>
        <v>#NAME?</v>
      </c>
      <c r="AN21" t="str">
        <v>Comm</v>
      </c>
      <c r="AO21" s="123" t="e">
        <f ca="1"/>
        <v>#NAME?</v>
      </c>
      <c r="AP21" s="37" t="e">
        <f ca="1"/>
        <v>#NAME?</v>
      </c>
      <c r="AQ21" s="37" t="e">
        <f ca="1"/>
        <v>#NAME?</v>
      </c>
      <c r="AR21" s="37" t="e">
        <f ca="1"/>
        <v>#NAME?</v>
      </c>
      <c r="AS21" s="37" t="e">
        <f ca="1"/>
        <v>#NAME?</v>
      </c>
      <c r="AT21" s="37" t="e">
        <f ca="1"/>
        <v>#NAME?</v>
      </c>
      <c r="AU21" s="37" t="e">
        <f ca="1"/>
        <v>#NAME?</v>
      </c>
      <c r="AV21" s="37" t="e">
        <f ca="1"/>
        <v>#NAME?</v>
      </c>
      <c r="AW21" s="90" t="e">
        <f ca="1"/>
        <v>#NAME?</v>
      </c>
      <c r="AY21" t="str">
        <v>Comm</v>
      </c>
      <c r="AZ21" s="123" t="e">
        <f ca="1"/>
        <v>#NAME?</v>
      </c>
      <c r="BA21" s="37" t="e">
        <f ca="1"/>
        <v>#NAME?</v>
      </c>
      <c r="BB21" s="37" t="e">
        <f ca="1"/>
        <v>#NAME?</v>
      </c>
      <c r="BC21" s="37" t="e">
        <f ca="1"/>
        <v>#NAME?</v>
      </c>
      <c r="BD21" s="37" t="e">
        <f ca="1"/>
        <v>#NAME?</v>
      </c>
      <c r="BE21" s="37" t="e">
        <f ca="1"/>
        <v>#NAME?</v>
      </c>
      <c r="BF21" s="37" t="e">
        <f ca="1"/>
        <v>#NAME?</v>
      </c>
      <c r="BG21" s="37" t="e">
        <f ca="1"/>
        <v>#NAME?</v>
      </c>
      <c r="BH21" s="90" t="e">
        <f ca="1"/>
        <v>#NAME?</v>
      </c>
      <c r="BI21" s="37"/>
      <c r="BK21" s="123" t="e">
        <f ca="1"/>
        <v>#NAME?</v>
      </c>
      <c r="BL21" s="37" t="e">
        <f ca="1"/>
        <v>#NAME?</v>
      </c>
      <c r="BM21" s="37" t="e">
        <f ca="1"/>
        <v>#NAME?</v>
      </c>
      <c r="BN21" s="37" t="e">
        <f ca="1"/>
        <v>#NAME?</v>
      </c>
      <c r="BO21" s="37" t="e">
        <f ca="1"/>
        <v>#NAME?</v>
      </c>
      <c r="BP21" s="37" t="e">
        <f ca="1"/>
        <v>#NAME?</v>
      </c>
      <c r="BQ21" s="37" t="e">
        <f ca="1"/>
        <v>#NAME?</v>
      </c>
      <c r="BR21" s="37" t="e">
        <f ca="1"/>
        <v>#NAME?</v>
      </c>
      <c r="BS21" s="90" t="e">
        <f ca="1"/>
        <v>#NAME?</v>
      </c>
      <c r="BU21" t="str">
        <v>Comm</v>
      </c>
      <c r="BV21" s="123" t="e">
        <f ca="1"/>
        <v>#NAME?</v>
      </c>
      <c r="BW21" s="37" t="e">
        <f ca="1"/>
        <v>#NAME?</v>
      </c>
      <c r="BX21" s="37" t="e">
        <f ca="1"/>
        <v>#NAME?</v>
      </c>
      <c r="BY21" s="90" t="e">
        <f ca="1"/>
        <v>#NAME?</v>
      </c>
      <c r="CA21" s="173">
        <v>1</v>
      </c>
      <c r="CC21" s="173">
        <v>-2.4500000000000002</v>
      </c>
      <c r="CE21" s="173" t="e">
        <f ca="1"/>
        <v>#NAME?</v>
      </c>
      <c r="CF21" s="37"/>
      <c r="CG21">
        <f t="shared" ref="CG21:CG84" si="3">CG20+1</f>
        <v>3</v>
      </c>
      <c r="CH21" s="123" t="e">
        <f ca="1"/>
        <v>#NAME?</v>
      </c>
      <c r="CI21" s="37" t="e">
        <f ca="1"/>
        <v>#NAME?</v>
      </c>
      <c r="CJ21" s="37" t="e">
        <f ca="1"/>
        <v>#NAME?</v>
      </c>
      <c r="CK21" s="90" t="e">
        <f ca="1"/>
        <v>#NAME?</v>
      </c>
      <c r="CN21" s="91" t="e">
        <f ca="1"/>
        <v>#NAME?</v>
      </c>
      <c r="CO21" s="92" t="e">
        <f ca="1"/>
        <v>#NAME?</v>
      </c>
      <c r="CP21" s="92" t="e">
        <f ca="1"/>
        <v>#NAME?</v>
      </c>
      <c r="CQ21" s="93" t="e">
        <f ca="1"/>
        <v>#NAME?</v>
      </c>
      <c r="CY21">
        <f t="shared" ref="CY21:CY84" si="4">CY20+1</f>
        <v>3</v>
      </c>
      <c r="CZ21" s="123" t="e">
        <f ca="1"/>
        <v>#NAME?</v>
      </c>
      <c r="DA21" s="37" t="e">
        <f ca="1"/>
        <v>#NAME?</v>
      </c>
      <c r="DB21" s="37" t="e">
        <f ca="1"/>
        <v>#NAME?</v>
      </c>
      <c r="DC21" s="90" t="e">
        <f ca="1"/>
        <v>#NAME?</v>
      </c>
    </row>
    <row r="22" spans="1:144" x14ac:dyDescent="0.35">
      <c r="A22" s="37" t="str">
        <f t="shared" si="2"/>
        <v>Expert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  <c r="AC22" s="46" t="str">
        <v>Expert</v>
      </c>
      <c r="AD22" s="124" t="e">
        <f ca="1"/>
        <v>#NAME?</v>
      </c>
      <c r="AE22" s="3" t="e">
        <f ca="1"/>
        <v>#NAME?</v>
      </c>
      <c r="AF22" s="3" t="e">
        <f ca="1"/>
        <v>#NAME?</v>
      </c>
      <c r="AG22" s="3" t="e">
        <f ca="1"/>
        <v>#NAME?</v>
      </c>
      <c r="AH22" s="3" t="e">
        <f ca="1"/>
        <v>#NAME?</v>
      </c>
      <c r="AI22" s="3" t="e">
        <f ca="1"/>
        <v>#NAME?</v>
      </c>
      <c r="AJ22" s="3" t="e">
        <f ca="1"/>
        <v>#NAME?</v>
      </c>
      <c r="AK22" s="3" t="e">
        <f ca="1"/>
        <v>#NAME?</v>
      </c>
      <c r="AL22" s="179" t="e">
        <f ca="1"/>
        <v>#NAME?</v>
      </c>
      <c r="AN22" t="str">
        <v>Expert</v>
      </c>
      <c r="AO22" s="123" t="e">
        <f ca="1"/>
        <v>#NAME?</v>
      </c>
      <c r="AP22" s="37" t="e">
        <f ca="1"/>
        <v>#NAME?</v>
      </c>
      <c r="AQ22" s="37" t="e">
        <f ca="1"/>
        <v>#NAME?</v>
      </c>
      <c r="AR22" s="37" t="e">
        <f ca="1"/>
        <v>#NAME?</v>
      </c>
      <c r="AS22" s="37" t="e">
        <f ca="1"/>
        <v>#NAME?</v>
      </c>
      <c r="AT22" s="37" t="e">
        <f ca="1"/>
        <v>#NAME?</v>
      </c>
      <c r="AU22" s="37" t="e">
        <f ca="1"/>
        <v>#NAME?</v>
      </c>
      <c r="AV22" s="37" t="e">
        <f ca="1"/>
        <v>#NAME?</v>
      </c>
      <c r="AW22" s="90" t="e">
        <f ca="1"/>
        <v>#NAME?</v>
      </c>
      <c r="AY22" t="str">
        <v>Expert</v>
      </c>
      <c r="AZ22" s="123" t="e">
        <f ca="1"/>
        <v>#NAME?</v>
      </c>
      <c r="BA22" s="37" t="e">
        <f ca="1"/>
        <v>#NAME?</v>
      </c>
      <c r="BB22" s="37" t="e">
        <f ca="1"/>
        <v>#NAME?</v>
      </c>
      <c r="BC22" s="37" t="e">
        <f ca="1"/>
        <v>#NAME?</v>
      </c>
      <c r="BD22" s="37" t="e">
        <f ca="1"/>
        <v>#NAME?</v>
      </c>
      <c r="BE22" s="37" t="e">
        <f ca="1"/>
        <v>#NAME?</v>
      </c>
      <c r="BF22" s="37" t="e">
        <f ca="1"/>
        <v>#NAME?</v>
      </c>
      <c r="BG22" s="37" t="e">
        <f ca="1"/>
        <v>#NAME?</v>
      </c>
      <c r="BH22" s="90" t="e">
        <f ca="1"/>
        <v>#NAME?</v>
      </c>
      <c r="BI22" s="37"/>
      <c r="BK22" s="91" t="e">
        <f ca="1"/>
        <v>#NAME?</v>
      </c>
      <c r="BL22" s="92" t="e">
        <f ca="1"/>
        <v>#NAME?</v>
      </c>
      <c r="BM22" s="92" t="e">
        <f ca="1"/>
        <v>#NAME?</v>
      </c>
      <c r="BN22" s="92" t="e">
        <f ca="1"/>
        <v>#NAME?</v>
      </c>
      <c r="BO22" s="92" t="e">
        <f ca="1"/>
        <v>#NAME?</v>
      </c>
      <c r="BP22" s="92" t="e">
        <f ca="1"/>
        <v>#NAME?</v>
      </c>
      <c r="BQ22" s="92" t="e">
        <f ca="1"/>
        <v>#NAME?</v>
      </c>
      <c r="BR22" s="92" t="e">
        <f ca="1"/>
        <v>#NAME?</v>
      </c>
      <c r="BS22" s="93" t="e">
        <f ca="1"/>
        <v>#NAME?</v>
      </c>
      <c r="BU22" t="str">
        <v>Expert</v>
      </c>
      <c r="BV22" s="123" t="e">
        <f ca="1"/>
        <v>#NAME?</v>
      </c>
      <c r="BW22" s="37" t="e">
        <f ca="1"/>
        <v>#NAME?</v>
      </c>
      <c r="BX22" s="37" t="e">
        <f ca="1"/>
        <v>#NAME?</v>
      </c>
      <c r="BY22" s="90" t="e">
        <f ca="1"/>
        <v>#NAME?</v>
      </c>
      <c r="CA22" s="173">
        <v>4</v>
      </c>
      <c r="CC22" s="173">
        <v>0.6166666666666667</v>
      </c>
      <c r="CE22" s="174" t="e">
        <f ca="1"/>
        <v>#NAME?</v>
      </c>
      <c r="CF22" s="37"/>
      <c r="CG22">
        <f t="shared" si="3"/>
        <v>4</v>
      </c>
      <c r="CH22" s="123" t="e">
        <f ca="1"/>
        <v>#NAME?</v>
      </c>
      <c r="CI22" s="37" t="e">
        <f ca="1"/>
        <v>#NAME?</v>
      </c>
      <c r="CJ22" s="37" t="e">
        <f ca="1"/>
        <v>#NAME?</v>
      </c>
      <c r="CK22" s="90" t="e">
        <f ca="1"/>
        <v>#NAME?</v>
      </c>
      <c r="CY22">
        <f t="shared" si="4"/>
        <v>4</v>
      </c>
      <c r="CZ22" s="123" t="e">
        <f ca="1"/>
        <v>#NAME?</v>
      </c>
      <c r="DA22" s="37" t="e">
        <f ca="1"/>
        <v>#NAME?</v>
      </c>
      <c r="DB22" s="37" t="e">
        <f ca="1"/>
        <v>#NAME?</v>
      </c>
      <c r="DC22" s="90" t="e">
        <f ca="1"/>
        <v>#NAME?</v>
      </c>
    </row>
    <row r="23" spans="1:144" x14ac:dyDescent="0.35">
      <c r="A23" s="37" t="str">
        <f t="shared" si="2"/>
        <v>Motivate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  <c r="AC23" s="46" t="str">
        <v>Motivate</v>
      </c>
      <c r="AD23" s="124" t="e">
        <f ca="1"/>
        <v>#NAME?</v>
      </c>
      <c r="AE23" s="3" t="e">
        <f ca="1"/>
        <v>#NAME?</v>
      </c>
      <c r="AF23" s="3" t="e">
        <f ca="1"/>
        <v>#NAME?</v>
      </c>
      <c r="AG23" s="3" t="e">
        <f ca="1"/>
        <v>#NAME?</v>
      </c>
      <c r="AH23" s="3" t="e">
        <f ca="1"/>
        <v>#NAME?</v>
      </c>
      <c r="AI23" s="3" t="e">
        <f ca="1"/>
        <v>#NAME?</v>
      </c>
      <c r="AJ23" s="3" t="e">
        <f ca="1"/>
        <v>#NAME?</v>
      </c>
      <c r="AK23" s="3" t="e">
        <f ca="1"/>
        <v>#NAME?</v>
      </c>
      <c r="AL23" s="179" t="e">
        <f ca="1"/>
        <v>#NAME?</v>
      </c>
      <c r="AN23" t="str">
        <v>Motivate</v>
      </c>
      <c r="AO23" s="123" t="e">
        <f ca="1"/>
        <v>#NAME?</v>
      </c>
      <c r="AP23" s="37" t="e">
        <f ca="1"/>
        <v>#NAME?</v>
      </c>
      <c r="AQ23" s="37" t="e">
        <f ca="1"/>
        <v>#NAME?</v>
      </c>
      <c r="AR23" s="37" t="e">
        <f ca="1"/>
        <v>#NAME?</v>
      </c>
      <c r="AS23" s="37" t="e">
        <f ca="1"/>
        <v>#NAME?</v>
      </c>
      <c r="AT23" s="37" t="e">
        <f ca="1"/>
        <v>#NAME?</v>
      </c>
      <c r="AU23" s="37" t="e">
        <f ca="1"/>
        <v>#NAME?</v>
      </c>
      <c r="AV23" s="37" t="e">
        <f ca="1"/>
        <v>#NAME?</v>
      </c>
      <c r="AW23" s="90" t="e">
        <f ca="1"/>
        <v>#NAME?</v>
      </c>
      <c r="AY23" t="str">
        <v>Motivate</v>
      </c>
      <c r="AZ23" s="123" t="e">
        <f ca="1"/>
        <v>#NAME?</v>
      </c>
      <c r="BA23" s="37" t="e">
        <f ca="1"/>
        <v>#NAME?</v>
      </c>
      <c r="BB23" s="37" t="e">
        <f ca="1"/>
        <v>#NAME?</v>
      </c>
      <c r="BC23" s="37" t="e">
        <f ca="1"/>
        <v>#NAME?</v>
      </c>
      <c r="BD23" s="37" t="e">
        <f ca="1"/>
        <v>#NAME?</v>
      </c>
      <c r="BE23" s="37" t="e">
        <f ca="1"/>
        <v>#NAME?</v>
      </c>
      <c r="BF23" s="37" t="e">
        <f ca="1"/>
        <v>#NAME?</v>
      </c>
      <c r="BG23" s="37" t="e">
        <f ca="1"/>
        <v>#NAME?</v>
      </c>
      <c r="BH23" s="90" t="e">
        <f ca="1"/>
        <v>#NAME?</v>
      </c>
      <c r="BI23" s="37"/>
      <c r="BU23" t="str">
        <v>Motivate</v>
      </c>
      <c r="BV23" s="123" t="e">
        <f ca="1"/>
        <v>#NAME?</v>
      </c>
      <c r="BW23" s="37" t="e">
        <f ca="1"/>
        <v>#NAME?</v>
      </c>
      <c r="BX23" s="37" t="e">
        <f ca="1"/>
        <v>#NAME?</v>
      </c>
      <c r="BY23" s="90" t="e">
        <f ca="1"/>
        <v>#NAME?</v>
      </c>
      <c r="CA23" s="173">
        <v>7</v>
      </c>
      <c r="CC23" s="173">
        <v>0.29166666666666696</v>
      </c>
      <c r="CG23">
        <f t="shared" si="3"/>
        <v>5</v>
      </c>
      <c r="CH23" s="123" t="e">
        <f ca="1"/>
        <v>#NAME?</v>
      </c>
      <c r="CI23" s="37" t="e">
        <f ca="1"/>
        <v>#NAME?</v>
      </c>
      <c r="CJ23" s="37" t="e">
        <f ca="1"/>
        <v>#NAME?</v>
      </c>
      <c r="CK23" s="90" t="e">
        <f ca="1"/>
        <v>#NAME?</v>
      </c>
      <c r="CM23" t="s">
        <v>428</v>
      </c>
      <c r="CY23">
        <f t="shared" si="4"/>
        <v>5</v>
      </c>
      <c r="CZ23" s="123" t="e">
        <f ca="1"/>
        <v>#NAME?</v>
      </c>
      <c r="DA23" s="37" t="e">
        <f ca="1"/>
        <v>#NAME?</v>
      </c>
      <c r="DB23" s="37" t="e">
        <f ca="1"/>
        <v>#NAME?</v>
      </c>
      <c r="DC23" s="90" t="e">
        <f ca="1"/>
        <v>#NAME?</v>
      </c>
      <c r="DE23" t="s">
        <v>429</v>
      </c>
      <c r="DR23" t="s">
        <v>430</v>
      </c>
      <c r="DX23" t="s">
        <v>431</v>
      </c>
      <c r="ED23" t="s">
        <v>430</v>
      </c>
      <c r="EJ23" t="s">
        <v>431</v>
      </c>
    </row>
    <row r="24" spans="1:144" x14ac:dyDescent="0.35">
      <c r="A24" s="37" t="str">
        <f t="shared" si="2"/>
        <v>Caring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  <c r="AC24" s="46" t="str">
        <v>Caring</v>
      </c>
      <c r="AD24" s="124" t="e">
        <f ca="1"/>
        <v>#NAME?</v>
      </c>
      <c r="AE24" s="3" t="e">
        <f ca="1"/>
        <v>#NAME?</v>
      </c>
      <c r="AF24" s="3" t="e">
        <f ca="1"/>
        <v>#NAME?</v>
      </c>
      <c r="AG24" s="3" t="e">
        <f ca="1"/>
        <v>#NAME?</v>
      </c>
      <c r="AH24" s="3" t="e">
        <f ca="1"/>
        <v>#NAME?</v>
      </c>
      <c r="AI24" s="3" t="e">
        <f ca="1"/>
        <v>#NAME?</v>
      </c>
      <c r="AJ24" s="3" t="e">
        <f ca="1"/>
        <v>#NAME?</v>
      </c>
      <c r="AK24" s="3" t="e">
        <f ca="1"/>
        <v>#NAME?</v>
      </c>
      <c r="AL24" s="179" t="e">
        <f ca="1"/>
        <v>#NAME?</v>
      </c>
      <c r="AN24" t="str">
        <v>Caring</v>
      </c>
      <c r="AO24" s="123" t="e">
        <f ca="1"/>
        <v>#NAME?</v>
      </c>
      <c r="AP24" s="37" t="e">
        <f ca="1"/>
        <v>#NAME?</v>
      </c>
      <c r="AQ24" s="37" t="e">
        <f ca="1"/>
        <v>#NAME?</v>
      </c>
      <c r="AR24" s="37" t="e">
        <f ca="1"/>
        <v>#NAME?</v>
      </c>
      <c r="AS24" s="37" t="e">
        <f ca="1"/>
        <v>#NAME?</v>
      </c>
      <c r="AT24" s="37" t="e">
        <f ca="1"/>
        <v>#NAME?</v>
      </c>
      <c r="AU24" s="37" t="e">
        <f ca="1"/>
        <v>#NAME?</v>
      </c>
      <c r="AV24" s="37" t="e">
        <f ca="1"/>
        <v>#NAME?</v>
      </c>
      <c r="AW24" s="90" t="e">
        <f ca="1"/>
        <v>#NAME?</v>
      </c>
      <c r="AY24" t="str">
        <v>Caring</v>
      </c>
      <c r="AZ24" s="123" t="e">
        <f ca="1"/>
        <v>#NAME?</v>
      </c>
      <c r="BA24" s="37" t="e">
        <f ca="1"/>
        <v>#NAME?</v>
      </c>
      <c r="BB24" s="37" t="e">
        <f ca="1"/>
        <v>#NAME?</v>
      </c>
      <c r="BC24" s="37" t="e">
        <f ca="1"/>
        <v>#NAME?</v>
      </c>
      <c r="BD24" s="37" t="e">
        <f ca="1"/>
        <v>#NAME?</v>
      </c>
      <c r="BE24" s="37" t="e">
        <f ca="1"/>
        <v>#NAME?</v>
      </c>
      <c r="BF24" s="37" t="e">
        <f ca="1"/>
        <v>#NAME?</v>
      </c>
      <c r="BG24" s="37" t="e">
        <f ca="1"/>
        <v>#NAME?</v>
      </c>
      <c r="BH24" s="90" t="e">
        <f ca="1"/>
        <v>#NAME?</v>
      </c>
      <c r="BI24" s="37"/>
      <c r="BK24" t="s">
        <v>432</v>
      </c>
      <c r="BU24" t="str">
        <v>Caring</v>
      </c>
      <c r="BV24" s="123" t="e">
        <f ca="1"/>
        <v>#NAME?</v>
      </c>
      <c r="BW24" s="37" t="e">
        <f ca="1"/>
        <v>#NAME?</v>
      </c>
      <c r="BX24" s="37" t="e">
        <f ca="1"/>
        <v>#NAME?</v>
      </c>
      <c r="BY24" s="90" t="e">
        <f ca="1"/>
        <v>#NAME?</v>
      </c>
      <c r="CA24" s="173">
        <v>5</v>
      </c>
      <c r="CC24" s="173">
        <v>-1.0083333333333337</v>
      </c>
      <c r="CG24">
        <f t="shared" si="3"/>
        <v>6</v>
      </c>
      <c r="CH24" s="123" t="e">
        <f ca="1"/>
        <v>#NAME?</v>
      </c>
      <c r="CI24" s="37" t="e">
        <f ca="1"/>
        <v>#NAME?</v>
      </c>
      <c r="CJ24" s="37" t="e">
        <f ca="1"/>
        <v>#NAME?</v>
      </c>
      <c r="CK24" s="90" t="e">
        <f ca="1"/>
        <v>#NAME?</v>
      </c>
      <c r="CY24">
        <f t="shared" si="4"/>
        <v>6</v>
      </c>
      <c r="CZ24" s="123" t="e">
        <f ca="1"/>
        <v>#NAME?</v>
      </c>
      <c r="DA24" s="37" t="e">
        <f ca="1"/>
        <v>#NAME?</v>
      </c>
      <c r="DB24" s="37" t="e">
        <f ca="1"/>
        <v>#NAME?</v>
      </c>
      <c r="DC24" s="90" t="e">
        <f ca="1"/>
        <v>#NAME?</v>
      </c>
      <c r="DR24" t="s">
        <v>427</v>
      </c>
      <c r="ED24" t="s">
        <v>427</v>
      </c>
    </row>
    <row r="25" spans="1:144" x14ac:dyDescent="0.35">
      <c r="A25" s="37" t="str">
        <f t="shared" si="2"/>
        <v>Charisma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AC25" s="46" t="str">
        <v>Charisma</v>
      </c>
      <c r="AD25" s="124" t="e">
        <f ca="1"/>
        <v>#NAME?</v>
      </c>
      <c r="AE25" s="3" t="e">
        <f ca="1"/>
        <v>#NAME?</v>
      </c>
      <c r="AF25" s="3" t="e">
        <f ca="1"/>
        <v>#NAME?</v>
      </c>
      <c r="AG25" s="3" t="e">
        <f ca="1"/>
        <v>#NAME?</v>
      </c>
      <c r="AH25" s="3" t="e">
        <f ca="1"/>
        <v>#NAME?</v>
      </c>
      <c r="AI25" s="3" t="e">
        <f ca="1"/>
        <v>#NAME?</v>
      </c>
      <c r="AJ25" s="3" t="e">
        <f ca="1"/>
        <v>#NAME?</v>
      </c>
      <c r="AK25" s="3" t="e">
        <f ca="1"/>
        <v>#NAME?</v>
      </c>
      <c r="AL25" s="179" t="e">
        <f ca="1"/>
        <v>#NAME?</v>
      </c>
      <c r="AN25" t="str">
        <v>Charisma</v>
      </c>
      <c r="AO25" s="123" t="e">
        <f ca="1"/>
        <v>#NAME?</v>
      </c>
      <c r="AP25" s="37" t="e">
        <f ca="1"/>
        <v>#NAME?</v>
      </c>
      <c r="AQ25" s="37" t="e">
        <f ca="1"/>
        <v>#NAME?</v>
      </c>
      <c r="AR25" s="37" t="e">
        <f ca="1"/>
        <v>#NAME?</v>
      </c>
      <c r="AS25" s="37" t="e">
        <f ca="1"/>
        <v>#NAME?</v>
      </c>
      <c r="AT25" s="37" t="e">
        <f ca="1"/>
        <v>#NAME?</v>
      </c>
      <c r="AU25" s="37" t="e">
        <f ca="1"/>
        <v>#NAME?</v>
      </c>
      <c r="AV25" s="37" t="e">
        <f ca="1"/>
        <v>#NAME?</v>
      </c>
      <c r="AW25" s="90" t="e">
        <f ca="1"/>
        <v>#NAME?</v>
      </c>
      <c r="AY25" t="str">
        <v>Charisma</v>
      </c>
      <c r="AZ25" s="123" t="e">
        <f ca="1"/>
        <v>#NAME?</v>
      </c>
      <c r="BA25" s="37" t="e">
        <f ca="1"/>
        <v>#NAME?</v>
      </c>
      <c r="BB25" s="37" t="e">
        <f ca="1"/>
        <v>#NAME?</v>
      </c>
      <c r="BC25" s="37" t="e">
        <f ca="1"/>
        <v>#NAME?</v>
      </c>
      <c r="BD25" s="37" t="e">
        <f ca="1"/>
        <v>#NAME?</v>
      </c>
      <c r="BE25" s="37" t="e">
        <f ca="1"/>
        <v>#NAME?</v>
      </c>
      <c r="BF25" s="37" t="e">
        <f ca="1"/>
        <v>#NAME?</v>
      </c>
      <c r="BG25" s="37" t="e">
        <f ca="1"/>
        <v>#NAME?</v>
      </c>
      <c r="BH25" s="90" t="e">
        <f ca="1"/>
        <v>#NAME?</v>
      </c>
      <c r="BI25" s="37"/>
      <c r="BU25" t="str">
        <v>Charisma</v>
      </c>
      <c r="BV25" s="123" t="e">
        <f ca="1"/>
        <v>#NAME?</v>
      </c>
      <c r="BW25" s="37" t="e">
        <f ca="1"/>
        <v>#NAME?</v>
      </c>
      <c r="BX25" s="37" t="e">
        <f ca="1"/>
        <v>#NAME?</v>
      </c>
      <c r="BY25" s="90" t="e">
        <f ca="1"/>
        <v>#NAME?</v>
      </c>
      <c r="CA25" s="173">
        <v>4</v>
      </c>
      <c r="CC25" s="173">
        <v>-0.84166666666666679</v>
      </c>
      <c r="CG25">
        <f t="shared" si="3"/>
        <v>7</v>
      </c>
      <c r="CH25" s="123" t="e">
        <f ca="1"/>
        <v>#NAME?</v>
      </c>
      <c r="CI25" s="37" t="e">
        <f ca="1"/>
        <v>#NAME?</v>
      </c>
      <c r="CJ25" s="37" t="e">
        <f ca="1"/>
        <v>#NAME?</v>
      </c>
      <c r="CK25" s="90" t="e">
        <f ca="1"/>
        <v>#NAME?</v>
      </c>
      <c r="CN25">
        <v>1</v>
      </c>
      <c r="CO25">
        <f>CN25+1</f>
        <v>2</v>
      </c>
      <c r="CP25">
        <f>CO25+1</f>
        <v>3</v>
      </c>
      <c r="CQ25">
        <f>CP25+1</f>
        <v>4</v>
      </c>
      <c r="CS25" s="47" t="s">
        <v>390</v>
      </c>
      <c r="CT25" s="47"/>
      <c r="CU25" s="47" t="s">
        <v>391</v>
      </c>
      <c r="CW25" s="47" t="s">
        <v>392</v>
      </c>
      <c r="CY25">
        <f t="shared" si="4"/>
        <v>7</v>
      </c>
      <c r="CZ25" s="123" t="e">
        <f ca="1"/>
        <v>#NAME?</v>
      </c>
      <c r="DA25" s="37" t="e">
        <f ca="1"/>
        <v>#NAME?</v>
      </c>
      <c r="DB25" s="37" t="e">
        <f ca="1"/>
        <v>#NAME?</v>
      </c>
      <c r="DC25" s="90" t="e">
        <f ca="1"/>
        <v>#NAME?</v>
      </c>
      <c r="DF25">
        <v>1</v>
      </c>
      <c r="DG25">
        <f>DF25+1</f>
        <v>2</v>
      </c>
      <c r="DH25">
        <f>DG25+1</f>
        <v>3</v>
      </c>
      <c r="DI25">
        <f>DH25+1</f>
        <v>4</v>
      </c>
      <c r="DK25" s="47" t="s">
        <v>390</v>
      </c>
      <c r="DL25" s="47"/>
      <c r="DM25" s="47" t="s">
        <v>391</v>
      </c>
      <c r="DO25" s="47" t="s">
        <v>392</v>
      </c>
      <c r="DR25">
        <v>1</v>
      </c>
      <c r="DS25">
        <f>DR25+1</f>
        <v>2</v>
      </c>
      <c r="DT25">
        <f>DS25+1</f>
        <v>3</v>
      </c>
      <c r="DU25">
        <f>DT25+1</f>
        <v>4</v>
      </c>
      <c r="DY25">
        <v>1</v>
      </c>
      <c r="DZ25">
        <f>DY25+1</f>
        <v>2</v>
      </c>
      <c r="EA25">
        <f>DZ25+1</f>
        <v>3</v>
      </c>
      <c r="EB25">
        <f>EA25+1</f>
        <v>4</v>
      </c>
      <c r="ED25">
        <v>1</v>
      </c>
      <c r="EE25">
        <f>ED25+1</f>
        <v>2</v>
      </c>
      <c r="EF25">
        <f>EE25+1</f>
        <v>3</v>
      </c>
      <c r="EG25">
        <f>EF25+1</f>
        <v>4</v>
      </c>
      <c r="EK25">
        <v>1</v>
      </c>
      <c r="EL25">
        <f>EK25+1</f>
        <v>2</v>
      </c>
      <c r="EM25">
        <f>EL25+1</f>
        <v>3</v>
      </c>
      <c r="EN25">
        <f>EM25+1</f>
        <v>4</v>
      </c>
    </row>
    <row r="26" spans="1:144" x14ac:dyDescent="0.35">
      <c r="A26" s="37" t="str">
        <f t="shared" si="2"/>
        <v>Passion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AC26" s="46" t="str">
        <v>Passion</v>
      </c>
      <c r="AD26" s="124" t="e">
        <f ca="1"/>
        <v>#NAME?</v>
      </c>
      <c r="AE26" s="3" t="e">
        <f ca="1"/>
        <v>#NAME?</v>
      </c>
      <c r="AF26" s="3" t="e">
        <f ca="1"/>
        <v>#NAME?</v>
      </c>
      <c r="AG26" s="3" t="e">
        <f ca="1"/>
        <v>#NAME?</v>
      </c>
      <c r="AH26" s="3" t="e">
        <f ca="1"/>
        <v>#NAME?</v>
      </c>
      <c r="AI26" s="3" t="e">
        <f ca="1"/>
        <v>#NAME?</v>
      </c>
      <c r="AJ26" s="3" t="e">
        <f ca="1"/>
        <v>#NAME?</v>
      </c>
      <c r="AK26" s="3" t="e">
        <f ca="1"/>
        <v>#NAME?</v>
      </c>
      <c r="AL26" s="179" t="e">
        <f ca="1"/>
        <v>#NAME?</v>
      </c>
      <c r="AN26" t="str">
        <v>Passion</v>
      </c>
      <c r="AO26" s="123" t="e">
        <f ca="1"/>
        <v>#NAME?</v>
      </c>
      <c r="AP26" s="37" t="e">
        <f ca="1"/>
        <v>#NAME?</v>
      </c>
      <c r="AQ26" s="37" t="e">
        <f ca="1"/>
        <v>#NAME?</v>
      </c>
      <c r="AR26" s="37" t="e">
        <f ca="1"/>
        <v>#NAME?</v>
      </c>
      <c r="AS26" s="37" t="e">
        <f ca="1"/>
        <v>#NAME?</v>
      </c>
      <c r="AT26" s="37" t="e">
        <f ca="1"/>
        <v>#NAME?</v>
      </c>
      <c r="AU26" s="37" t="e">
        <f ca="1"/>
        <v>#NAME?</v>
      </c>
      <c r="AV26" s="37" t="e">
        <f ca="1"/>
        <v>#NAME?</v>
      </c>
      <c r="AW26" s="90" t="e">
        <f ca="1"/>
        <v>#NAME?</v>
      </c>
      <c r="AY26" t="str">
        <v>Passion</v>
      </c>
      <c r="AZ26" s="123" t="e">
        <f ca="1"/>
        <v>#NAME?</v>
      </c>
      <c r="BA26" s="37" t="e">
        <f ca="1"/>
        <v>#NAME?</v>
      </c>
      <c r="BB26" s="37" t="e">
        <f ca="1"/>
        <v>#NAME?</v>
      </c>
      <c r="BC26" s="37" t="e">
        <f ca="1"/>
        <v>#NAME?</v>
      </c>
      <c r="BD26" s="37" t="e">
        <f ca="1"/>
        <v>#NAME?</v>
      </c>
      <c r="BE26" s="37" t="e">
        <f ca="1"/>
        <v>#NAME?</v>
      </c>
      <c r="BF26" s="37" t="e">
        <f ca="1"/>
        <v>#NAME?</v>
      </c>
      <c r="BG26" s="37" t="e">
        <f ca="1"/>
        <v>#NAME?</v>
      </c>
      <c r="BH26" s="90" t="e">
        <f ca="1"/>
        <v>#NAME?</v>
      </c>
      <c r="BI26" s="37"/>
      <c r="BJ26" t="s">
        <v>433</v>
      </c>
      <c r="BK26" s="156">
        <f t="array" ref="BK26:BS26">AZ42:BH42</f>
        <v>2</v>
      </c>
      <c r="BL26" s="157">
        <v>8</v>
      </c>
      <c r="BM26" s="157">
        <v>1</v>
      </c>
      <c r="BN26" s="157">
        <v>4</v>
      </c>
      <c r="BO26" s="157">
        <v>7</v>
      </c>
      <c r="BP26" s="157">
        <v>5</v>
      </c>
      <c r="BQ26" s="157">
        <v>4</v>
      </c>
      <c r="BR26" s="157">
        <v>4</v>
      </c>
      <c r="BS26" s="158">
        <v>8</v>
      </c>
      <c r="BU26" t="str">
        <v>Passion</v>
      </c>
      <c r="BV26" s="123" t="e">
        <f ca="1"/>
        <v>#NAME?</v>
      </c>
      <c r="BW26" s="37" t="e">
        <f ca="1"/>
        <v>#NAME?</v>
      </c>
      <c r="BX26" s="37" t="e">
        <f ca="1"/>
        <v>#NAME?</v>
      </c>
      <c r="BY26" s="90" t="e">
        <f ca="1"/>
        <v>#NAME?</v>
      </c>
      <c r="CA26" s="173">
        <v>4</v>
      </c>
      <c r="CC26" s="173">
        <v>-0.72499999999999964</v>
      </c>
      <c r="CG26">
        <f t="shared" si="3"/>
        <v>8</v>
      </c>
      <c r="CH26" s="123" t="e">
        <f ca="1"/>
        <v>#NAME?</v>
      </c>
      <c r="CI26" s="37" t="e">
        <f ca="1"/>
        <v>#NAME?</v>
      </c>
      <c r="CJ26" s="37" t="e">
        <f ca="1"/>
        <v>#NAME?</v>
      </c>
      <c r="CK26" s="90" t="e">
        <f ca="1"/>
        <v>#NAME?</v>
      </c>
      <c r="CM26" t="str">
        <f t="array" ref="CM26:CM34">BU19:BU27</f>
        <v>Expect</v>
      </c>
      <c r="CN26" s="156" t="e">
        <f t="array" aca="1" ref="CN26:CQ34" ca="1">TRANSPOSE(MMULT(MINVERSE(CN18:CQ21),MMULT(TRANSPOSE(B44:E52),MINVERSE(DIAGONAL(Q44:Q52)))))</f>
        <v>#NAME?</v>
      </c>
      <c r="CO26" s="157" t="e">
        <f ca="1"/>
        <v>#NAME?</v>
      </c>
      <c r="CP26" s="157" t="e">
        <f ca="1"/>
        <v>#NAME?</v>
      </c>
      <c r="CQ26" s="158" t="e">
        <f ca="1"/>
        <v>#NAME?</v>
      </c>
      <c r="CS26" s="172">
        <f t="array" ref="CS26:CS34">CA19:CA27</f>
        <v>2</v>
      </c>
      <c r="CU26" s="172">
        <f t="array" ref="CU26:CU34">CC19:CC27</f>
        <v>-1.7083333333333335</v>
      </c>
      <c r="CW26" s="172" t="e">
        <f t="array" aca="1" ref="CW26:CW29" ca="1">MMULT(TRANSPOSE(CN26:CQ34),CU26:CU34)</f>
        <v>#NAME?</v>
      </c>
      <c r="CY26">
        <f t="shared" si="4"/>
        <v>8</v>
      </c>
      <c r="CZ26" s="123" t="e">
        <f ca="1"/>
        <v>#NAME?</v>
      </c>
      <c r="DA26" s="37" t="e">
        <f ca="1"/>
        <v>#NAME?</v>
      </c>
      <c r="DB26" s="37" t="e">
        <f ca="1"/>
        <v>#NAME?</v>
      </c>
      <c r="DC26" s="90" t="e">
        <f ca="1"/>
        <v>#NAME?</v>
      </c>
      <c r="DE26" t="str">
        <f t="array" ref="DE26:DE34">CM26:CM34</f>
        <v>Expect</v>
      </c>
      <c r="DF26" s="156" t="e">
        <f t="array" aca="1" ref="DF26:DI34" ca="1">TRANSPOSE(MMULT(DR12:DU15,DR5:DZ8))</f>
        <v>#NAME?</v>
      </c>
      <c r="DG26" s="157" t="e">
        <f ca="1"/>
        <v>#NAME?</v>
      </c>
      <c r="DH26" s="157" t="e">
        <f ca="1"/>
        <v>#NAME?</v>
      </c>
      <c r="DI26" s="158" t="e">
        <f ca="1"/>
        <v>#NAME?</v>
      </c>
      <c r="DK26" s="172">
        <f t="array" ref="DK26:DK34">CS26:CS34</f>
        <v>2</v>
      </c>
      <c r="DM26" s="172">
        <f t="array" ref="DM26:DM34">CU26:CU34</f>
        <v>-1.7083333333333335</v>
      </c>
      <c r="DO26" s="172" t="e">
        <f t="array" aca="1" ref="DO26:DO29" ca="1">MMULT(TRANSPOSE(DF26:DI34),DM26:DM34)</f>
        <v>#NAME?</v>
      </c>
      <c r="DQ26">
        <v>1</v>
      </c>
      <c r="DR26" s="156" t="e">
        <f t="array" aca="1" ref="DR26:DU145" ca="1">MMULT(PCA!B4:J123-PCA!B126:J126,DF26:DI34)</f>
        <v>#NAME?</v>
      </c>
      <c r="DS26" s="157" t="e">
        <f ca="1"/>
        <v>#NAME?</v>
      </c>
      <c r="DT26" s="157" t="e">
        <f ca="1"/>
        <v>#NAME?</v>
      </c>
      <c r="DU26" s="158" t="e">
        <f ca="1"/>
        <v>#NAME?</v>
      </c>
      <c r="DX26">
        <v>1</v>
      </c>
      <c r="DY26" s="156" t="e">
        <f t="array" aca="1" ref="DY26:EB29" ca="1">CORR(DR26:DU145)</f>
        <v>#NAME?</v>
      </c>
      <c r="DZ26" s="157" t="e">
        <f ca="1"/>
        <v>#NAME?</v>
      </c>
      <c r="EA26" s="157" t="e">
        <f ca="1"/>
        <v>#NAME?</v>
      </c>
      <c r="EB26" s="158" t="e">
        <f ca="1"/>
        <v>#NAME?</v>
      </c>
      <c r="ED26" s="156" t="e">
        <f t="array" ref="ED26:EG145" ca="1">DR26:DU145/SQRT(DR148:DU148)</f>
        <v>#NAME?</v>
      </c>
      <c r="EE26" s="157" t="e">
        <f ca="1"/>
        <v>#NAME?</v>
      </c>
      <c r="EF26" s="157" t="e">
        <f ca="1"/>
        <v>#NAME?</v>
      </c>
      <c r="EG26" s="158" t="e">
        <f ca="1"/>
        <v>#NAME?</v>
      </c>
      <c r="EJ26">
        <v>1</v>
      </c>
      <c r="EK26" s="156" t="e">
        <f t="array" aca="1" ref="EK26:EN29" ca="1">CORR(ED26:EG145)</f>
        <v>#NAME?</v>
      </c>
      <c r="EL26" s="157" t="e">
        <f ca="1"/>
        <v>#NAME?</v>
      </c>
      <c r="EM26" s="157" t="e">
        <f ca="1"/>
        <v>#NAME?</v>
      </c>
      <c r="EN26" s="158" t="e">
        <f ca="1"/>
        <v>#NAME?</v>
      </c>
    </row>
    <row r="27" spans="1:144" x14ac:dyDescent="0.35">
      <c r="A27" s="37" t="str">
        <f t="shared" si="2"/>
        <v>Friendly</v>
      </c>
      <c r="B27" s="91" t="e">
        <f ca="1"/>
        <v>#NAME?</v>
      </c>
      <c r="C27" s="92" t="e">
        <f ca="1"/>
        <v>#NAME?</v>
      </c>
      <c r="D27" s="92" t="e">
        <f ca="1"/>
        <v>#NAME?</v>
      </c>
      <c r="E27" s="92" t="e">
        <f ca="1"/>
        <v>#NAME?</v>
      </c>
      <c r="F27" s="92" t="e">
        <f ca="1"/>
        <v>#NAME?</v>
      </c>
      <c r="G27" s="92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  <c r="AC27" s="46" t="str">
        <v>Friendly</v>
      </c>
      <c r="AD27" s="180" t="e">
        <f ca="1"/>
        <v>#NAME?</v>
      </c>
      <c r="AE27" s="181" t="e">
        <f ca="1"/>
        <v>#NAME?</v>
      </c>
      <c r="AF27" s="181" t="e">
        <f ca="1"/>
        <v>#NAME?</v>
      </c>
      <c r="AG27" s="181" t="e">
        <f ca="1"/>
        <v>#NAME?</v>
      </c>
      <c r="AH27" s="181" t="e">
        <f ca="1"/>
        <v>#NAME?</v>
      </c>
      <c r="AI27" s="181" t="e">
        <f ca="1"/>
        <v>#NAME?</v>
      </c>
      <c r="AJ27" s="181" t="e">
        <f ca="1"/>
        <v>#NAME?</v>
      </c>
      <c r="AK27" s="181" t="e">
        <f ca="1"/>
        <v>#NAME?</v>
      </c>
      <c r="AL27" s="182" t="e">
        <f ca="1"/>
        <v>#NAME?</v>
      </c>
      <c r="AN27" t="str">
        <v>Friendly</v>
      </c>
      <c r="AO27" s="91" t="e">
        <f ca="1"/>
        <v>#NAME?</v>
      </c>
      <c r="AP27" s="92" t="e">
        <f ca="1"/>
        <v>#NAME?</v>
      </c>
      <c r="AQ27" s="92" t="e">
        <f ca="1"/>
        <v>#NAME?</v>
      </c>
      <c r="AR27" s="92" t="e">
        <f ca="1"/>
        <v>#NAME?</v>
      </c>
      <c r="AS27" s="92" t="e">
        <f ca="1"/>
        <v>#NAME?</v>
      </c>
      <c r="AT27" s="92" t="e">
        <f ca="1"/>
        <v>#NAME?</v>
      </c>
      <c r="AU27" s="92" t="e">
        <f ca="1"/>
        <v>#NAME?</v>
      </c>
      <c r="AV27" s="92" t="e">
        <f ca="1"/>
        <v>#NAME?</v>
      </c>
      <c r="AW27" s="93" t="e">
        <f ca="1"/>
        <v>#NAME?</v>
      </c>
      <c r="AY27" t="str">
        <v>Friendly</v>
      </c>
      <c r="AZ27" s="91" t="e">
        <f ca="1"/>
        <v>#NAME?</v>
      </c>
      <c r="BA27" s="92" t="e">
        <f ca="1"/>
        <v>#NAME?</v>
      </c>
      <c r="BB27" s="92" t="e">
        <f ca="1"/>
        <v>#NAME?</v>
      </c>
      <c r="BC27" s="92" t="e">
        <f ca="1"/>
        <v>#NAME?</v>
      </c>
      <c r="BD27" s="92" t="e">
        <f ca="1"/>
        <v>#NAME?</v>
      </c>
      <c r="BE27" s="92" t="e">
        <f ca="1"/>
        <v>#NAME?</v>
      </c>
      <c r="BF27" s="92" t="e">
        <f ca="1"/>
        <v>#NAME?</v>
      </c>
      <c r="BG27" s="92" t="e">
        <f ca="1"/>
        <v>#NAME?</v>
      </c>
      <c r="BH27" s="93" t="e">
        <f ca="1"/>
        <v>#NAME?</v>
      </c>
      <c r="BI27" s="37"/>
      <c r="BJ27" t="s">
        <v>34</v>
      </c>
      <c r="BK27" s="123">
        <f t="array" ref="BK27:BS27">AZ43:BH43</f>
        <v>3.7083333333333335</v>
      </c>
      <c r="BL27" s="37">
        <v>8.1666666666666661</v>
      </c>
      <c r="BM27" s="37">
        <v>3.45</v>
      </c>
      <c r="BN27" s="37">
        <v>3.3833333333333333</v>
      </c>
      <c r="BO27" s="37">
        <v>6.708333333333333</v>
      </c>
      <c r="BP27" s="37">
        <v>6.0083333333333337</v>
      </c>
      <c r="BQ27" s="37">
        <v>4.8416666666666668</v>
      </c>
      <c r="BR27" s="37">
        <v>4.7249999999999996</v>
      </c>
      <c r="BS27" s="90">
        <v>7.3</v>
      </c>
      <c r="BU27" t="str">
        <v>Friendly</v>
      </c>
      <c r="BV27" s="91" t="e">
        <f ca="1"/>
        <v>#NAME?</v>
      </c>
      <c r="BW27" s="92" t="e">
        <f ca="1"/>
        <v>#NAME?</v>
      </c>
      <c r="BX27" s="92" t="e">
        <f ca="1"/>
        <v>#NAME?</v>
      </c>
      <c r="BY27" s="93" t="e">
        <f ca="1"/>
        <v>#NAME?</v>
      </c>
      <c r="CA27" s="174">
        <v>8</v>
      </c>
      <c r="CC27" s="174">
        <v>0.70000000000000018</v>
      </c>
      <c r="CG27">
        <f t="shared" si="3"/>
        <v>9</v>
      </c>
      <c r="CH27" s="123" t="e">
        <f ca="1"/>
        <v>#NAME?</v>
      </c>
      <c r="CI27" s="37" t="e">
        <f ca="1"/>
        <v>#NAME?</v>
      </c>
      <c r="CJ27" s="37" t="e">
        <f ca="1"/>
        <v>#NAME?</v>
      </c>
      <c r="CK27" s="90" t="e">
        <f ca="1"/>
        <v>#NAME?</v>
      </c>
      <c r="CM27" t="str">
        <v>Entertain</v>
      </c>
      <c r="CN27" s="123" t="e">
        <f ca="1"/>
        <v>#NAME?</v>
      </c>
      <c r="CO27" s="37" t="e">
        <f ca="1"/>
        <v>#NAME?</v>
      </c>
      <c r="CP27" s="37" t="e">
        <f ca="1"/>
        <v>#NAME?</v>
      </c>
      <c r="CQ27" s="90" t="e">
        <f ca="1"/>
        <v>#NAME?</v>
      </c>
      <c r="CS27" s="173">
        <v>8</v>
      </c>
      <c r="CU27" s="173">
        <v>-0.16666666666666607</v>
      </c>
      <c r="CW27" s="173" t="e">
        <f ca="1"/>
        <v>#NAME?</v>
      </c>
      <c r="CY27">
        <f t="shared" si="4"/>
        <v>9</v>
      </c>
      <c r="CZ27" s="123" t="e">
        <f ca="1"/>
        <v>#NAME?</v>
      </c>
      <c r="DA27" s="37" t="e">
        <f ca="1"/>
        <v>#NAME?</v>
      </c>
      <c r="DB27" s="37" t="e">
        <f ca="1"/>
        <v>#NAME?</v>
      </c>
      <c r="DC27" s="90" t="e">
        <f ca="1"/>
        <v>#NAME?</v>
      </c>
      <c r="DE27" t="str">
        <v>Entertain</v>
      </c>
      <c r="DF27" s="123" t="e">
        <f ca="1"/>
        <v>#NAME?</v>
      </c>
      <c r="DG27" s="37" t="e">
        <f ca="1"/>
        <v>#NAME?</v>
      </c>
      <c r="DH27" s="37" t="e">
        <f ca="1"/>
        <v>#NAME?</v>
      </c>
      <c r="DI27" s="90" t="e">
        <f ca="1"/>
        <v>#NAME?</v>
      </c>
      <c r="DK27" s="173">
        <v>8</v>
      </c>
      <c r="DM27" s="173">
        <v>-0.16666666666666607</v>
      </c>
      <c r="DO27" s="173" t="e">
        <f ca="1"/>
        <v>#NAME?</v>
      </c>
      <c r="DQ27">
        <f>DQ26+1</f>
        <v>2</v>
      </c>
      <c r="DR27" s="123" t="e">
        <f ca="1"/>
        <v>#NAME?</v>
      </c>
      <c r="DS27" s="37" t="e">
        <f ca="1"/>
        <v>#NAME?</v>
      </c>
      <c r="DT27" s="37" t="e">
        <f ca="1"/>
        <v>#NAME?</v>
      </c>
      <c r="DU27" s="90" t="e">
        <f ca="1"/>
        <v>#NAME?</v>
      </c>
      <c r="DX27">
        <f>DX26+1</f>
        <v>2</v>
      </c>
      <c r="DY27" s="123" t="e">
        <f ca="1"/>
        <v>#NAME?</v>
      </c>
      <c r="DZ27" s="37" t="e">
        <f ca="1"/>
        <v>#NAME?</v>
      </c>
      <c r="EA27" s="37" t="e">
        <f ca="1"/>
        <v>#NAME?</v>
      </c>
      <c r="EB27" s="90" t="e">
        <f ca="1"/>
        <v>#NAME?</v>
      </c>
      <c r="ED27" s="123" t="e">
        <f ca="1"/>
        <v>#NAME?</v>
      </c>
      <c r="EE27" s="37" t="e">
        <f ca="1"/>
        <v>#NAME?</v>
      </c>
      <c r="EF27" s="37" t="e">
        <f ca="1"/>
        <v>#NAME?</v>
      </c>
      <c r="EG27" s="90" t="e">
        <f ca="1"/>
        <v>#NAME?</v>
      </c>
      <c r="EJ27">
        <f>EJ26+1</f>
        <v>2</v>
      </c>
      <c r="EK27" s="123" t="e">
        <f ca="1"/>
        <v>#NAME?</v>
      </c>
      <c r="EL27" s="37" t="e">
        <f ca="1"/>
        <v>#NAME?</v>
      </c>
      <c r="EM27" s="37" t="e">
        <f ca="1"/>
        <v>#NAME?</v>
      </c>
      <c r="EN27" s="90" t="e">
        <f ca="1"/>
        <v>#NAME?</v>
      </c>
    </row>
    <row r="28" spans="1:144" x14ac:dyDescent="0.35">
      <c r="BJ28" t="s">
        <v>434</v>
      </c>
      <c r="BK28" s="91">
        <f>BK26-BK27</f>
        <v>-1.7083333333333335</v>
      </c>
      <c r="BL28" s="92">
        <f t="shared" ref="BL28:BS28" si="5">BL26-BL27</f>
        <v>-0.16666666666666607</v>
      </c>
      <c r="BM28" s="92">
        <f t="shared" si="5"/>
        <v>-2.4500000000000002</v>
      </c>
      <c r="BN28" s="92">
        <f t="shared" si="5"/>
        <v>0.6166666666666667</v>
      </c>
      <c r="BO28" s="92">
        <f t="shared" si="5"/>
        <v>0.29166666666666696</v>
      </c>
      <c r="BP28" s="92">
        <f t="shared" si="5"/>
        <v>-1.0083333333333337</v>
      </c>
      <c r="BQ28" s="92">
        <f t="shared" si="5"/>
        <v>-0.84166666666666679</v>
      </c>
      <c r="BR28" s="92">
        <f t="shared" si="5"/>
        <v>-0.72499999999999964</v>
      </c>
      <c r="BS28" s="93">
        <f t="shared" si="5"/>
        <v>0.70000000000000018</v>
      </c>
      <c r="CG28">
        <f t="shared" si="3"/>
        <v>10</v>
      </c>
      <c r="CH28" s="123" t="e">
        <f ca="1"/>
        <v>#NAME?</v>
      </c>
      <c r="CI28" s="37" t="e">
        <f ca="1"/>
        <v>#NAME?</v>
      </c>
      <c r="CJ28" s="37" t="e">
        <f ca="1"/>
        <v>#NAME?</v>
      </c>
      <c r="CK28" s="90" t="e">
        <f ca="1"/>
        <v>#NAME?</v>
      </c>
      <c r="CM28" t="str">
        <v>Comm</v>
      </c>
      <c r="CN28" s="123" t="e">
        <f ca="1"/>
        <v>#NAME?</v>
      </c>
      <c r="CO28" s="37" t="e">
        <f ca="1"/>
        <v>#NAME?</v>
      </c>
      <c r="CP28" s="37" t="e">
        <f ca="1"/>
        <v>#NAME?</v>
      </c>
      <c r="CQ28" s="90" t="e">
        <f ca="1"/>
        <v>#NAME?</v>
      </c>
      <c r="CS28" s="173">
        <v>1</v>
      </c>
      <c r="CU28" s="173">
        <v>-2.4500000000000002</v>
      </c>
      <c r="CW28" s="173" t="e">
        <f ca="1"/>
        <v>#NAME?</v>
      </c>
      <c r="CY28">
        <f t="shared" si="4"/>
        <v>10</v>
      </c>
      <c r="CZ28" s="123" t="e">
        <f ca="1"/>
        <v>#NAME?</v>
      </c>
      <c r="DA28" s="37" t="e">
        <f ca="1"/>
        <v>#NAME?</v>
      </c>
      <c r="DB28" s="37" t="e">
        <f ca="1"/>
        <v>#NAME?</v>
      </c>
      <c r="DC28" s="90" t="e">
        <f ca="1"/>
        <v>#NAME?</v>
      </c>
      <c r="DE28" t="str">
        <v>Comm</v>
      </c>
      <c r="DF28" s="123" t="e">
        <f ca="1"/>
        <v>#NAME?</v>
      </c>
      <c r="DG28" s="37" t="e">
        <f ca="1"/>
        <v>#NAME?</v>
      </c>
      <c r="DH28" s="37" t="e">
        <f ca="1"/>
        <v>#NAME?</v>
      </c>
      <c r="DI28" s="90" t="e">
        <f ca="1"/>
        <v>#NAME?</v>
      </c>
      <c r="DK28" s="173">
        <v>1</v>
      </c>
      <c r="DM28" s="173">
        <v>-2.4500000000000002</v>
      </c>
      <c r="DO28" s="173" t="e">
        <f ca="1"/>
        <v>#NAME?</v>
      </c>
      <c r="DQ28">
        <f t="shared" ref="DQ28:DQ91" si="6">DQ27+1</f>
        <v>3</v>
      </c>
      <c r="DR28" s="123" t="e">
        <f ca="1"/>
        <v>#NAME?</v>
      </c>
      <c r="DS28" s="37" t="e">
        <f ca="1"/>
        <v>#NAME?</v>
      </c>
      <c r="DT28" s="37" t="e">
        <f ca="1"/>
        <v>#NAME?</v>
      </c>
      <c r="DU28" s="90" t="e">
        <f ca="1"/>
        <v>#NAME?</v>
      </c>
      <c r="DX28">
        <f>DX27+1</f>
        <v>3</v>
      </c>
      <c r="DY28" s="123" t="e">
        <f ca="1"/>
        <v>#NAME?</v>
      </c>
      <c r="DZ28" s="37" t="e">
        <f ca="1"/>
        <v>#NAME?</v>
      </c>
      <c r="EA28" s="37" t="e">
        <f ca="1"/>
        <v>#NAME?</v>
      </c>
      <c r="EB28" s="90" t="e">
        <f ca="1"/>
        <v>#NAME?</v>
      </c>
      <c r="ED28" s="123" t="e">
        <f ca="1"/>
        <v>#NAME?</v>
      </c>
      <c r="EE28" s="37" t="e">
        <f ca="1"/>
        <v>#NAME?</v>
      </c>
      <c r="EF28" s="37" t="e">
        <f ca="1"/>
        <v>#NAME?</v>
      </c>
      <c r="EG28" s="90" t="e">
        <f ca="1"/>
        <v>#NAME?</v>
      </c>
      <c r="EJ28">
        <f>EJ27+1</f>
        <v>3</v>
      </c>
      <c r="EK28" s="123" t="e">
        <f ca="1"/>
        <v>#NAME?</v>
      </c>
      <c r="EL28" s="37" t="e">
        <f ca="1"/>
        <v>#NAME?</v>
      </c>
      <c r="EM28" s="37" t="e">
        <f ca="1"/>
        <v>#NAME?</v>
      </c>
      <c r="EN28" s="90" t="e">
        <f ca="1"/>
        <v>#NAME?</v>
      </c>
    </row>
    <row r="29" spans="1:144" ht="16.5" x14ac:dyDescent="0.35">
      <c r="A29" t="s">
        <v>435</v>
      </c>
      <c r="AC29" t="s">
        <v>436</v>
      </c>
      <c r="AN29" t="s">
        <v>437</v>
      </c>
      <c r="AY29" t="s">
        <v>438</v>
      </c>
      <c r="CG29">
        <f t="shared" si="3"/>
        <v>11</v>
      </c>
      <c r="CH29" s="123" t="e">
        <f ca="1"/>
        <v>#NAME?</v>
      </c>
      <c r="CI29" s="37" t="e">
        <f ca="1"/>
        <v>#NAME?</v>
      </c>
      <c r="CJ29" s="37" t="e">
        <f ca="1"/>
        <v>#NAME?</v>
      </c>
      <c r="CK29" s="90" t="e">
        <f ca="1"/>
        <v>#NAME?</v>
      </c>
      <c r="CM29" t="str">
        <v>Expert</v>
      </c>
      <c r="CN29" s="123" t="e">
        <f ca="1"/>
        <v>#NAME?</v>
      </c>
      <c r="CO29" s="37" t="e">
        <f ca="1"/>
        <v>#NAME?</v>
      </c>
      <c r="CP29" s="37" t="e">
        <f ca="1"/>
        <v>#NAME?</v>
      </c>
      <c r="CQ29" s="90" t="e">
        <f ca="1"/>
        <v>#NAME?</v>
      </c>
      <c r="CS29" s="173">
        <v>4</v>
      </c>
      <c r="CU29" s="173">
        <v>0.6166666666666667</v>
      </c>
      <c r="CW29" s="174" t="e">
        <f ca="1"/>
        <v>#NAME?</v>
      </c>
      <c r="CY29">
        <f t="shared" si="4"/>
        <v>11</v>
      </c>
      <c r="CZ29" s="123" t="e">
        <f ca="1"/>
        <v>#NAME?</v>
      </c>
      <c r="DA29" s="37" t="e">
        <f ca="1"/>
        <v>#NAME?</v>
      </c>
      <c r="DB29" s="37" t="e">
        <f ca="1"/>
        <v>#NAME?</v>
      </c>
      <c r="DC29" s="90" t="e">
        <f ca="1"/>
        <v>#NAME?</v>
      </c>
      <c r="DE29" t="str">
        <v>Expert</v>
      </c>
      <c r="DF29" s="123" t="e">
        <f ca="1"/>
        <v>#NAME?</v>
      </c>
      <c r="DG29" s="37" t="e">
        <f ca="1"/>
        <v>#NAME?</v>
      </c>
      <c r="DH29" s="37" t="e">
        <f ca="1"/>
        <v>#NAME?</v>
      </c>
      <c r="DI29" s="90" t="e">
        <f ca="1"/>
        <v>#NAME?</v>
      </c>
      <c r="DK29" s="173">
        <v>4</v>
      </c>
      <c r="DM29" s="173">
        <v>0.6166666666666667</v>
      </c>
      <c r="DO29" s="174" t="e">
        <f ca="1"/>
        <v>#NAME?</v>
      </c>
      <c r="DQ29">
        <f t="shared" si="6"/>
        <v>4</v>
      </c>
      <c r="DR29" s="123" t="e">
        <f ca="1"/>
        <v>#NAME?</v>
      </c>
      <c r="DS29" s="37" t="e">
        <f ca="1"/>
        <v>#NAME?</v>
      </c>
      <c r="DT29" s="37" t="e">
        <f ca="1"/>
        <v>#NAME?</v>
      </c>
      <c r="DU29" s="90" t="e">
        <f ca="1"/>
        <v>#NAME?</v>
      </c>
      <c r="DX29">
        <f>DX28+1</f>
        <v>4</v>
      </c>
      <c r="DY29" s="91" t="e">
        <f ca="1"/>
        <v>#NAME?</v>
      </c>
      <c r="DZ29" s="92" t="e">
        <f ca="1"/>
        <v>#NAME?</v>
      </c>
      <c r="EA29" s="92" t="e">
        <f ca="1"/>
        <v>#NAME?</v>
      </c>
      <c r="EB29" s="93" t="e">
        <f ca="1"/>
        <v>#NAME?</v>
      </c>
      <c r="ED29" s="123" t="e">
        <f ca="1"/>
        <v>#NAME?</v>
      </c>
      <c r="EE29" s="37" t="e">
        <f ca="1"/>
        <v>#NAME?</v>
      </c>
      <c r="EF29" s="37" t="e">
        <f ca="1"/>
        <v>#NAME?</v>
      </c>
      <c r="EG29" s="90" t="e">
        <f ca="1"/>
        <v>#NAME?</v>
      </c>
      <c r="EJ29">
        <f>EJ28+1</f>
        <v>4</v>
      </c>
      <c r="EK29" s="91" t="e">
        <f ca="1"/>
        <v>#NAME?</v>
      </c>
      <c r="EL29" s="92" t="e">
        <f ca="1"/>
        <v>#NAME?</v>
      </c>
      <c r="EM29" s="92" t="e">
        <f ca="1"/>
        <v>#NAME?</v>
      </c>
      <c r="EN29" s="93" t="e">
        <f ca="1"/>
        <v>#NAME?</v>
      </c>
    </row>
    <row r="30" spans="1:144" x14ac:dyDescent="0.35">
      <c r="B30">
        <v>1</v>
      </c>
      <c r="C30">
        <f>B30+1</f>
        <v>2</v>
      </c>
      <c r="D30">
        <f t="shared" ref="D30:J30" si="7">C30+1</f>
        <v>3</v>
      </c>
      <c r="E30">
        <f t="shared" si="7"/>
        <v>4</v>
      </c>
      <c r="F30">
        <f t="shared" si="7"/>
        <v>5</v>
      </c>
      <c r="G30">
        <f t="shared" si="7"/>
        <v>6</v>
      </c>
      <c r="H30">
        <f t="shared" si="7"/>
        <v>7</v>
      </c>
      <c r="I30">
        <f t="shared" si="7"/>
        <v>8</v>
      </c>
      <c r="J30">
        <f t="shared" si="7"/>
        <v>9</v>
      </c>
      <c r="K30" s="47" t="s">
        <v>373</v>
      </c>
      <c r="BJ30" t="s">
        <v>439</v>
      </c>
      <c r="BK30" s="160" t="e">
        <f t="array" aca="1" ref="BK30:BN30" ca="1">TRANSPOSE(MMULT(BK12:BS15,TRANSPOSE(BK28:BS28)))</f>
        <v>#NAME?</v>
      </c>
      <c r="BL30" s="161" t="e">
        <f ca="1"/>
        <v>#NAME?</v>
      </c>
      <c r="BM30" s="161" t="e">
        <f ca="1"/>
        <v>#NAME?</v>
      </c>
      <c r="BN30" s="162" t="e">
        <f ca="1"/>
        <v>#NAME?</v>
      </c>
      <c r="BU30" t="s">
        <v>440</v>
      </c>
      <c r="CG30">
        <f t="shared" si="3"/>
        <v>12</v>
      </c>
      <c r="CH30" s="123" t="e">
        <f ca="1"/>
        <v>#NAME?</v>
      </c>
      <c r="CI30" s="37" t="e">
        <f ca="1"/>
        <v>#NAME?</v>
      </c>
      <c r="CJ30" s="37" t="e">
        <f ca="1"/>
        <v>#NAME?</v>
      </c>
      <c r="CK30" s="90" t="e">
        <f ca="1"/>
        <v>#NAME?</v>
      </c>
      <c r="CM30" t="str">
        <v>Motivate</v>
      </c>
      <c r="CN30" s="123" t="e">
        <f ca="1"/>
        <v>#NAME?</v>
      </c>
      <c r="CO30" s="37" t="e">
        <f ca="1"/>
        <v>#NAME?</v>
      </c>
      <c r="CP30" s="37" t="e">
        <f ca="1"/>
        <v>#NAME?</v>
      </c>
      <c r="CQ30" s="90" t="e">
        <f ca="1"/>
        <v>#NAME?</v>
      </c>
      <c r="CS30" s="173">
        <v>7</v>
      </c>
      <c r="CU30" s="173">
        <v>0.29166666666666696</v>
      </c>
      <c r="CY30">
        <f t="shared" si="4"/>
        <v>12</v>
      </c>
      <c r="CZ30" s="123" t="e">
        <f ca="1"/>
        <v>#NAME?</v>
      </c>
      <c r="DA30" s="37" t="e">
        <f ca="1"/>
        <v>#NAME?</v>
      </c>
      <c r="DB30" s="37" t="e">
        <f ca="1"/>
        <v>#NAME?</v>
      </c>
      <c r="DC30" s="90" t="e">
        <f ca="1"/>
        <v>#NAME?</v>
      </c>
      <c r="DE30" t="str">
        <v>Motivate</v>
      </c>
      <c r="DF30" s="123" t="e">
        <f ca="1"/>
        <v>#NAME?</v>
      </c>
      <c r="DG30" s="37" t="e">
        <f ca="1"/>
        <v>#NAME?</v>
      </c>
      <c r="DH30" s="37" t="e">
        <f ca="1"/>
        <v>#NAME?</v>
      </c>
      <c r="DI30" s="90" t="e">
        <f ca="1"/>
        <v>#NAME?</v>
      </c>
      <c r="DK30" s="173">
        <v>7</v>
      </c>
      <c r="DM30" s="173">
        <v>0.29166666666666696</v>
      </c>
      <c r="DQ30">
        <f t="shared" si="6"/>
        <v>5</v>
      </c>
      <c r="DR30" s="123" t="e">
        <f ca="1"/>
        <v>#NAME?</v>
      </c>
      <c r="DS30" s="37" t="e">
        <f ca="1"/>
        <v>#NAME?</v>
      </c>
      <c r="DT30" s="37" t="e">
        <f ca="1"/>
        <v>#NAME?</v>
      </c>
      <c r="DU30" s="90" t="e">
        <f ca="1"/>
        <v>#NAME?</v>
      </c>
      <c r="ED30" s="123" t="e">
        <f ca="1"/>
        <v>#NAME?</v>
      </c>
      <c r="EE30" s="37" t="e">
        <f ca="1"/>
        <v>#NAME?</v>
      </c>
      <c r="EF30" s="37" t="e">
        <f ca="1"/>
        <v>#NAME?</v>
      </c>
      <c r="EG30" s="90" t="e">
        <f ca="1"/>
        <v>#NAME?</v>
      </c>
    </row>
    <row r="31" spans="1:144" x14ac:dyDescent="0.35">
      <c r="A31" t="str">
        <f>A19</f>
        <v>Expect</v>
      </c>
      <c r="B31" s="156" t="e">
        <f ca="1">B19*SQRT(B$18)</f>
        <v>#NAME?</v>
      </c>
      <c r="C31" s="157" t="e">
        <f t="shared" ref="C31:J31" ca="1" si="8">C19*SQRT(C$18)</f>
        <v>#NAME?</v>
      </c>
      <c r="D31" s="157" t="e">
        <f t="shared" ca="1" si="8"/>
        <v>#NAME?</v>
      </c>
      <c r="E31" s="157" t="e">
        <f t="shared" ca="1" si="8"/>
        <v>#NAME?</v>
      </c>
      <c r="F31" s="157" t="e">
        <f t="shared" ca="1" si="8"/>
        <v>#NAME?</v>
      </c>
      <c r="G31" s="157" t="e">
        <f t="shared" ca="1" si="8"/>
        <v>#NAME?</v>
      </c>
      <c r="H31" s="157" t="e">
        <f t="shared" ca="1" si="8"/>
        <v>#NAME?</v>
      </c>
      <c r="I31" s="157" t="e">
        <f t="shared" ca="1" si="8"/>
        <v>#NAME?</v>
      </c>
      <c r="J31" s="158" t="e">
        <f t="shared" ca="1" si="8"/>
        <v>#NAME?</v>
      </c>
      <c r="K31" s="184" t="e">
        <f ca="1">SUMSQ(B31:J31)</f>
        <v>#NAME?</v>
      </c>
      <c r="AC31" s="46"/>
      <c r="AD31" s="175" t="str">
        <f t="array" ref="AD31:AL31">AD18:AL18</f>
        <v>Expect</v>
      </c>
      <c r="AE31" s="175" t="str">
        <v>Entertain</v>
      </c>
      <c r="AF31" s="175" t="str">
        <v>Comm</v>
      </c>
      <c r="AG31" s="175" t="str">
        <v>Expert</v>
      </c>
      <c r="AH31" s="175" t="str">
        <v>Motivate</v>
      </c>
      <c r="AI31" s="175" t="str">
        <v>Caring</v>
      </c>
      <c r="AJ31" s="175" t="str">
        <v>Charisma</v>
      </c>
      <c r="AK31" s="175" t="str">
        <v>Passion</v>
      </c>
      <c r="AL31" s="175" t="str">
        <v>Friendly</v>
      </c>
      <c r="AO31" t="str">
        <f t="array" ref="AO31:AW31">AO18:AW18</f>
        <v>Expect</v>
      </c>
      <c r="AP31" t="str">
        <v>Entertain</v>
      </c>
      <c r="AQ31" t="str">
        <v>Comm</v>
      </c>
      <c r="AR31" t="str">
        <v>Expert</v>
      </c>
      <c r="AS31" t="str">
        <v>Motivate</v>
      </c>
      <c r="AT31" t="str">
        <v>Caring</v>
      </c>
      <c r="AU31" t="str">
        <v>Charisma</v>
      </c>
      <c r="AV31" t="str">
        <v>Passion</v>
      </c>
      <c r="AW31" t="str">
        <v>Friendly</v>
      </c>
      <c r="AZ31" t="str">
        <f t="array" ref="AZ31:BH31">AZ18:BH18</f>
        <v>Expect</v>
      </c>
      <c r="BA31" t="str">
        <v>Entertain</v>
      </c>
      <c r="BB31" t="str">
        <v>Comm</v>
      </c>
      <c r="BC31" t="str">
        <v>Expert</v>
      </c>
      <c r="BD31" t="str">
        <v>Motivate</v>
      </c>
      <c r="BE31" t="str">
        <v>Caring</v>
      </c>
      <c r="BF31" t="str">
        <v>Charisma</v>
      </c>
      <c r="BG31" t="str">
        <v>Passion</v>
      </c>
      <c r="BH31" t="str">
        <v>Friendly</v>
      </c>
      <c r="CG31">
        <f t="shared" si="3"/>
        <v>13</v>
      </c>
      <c r="CH31" s="123" t="e">
        <f ca="1"/>
        <v>#NAME?</v>
      </c>
      <c r="CI31" s="37" t="e">
        <f ca="1"/>
        <v>#NAME?</v>
      </c>
      <c r="CJ31" s="37" t="e">
        <f ca="1"/>
        <v>#NAME?</v>
      </c>
      <c r="CK31" s="90" t="e">
        <f ca="1"/>
        <v>#NAME?</v>
      </c>
      <c r="CM31" t="str">
        <v>Caring</v>
      </c>
      <c r="CN31" s="123" t="e">
        <f ca="1"/>
        <v>#NAME?</v>
      </c>
      <c r="CO31" s="37" t="e">
        <f ca="1"/>
        <v>#NAME?</v>
      </c>
      <c r="CP31" s="37" t="e">
        <f ca="1"/>
        <v>#NAME?</v>
      </c>
      <c r="CQ31" s="90" t="e">
        <f ca="1"/>
        <v>#NAME?</v>
      </c>
      <c r="CS31" s="173">
        <v>5</v>
      </c>
      <c r="CU31" s="173">
        <v>-1.0083333333333337</v>
      </c>
      <c r="CY31">
        <f t="shared" si="4"/>
        <v>13</v>
      </c>
      <c r="CZ31" s="123" t="e">
        <f ca="1"/>
        <v>#NAME?</v>
      </c>
      <c r="DA31" s="37" t="e">
        <f ca="1"/>
        <v>#NAME?</v>
      </c>
      <c r="DB31" s="37" t="e">
        <f ca="1"/>
        <v>#NAME?</v>
      </c>
      <c r="DC31" s="90" t="e">
        <f ca="1"/>
        <v>#NAME?</v>
      </c>
      <c r="DE31" t="str">
        <v>Caring</v>
      </c>
      <c r="DF31" s="123" t="e">
        <f ca="1"/>
        <v>#NAME?</v>
      </c>
      <c r="DG31" s="37" t="e">
        <f ca="1"/>
        <v>#NAME?</v>
      </c>
      <c r="DH31" s="37" t="e">
        <f ca="1"/>
        <v>#NAME?</v>
      </c>
      <c r="DI31" s="90" t="e">
        <f ca="1"/>
        <v>#NAME?</v>
      </c>
      <c r="DK31" s="173">
        <v>5</v>
      </c>
      <c r="DM31" s="173">
        <v>-1.0083333333333337</v>
      </c>
      <c r="DQ31">
        <f t="shared" si="6"/>
        <v>6</v>
      </c>
      <c r="DR31" s="123" t="e">
        <f ca="1"/>
        <v>#NAME?</v>
      </c>
      <c r="DS31" s="37" t="e">
        <f ca="1"/>
        <v>#NAME?</v>
      </c>
      <c r="DT31" s="37" t="e">
        <f ca="1"/>
        <v>#NAME?</v>
      </c>
      <c r="DU31" s="90" t="e">
        <f ca="1"/>
        <v>#NAME?</v>
      </c>
      <c r="ED31" s="123" t="e">
        <f ca="1"/>
        <v>#NAME?</v>
      </c>
      <c r="EE31" s="37" t="e">
        <f ca="1"/>
        <v>#NAME?</v>
      </c>
      <c r="EF31" s="37" t="e">
        <f ca="1"/>
        <v>#NAME?</v>
      </c>
      <c r="EG31" s="90" t="e">
        <f ca="1"/>
        <v>#NAME?</v>
      </c>
    </row>
    <row r="32" spans="1:144" x14ac:dyDescent="0.35">
      <c r="A32" t="str">
        <f t="shared" ref="A32:A39" si="9">A20</f>
        <v>Entertain</v>
      </c>
      <c r="B32" s="123" t="e">
        <f t="shared" ref="B32:J38" ca="1" si="10">B20*SQRT(B$18)</f>
        <v>#NAME?</v>
      </c>
      <c r="C32" s="37" t="e">
        <f t="shared" ca="1" si="10"/>
        <v>#NAME?</v>
      </c>
      <c r="D32" s="37" t="e">
        <f t="shared" ca="1" si="10"/>
        <v>#NAME?</v>
      </c>
      <c r="E32" s="37" t="e">
        <f t="shared" ca="1" si="10"/>
        <v>#NAME?</v>
      </c>
      <c r="F32" s="37" t="e">
        <f t="shared" ca="1" si="10"/>
        <v>#NAME?</v>
      </c>
      <c r="G32" s="37" t="e">
        <f t="shared" ca="1" si="10"/>
        <v>#NAME?</v>
      </c>
      <c r="H32" s="37" t="e">
        <f t="shared" ca="1" si="10"/>
        <v>#NAME?</v>
      </c>
      <c r="I32" s="37" t="e">
        <f t="shared" ca="1" si="10"/>
        <v>#NAME?</v>
      </c>
      <c r="J32" s="90" t="e">
        <f t="shared" ca="1" si="10"/>
        <v>#NAME?</v>
      </c>
      <c r="K32" s="166" t="e">
        <f t="shared" ref="K32:K39" ca="1" si="11">SUMSQ(B32:J32)</f>
        <v>#NAME?</v>
      </c>
      <c r="AC32" s="46" t="str">
        <f t="array" ref="AC32:AC40">AC19:AC27</f>
        <v>Expect</v>
      </c>
      <c r="AD32" s="176" t="e">
        <f t="array" aca="1" ref="AD32:AL40" ca="1">B6:J14-MMULT(I44:L52,TRANSPOSE(I44:L52))</f>
        <v>#NAME?</v>
      </c>
      <c r="AE32" s="177" t="e">
        <f ca="1"/>
        <v>#NAME?</v>
      </c>
      <c r="AF32" s="177" t="e">
        <f ca="1"/>
        <v>#NAME?</v>
      </c>
      <c r="AG32" s="177" t="e">
        <f ca="1"/>
        <v>#NAME?</v>
      </c>
      <c r="AH32" s="177" t="e">
        <f ca="1"/>
        <v>#NAME?</v>
      </c>
      <c r="AI32" s="177" t="e">
        <f ca="1"/>
        <v>#NAME?</v>
      </c>
      <c r="AJ32" s="177" t="e">
        <f ca="1"/>
        <v>#NAME?</v>
      </c>
      <c r="AK32" s="177" t="e">
        <f ca="1"/>
        <v>#NAME?</v>
      </c>
      <c r="AL32" s="178" t="e">
        <f ca="1"/>
        <v>#NAME?</v>
      </c>
      <c r="AN32" t="str">
        <f t="array" ref="AN32:AN40">TRANSPOSE(AO31:AW31)</f>
        <v>Expect</v>
      </c>
      <c r="AO32" s="156" t="e">
        <f t="array" aca="1" ref="AO32:AW40" ca="1">MMULT(I44:L52,TRANSPOSE(I44:L52))</f>
        <v>#NAME?</v>
      </c>
      <c r="AP32" s="157" t="e">
        <f ca="1"/>
        <v>#NAME?</v>
      </c>
      <c r="AQ32" s="157" t="e">
        <f ca="1"/>
        <v>#NAME?</v>
      </c>
      <c r="AR32" s="157" t="e">
        <f ca="1"/>
        <v>#NAME?</v>
      </c>
      <c r="AS32" s="157" t="e">
        <f ca="1"/>
        <v>#NAME?</v>
      </c>
      <c r="AT32" s="157" t="e">
        <f ca="1"/>
        <v>#NAME?</v>
      </c>
      <c r="AU32" s="157" t="e">
        <f ca="1"/>
        <v>#NAME?</v>
      </c>
      <c r="AV32" s="157" t="e">
        <f ca="1"/>
        <v>#NAME?</v>
      </c>
      <c r="AW32" s="158" t="e">
        <f ca="1"/>
        <v>#NAME?</v>
      </c>
      <c r="AY32" t="str">
        <f t="array" ref="AY32:AY40">AY19:AY27</f>
        <v>Expect</v>
      </c>
      <c r="AZ32" s="156" t="e">
        <f t="array" aca="1" ref="AZ32:BH40" ca="1">TRANSPOSE(B19:J27)/SQRT(TRANSPOSE(B18:J18))</f>
        <v>#NAME?</v>
      </c>
      <c r="BA32" s="157" t="e">
        <f ca="1"/>
        <v>#NAME?</v>
      </c>
      <c r="BB32" s="157" t="e">
        <f ca="1"/>
        <v>#NAME?</v>
      </c>
      <c r="BC32" s="157" t="e">
        <f ca="1"/>
        <v>#NAME?</v>
      </c>
      <c r="BD32" s="157" t="e">
        <f ca="1"/>
        <v>#NAME?</v>
      </c>
      <c r="BE32" s="157" t="e">
        <f ca="1"/>
        <v>#NAME?</v>
      </c>
      <c r="BF32" s="157" t="e">
        <f ca="1"/>
        <v>#NAME?</v>
      </c>
      <c r="BG32" s="157" t="e">
        <f ca="1"/>
        <v>#NAME?</v>
      </c>
      <c r="BH32" s="158" t="e">
        <f ca="1"/>
        <v>#NAME?</v>
      </c>
      <c r="BI32" s="37"/>
      <c r="BK32" s="160" t="e">
        <f t="array" aca="1" ref="BK32:BN32" ca="1">TRANSPOSE(MMULT(BK19:BS22,TRANSPOSE(BK28:BS28)))</f>
        <v>#NAME?</v>
      </c>
      <c r="BL32" s="161" t="e">
        <f ca="1"/>
        <v>#NAME?</v>
      </c>
      <c r="BM32" s="161" t="e">
        <f ca="1"/>
        <v>#NAME?</v>
      </c>
      <c r="BN32" s="162" t="e">
        <f ca="1"/>
        <v>#NAME?</v>
      </c>
      <c r="BV32">
        <v>1</v>
      </c>
      <c r="BW32">
        <f>BV32+1</f>
        <v>2</v>
      </c>
      <c r="BX32">
        <f>BW32+1</f>
        <v>3</v>
      </c>
      <c r="BY32">
        <f>BX32+1</f>
        <v>4</v>
      </c>
      <c r="CG32">
        <f t="shared" si="3"/>
        <v>14</v>
      </c>
      <c r="CH32" s="123" t="e">
        <f ca="1"/>
        <v>#NAME?</v>
      </c>
      <c r="CI32" s="37" t="e">
        <f ca="1"/>
        <v>#NAME?</v>
      </c>
      <c r="CJ32" s="37" t="e">
        <f ca="1"/>
        <v>#NAME?</v>
      </c>
      <c r="CK32" s="90" t="e">
        <f ca="1"/>
        <v>#NAME?</v>
      </c>
      <c r="CM32" t="str">
        <v>Charisma</v>
      </c>
      <c r="CN32" s="123" t="e">
        <f ca="1"/>
        <v>#NAME?</v>
      </c>
      <c r="CO32" s="37" t="e">
        <f ca="1"/>
        <v>#NAME?</v>
      </c>
      <c r="CP32" s="37" t="e">
        <f ca="1"/>
        <v>#NAME?</v>
      </c>
      <c r="CQ32" s="90" t="e">
        <f ca="1"/>
        <v>#NAME?</v>
      </c>
      <c r="CS32" s="173">
        <v>4</v>
      </c>
      <c r="CU32" s="173">
        <v>-0.84166666666666679</v>
      </c>
      <c r="CY32">
        <f t="shared" si="4"/>
        <v>14</v>
      </c>
      <c r="CZ32" s="123" t="e">
        <f ca="1"/>
        <v>#NAME?</v>
      </c>
      <c r="DA32" s="37" t="e">
        <f ca="1"/>
        <v>#NAME?</v>
      </c>
      <c r="DB32" s="37" t="e">
        <f ca="1"/>
        <v>#NAME?</v>
      </c>
      <c r="DC32" s="90" t="e">
        <f ca="1"/>
        <v>#NAME?</v>
      </c>
      <c r="DE32" t="str">
        <v>Charisma</v>
      </c>
      <c r="DF32" s="123" t="e">
        <f ca="1"/>
        <v>#NAME?</v>
      </c>
      <c r="DG32" s="37" t="e">
        <f ca="1"/>
        <v>#NAME?</v>
      </c>
      <c r="DH32" s="37" t="e">
        <f ca="1"/>
        <v>#NAME?</v>
      </c>
      <c r="DI32" s="90" t="e">
        <f ca="1"/>
        <v>#NAME?</v>
      </c>
      <c r="DK32" s="173">
        <v>4</v>
      </c>
      <c r="DM32" s="173">
        <v>-0.84166666666666679</v>
      </c>
      <c r="DQ32">
        <f t="shared" si="6"/>
        <v>7</v>
      </c>
      <c r="DR32" s="123" t="e">
        <f ca="1"/>
        <v>#NAME?</v>
      </c>
      <c r="DS32" s="37" t="e">
        <f ca="1"/>
        <v>#NAME?</v>
      </c>
      <c r="DT32" s="37" t="e">
        <f ca="1"/>
        <v>#NAME?</v>
      </c>
      <c r="DU32" s="90" t="e">
        <f ca="1"/>
        <v>#NAME?</v>
      </c>
      <c r="ED32" s="123" t="e">
        <f ca="1"/>
        <v>#NAME?</v>
      </c>
      <c r="EE32" s="37" t="e">
        <f ca="1"/>
        <v>#NAME?</v>
      </c>
      <c r="EF32" s="37" t="e">
        <f ca="1"/>
        <v>#NAME?</v>
      </c>
      <c r="EG32" s="90" t="e">
        <f ca="1"/>
        <v>#NAME?</v>
      </c>
    </row>
    <row r="33" spans="1:137" x14ac:dyDescent="0.35">
      <c r="A33" t="str">
        <f t="shared" si="9"/>
        <v>Comm</v>
      </c>
      <c r="B33" s="123" t="e">
        <f t="shared" ca="1" si="10"/>
        <v>#NAME?</v>
      </c>
      <c r="C33" s="37" t="e">
        <f t="shared" ca="1" si="10"/>
        <v>#NAME?</v>
      </c>
      <c r="D33" s="37" t="e">
        <f t="shared" ca="1" si="10"/>
        <v>#NAME?</v>
      </c>
      <c r="E33" s="37" t="e">
        <f t="shared" ca="1" si="10"/>
        <v>#NAME?</v>
      </c>
      <c r="F33" s="37" t="e">
        <f t="shared" ca="1" si="10"/>
        <v>#NAME?</v>
      </c>
      <c r="G33" s="37" t="e">
        <f t="shared" ca="1" si="10"/>
        <v>#NAME?</v>
      </c>
      <c r="H33" s="37" t="e">
        <f t="shared" ca="1" si="10"/>
        <v>#NAME?</v>
      </c>
      <c r="I33" s="37" t="e">
        <f t="shared" ca="1" si="10"/>
        <v>#NAME?</v>
      </c>
      <c r="J33" s="90" t="e">
        <f t="shared" ca="1" si="10"/>
        <v>#NAME?</v>
      </c>
      <c r="K33" s="166" t="e">
        <f t="shared" ca="1" si="11"/>
        <v>#NAME?</v>
      </c>
      <c r="AC33" s="46" t="str">
        <v>Entertain</v>
      </c>
      <c r="AD33" s="124" t="e">
        <f ca="1"/>
        <v>#NAME?</v>
      </c>
      <c r="AE33" s="3" t="e">
        <f ca="1"/>
        <v>#NAME?</v>
      </c>
      <c r="AF33" s="3" t="e">
        <f ca="1"/>
        <v>#NAME?</v>
      </c>
      <c r="AG33" s="3" t="e">
        <f ca="1"/>
        <v>#NAME?</v>
      </c>
      <c r="AH33" s="3" t="e">
        <f ca="1"/>
        <v>#NAME?</v>
      </c>
      <c r="AI33" s="3" t="e">
        <f ca="1"/>
        <v>#NAME?</v>
      </c>
      <c r="AJ33" s="3" t="e">
        <f ca="1"/>
        <v>#NAME?</v>
      </c>
      <c r="AK33" s="3" t="e">
        <f ca="1"/>
        <v>#NAME?</v>
      </c>
      <c r="AL33" s="179" t="e">
        <f ca="1"/>
        <v>#NAME?</v>
      </c>
      <c r="AN33" t="str">
        <v>Entertain</v>
      </c>
      <c r="AO33" s="123" t="e">
        <f ca="1"/>
        <v>#NAME?</v>
      </c>
      <c r="AP33" s="37" t="e">
        <f ca="1"/>
        <v>#NAME?</v>
      </c>
      <c r="AQ33" s="37" t="e">
        <f ca="1"/>
        <v>#NAME?</v>
      </c>
      <c r="AR33" s="37" t="e">
        <f ca="1"/>
        <v>#NAME?</v>
      </c>
      <c r="AS33" s="37" t="e">
        <f ca="1"/>
        <v>#NAME?</v>
      </c>
      <c r="AT33" s="37" t="e">
        <f ca="1"/>
        <v>#NAME?</v>
      </c>
      <c r="AU33" s="37" t="e">
        <f ca="1"/>
        <v>#NAME?</v>
      </c>
      <c r="AV33" s="37" t="e">
        <f ca="1"/>
        <v>#NAME?</v>
      </c>
      <c r="AW33" s="90" t="e">
        <f ca="1"/>
        <v>#NAME?</v>
      </c>
      <c r="AY33" t="str">
        <v>Entertain</v>
      </c>
      <c r="AZ33" s="123" t="e">
        <f ca="1"/>
        <v>#NAME?</v>
      </c>
      <c r="BA33" s="37" t="e">
        <f ca="1"/>
        <v>#NAME?</v>
      </c>
      <c r="BB33" s="37" t="e">
        <f ca="1"/>
        <v>#NAME?</v>
      </c>
      <c r="BC33" s="37" t="e">
        <f ca="1"/>
        <v>#NAME?</v>
      </c>
      <c r="BD33" s="37" t="e">
        <f ca="1"/>
        <v>#NAME?</v>
      </c>
      <c r="BE33" s="37" t="e">
        <f ca="1"/>
        <v>#NAME?</v>
      </c>
      <c r="BF33" s="37" t="e">
        <f ca="1"/>
        <v>#NAME?</v>
      </c>
      <c r="BG33" s="37" t="e">
        <f ca="1"/>
        <v>#NAME?</v>
      </c>
      <c r="BH33" s="90" t="e">
        <f ca="1"/>
        <v>#NAME?</v>
      </c>
      <c r="BI33" s="37"/>
      <c r="BU33" t="str">
        <f t="array" ref="BU33:BU41">BU6:BU14</f>
        <v>Expect</v>
      </c>
      <c r="BV33" s="156" t="e">
        <f t="array" aca="1" ref="BV33:BY41" ca="1">MMULT(B44:E52,MINVERSE(BK5:BN8))</f>
        <v>#NAME?</v>
      </c>
      <c r="BW33" s="157" t="e">
        <f ca="1"/>
        <v>#NAME?</v>
      </c>
      <c r="BX33" s="157" t="e">
        <f ca="1"/>
        <v>#NAME?</v>
      </c>
      <c r="BY33" s="158" t="e">
        <f ca="1"/>
        <v>#NAME?</v>
      </c>
      <c r="CG33">
        <f t="shared" si="3"/>
        <v>15</v>
      </c>
      <c r="CH33" s="123" t="e">
        <f ca="1"/>
        <v>#NAME?</v>
      </c>
      <c r="CI33" s="37" t="e">
        <f ca="1"/>
        <v>#NAME?</v>
      </c>
      <c r="CJ33" s="37" t="e">
        <f ca="1"/>
        <v>#NAME?</v>
      </c>
      <c r="CK33" s="90" t="e">
        <f ca="1"/>
        <v>#NAME?</v>
      </c>
      <c r="CM33" t="str">
        <v>Passion</v>
      </c>
      <c r="CN33" s="123" t="e">
        <f ca="1"/>
        <v>#NAME?</v>
      </c>
      <c r="CO33" s="37" t="e">
        <f ca="1"/>
        <v>#NAME?</v>
      </c>
      <c r="CP33" s="37" t="e">
        <f ca="1"/>
        <v>#NAME?</v>
      </c>
      <c r="CQ33" s="90" t="e">
        <f ca="1"/>
        <v>#NAME?</v>
      </c>
      <c r="CS33" s="173">
        <v>4</v>
      </c>
      <c r="CU33" s="173">
        <v>-0.72499999999999964</v>
      </c>
      <c r="CY33">
        <f t="shared" si="4"/>
        <v>15</v>
      </c>
      <c r="CZ33" s="123" t="e">
        <f ca="1"/>
        <v>#NAME?</v>
      </c>
      <c r="DA33" s="37" t="e">
        <f ca="1"/>
        <v>#NAME?</v>
      </c>
      <c r="DB33" s="37" t="e">
        <f ca="1"/>
        <v>#NAME?</v>
      </c>
      <c r="DC33" s="90" t="e">
        <f ca="1"/>
        <v>#NAME?</v>
      </c>
      <c r="DE33" t="str">
        <v>Passion</v>
      </c>
      <c r="DF33" s="123" t="e">
        <f ca="1"/>
        <v>#NAME?</v>
      </c>
      <c r="DG33" s="37" t="e">
        <f ca="1"/>
        <v>#NAME?</v>
      </c>
      <c r="DH33" s="37" t="e">
        <f ca="1"/>
        <v>#NAME?</v>
      </c>
      <c r="DI33" s="90" t="e">
        <f ca="1"/>
        <v>#NAME?</v>
      </c>
      <c r="DK33" s="173">
        <v>4</v>
      </c>
      <c r="DM33" s="173">
        <v>-0.72499999999999964</v>
      </c>
      <c r="DQ33">
        <f t="shared" si="6"/>
        <v>8</v>
      </c>
      <c r="DR33" s="123" t="e">
        <f ca="1"/>
        <v>#NAME?</v>
      </c>
      <c r="DS33" s="37" t="e">
        <f ca="1"/>
        <v>#NAME?</v>
      </c>
      <c r="DT33" s="37" t="e">
        <f ca="1"/>
        <v>#NAME?</v>
      </c>
      <c r="DU33" s="90" t="e">
        <f ca="1"/>
        <v>#NAME?</v>
      </c>
      <c r="ED33" s="123" t="e">
        <f ca="1"/>
        <v>#NAME?</v>
      </c>
      <c r="EE33" s="37" t="e">
        <f ca="1"/>
        <v>#NAME?</v>
      </c>
      <c r="EF33" s="37" t="e">
        <f ca="1"/>
        <v>#NAME?</v>
      </c>
      <c r="EG33" s="90" t="e">
        <f ca="1"/>
        <v>#NAME?</v>
      </c>
    </row>
    <row r="34" spans="1:137" x14ac:dyDescent="0.35">
      <c r="A34" t="str">
        <f t="shared" si="9"/>
        <v>Expert</v>
      </c>
      <c r="B34" s="123" t="e">
        <f t="shared" ca="1" si="10"/>
        <v>#NAME?</v>
      </c>
      <c r="C34" s="37" t="e">
        <f t="shared" ca="1" si="10"/>
        <v>#NAME?</v>
      </c>
      <c r="D34" s="37" t="e">
        <f t="shared" ca="1" si="10"/>
        <v>#NAME?</v>
      </c>
      <c r="E34" s="37" t="e">
        <f t="shared" ca="1" si="10"/>
        <v>#NAME?</v>
      </c>
      <c r="F34" s="37" t="e">
        <f t="shared" ca="1" si="10"/>
        <v>#NAME?</v>
      </c>
      <c r="G34" s="37" t="e">
        <f t="shared" ca="1" si="10"/>
        <v>#NAME?</v>
      </c>
      <c r="H34" s="37" t="e">
        <f t="shared" ca="1" si="10"/>
        <v>#NAME?</v>
      </c>
      <c r="I34" s="37" t="e">
        <f t="shared" ca="1" si="10"/>
        <v>#NAME?</v>
      </c>
      <c r="J34" s="90" t="e">
        <f t="shared" ca="1" si="10"/>
        <v>#NAME?</v>
      </c>
      <c r="K34" s="166" t="e">
        <f t="shared" ca="1" si="11"/>
        <v>#NAME?</v>
      </c>
      <c r="AC34" s="46" t="str">
        <v>Comm</v>
      </c>
      <c r="AD34" s="124" t="e">
        <f ca="1"/>
        <v>#NAME?</v>
      </c>
      <c r="AE34" s="3" t="e">
        <f ca="1"/>
        <v>#NAME?</v>
      </c>
      <c r="AF34" s="3" t="e">
        <f ca="1"/>
        <v>#NAME?</v>
      </c>
      <c r="AG34" s="3" t="e">
        <f ca="1"/>
        <v>#NAME?</v>
      </c>
      <c r="AH34" s="3" t="e">
        <f ca="1"/>
        <v>#NAME?</v>
      </c>
      <c r="AI34" s="3" t="e">
        <f ca="1"/>
        <v>#NAME?</v>
      </c>
      <c r="AJ34" s="3" t="e">
        <f ca="1"/>
        <v>#NAME?</v>
      </c>
      <c r="AK34" s="3" t="e">
        <f ca="1"/>
        <v>#NAME?</v>
      </c>
      <c r="AL34" s="179" t="e">
        <f ca="1"/>
        <v>#NAME?</v>
      </c>
      <c r="AN34" t="str">
        <v>Comm</v>
      </c>
      <c r="AO34" s="123" t="e">
        <f ca="1"/>
        <v>#NAME?</v>
      </c>
      <c r="AP34" s="37" t="e">
        <f ca="1"/>
        <v>#NAME?</v>
      </c>
      <c r="AQ34" s="37" t="e">
        <f ca="1"/>
        <v>#NAME?</v>
      </c>
      <c r="AR34" s="37" t="e">
        <f ca="1"/>
        <v>#NAME?</v>
      </c>
      <c r="AS34" s="37" t="e">
        <f ca="1"/>
        <v>#NAME?</v>
      </c>
      <c r="AT34" s="37" t="e">
        <f ca="1"/>
        <v>#NAME?</v>
      </c>
      <c r="AU34" s="37" t="e">
        <f ca="1"/>
        <v>#NAME?</v>
      </c>
      <c r="AV34" s="37" t="e">
        <f ca="1"/>
        <v>#NAME?</v>
      </c>
      <c r="AW34" s="90" t="e">
        <f ca="1"/>
        <v>#NAME?</v>
      </c>
      <c r="AY34" t="str">
        <v>Comm</v>
      </c>
      <c r="AZ34" s="123" t="e">
        <f ca="1"/>
        <v>#NAME?</v>
      </c>
      <c r="BA34" s="37" t="e">
        <f ca="1"/>
        <v>#NAME?</v>
      </c>
      <c r="BB34" s="37" t="e">
        <f ca="1"/>
        <v>#NAME?</v>
      </c>
      <c r="BC34" s="37" t="e">
        <f ca="1"/>
        <v>#NAME?</v>
      </c>
      <c r="BD34" s="37" t="e">
        <f ca="1"/>
        <v>#NAME?</v>
      </c>
      <c r="BE34" s="37" t="e">
        <f ca="1"/>
        <v>#NAME?</v>
      </c>
      <c r="BF34" s="37" t="e">
        <f ca="1"/>
        <v>#NAME?</v>
      </c>
      <c r="BG34" s="37" t="e">
        <f ca="1"/>
        <v>#NAME?</v>
      </c>
      <c r="BH34" s="90" t="e">
        <f ca="1"/>
        <v>#NAME?</v>
      </c>
      <c r="BI34" s="37"/>
      <c r="BU34" t="str">
        <v>Entertain</v>
      </c>
      <c r="BV34" s="123" t="e">
        <f ca="1"/>
        <v>#NAME?</v>
      </c>
      <c r="BW34" s="37" t="e">
        <f ca="1"/>
        <v>#NAME?</v>
      </c>
      <c r="BX34" s="37" t="e">
        <f ca="1"/>
        <v>#NAME?</v>
      </c>
      <c r="BY34" s="90" t="e">
        <f ca="1"/>
        <v>#NAME?</v>
      </c>
      <c r="CG34">
        <f t="shared" si="3"/>
        <v>16</v>
      </c>
      <c r="CH34" s="123" t="e">
        <f ca="1"/>
        <v>#NAME?</v>
      </c>
      <c r="CI34" s="37" t="e">
        <f ca="1"/>
        <v>#NAME?</v>
      </c>
      <c r="CJ34" s="37" t="e">
        <f ca="1"/>
        <v>#NAME?</v>
      </c>
      <c r="CK34" s="90" t="e">
        <f ca="1"/>
        <v>#NAME?</v>
      </c>
      <c r="CM34" t="str">
        <v>Friendly</v>
      </c>
      <c r="CN34" s="91" t="e">
        <f ca="1"/>
        <v>#NAME?</v>
      </c>
      <c r="CO34" s="92" t="e">
        <f ca="1"/>
        <v>#NAME?</v>
      </c>
      <c r="CP34" s="92" t="e">
        <f ca="1"/>
        <v>#NAME?</v>
      </c>
      <c r="CQ34" s="93" t="e">
        <f ca="1"/>
        <v>#NAME?</v>
      </c>
      <c r="CS34" s="174">
        <v>8</v>
      </c>
      <c r="CU34" s="174">
        <v>0.70000000000000018</v>
      </c>
      <c r="CY34">
        <f t="shared" si="4"/>
        <v>16</v>
      </c>
      <c r="CZ34" s="123" t="e">
        <f ca="1"/>
        <v>#NAME?</v>
      </c>
      <c r="DA34" s="37" t="e">
        <f ca="1"/>
        <v>#NAME?</v>
      </c>
      <c r="DB34" s="37" t="e">
        <f ca="1"/>
        <v>#NAME?</v>
      </c>
      <c r="DC34" s="90" t="e">
        <f ca="1"/>
        <v>#NAME?</v>
      </c>
      <c r="DE34" t="str">
        <v>Friendly</v>
      </c>
      <c r="DF34" s="91" t="e">
        <f ca="1"/>
        <v>#NAME?</v>
      </c>
      <c r="DG34" s="92" t="e">
        <f ca="1"/>
        <v>#NAME?</v>
      </c>
      <c r="DH34" s="92" t="e">
        <f ca="1"/>
        <v>#NAME?</v>
      </c>
      <c r="DI34" s="93" t="e">
        <f ca="1"/>
        <v>#NAME?</v>
      </c>
      <c r="DK34" s="174">
        <v>8</v>
      </c>
      <c r="DM34" s="174">
        <v>0.70000000000000018</v>
      </c>
      <c r="DQ34">
        <f t="shared" si="6"/>
        <v>9</v>
      </c>
      <c r="DR34" s="123" t="e">
        <f ca="1"/>
        <v>#NAME?</v>
      </c>
      <c r="DS34" s="37" t="e">
        <f ca="1"/>
        <v>#NAME?</v>
      </c>
      <c r="DT34" s="37" t="e">
        <f ca="1"/>
        <v>#NAME?</v>
      </c>
      <c r="DU34" s="90" t="e">
        <f ca="1"/>
        <v>#NAME?</v>
      </c>
      <c r="ED34" s="123" t="e">
        <f ca="1"/>
        <v>#NAME?</v>
      </c>
      <c r="EE34" s="37" t="e">
        <f ca="1"/>
        <v>#NAME?</v>
      </c>
      <c r="EF34" s="37" t="e">
        <f ca="1"/>
        <v>#NAME?</v>
      </c>
      <c r="EG34" s="90" t="e">
        <f ca="1"/>
        <v>#NAME?</v>
      </c>
    </row>
    <row r="35" spans="1:137" x14ac:dyDescent="0.35">
      <c r="A35" t="str">
        <f t="shared" si="9"/>
        <v>Motivate</v>
      </c>
      <c r="B35" s="123" t="e">
        <f t="shared" ca="1" si="10"/>
        <v>#NAME?</v>
      </c>
      <c r="C35" s="37" t="e">
        <f t="shared" ca="1" si="10"/>
        <v>#NAME?</v>
      </c>
      <c r="D35" s="37" t="e">
        <f t="shared" ca="1" si="10"/>
        <v>#NAME?</v>
      </c>
      <c r="E35" s="37" t="e">
        <f t="shared" ca="1" si="10"/>
        <v>#NAME?</v>
      </c>
      <c r="F35" s="37" t="e">
        <f t="shared" ca="1" si="10"/>
        <v>#NAME?</v>
      </c>
      <c r="G35" s="37" t="e">
        <f t="shared" ca="1" si="10"/>
        <v>#NAME?</v>
      </c>
      <c r="H35" s="37" t="e">
        <f t="shared" ca="1" si="10"/>
        <v>#NAME?</v>
      </c>
      <c r="I35" s="37" t="e">
        <f t="shared" ca="1" si="10"/>
        <v>#NAME?</v>
      </c>
      <c r="J35" s="90" t="e">
        <f t="shared" ca="1" si="10"/>
        <v>#NAME?</v>
      </c>
      <c r="K35" s="166" t="e">
        <f t="shared" ca="1" si="11"/>
        <v>#NAME?</v>
      </c>
      <c r="AC35" s="46" t="str">
        <v>Expert</v>
      </c>
      <c r="AD35" s="124" t="e">
        <f ca="1"/>
        <v>#NAME?</v>
      </c>
      <c r="AE35" s="3" t="e">
        <f ca="1"/>
        <v>#NAME?</v>
      </c>
      <c r="AF35" s="3" t="e">
        <f ca="1"/>
        <v>#NAME?</v>
      </c>
      <c r="AG35" s="3" t="e">
        <f ca="1"/>
        <v>#NAME?</v>
      </c>
      <c r="AH35" s="3" t="e">
        <f ca="1"/>
        <v>#NAME?</v>
      </c>
      <c r="AI35" s="3" t="e">
        <f ca="1"/>
        <v>#NAME?</v>
      </c>
      <c r="AJ35" s="3" t="e">
        <f ca="1"/>
        <v>#NAME?</v>
      </c>
      <c r="AK35" s="3" t="e">
        <f ca="1"/>
        <v>#NAME?</v>
      </c>
      <c r="AL35" s="179" t="e">
        <f ca="1"/>
        <v>#NAME?</v>
      </c>
      <c r="AN35" t="str">
        <v>Expert</v>
      </c>
      <c r="AO35" s="123" t="e">
        <f ca="1"/>
        <v>#NAME?</v>
      </c>
      <c r="AP35" s="37" t="e">
        <f ca="1"/>
        <v>#NAME?</v>
      </c>
      <c r="AQ35" s="37" t="e">
        <f ca="1"/>
        <v>#NAME?</v>
      </c>
      <c r="AR35" s="37" t="e">
        <f ca="1"/>
        <v>#NAME?</v>
      </c>
      <c r="AS35" s="37" t="e">
        <f ca="1"/>
        <v>#NAME?</v>
      </c>
      <c r="AT35" s="37" t="e">
        <f ca="1"/>
        <v>#NAME?</v>
      </c>
      <c r="AU35" s="37" t="e">
        <f ca="1"/>
        <v>#NAME?</v>
      </c>
      <c r="AV35" s="37" t="e">
        <f ca="1"/>
        <v>#NAME?</v>
      </c>
      <c r="AW35" s="90" t="e">
        <f ca="1"/>
        <v>#NAME?</v>
      </c>
      <c r="AY35" t="str">
        <v>Expert</v>
      </c>
      <c r="AZ35" s="123" t="e">
        <f ca="1"/>
        <v>#NAME?</v>
      </c>
      <c r="BA35" s="37" t="e">
        <f ca="1"/>
        <v>#NAME?</v>
      </c>
      <c r="BB35" s="37" t="e">
        <f ca="1"/>
        <v>#NAME?</v>
      </c>
      <c r="BC35" s="37" t="e">
        <f ca="1"/>
        <v>#NAME?</v>
      </c>
      <c r="BD35" s="37" t="e">
        <f ca="1"/>
        <v>#NAME?</v>
      </c>
      <c r="BE35" s="37" t="e">
        <f ca="1"/>
        <v>#NAME?</v>
      </c>
      <c r="BF35" s="37" t="e">
        <f ca="1"/>
        <v>#NAME?</v>
      </c>
      <c r="BG35" s="37" t="e">
        <f ca="1"/>
        <v>#NAME?</v>
      </c>
      <c r="BH35" s="90" t="e">
        <f ca="1"/>
        <v>#NAME?</v>
      </c>
      <c r="BI35" s="37"/>
      <c r="BU35" t="str">
        <v>Comm</v>
      </c>
      <c r="BV35" s="123" t="e">
        <f ca="1"/>
        <v>#NAME?</v>
      </c>
      <c r="BW35" s="37" t="e">
        <f ca="1"/>
        <v>#NAME?</v>
      </c>
      <c r="BX35" s="37" t="e">
        <f ca="1"/>
        <v>#NAME?</v>
      </c>
      <c r="BY35" s="90" t="e">
        <f ca="1"/>
        <v>#NAME?</v>
      </c>
      <c r="CG35">
        <f t="shared" si="3"/>
        <v>17</v>
      </c>
      <c r="CH35" s="123" t="e">
        <f ca="1"/>
        <v>#NAME?</v>
      </c>
      <c r="CI35" s="37" t="e">
        <f ca="1"/>
        <v>#NAME?</v>
      </c>
      <c r="CJ35" s="37" t="e">
        <f ca="1"/>
        <v>#NAME?</v>
      </c>
      <c r="CK35" s="90" t="e">
        <f ca="1"/>
        <v>#NAME?</v>
      </c>
      <c r="CY35">
        <f t="shared" si="4"/>
        <v>17</v>
      </c>
      <c r="CZ35" s="123" t="e">
        <f ca="1"/>
        <v>#NAME?</v>
      </c>
      <c r="DA35" s="37" t="e">
        <f ca="1"/>
        <v>#NAME?</v>
      </c>
      <c r="DB35" s="37" t="e">
        <f ca="1"/>
        <v>#NAME?</v>
      </c>
      <c r="DC35" s="90" t="e">
        <f ca="1"/>
        <v>#NAME?</v>
      </c>
      <c r="DQ35">
        <f t="shared" si="6"/>
        <v>10</v>
      </c>
      <c r="DR35" s="123" t="e">
        <f ca="1"/>
        <v>#NAME?</v>
      </c>
      <c r="DS35" s="37" t="e">
        <f ca="1"/>
        <v>#NAME?</v>
      </c>
      <c r="DT35" s="37" t="e">
        <f ca="1"/>
        <v>#NAME?</v>
      </c>
      <c r="DU35" s="90" t="e">
        <f ca="1"/>
        <v>#NAME?</v>
      </c>
      <c r="ED35" s="123" t="e">
        <f ca="1"/>
        <v>#NAME?</v>
      </c>
      <c r="EE35" s="37" t="e">
        <f ca="1"/>
        <v>#NAME?</v>
      </c>
      <c r="EF35" s="37" t="e">
        <f ca="1"/>
        <v>#NAME?</v>
      </c>
      <c r="EG35" s="90" t="e">
        <f ca="1"/>
        <v>#NAME?</v>
      </c>
    </row>
    <row r="36" spans="1:137" x14ac:dyDescent="0.35">
      <c r="A36" t="str">
        <f t="shared" si="9"/>
        <v>Caring</v>
      </c>
      <c r="B36" s="123" t="e">
        <f t="shared" ca="1" si="10"/>
        <v>#NAME?</v>
      </c>
      <c r="C36" s="37" t="e">
        <f t="shared" ca="1" si="10"/>
        <v>#NAME?</v>
      </c>
      <c r="D36" s="37" t="e">
        <f t="shared" ca="1" si="10"/>
        <v>#NAME?</v>
      </c>
      <c r="E36" s="37" t="e">
        <f t="shared" ca="1" si="10"/>
        <v>#NAME?</v>
      </c>
      <c r="F36" s="37" t="e">
        <f t="shared" ca="1" si="10"/>
        <v>#NAME?</v>
      </c>
      <c r="G36" s="37" t="e">
        <f t="shared" ca="1" si="10"/>
        <v>#NAME?</v>
      </c>
      <c r="H36" s="37" t="e">
        <f t="shared" ca="1" si="10"/>
        <v>#NAME?</v>
      </c>
      <c r="I36" s="37" t="e">
        <f t="shared" ca="1" si="10"/>
        <v>#NAME?</v>
      </c>
      <c r="J36" s="90" t="e">
        <f t="shared" ca="1" si="10"/>
        <v>#NAME?</v>
      </c>
      <c r="K36" s="166" t="e">
        <f t="shared" ca="1" si="11"/>
        <v>#NAME?</v>
      </c>
      <c r="AC36" s="46" t="str">
        <v>Motivate</v>
      </c>
      <c r="AD36" s="124" t="e">
        <f ca="1"/>
        <v>#NAME?</v>
      </c>
      <c r="AE36" s="3" t="e">
        <f ca="1"/>
        <v>#NAME?</v>
      </c>
      <c r="AF36" s="3" t="e">
        <f ca="1"/>
        <v>#NAME?</v>
      </c>
      <c r="AG36" s="3" t="e">
        <f ca="1"/>
        <v>#NAME?</v>
      </c>
      <c r="AH36" s="3" t="e">
        <f ca="1"/>
        <v>#NAME?</v>
      </c>
      <c r="AI36" s="3" t="e">
        <f ca="1"/>
        <v>#NAME?</v>
      </c>
      <c r="AJ36" s="3" t="e">
        <f ca="1"/>
        <v>#NAME?</v>
      </c>
      <c r="AK36" s="3" t="e">
        <f ca="1"/>
        <v>#NAME?</v>
      </c>
      <c r="AL36" s="179" t="e">
        <f ca="1"/>
        <v>#NAME?</v>
      </c>
      <c r="AN36" t="str">
        <v>Motivate</v>
      </c>
      <c r="AO36" s="123" t="e">
        <f ca="1"/>
        <v>#NAME?</v>
      </c>
      <c r="AP36" s="37" t="e">
        <f ca="1"/>
        <v>#NAME?</v>
      </c>
      <c r="AQ36" s="37" t="e">
        <f ca="1"/>
        <v>#NAME?</v>
      </c>
      <c r="AR36" s="37" t="e">
        <f ca="1"/>
        <v>#NAME?</v>
      </c>
      <c r="AS36" s="37" t="e">
        <f ca="1"/>
        <v>#NAME?</v>
      </c>
      <c r="AT36" s="37" t="e">
        <f ca="1"/>
        <v>#NAME?</v>
      </c>
      <c r="AU36" s="37" t="e">
        <f ca="1"/>
        <v>#NAME?</v>
      </c>
      <c r="AV36" s="37" t="e">
        <f ca="1"/>
        <v>#NAME?</v>
      </c>
      <c r="AW36" s="90" t="e">
        <f ca="1"/>
        <v>#NAME?</v>
      </c>
      <c r="AY36" t="str">
        <v>Motivate</v>
      </c>
      <c r="AZ36" s="123" t="e">
        <f ca="1"/>
        <v>#NAME?</v>
      </c>
      <c r="BA36" s="37" t="e">
        <f ca="1"/>
        <v>#NAME?</v>
      </c>
      <c r="BB36" s="37" t="e">
        <f ca="1"/>
        <v>#NAME?</v>
      </c>
      <c r="BC36" s="37" t="e">
        <f ca="1"/>
        <v>#NAME?</v>
      </c>
      <c r="BD36" s="37" t="e">
        <f ca="1"/>
        <v>#NAME?</v>
      </c>
      <c r="BE36" s="37" t="e">
        <f ca="1"/>
        <v>#NAME?</v>
      </c>
      <c r="BF36" s="37" t="e">
        <f ca="1"/>
        <v>#NAME?</v>
      </c>
      <c r="BG36" s="37" t="e">
        <f ca="1"/>
        <v>#NAME?</v>
      </c>
      <c r="BH36" s="90" t="e">
        <f ca="1"/>
        <v>#NAME?</v>
      </c>
      <c r="BI36" s="37"/>
      <c r="BU36" t="str">
        <v>Expert</v>
      </c>
      <c r="BV36" s="123" t="e">
        <f ca="1"/>
        <v>#NAME?</v>
      </c>
      <c r="BW36" s="37" t="e">
        <f ca="1"/>
        <v>#NAME?</v>
      </c>
      <c r="BX36" s="37" t="e">
        <f ca="1"/>
        <v>#NAME?</v>
      </c>
      <c r="BY36" s="90" t="e">
        <f ca="1"/>
        <v>#NAME?</v>
      </c>
      <c r="CG36">
        <f t="shared" si="3"/>
        <v>18</v>
      </c>
      <c r="CH36" s="123" t="e">
        <f ca="1"/>
        <v>#NAME?</v>
      </c>
      <c r="CI36" s="37" t="e">
        <f ca="1"/>
        <v>#NAME?</v>
      </c>
      <c r="CJ36" s="37" t="e">
        <f ca="1"/>
        <v>#NAME?</v>
      </c>
      <c r="CK36" s="90" t="e">
        <f ca="1"/>
        <v>#NAME?</v>
      </c>
      <c r="CY36">
        <f t="shared" si="4"/>
        <v>18</v>
      </c>
      <c r="CZ36" s="123" t="e">
        <f ca="1"/>
        <v>#NAME?</v>
      </c>
      <c r="DA36" s="37" t="e">
        <f ca="1"/>
        <v>#NAME?</v>
      </c>
      <c r="DB36" s="37" t="e">
        <f ca="1"/>
        <v>#NAME?</v>
      </c>
      <c r="DC36" s="90" t="e">
        <f ca="1"/>
        <v>#NAME?</v>
      </c>
      <c r="DQ36">
        <f t="shared" si="6"/>
        <v>11</v>
      </c>
      <c r="DR36" s="123" t="e">
        <f ca="1"/>
        <v>#NAME?</v>
      </c>
      <c r="DS36" s="37" t="e">
        <f ca="1"/>
        <v>#NAME?</v>
      </c>
      <c r="DT36" s="37" t="e">
        <f ca="1"/>
        <v>#NAME?</v>
      </c>
      <c r="DU36" s="90" t="e">
        <f ca="1"/>
        <v>#NAME?</v>
      </c>
      <c r="ED36" s="123" t="e">
        <f ca="1"/>
        <v>#NAME?</v>
      </c>
      <c r="EE36" s="37" t="e">
        <f ca="1"/>
        <v>#NAME?</v>
      </c>
      <c r="EF36" s="37" t="e">
        <f ca="1"/>
        <v>#NAME?</v>
      </c>
      <c r="EG36" s="90" t="e">
        <f ca="1"/>
        <v>#NAME?</v>
      </c>
    </row>
    <row r="37" spans="1:137" x14ac:dyDescent="0.35">
      <c r="A37" t="str">
        <f t="shared" si="9"/>
        <v>Charisma</v>
      </c>
      <c r="B37" s="123" t="e">
        <f t="shared" ca="1" si="10"/>
        <v>#NAME?</v>
      </c>
      <c r="C37" s="37" t="e">
        <f t="shared" ca="1" si="10"/>
        <v>#NAME?</v>
      </c>
      <c r="D37" s="37" t="e">
        <f t="shared" ca="1" si="10"/>
        <v>#NAME?</v>
      </c>
      <c r="E37" s="37" t="e">
        <f t="shared" ca="1" si="10"/>
        <v>#NAME?</v>
      </c>
      <c r="F37" s="37" t="e">
        <f t="shared" ca="1" si="10"/>
        <v>#NAME?</v>
      </c>
      <c r="G37" s="37" t="e">
        <f t="shared" ca="1" si="10"/>
        <v>#NAME?</v>
      </c>
      <c r="H37" s="37" t="e">
        <f t="shared" ca="1" si="10"/>
        <v>#NAME?</v>
      </c>
      <c r="I37" s="37" t="e">
        <f t="shared" ca="1" si="10"/>
        <v>#NAME?</v>
      </c>
      <c r="J37" s="90" t="e">
        <f t="shared" ca="1" si="10"/>
        <v>#NAME?</v>
      </c>
      <c r="K37" s="166" t="e">
        <f t="shared" ca="1" si="11"/>
        <v>#NAME?</v>
      </c>
      <c r="AC37" s="46" t="str">
        <v>Caring</v>
      </c>
      <c r="AD37" s="124" t="e">
        <f ca="1"/>
        <v>#NAME?</v>
      </c>
      <c r="AE37" s="3" t="e">
        <f ca="1"/>
        <v>#NAME?</v>
      </c>
      <c r="AF37" s="3" t="e">
        <f ca="1"/>
        <v>#NAME?</v>
      </c>
      <c r="AG37" s="3" t="e">
        <f ca="1"/>
        <v>#NAME?</v>
      </c>
      <c r="AH37" s="3" t="e">
        <f ca="1"/>
        <v>#NAME?</v>
      </c>
      <c r="AI37" s="3" t="e">
        <f ca="1"/>
        <v>#NAME?</v>
      </c>
      <c r="AJ37" s="3" t="e">
        <f ca="1"/>
        <v>#NAME?</v>
      </c>
      <c r="AK37" s="3" t="e">
        <f ca="1"/>
        <v>#NAME?</v>
      </c>
      <c r="AL37" s="179" t="e">
        <f ca="1"/>
        <v>#NAME?</v>
      </c>
      <c r="AN37" t="str">
        <v>Caring</v>
      </c>
      <c r="AO37" s="123" t="e">
        <f ca="1"/>
        <v>#NAME?</v>
      </c>
      <c r="AP37" s="37" t="e">
        <f ca="1"/>
        <v>#NAME?</v>
      </c>
      <c r="AQ37" s="37" t="e">
        <f ca="1"/>
        <v>#NAME?</v>
      </c>
      <c r="AR37" s="37" t="e">
        <f ca="1"/>
        <v>#NAME?</v>
      </c>
      <c r="AS37" s="37" t="e">
        <f ca="1"/>
        <v>#NAME?</v>
      </c>
      <c r="AT37" s="37" t="e">
        <f ca="1"/>
        <v>#NAME?</v>
      </c>
      <c r="AU37" s="37" t="e">
        <f ca="1"/>
        <v>#NAME?</v>
      </c>
      <c r="AV37" s="37" t="e">
        <f ca="1"/>
        <v>#NAME?</v>
      </c>
      <c r="AW37" s="90" t="e">
        <f ca="1"/>
        <v>#NAME?</v>
      </c>
      <c r="AY37" t="str">
        <v>Caring</v>
      </c>
      <c r="AZ37" s="123" t="e">
        <f ca="1"/>
        <v>#NAME?</v>
      </c>
      <c r="BA37" s="37" t="e">
        <f ca="1"/>
        <v>#NAME?</v>
      </c>
      <c r="BB37" s="37" t="e">
        <f ca="1"/>
        <v>#NAME?</v>
      </c>
      <c r="BC37" s="37" t="e">
        <f ca="1"/>
        <v>#NAME?</v>
      </c>
      <c r="BD37" s="37" t="e">
        <f ca="1"/>
        <v>#NAME?</v>
      </c>
      <c r="BE37" s="37" t="e">
        <f ca="1"/>
        <v>#NAME?</v>
      </c>
      <c r="BF37" s="37" t="e">
        <f ca="1"/>
        <v>#NAME?</v>
      </c>
      <c r="BG37" s="37" t="e">
        <f ca="1"/>
        <v>#NAME?</v>
      </c>
      <c r="BH37" s="90" t="e">
        <f ca="1"/>
        <v>#NAME?</v>
      </c>
      <c r="BI37" s="37"/>
      <c r="BU37" t="str">
        <v>Motivate</v>
      </c>
      <c r="BV37" s="123" t="e">
        <f ca="1"/>
        <v>#NAME?</v>
      </c>
      <c r="BW37" s="37" t="e">
        <f ca="1"/>
        <v>#NAME?</v>
      </c>
      <c r="BX37" s="37" t="e">
        <f ca="1"/>
        <v>#NAME?</v>
      </c>
      <c r="BY37" s="90" t="e">
        <f ca="1"/>
        <v>#NAME?</v>
      </c>
      <c r="CG37">
        <f t="shared" si="3"/>
        <v>19</v>
      </c>
      <c r="CH37" s="123" t="e">
        <f ca="1"/>
        <v>#NAME?</v>
      </c>
      <c r="CI37" s="37" t="e">
        <f ca="1"/>
        <v>#NAME?</v>
      </c>
      <c r="CJ37" s="37" t="e">
        <f ca="1"/>
        <v>#NAME?</v>
      </c>
      <c r="CK37" s="90" t="e">
        <f ca="1"/>
        <v>#NAME?</v>
      </c>
      <c r="CY37">
        <f t="shared" si="4"/>
        <v>19</v>
      </c>
      <c r="CZ37" s="123" t="e">
        <f ca="1"/>
        <v>#NAME?</v>
      </c>
      <c r="DA37" s="37" t="e">
        <f ca="1"/>
        <v>#NAME?</v>
      </c>
      <c r="DB37" s="37" t="e">
        <f ca="1"/>
        <v>#NAME?</v>
      </c>
      <c r="DC37" s="90" t="e">
        <f ca="1"/>
        <v>#NAME?</v>
      </c>
      <c r="DQ37">
        <f t="shared" si="6"/>
        <v>12</v>
      </c>
      <c r="DR37" s="123" t="e">
        <f ca="1"/>
        <v>#NAME?</v>
      </c>
      <c r="DS37" s="37" t="e">
        <f ca="1"/>
        <v>#NAME?</v>
      </c>
      <c r="DT37" s="37" t="e">
        <f ca="1"/>
        <v>#NAME?</v>
      </c>
      <c r="DU37" s="90" t="e">
        <f ca="1"/>
        <v>#NAME?</v>
      </c>
      <c r="ED37" s="123" t="e">
        <f ca="1"/>
        <v>#NAME?</v>
      </c>
      <c r="EE37" s="37" t="e">
        <f ca="1"/>
        <v>#NAME?</v>
      </c>
      <c r="EF37" s="37" t="e">
        <f ca="1"/>
        <v>#NAME?</v>
      </c>
      <c r="EG37" s="90" t="e">
        <f ca="1"/>
        <v>#NAME?</v>
      </c>
    </row>
    <row r="38" spans="1:137" x14ac:dyDescent="0.35">
      <c r="A38" t="str">
        <f t="shared" si="9"/>
        <v>Passion</v>
      </c>
      <c r="B38" s="123" t="e">
        <f ca="1">B26*SQRT(B$18)</f>
        <v>#NAME?</v>
      </c>
      <c r="C38" s="37" t="e">
        <f t="shared" ca="1" si="10"/>
        <v>#NAME?</v>
      </c>
      <c r="D38" s="37" t="e">
        <f t="shared" ca="1" si="10"/>
        <v>#NAME?</v>
      </c>
      <c r="E38" s="37" t="e">
        <f t="shared" ca="1" si="10"/>
        <v>#NAME?</v>
      </c>
      <c r="F38" s="37" t="e">
        <f t="shared" ca="1" si="10"/>
        <v>#NAME?</v>
      </c>
      <c r="G38" s="37" t="e">
        <f t="shared" ca="1" si="10"/>
        <v>#NAME?</v>
      </c>
      <c r="H38" s="37" t="e">
        <f t="shared" ca="1" si="10"/>
        <v>#NAME?</v>
      </c>
      <c r="I38" s="37" t="e">
        <f t="shared" ca="1" si="10"/>
        <v>#NAME?</v>
      </c>
      <c r="J38" s="90" t="e">
        <f t="shared" ca="1" si="10"/>
        <v>#NAME?</v>
      </c>
      <c r="K38" s="166" t="e">
        <f t="shared" ca="1" si="11"/>
        <v>#NAME?</v>
      </c>
      <c r="AC38" s="46" t="str">
        <v>Charisma</v>
      </c>
      <c r="AD38" s="124" t="e">
        <f ca="1"/>
        <v>#NAME?</v>
      </c>
      <c r="AE38" s="3" t="e">
        <f ca="1"/>
        <v>#NAME?</v>
      </c>
      <c r="AF38" s="3" t="e">
        <f ca="1"/>
        <v>#NAME?</v>
      </c>
      <c r="AG38" s="3" t="e">
        <f ca="1"/>
        <v>#NAME?</v>
      </c>
      <c r="AH38" s="3" t="e">
        <f ca="1"/>
        <v>#NAME?</v>
      </c>
      <c r="AI38" s="3" t="e">
        <f ca="1"/>
        <v>#NAME?</v>
      </c>
      <c r="AJ38" s="3" t="e">
        <f ca="1"/>
        <v>#NAME?</v>
      </c>
      <c r="AK38" s="3" t="e">
        <f ca="1"/>
        <v>#NAME?</v>
      </c>
      <c r="AL38" s="179" t="e">
        <f ca="1"/>
        <v>#NAME?</v>
      </c>
      <c r="AN38" t="str">
        <v>Charisma</v>
      </c>
      <c r="AO38" s="123" t="e">
        <f ca="1"/>
        <v>#NAME?</v>
      </c>
      <c r="AP38" s="37" t="e">
        <f ca="1"/>
        <v>#NAME?</v>
      </c>
      <c r="AQ38" s="37" t="e">
        <f ca="1"/>
        <v>#NAME?</v>
      </c>
      <c r="AR38" s="37" t="e">
        <f ca="1"/>
        <v>#NAME?</v>
      </c>
      <c r="AS38" s="37" t="e">
        <f ca="1"/>
        <v>#NAME?</v>
      </c>
      <c r="AT38" s="37" t="e">
        <f ca="1"/>
        <v>#NAME?</v>
      </c>
      <c r="AU38" s="37" t="e">
        <f ca="1"/>
        <v>#NAME?</v>
      </c>
      <c r="AV38" s="37" t="e">
        <f ca="1"/>
        <v>#NAME?</v>
      </c>
      <c r="AW38" s="90" t="e">
        <f ca="1"/>
        <v>#NAME?</v>
      </c>
      <c r="AY38" t="str">
        <v>Charisma</v>
      </c>
      <c r="AZ38" s="123" t="e">
        <f ca="1"/>
        <v>#NAME?</v>
      </c>
      <c r="BA38" s="37" t="e">
        <f ca="1"/>
        <v>#NAME?</v>
      </c>
      <c r="BB38" s="37" t="e">
        <f ca="1"/>
        <v>#NAME?</v>
      </c>
      <c r="BC38" s="37" t="e">
        <f ca="1"/>
        <v>#NAME?</v>
      </c>
      <c r="BD38" s="37" t="e">
        <f ca="1"/>
        <v>#NAME?</v>
      </c>
      <c r="BE38" s="37" t="e">
        <f ca="1"/>
        <v>#NAME?</v>
      </c>
      <c r="BF38" s="37" t="e">
        <f ca="1"/>
        <v>#NAME?</v>
      </c>
      <c r="BG38" s="37" t="e">
        <f ca="1"/>
        <v>#NAME?</v>
      </c>
      <c r="BH38" s="90" t="e">
        <f ca="1"/>
        <v>#NAME?</v>
      </c>
      <c r="BI38" s="37"/>
      <c r="BU38" t="str">
        <v>Caring</v>
      </c>
      <c r="BV38" s="123" t="e">
        <f ca="1"/>
        <v>#NAME?</v>
      </c>
      <c r="BW38" s="37" t="e">
        <f ca="1"/>
        <v>#NAME?</v>
      </c>
      <c r="BX38" s="37" t="e">
        <f ca="1"/>
        <v>#NAME?</v>
      </c>
      <c r="BY38" s="90" t="e">
        <f ca="1"/>
        <v>#NAME?</v>
      </c>
      <c r="CG38">
        <f t="shared" si="3"/>
        <v>20</v>
      </c>
      <c r="CH38" s="123" t="e">
        <f ca="1"/>
        <v>#NAME?</v>
      </c>
      <c r="CI38" s="37" t="e">
        <f ca="1"/>
        <v>#NAME?</v>
      </c>
      <c r="CJ38" s="37" t="e">
        <f ca="1"/>
        <v>#NAME?</v>
      </c>
      <c r="CK38" s="90" t="e">
        <f ca="1"/>
        <v>#NAME?</v>
      </c>
      <c r="CY38">
        <f t="shared" si="4"/>
        <v>20</v>
      </c>
      <c r="CZ38" s="123" t="e">
        <f ca="1"/>
        <v>#NAME?</v>
      </c>
      <c r="DA38" s="37" t="e">
        <f ca="1"/>
        <v>#NAME?</v>
      </c>
      <c r="DB38" s="37" t="e">
        <f ca="1"/>
        <v>#NAME?</v>
      </c>
      <c r="DC38" s="90" t="e">
        <f ca="1"/>
        <v>#NAME?</v>
      </c>
      <c r="DQ38">
        <f t="shared" si="6"/>
        <v>13</v>
      </c>
      <c r="DR38" s="123" t="e">
        <f ca="1"/>
        <v>#NAME?</v>
      </c>
      <c r="DS38" s="37" t="e">
        <f ca="1"/>
        <v>#NAME?</v>
      </c>
      <c r="DT38" s="37" t="e">
        <f ca="1"/>
        <v>#NAME?</v>
      </c>
      <c r="DU38" s="90" t="e">
        <f ca="1"/>
        <v>#NAME?</v>
      </c>
      <c r="ED38" s="123" t="e">
        <f ca="1"/>
        <v>#NAME?</v>
      </c>
      <c r="EE38" s="37" t="e">
        <f ca="1"/>
        <v>#NAME?</v>
      </c>
      <c r="EF38" s="37" t="e">
        <f ca="1"/>
        <v>#NAME?</v>
      </c>
      <c r="EG38" s="90" t="e">
        <f ca="1"/>
        <v>#NAME?</v>
      </c>
    </row>
    <row r="39" spans="1:137" x14ac:dyDescent="0.35">
      <c r="A39" t="str">
        <f t="shared" si="9"/>
        <v>Friendly</v>
      </c>
      <c r="B39" s="91" t="e">
        <f t="shared" ref="B39:J39" ca="1" si="12">B27*SQRT(B$18)</f>
        <v>#NAME?</v>
      </c>
      <c r="C39" s="92" t="e">
        <f t="shared" ca="1" si="12"/>
        <v>#NAME?</v>
      </c>
      <c r="D39" s="92" t="e">
        <f t="shared" ca="1" si="12"/>
        <v>#NAME?</v>
      </c>
      <c r="E39" s="92" t="e">
        <f t="shared" ca="1" si="12"/>
        <v>#NAME?</v>
      </c>
      <c r="F39" s="92" t="e">
        <f t="shared" ca="1" si="12"/>
        <v>#NAME?</v>
      </c>
      <c r="G39" s="92" t="e">
        <f t="shared" ca="1" si="12"/>
        <v>#NAME?</v>
      </c>
      <c r="H39" s="92" t="e">
        <f t="shared" ca="1" si="12"/>
        <v>#NAME?</v>
      </c>
      <c r="I39" s="92" t="e">
        <f t="shared" ca="1" si="12"/>
        <v>#NAME?</v>
      </c>
      <c r="J39" s="93" t="e">
        <f t="shared" ca="1" si="12"/>
        <v>#NAME?</v>
      </c>
      <c r="K39" s="171" t="e">
        <f t="shared" ca="1" si="11"/>
        <v>#NAME?</v>
      </c>
      <c r="AC39" s="46" t="str">
        <v>Passion</v>
      </c>
      <c r="AD39" s="124" t="e">
        <f ca="1"/>
        <v>#NAME?</v>
      </c>
      <c r="AE39" s="3" t="e">
        <f ca="1"/>
        <v>#NAME?</v>
      </c>
      <c r="AF39" s="3" t="e">
        <f ca="1"/>
        <v>#NAME?</v>
      </c>
      <c r="AG39" s="3" t="e">
        <f ca="1"/>
        <v>#NAME?</v>
      </c>
      <c r="AH39" s="3" t="e">
        <f ca="1"/>
        <v>#NAME?</v>
      </c>
      <c r="AI39" s="3" t="e">
        <f ca="1"/>
        <v>#NAME?</v>
      </c>
      <c r="AJ39" s="3" t="e">
        <f ca="1"/>
        <v>#NAME?</v>
      </c>
      <c r="AK39" s="3" t="e">
        <f ca="1"/>
        <v>#NAME?</v>
      </c>
      <c r="AL39" s="179" t="e">
        <f ca="1"/>
        <v>#NAME?</v>
      </c>
      <c r="AN39" t="str">
        <v>Passion</v>
      </c>
      <c r="AO39" s="123" t="e">
        <f ca="1"/>
        <v>#NAME?</v>
      </c>
      <c r="AP39" s="37" t="e">
        <f ca="1"/>
        <v>#NAME?</v>
      </c>
      <c r="AQ39" s="37" t="e">
        <f ca="1"/>
        <v>#NAME?</v>
      </c>
      <c r="AR39" s="37" t="e">
        <f ca="1"/>
        <v>#NAME?</v>
      </c>
      <c r="AS39" s="37" t="e">
        <f ca="1"/>
        <v>#NAME?</v>
      </c>
      <c r="AT39" s="37" t="e">
        <f ca="1"/>
        <v>#NAME?</v>
      </c>
      <c r="AU39" s="37" t="e">
        <f ca="1"/>
        <v>#NAME?</v>
      </c>
      <c r="AV39" s="37" t="e">
        <f ca="1"/>
        <v>#NAME?</v>
      </c>
      <c r="AW39" s="90" t="e">
        <f ca="1"/>
        <v>#NAME?</v>
      </c>
      <c r="AY39" t="str">
        <v>Passion</v>
      </c>
      <c r="AZ39" s="123" t="e">
        <f ca="1"/>
        <v>#NAME?</v>
      </c>
      <c r="BA39" s="37" t="e">
        <f ca="1"/>
        <v>#NAME?</v>
      </c>
      <c r="BB39" s="37" t="e">
        <f ca="1"/>
        <v>#NAME?</v>
      </c>
      <c r="BC39" s="37" t="e">
        <f ca="1"/>
        <v>#NAME?</v>
      </c>
      <c r="BD39" s="37" t="e">
        <f ca="1"/>
        <v>#NAME?</v>
      </c>
      <c r="BE39" s="37" t="e">
        <f ca="1"/>
        <v>#NAME?</v>
      </c>
      <c r="BF39" s="37" t="e">
        <f ca="1"/>
        <v>#NAME?</v>
      </c>
      <c r="BG39" s="37" t="e">
        <f ca="1"/>
        <v>#NAME?</v>
      </c>
      <c r="BH39" s="90" t="e">
        <f ca="1"/>
        <v>#NAME?</v>
      </c>
      <c r="BI39" s="37"/>
      <c r="BU39" t="str">
        <v>Charisma</v>
      </c>
      <c r="BV39" s="123" t="e">
        <f ca="1"/>
        <v>#NAME?</v>
      </c>
      <c r="BW39" s="37" t="e">
        <f ca="1"/>
        <v>#NAME?</v>
      </c>
      <c r="BX39" s="37" t="e">
        <f ca="1"/>
        <v>#NAME?</v>
      </c>
      <c r="BY39" s="90" t="e">
        <f ca="1"/>
        <v>#NAME?</v>
      </c>
      <c r="CG39">
        <f t="shared" si="3"/>
        <v>21</v>
      </c>
      <c r="CH39" s="123" t="e">
        <f ca="1"/>
        <v>#NAME?</v>
      </c>
      <c r="CI39" s="37" t="e">
        <f ca="1"/>
        <v>#NAME?</v>
      </c>
      <c r="CJ39" s="37" t="e">
        <f ca="1"/>
        <v>#NAME?</v>
      </c>
      <c r="CK39" s="90" t="e">
        <f ca="1"/>
        <v>#NAME?</v>
      </c>
      <c r="CY39">
        <f t="shared" si="4"/>
        <v>21</v>
      </c>
      <c r="CZ39" s="123" t="e">
        <f ca="1"/>
        <v>#NAME?</v>
      </c>
      <c r="DA39" s="37" t="e">
        <f ca="1"/>
        <v>#NAME?</v>
      </c>
      <c r="DB39" s="37" t="e">
        <f ca="1"/>
        <v>#NAME?</v>
      </c>
      <c r="DC39" s="90" t="e">
        <f ca="1"/>
        <v>#NAME?</v>
      </c>
      <c r="DQ39">
        <f t="shared" si="6"/>
        <v>14</v>
      </c>
      <c r="DR39" s="123" t="e">
        <f ca="1"/>
        <v>#NAME?</v>
      </c>
      <c r="DS39" s="37" t="e">
        <f ca="1"/>
        <v>#NAME?</v>
      </c>
      <c r="DT39" s="37" t="e">
        <f ca="1"/>
        <v>#NAME?</v>
      </c>
      <c r="DU39" s="90" t="e">
        <f ca="1"/>
        <v>#NAME?</v>
      </c>
      <c r="ED39" s="123" t="e">
        <f ca="1"/>
        <v>#NAME?</v>
      </c>
      <c r="EE39" s="37" t="e">
        <f ca="1"/>
        <v>#NAME?</v>
      </c>
      <c r="EF39" s="37" t="e">
        <f ca="1"/>
        <v>#NAME?</v>
      </c>
      <c r="EG39" s="90" t="e">
        <f ca="1"/>
        <v>#NAME?</v>
      </c>
    </row>
    <row r="40" spans="1:137" x14ac:dyDescent="0.35">
      <c r="AC40" s="46" t="str">
        <v>Friendly</v>
      </c>
      <c r="AD40" s="180" t="e">
        <f ca="1"/>
        <v>#NAME?</v>
      </c>
      <c r="AE40" s="181" t="e">
        <f ca="1"/>
        <v>#NAME?</v>
      </c>
      <c r="AF40" s="181" t="e">
        <f ca="1"/>
        <v>#NAME?</v>
      </c>
      <c r="AG40" s="181" t="e">
        <f ca="1"/>
        <v>#NAME?</v>
      </c>
      <c r="AH40" s="181" t="e">
        <f ca="1"/>
        <v>#NAME?</v>
      </c>
      <c r="AI40" s="181" t="e">
        <f ca="1"/>
        <v>#NAME?</v>
      </c>
      <c r="AJ40" s="181" t="e">
        <f ca="1"/>
        <v>#NAME?</v>
      </c>
      <c r="AK40" s="181" t="e">
        <f ca="1"/>
        <v>#NAME?</v>
      </c>
      <c r="AL40" s="182" t="e">
        <f ca="1"/>
        <v>#NAME?</v>
      </c>
      <c r="AN40" t="str">
        <v>Friendly</v>
      </c>
      <c r="AO40" s="91" t="e">
        <f ca="1"/>
        <v>#NAME?</v>
      </c>
      <c r="AP40" s="92" t="e">
        <f ca="1"/>
        <v>#NAME?</v>
      </c>
      <c r="AQ40" s="92" t="e">
        <f ca="1"/>
        <v>#NAME?</v>
      </c>
      <c r="AR40" s="92" t="e">
        <f ca="1"/>
        <v>#NAME?</v>
      </c>
      <c r="AS40" s="92" t="e">
        <f ca="1"/>
        <v>#NAME?</v>
      </c>
      <c r="AT40" s="92" t="e">
        <f ca="1"/>
        <v>#NAME?</v>
      </c>
      <c r="AU40" s="92" t="e">
        <f ca="1"/>
        <v>#NAME?</v>
      </c>
      <c r="AV40" s="92" t="e">
        <f ca="1"/>
        <v>#NAME?</v>
      </c>
      <c r="AW40" s="93" t="e">
        <f ca="1"/>
        <v>#NAME?</v>
      </c>
      <c r="AY40" t="str">
        <v>Friendly</v>
      </c>
      <c r="AZ40" s="91" t="e">
        <f ca="1"/>
        <v>#NAME?</v>
      </c>
      <c r="BA40" s="92" t="e">
        <f ca="1"/>
        <v>#NAME?</v>
      </c>
      <c r="BB40" s="92" t="e">
        <f ca="1"/>
        <v>#NAME?</v>
      </c>
      <c r="BC40" s="92" t="e">
        <f ca="1"/>
        <v>#NAME?</v>
      </c>
      <c r="BD40" s="92" t="e">
        <f ca="1"/>
        <v>#NAME?</v>
      </c>
      <c r="BE40" s="92" t="e">
        <f ca="1"/>
        <v>#NAME?</v>
      </c>
      <c r="BF40" s="92" t="e">
        <f ca="1"/>
        <v>#NAME?</v>
      </c>
      <c r="BG40" s="92" t="e">
        <f ca="1"/>
        <v>#NAME?</v>
      </c>
      <c r="BH40" s="93" t="e">
        <f ca="1"/>
        <v>#NAME?</v>
      </c>
      <c r="BI40" s="37"/>
      <c r="BU40" t="str">
        <v>Passion</v>
      </c>
      <c r="BV40" s="123" t="e">
        <f ca="1"/>
        <v>#NAME?</v>
      </c>
      <c r="BW40" s="37" t="e">
        <f ca="1"/>
        <v>#NAME?</v>
      </c>
      <c r="BX40" s="37" t="e">
        <f ca="1"/>
        <v>#NAME?</v>
      </c>
      <c r="BY40" s="90" t="e">
        <f ca="1"/>
        <v>#NAME?</v>
      </c>
      <c r="CG40">
        <f t="shared" si="3"/>
        <v>22</v>
      </c>
      <c r="CH40" s="123" t="e">
        <f ca="1"/>
        <v>#NAME?</v>
      </c>
      <c r="CI40" s="37" t="e">
        <f ca="1"/>
        <v>#NAME?</v>
      </c>
      <c r="CJ40" s="37" t="e">
        <f ca="1"/>
        <v>#NAME?</v>
      </c>
      <c r="CK40" s="90" t="e">
        <f ca="1"/>
        <v>#NAME?</v>
      </c>
      <c r="CY40">
        <f t="shared" si="4"/>
        <v>22</v>
      </c>
      <c r="CZ40" s="123" t="e">
        <f ca="1"/>
        <v>#NAME?</v>
      </c>
      <c r="DA40" s="37" t="e">
        <f ca="1"/>
        <v>#NAME?</v>
      </c>
      <c r="DB40" s="37" t="e">
        <f ca="1"/>
        <v>#NAME?</v>
      </c>
      <c r="DC40" s="90" t="e">
        <f ca="1"/>
        <v>#NAME?</v>
      </c>
      <c r="DQ40">
        <f t="shared" si="6"/>
        <v>15</v>
      </c>
      <c r="DR40" s="123" t="e">
        <f ca="1"/>
        <v>#NAME?</v>
      </c>
      <c r="DS40" s="37" t="e">
        <f ca="1"/>
        <v>#NAME?</v>
      </c>
      <c r="DT40" s="37" t="e">
        <f ca="1"/>
        <v>#NAME?</v>
      </c>
      <c r="DU40" s="90" t="e">
        <f ca="1"/>
        <v>#NAME?</v>
      </c>
      <c r="ED40" s="123" t="e">
        <f ca="1"/>
        <v>#NAME?</v>
      </c>
      <c r="EE40" s="37" t="e">
        <f ca="1"/>
        <v>#NAME?</v>
      </c>
      <c r="EF40" s="37" t="e">
        <f ca="1"/>
        <v>#NAME?</v>
      </c>
      <c r="EG40" s="90" t="e">
        <f ca="1"/>
        <v>#NAME?</v>
      </c>
    </row>
    <row r="41" spans="1:137" x14ac:dyDescent="0.35">
      <c r="A41" t="s">
        <v>441</v>
      </c>
      <c r="H41" t="s">
        <v>442</v>
      </c>
      <c r="BU41" t="str">
        <v>Friendly</v>
      </c>
      <c r="BV41" s="91" t="e">
        <f ca="1"/>
        <v>#NAME?</v>
      </c>
      <c r="BW41" s="92" t="e">
        <f ca="1"/>
        <v>#NAME?</v>
      </c>
      <c r="BX41" s="92" t="e">
        <f ca="1"/>
        <v>#NAME?</v>
      </c>
      <c r="BY41" s="93" t="e">
        <f ca="1"/>
        <v>#NAME?</v>
      </c>
      <c r="CG41">
        <f t="shared" si="3"/>
        <v>23</v>
      </c>
      <c r="CH41" s="123" t="e">
        <f ca="1"/>
        <v>#NAME?</v>
      </c>
      <c r="CI41" s="37" t="e">
        <f ca="1"/>
        <v>#NAME?</v>
      </c>
      <c r="CJ41" s="37" t="e">
        <f ca="1"/>
        <v>#NAME?</v>
      </c>
      <c r="CK41" s="90" t="e">
        <f ca="1"/>
        <v>#NAME?</v>
      </c>
      <c r="CY41">
        <f t="shared" si="4"/>
        <v>23</v>
      </c>
      <c r="CZ41" s="123" t="e">
        <f ca="1"/>
        <v>#NAME?</v>
      </c>
      <c r="DA41" s="37" t="e">
        <f ca="1"/>
        <v>#NAME?</v>
      </c>
      <c r="DB41" s="37" t="e">
        <f ca="1"/>
        <v>#NAME?</v>
      </c>
      <c r="DC41" s="90" t="e">
        <f ca="1"/>
        <v>#NAME?</v>
      </c>
      <c r="DQ41">
        <f t="shared" si="6"/>
        <v>16</v>
      </c>
      <c r="DR41" s="123" t="e">
        <f ca="1"/>
        <v>#NAME?</v>
      </c>
      <c r="DS41" s="37" t="e">
        <f ca="1"/>
        <v>#NAME?</v>
      </c>
      <c r="DT41" s="37" t="e">
        <f ca="1"/>
        <v>#NAME?</v>
      </c>
      <c r="DU41" s="90" t="e">
        <f ca="1"/>
        <v>#NAME?</v>
      </c>
      <c r="ED41" s="123" t="e">
        <f ca="1"/>
        <v>#NAME?</v>
      </c>
      <c r="EE41" s="37" t="e">
        <f ca="1"/>
        <v>#NAME?</v>
      </c>
      <c r="EF41" s="37" t="e">
        <f ca="1"/>
        <v>#NAME?</v>
      </c>
      <c r="EG41" s="90" t="e">
        <f ca="1"/>
        <v>#NAME?</v>
      </c>
    </row>
    <row r="42" spans="1:137" x14ac:dyDescent="0.35">
      <c r="AC42" t="s">
        <v>443</v>
      </c>
      <c r="AY42" t="s">
        <v>433</v>
      </c>
      <c r="AZ42" s="156">
        <f t="array" ref="AZ42:BH42">PCA!B4:J4</f>
        <v>2</v>
      </c>
      <c r="BA42" s="157">
        <v>8</v>
      </c>
      <c r="BB42" s="157">
        <v>1</v>
      </c>
      <c r="BC42" s="157">
        <v>4</v>
      </c>
      <c r="BD42" s="157">
        <v>7</v>
      </c>
      <c r="BE42" s="157">
        <v>5</v>
      </c>
      <c r="BF42" s="157">
        <v>4</v>
      </c>
      <c r="BG42" s="157">
        <v>4</v>
      </c>
      <c r="BH42" s="158">
        <v>8</v>
      </c>
      <c r="BI42" s="37"/>
      <c r="CG42">
        <f t="shared" si="3"/>
        <v>24</v>
      </c>
      <c r="CH42" s="123" t="e">
        <f ca="1"/>
        <v>#NAME?</v>
      </c>
      <c r="CI42" s="37" t="e">
        <f ca="1"/>
        <v>#NAME?</v>
      </c>
      <c r="CJ42" s="37" t="e">
        <f ca="1"/>
        <v>#NAME?</v>
      </c>
      <c r="CK42" s="90" t="e">
        <f ca="1"/>
        <v>#NAME?</v>
      </c>
      <c r="CY42">
        <f t="shared" si="4"/>
        <v>24</v>
      </c>
      <c r="CZ42" s="123" t="e">
        <f ca="1"/>
        <v>#NAME?</v>
      </c>
      <c r="DA42" s="37" t="e">
        <f ca="1"/>
        <v>#NAME?</v>
      </c>
      <c r="DB42" s="37" t="e">
        <f ca="1"/>
        <v>#NAME?</v>
      </c>
      <c r="DC42" s="90" t="e">
        <f ca="1"/>
        <v>#NAME?</v>
      </c>
      <c r="DQ42">
        <f t="shared" si="6"/>
        <v>17</v>
      </c>
      <c r="DR42" s="123" t="e">
        <f ca="1"/>
        <v>#NAME?</v>
      </c>
      <c r="DS42" s="37" t="e">
        <f ca="1"/>
        <v>#NAME?</v>
      </c>
      <c r="DT42" s="37" t="e">
        <f ca="1"/>
        <v>#NAME?</v>
      </c>
      <c r="DU42" s="90" t="e">
        <f ca="1"/>
        <v>#NAME?</v>
      </c>
      <c r="ED42" s="123" t="e">
        <f ca="1"/>
        <v>#NAME?</v>
      </c>
      <c r="EE42" s="37" t="e">
        <f ca="1"/>
        <v>#NAME?</v>
      </c>
      <c r="EF42" s="37" t="e">
        <f ca="1"/>
        <v>#NAME?</v>
      </c>
      <c r="EG42" s="90" t="e">
        <f ca="1"/>
        <v>#NAME?</v>
      </c>
    </row>
    <row r="43" spans="1:137" x14ac:dyDescent="0.35">
      <c r="B43">
        <v>1</v>
      </c>
      <c r="C43">
        <f>B43+1</f>
        <v>2</v>
      </c>
      <c r="D43">
        <f>C43+1</f>
        <v>3</v>
      </c>
      <c r="E43">
        <f>D43+1</f>
        <v>4</v>
      </c>
      <c r="F43" s="47" t="s">
        <v>373</v>
      </c>
      <c r="I43">
        <v>1</v>
      </c>
      <c r="J43">
        <f>I43+1</f>
        <v>2</v>
      </c>
      <c r="K43">
        <f>J43+1</f>
        <v>3</v>
      </c>
      <c r="L43">
        <f>K43+1</f>
        <v>4</v>
      </c>
      <c r="M43" s="47" t="s">
        <v>373</v>
      </c>
      <c r="P43" s="32" t="s">
        <v>373</v>
      </c>
      <c r="Q43" s="32" t="s">
        <v>444</v>
      </c>
      <c r="AY43" t="s">
        <v>34</v>
      </c>
      <c r="AZ43" s="123">
        <f t="array" ref="AZ43:BH43">PCA!B126:J126</f>
        <v>3.7083333333333335</v>
      </c>
      <c r="BA43" s="37">
        <v>8.1666666666666661</v>
      </c>
      <c r="BB43" s="37">
        <v>3.45</v>
      </c>
      <c r="BC43" s="37">
        <v>3.3833333333333333</v>
      </c>
      <c r="BD43" s="37">
        <v>6.708333333333333</v>
      </c>
      <c r="BE43" s="37">
        <v>6.0083333333333337</v>
      </c>
      <c r="BF43" s="37">
        <v>4.8416666666666668</v>
      </c>
      <c r="BG43" s="37">
        <v>4.7249999999999996</v>
      </c>
      <c r="BH43" s="90">
        <v>7.3</v>
      </c>
      <c r="BI43" s="37"/>
      <c r="BU43" t="s">
        <v>445</v>
      </c>
      <c r="CG43">
        <f t="shared" si="3"/>
        <v>25</v>
      </c>
      <c r="CH43" s="123" t="e">
        <f ca="1"/>
        <v>#NAME?</v>
      </c>
      <c r="CI43" s="37" t="e">
        <f ca="1"/>
        <v>#NAME?</v>
      </c>
      <c r="CJ43" s="37" t="e">
        <f ca="1"/>
        <v>#NAME?</v>
      </c>
      <c r="CK43" s="90" t="e">
        <f ca="1"/>
        <v>#NAME?</v>
      </c>
      <c r="CY43">
        <f t="shared" si="4"/>
        <v>25</v>
      </c>
      <c r="CZ43" s="123" t="e">
        <f ca="1"/>
        <v>#NAME?</v>
      </c>
      <c r="DA43" s="37" t="e">
        <f ca="1"/>
        <v>#NAME?</v>
      </c>
      <c r="DB43" s="37" t="e">
        <f ca="1"/>
        <v>#NAME?</v>
      </c>
      <c r="DC43" s="90" t="e">
        <f ca="1"/>
        <v>#NAME?</v>
      </c>
      <c r="DQ43">
        <f t="shared" si="6"/>
        <v>18</v>
      </c>
      <c r="DR43" s="123" t="e">
        <f ca="1"/>
        <v>#NAME?</v>
      </c>
      <c r="DS43" s="37" t="e">
        <f ca="1"/>
        <v>#NAME?</v>
      </c>
      <c r="DT43" s="37" t="e">
        <f ca="1"/>
        <v>#NAME?</v>
      </c>
      <c r="DU43" s="90" t="e">
        <f ca="1"/>
        <v>#NAME?</v>
      </c>
      <c r="ED43" s="123" t="e">
        <f ca="1"/>
        <v>#NAME?</v>
      </c>
      <c r="EE43" s="37" t="e">
        <f ca="1"/>
        <v>#NAME?</v>
      </c>
      <c r="EF43" s="37" t="e">
        <f ca="1"/>
        <v>#NAME?</v>
      </c>
      <c r="EG43" s="90" t="e">
        <f ca="1"/>
        <v>#NAME?</v>
      </c>
    </row>
    <row r="44" spans="1:137" x14ac:dyDescent="0.35">
      <c r="A44" t="str">
        <f>A31</f>
        <v>Expect</v>
      </c>
      <c r="B44" s="156" t="e">
        <f t="array" ref="B44:B52" ca="1">-B31:B39</f>
        <v>#NAME?</v>
      </c>
      <c r="C44" s="157" t="e">
        <f t="array" ref="C44:C52" ca="1">C31:C39</f>
        <v>#NAME?</v>
      </c>
      <c r="D44" s="157" t="e">
        <f t="array" ref="D44:D52" ca="1">D31:D39</f>
        <v>#NAME?</v>
      </c>
      <c r="E44" s="158" t="e">
        <f t="array" ref="E44:E52" ca="1">E31:E39</f>
        <v>#NAME?</v>
      </c>
      <c r="F44" s="172" t="e">
        <f ca="1">SUMSQ(B44:E44)</f>
        <v>#NAME?</v>
      </c>
      <c r="H44" t="str">
        <f t="array" ref="H44:H52">A44:A52</f>
        <v>Expect</v>
      </c>
      <c r="I44" s="156" t="e">
        <f t="array" aca="1" ref="I44:L52" ca="1">VARIMAX(B44:E52)</f>
        <v>#NAME?</v>
      </c>
      <c r="J44" s="157" t="e">
        <f ca="1"/>
        <v>#NAME?</v>
      </c>
      <c r="K44" s="157" t="e">
        <f ca="1"/>
        <v>#NAME?</v>
      </c>
      <c r="L44" s="158" t="e">
        <f ca="1"/>
        <v>#NAME?</v>
      </c>
      <c r="M44" s="172" t="e">
        <f t="shared" ref="M44:M52" ca="1" si="13">SUMSQ(I44:L44)</f>
        <v>#NAME?</v>
      </c>
      <c r="O44" t="str">
        <f t="array" ref="O44:O52">H44:H52</f>
        <v>Expect</v>
      </c>
      <c r="P44" s="156" t="e">
        <f ca="1">F44</f>
        <v>#NAME?</v>
      </c>
      <c r="Q44" s="158" t="e">
        <f ca="1">K31-P44</f>
        <v>#NAME?</v>
      </c>
      <c r="AC44" s="46"/>
      <c r="AD44" s="175" t="str">
        <f t="array" ref="AD44:AL44">AD31:AL31</f>
        <v>Expect</v>
      </c>
      <c r="AE44" s="175" t="str">
        <v>Entertain</v>
      </c>
      <c r="AF44" s="175" t="str">
        <v>Comm</v>
      </c>
      <c r="AG44" s="175" t="str">
        <v>Expert</v>
      </c>
      <c r="AH44" s="175" t="str">
        <v>Motivate</v>
      </c>
      <c r="AI44" s="175" t="str">
        <v>Caring</v>
      </c>
      <c r="AJ44" s="175" t="str">
        <v>Charisma</v>
      </c>
      <c r="AK44" s="175" t="str">
        <v>Passion</v>
      </c>
      <c r="AL44" s="175" t="str">
        <v>Friendly</v>
      </c>
      <c r="AY44" t="s">
        <v>434</v>
      </c>
      <c r="AZ44" s="91">
        <f>AZ42-AZ43</f>
        <v>-1.7083333333333335</v>
      </c>
      <c r="BA44" s="92">
        <f t="shared" ref="BA44:BH44" si="14">BA42-BA43</f>
        <v>-0.16666666666666607</v>
      </c>
      <c r="BB44" s="92">
        <f t="shared" si="14"/>
        <v>-2.4500000000000002</v>
      </c>
      <c r="BC44" s="92">
        <f t="shared" si="14"/>
        <v>0.6166666666666667</v>
      </c>
      <c r="BD44" s="92">
        <f t="shared" si="14"/>
        <v>0.29166666666666696</v>
      </c>
      <c r="BE44" s="92">
        <f t="shared" si="14"/>
        <v>-1.0083333333333337</v>
      </c>
      <c r="BF44" s="92">
        <f t="shared" si="14"/>
        <v>-0.84166666666666679</v>
      </c>
      <c r="BG44" s="92">
        <f t="shared" si="14"/>
        <v>-0.72499999999999964</v>
      </c>
      <c r="BH44" s="93">
        <f t="shared" si="14"/>
        <v>0.70000000000000018</v>
      </c>
      <c r="BI44" s="37"/>
      <c r="CG44">
        <f t="shared" si="3"/>
        <v>26</v>
      </c>
      <c r="CH44" s="123" t="e">
        <f ca="1"/>
        <v>#NAME?</v>
      </c>
      <c r="CI44" s="37" t="e">
        <f ca="1"/>
        <v>#NAME?</v>
      </c>
      <c r="CJ44" s="37" t="e">
        <f ca="1"/>
        <v>#NAME?</v>
      </c>
      <c r="CK44" s="90" t="e">
        <f ca="1"/>
        <v>#NAME?</v>
      </c>
      <c r="CY44">
        <f t="shared" si="4"/>
        <v>26</v>
      </c>
      <c r="CZ44" s="123" t="e">
        <f ca="1"/>
        <v>#NAME?</v>
      </c>
      <c r="DA44" s="37" t="e">
        <f ca="1"/>
        <v>#NAME?</v>
      </c>
      <c r="DB44" s="37" t="e">
        <f ca="1"/>
        <v>#NAME?</v>
      </c>
      <c r="DC44" s="90" t="e">
        <f ca="1"/>
        <v>#NAME?</v>
      </c>
      <c r="DQ44">
        <f t="shared" si="6"/>
        <v>19</v>
      </c>
      <c r="DR44" s="123" t="e">
        <f ca="1"/>
        <v>#NAME?</v>
      </c>
      <c r="DS44" s="37" t="e">
        <f ca="1"/>
        <v>#NAME?</v>
      </c>
      <c r="DT44" s="37" t="e">
        <f ca="1"/>
        <v>#NAME?</v>
      </c>
      <c r="DU44" s="90" t="e">
        <f ca="1"/>
        <v>#NAME?</v>
      </c>
      <c r="ED44" s="123" t="e">
        <f ca="1"/>
        <v>#NAME?</v>
      </c>
      <c r="EE44" s="37" t="e">
        <f ca="1"/>
        <v>#NAME?</v>
      </c>
      <c r="EF44" s="37" t="e">
        <f ca="1"/>
        <v>#NAME?</v>
      </c>
      <c r="EG44" s="90" t="e">
        <f ca="1"/>
        <v>#NAME?</v>
      </c>
    </row>
    <row r="45" spans="1:137" x14ac:dyDescent="0.35">
      <c r="A45" t="str">
        <f t="shared" ref="A45:A52" si="15">A32</f>
        <v>Entertain</v>
      </c>
      <c r="B45" s="123" t="e">
        <f ca="1"/>
        <v>#NAME?</v>
      </c>
      <c r="C45" s="37" t="e">
        <f ca="1"/>
        <v>#NAME?</v>
      </c>
      <c r="D45" s="37" t="e">
        <f ca="1"/>
        <v>#NAME?</v>
      </c>
      <c r="E45" s="90" t="e">
        <f ca="1"/>
        <v>#NAME?</v>
      </c>
      <c r="F45" s="173" t="e">
        <f t="shared" ref="F45:F52" ca="1" si="16">SUMSQ(B45:E45)</f>
        <v>#NAME?</v>
      </c>
      <c r="H45" t="str">
        <v>Entertain</v>
      </c>
      <c r="I45" s="123" t="e">
        <f ca="1"/>
        <v>#NAME?</v>
      </c>
      <c r="J45" s="37" t="e">
        <f ca="1"/>
        <v>#NAME?</v>
      </c>
      <c r="K45" s="37" t="e">
        <f ca="1"/>
        <v>#NAME?</v>
      </c>
      <c r="L45" s="90" t="e">
        <f ca="1"/>
        <v>#NAME?</v>
      </c>
      <c r="M45" s="173" t="e">
        <f t="shared" ca="1" si="13"/>
        <v>#NAME?</v>
      </c>
      <c r="O45" t="str">
        <v>Entertain</v>
      </c>
      <c r="P45" s="123" t="e">
        <f t="shared" ref="P45:P52" ca="1" si="17">F45</f>
        <v>#NAME?</v>
      </c>
      <c r="Q45" s="90" t="e">
        <f t="shared" ref="Q45:Q52" ca="1" si="18">K32-P45</f>
        <v>#NAME?</v>
      </c>
      <c r="AC45" s="46" t="str">
        <f t="array" ref="AC45:AC53">AC19:AC27</f>
        <v>Expect</v>
      </c>
      <c r="AD45" s="176" t="e">
        <f t="array" aca="1" ref="AD45:AL53" ca="1">MMULT(B44:E52,TRANSPOSE(B44:E52))</f>
        <v>#NAME?</v>
      </c>
      <c r="AE45" s="177" t="e">
        <f ca="1"/>
        <v>#NAME?</v>
      </c>
      <c r="AF45" s="177" t="e">
        <f ca="1"/>
        <v>#NAME?</v>
      </c>
      <c r="AG45" s="177" t="e">
        <f ca="1"/>
        <v>#NAME?</v>
      </c>
      <c r="AH45" s="177" t="e">
        <f ca="1"/>
        <v>#NAME?</v>
      </c>
      <c r="AI45" s="177" t="e">
        <f ca="1"/>
        <v>#NAME?</v>
      </c>
      <c r="AJ45" s="177" t="e">
        <f ca="1"/>
        <v>#NAME?</v>
      </c>
      <c r="AK45" s="177" t="e">
        <f ca="1"/>
        <v>#NAME?</v>
      </c>
      <c r="AL45" s="178" t="e">
        <f ca="1"/>
        <v>#NAME?</v>
      </c>
      <c r="BV45">
        <v>1</v>
      </c>
      <c r="BW45">
        <f>BV45+1</f>
        <v>2</v>
      </c>
      <c r="BX45">
        <f>BW45+1</f>
        <v>3</v>
      </c>
      <c r="BY45">
        <f>BX45+1</f>
        <v>4</v>
      </c>
      <c r="CG45">
        <f t="shared" si="3"/>
        <v>27</v>
      </c>
      <c r="CH45" s="123" t="e">
        <f ca="1"/>
        <v>#NAME?</v>
      </c>
      <c r="CI45" s="37" t="e">
        <f ca="1"/>
        <v>#NAME?</v>
      </c>
      <c r="CJ45" s="37" t="e">
        <f ca="1"/>
        <v>#NAME?</v>
      </c>
      <c r="CK45" s="90" t="e">
        <f ca="1"/>
        <v>#NAME?</v>
      </c>
      <c r="CY45">
        <f t="shared" si="4"/>
        <v>27</v>
      </c>
      <c r="CZ45" s="123" t="e">
        <f ca="1"/>
        <v>#NAME?</v>
      </c>
      <c r="DA45" s="37" t="e">
        <f ca="1"/>
        <v>#NAME?</v>
      </c>
      <c r="DB45" s="37" t="e">
        <f ca="1"/>
        <v>#NAME?</v>
      </c>
      <c r="DC45" s="90" t="e">
        <f ca="1"/>
        <v>#NAME?</v>
      </c>
      <c r="DQ45">
        <f t="shared" si="6"/>
        <v>20</v>
      </c>
      <c r="DR45" s="123" t="e">
        <f ca="1"/>
        <v>#NAME?</v>
      </c>
      <c r="DS45" s="37" t="e">
        <f ca="1"/>
        <v>#NAME?</v>
      </c>
      <c r="DT45" s="37" t="e">
        <f ca="1"/>
        <v>#NAME?</v>
      </c>
      <c r="DU45" s="90" t="e">
        <f ca="1"/>
        <v>#NAME?</v>
      </c>
      <c r="ED45" s="123" t="e">
        <f ca="1"/>
        <v>#NAME?</v>
      </c>
      <c r="EE45" s="37" t="e">
        <f ca="1"/>
        <v>#NAME?</v>
      </c>
      <c r="EF45" s="37" t="e">
        <f ca="1"/>
        <v>#NAME?</v>
      </c>
      <c r="EG45" s="90" t="e">
        <f ca="1"/>
        <v>#NAME?</v>
      </c>
    </row>
    <row r="46" spans="1:137" x14ac:dyDescent="0.35">
      <c r="A46" t="str">
        <f t="shared" si="15"/>
        <v>Comm</v>
      </c>
      <c r="B46" s="123" t="e">
        <f ca="1"/>
        <v>#NAME?</v>
      </c>
      <c r="C46" s="37" t="e">
        <f ca="1"/>
        <v>#NAME?</v>
      </c>
      <c r="D46" s="37" t="e">
        <f ca="1"/>
        <v>#NAME?</v>
      </c>
      <c r="E46" s="90" t="e">
        <f ca="1"/>
        <v>#NAME?</v>
      </c>
      <c r="F46" s="173" t="e">
        <f t="shared" ca="1" si="16"/>
        <v>#NAME?</v>
      </c>
      <c r="H46" t="str">
        <v>Comm</v>
      </c>
      <c r="I46" s="123" t="e">
        <f ca="1"/>
        <v>#NAME?</v>
      </c>
      <c r="J46" s="37" t="e">
        <f ca="1"/>
        <v>#NAME?</v>
      </c>
      <c r="K46" s="37" t="e">
        <f ca="1"/>
        <v>#NAME?</v>
      </c>
      <c r="L46" s="90" t="e">
        <f ca="1"/>
        <v>#NAME?</v>
      </c>
      <c r="M46" s="173" t="e">
        <f t="shared" ca="1" si="13"/>
        <v>#NAME?</v>
      </c>
      <c r="O46" t="str">
        <v>Comm</v>
      </c>
      <c r="P46" s="123" t="e">
        <f t="shared" ca="1" si="17"/>
        <v>#NAME?</v>
      </c>
      <c r="Q46" s="90" t="e">
        <f t="shared" ca="1" si="18"/>
        <v>#NAME?</v>
      </c>
      <c r="AC46" s="46" t="str">
        <v>Entertain</v>
      </c>
      <c r="AD46" s="124" t="e">
        <f ca="1"/>
        <v>#NAME?</v>
      </c>
      <c r="AE46" s="3" t="e">
        <f ca="1"/>
        <v>#NAME?</v>
      </c>
      <c r="AF46" s="3" t="e">
        <f ca="1"/>
        <v>#NAME?</v>
      </c>
      <c r="AG46" s="3" t="e">
        <f ca="1"/>
        <v>#NAME?</v>
      </c>
      <c r="AH46" s="3" t="e">
        <f ca="1"/>
        <v>#NAME?</v>
      </c>
      <c r="AI46" s="3" t="e">
        <f ca="1"/>
        <v>#NAME?</v>
      </c>
      <c r="AJ46" s="3" t="e">
        <f ca="1"/>
        <v>#NAME?</v>
      </c>
      <c r="AK46" s="3" t="e">
        <f ca="1"/>
        <v>#NAME?</v>
      </c>
      <c r="AL46" s="179" t="e">
        <f ca="1"/>
        <v>#NAME?</v>
      </c>
      <c r="AY46" t="s">
        <v>439</v>
      </c>
      <c r="AZ46" s="160" t="e">
        <f t="array" aca="1" ref="AZ46:BH46" ca="1">TRANSPOSE(MMULT(AZ32:BH40,TRANSPOSE(AZ44:BH44)))</f>
        <v>#NAME?</v>
      </c>
      <c r="BA46" s="161" t="e">
        <f ca="1"/>
        <v>#NAME?</v>
      </c>
      <c r="BB46" s="161" t="e">
        <f ca="1"/>
        <v>#NAME?</v>
      </c>
      <c r="BC46" s="161" t="e">
        <f ca="1"/>
        <v>#NAME?</v>
      </c>
      <c r="BD46" s="161" t="e">
        <f ca="1"/>
        <v>#NAME?</v>
      </c>
      <c r="BE46" s="161" t="e">
        <f ca="1"/>
        <v>#NAME?</v>
      </c>
      <c r="BF46" s="161" t="e">
        <f ca="1"/>
        <v>#NAME?</v>
      </c>
      <c r="BG46" s="161" t="e">
        <f ca="1"/>
        <v>#NAME?</v>
      </c>
      <c r="BH46" s="162" t="e">
        <f ca="1"/>
        <v>#NAME?</v>
      </c>
      <c r="BI46" s="37"/>
      <c r="BU46" t="str">
        <f t="array" ref="BU46:BU54">BU19:BU27</f>
        <v>Expect</v>
      </c>
      <c r="BV46" s="156" t="e">
        <f t="array" aca="1" ref="BV46:BY54" ca="1">MMULT(I44:L52,TRANSPOSE(MINVERSE(MMULT(TRANSPOSE(I44:L52),I44:L52))))</f>
        <v>#NAME?</v>
      </c>
      <c r="BW46" s="157" t="e">
        <f ca="1"/>
        <v>#NAME?</v>
      </c>
      <c r="BX46" s="157" t="e">
        <f ca="1"/>
        <v>#NAME?</v>
      </c>
      <c r="BY46" s="158" t="e">
        <f ca="1"/>
        <v>#NAME?</v>
      </c>
      <c r="CG46">
        <f t="shared" si="3"/>
        <v>28</v>
      </c>
      <c r="CH46" s="123" t="e">
        <f ca="1"/>
        <v>#NAME?</v>
      </c>
      <c r="CI46" s="37" t="e">
        <f ca="1"/>
        <v>#NAME?</v>
      </c>
      <c r="CJ46" s="37" t="e">
        <f ca="1"/>
        <v>#NAME?</v>
      </c>
      <c r="CK46" s="90" t="e">
        <f ca="1"/>
        <v>#NAME?</v>
      </c>
      <c r="CY46">
        <f t="shared" si="4"/>
        <v>28</v>
      </c>
      <c r="CZ46" s="123" t="e">
        <f ca="1"/>
        <v>#NAME?</v>
      </c>
      <c r="DA46" s="37" t="e">
        <f ca="1"/>
        <v>#NAME?</v>
      </c>
      <c r="DB46" s="37" t="e">
        <f ca="1"/>
        <v>#NAME?</v>
      </c>
      <c r="DC46" s="90" t="e">
        <f ca="1"/>
        <v>#NAME?</v>
      </c>
      <c r="DQ46">
        <f t="shared" si="6"/>
        <v>21</v>
      </c>
      <c r="DR46" s="123" t="e">
        <f ca="1"/>
        <v>#NAME?</v>
      </c>
      <c r="DS46" s="37" t="e">
        <f ca="1"/>
        <v>#NAME?</v>
      </c>
      <c r="DT46" s="37" t="e">
        <f ca="1"/>
        <v>#NAME?</v>
      </c>
      <c r="DU46" s="90" t="e">
        <f ca="1"/>
        <v>#NAME?</v>
      </c>
      <c r="ED46" s="123" t="e">
        <f ca="1"/>
        <v>#NAME?</v>
      </c>
      <c r="EE46" s="37" t="e">
        <f ca="1"/>
        <v>#NAME?</v>
      </c>
      <c r="EF46" s="37" t="e">
        <f ca="1"/>
        <v>#NAME?</v>
      </c>
      <c r="EG46" s="90" t="e">
        <f ca="1"/>
        <v>#NAME?</v>
      </c>
    </row>
    <row r="47" spans="1:137" x14ac:dyDescent="0.35">
      <c r="A47" t="str">
        <f t="shared" si="15"/>
        <v>Expert</v>
      </c>
      <c r="B47" s="123" t="e">
        <f ca="1"/>
        <v>#NAME?</v>
      </c>
      <c r="C47" s="37" t="e">
        <f ca="1"/>
        <v>#NAME?</v>
      </c>
      <c r="D47" s="37" t="e">
        <f ca="1"/>
        <v>#NAME?</v>
      </c>
      <c r="E47" s="90" t="e">
        <f ca="1"/>
        <v>#NAME?</v>
      </c>
      <c r="F47" s="173" t="e">
        <f t="shared" ca="1" si="16"/>
        <v>#NAME?</v>
      </c>
      <c r="H47" t="str">
        <v>Expert</v>
      </c>
      <c r="I47" s="123" t="e">
        <f ca="1"/>
        <v>#NAME?</v>
      </c>
      <c r="J47" s="37" t="e">
        <f ca="1"/>
        <v>#NAME?</v>
      </c>
      <c r="K47" s="37" t="e">
        <f ca="1"/>
        <v>#NAME?</v>
      </c>
      <c r="L47" s="90" t="e">
        <f ca="1"/>
        <v>#NAME?</v>
      </c>
      <c r="M47" s="173" t="e">
        <f t="shared" ca="1" si="13"/>
        <v>#NAME?</v>
      </c>
      <c r="O47" t="str">
        <v>Expert</v>
      </c>
      <c r="P47" s="123" t="e">
        <f t="shared" ca="1" si="17"/>
        <v>#NAME?</v>
      </c>
      <c r="Q47" s="90" t="e">
        <f t="shared" ca="1" si="18"/>
        <v>#NAME?</v>
      </c>
      <c r="AC47" s="46" t="str">
        <v>Comm</v>
      </c>
      <c r="AD47" s="124" t="e">
        <f ca="1"/>
        <v>#NAME?</v>
      </c>
      <c r="AE47" s="3" t="e">
        <f ca="1"/>
        <v>#NAME?</v>
      </c>
      <c r="AF47" s="3" t="e">
        <f ca="1"/>
        <v>#NAME?</v>
      </c>
      <c r="AG47" s="3" t="e">
        <f ca="1"/>
        <v>#NAME?</v>
      </c>
      <c r="AH47" s="3" t="e">
        <f ca="1"/>
        <v>#NAME?</v>
      </c>
      <c r="AI47" s="3" t="e">
        <f ca="1"/>
        <v>#NAME?</v>
      </c>
      <c r="AJ47" s="3" t="e">
        <f ca="1"/>
        <v>#NAME?</v>
      </c>
      <c r="AK47" s="3" t="e">
        <f ca="1"/>
        <v>#NAME?</v>
      </c>
      <c r="AL47" s="179" t="e">
        <f ca="1"/>
        <v>#NAME?</v>
      </c>
      <c r="BU47" t="str">
        <v>Entertain</v>
      </c>
      <c r="BV47" s="123" t="e">
        <f ca="1"/>
        <v>#NAME?</v>
      </c>
      <c r="BW47" s="37" t="e">
        <f ca="1"/>
        <v>#NAME?</v>
      </c>
      <c r="BX47" s="37" t="e">
        <f ca="1"/>
        <v>#NAME?</v>
      </c>
      <c r="BY47" s="90" t="e">
        <f ca="1"/>
        <v>#NAME?</v>
      </c>
      <c r="CG47">
        <f t="shared" si="3"/>
        <v>29</v>
      </c>
      <c r="CH47" s="123" t="e">
        <f ca="1"/>
        <v>#NAME?</v>
      </c>
      <c r="CI47" s="37" t="e">
        <f ca="1"/>
        <v>#NAME?</v>
      </c>
      <c r="CJ47" s="37" t="e">
        <f ca="1"/>
        <v>#NAME?</v>
      </c>
      <c r="CK47" s="90" t="e">
        <f ca="1"/>
        <v>#NAME?</v>
      </c>
      <c r="CY47">
        <f t="shared" si="4"/>
        <v>29</v>
      </c>
      <c r="CZ47" s="123" t="e">
        <f ca="1"/>
        <v>#NAME?</v>
      </c>
      <c r="DA47" s="37" t="e">
        <f ca="1"/>
        <v>#NAME?</v>
      </c>
      <c r="DB47" s="37" t="e">
        <f ca="1"/>
        <v>#NAME?</v>
      </c>
      <c r="DC47" s="90" t="e">
        <f ca="1"/>
        <v>#NAME?</v>
      </c>
      <c r="DQ47">
        <f t="shared" si="6"/>
        <v>22</v>
      </c>
      <c r="DR47" s="123" t="e">
        <f ca="1"/>
        <v>#NAME?</v>
      </c>
      <c r="DS47" s="37" t="e">
        <f ca="1"/>
        <v>#NAME?</v>
      </c>
      <c r="DT47" s="37" t="e">
        <f ca="1"/>
        <v>#NAME?</v>
      </c>
      <c r="DU47" s="90" t="e">
        <f ca="1"/>
        <v>#NAME?</v>
      </c>
      <c r="ED47" s="123" t="e">
        <f ca="1"/>
        <v>#NAME?</v>
      </c>
      <c r="EE47" s="37" t="e">
        <f ca="1"/>
        <v>#NAME?</v>
      </c>
      <c r="EF47" s="37" t="e">
        <f ca="1"/>
        <v>#NAME?</v>
      </c>
      <c r="EG47" s="90" t="e">
        <f ca="1"/>
        <v>#NAME?</v>
      </c>
    </row>
    <row r="48" spans="1:137" x14ac:dyDescent="0.35">
      <c r="A48" t="str">
        <f t="shared" si="15"/>
        <v>Motivate</v>
      </c>
      <c r="B48" s="123" t="e">
        <f ca="1"/>
        <v>#NAME?</v>
      </c>
      <c r="C48" s="37" t="e">
        <f ca="1"/>
        <v>#NAME?</v>
      </c>
      <c r="D48" s="37" t="e">
        <f ca="1"/>
        <v>#NAME?</v>
      </c>
      <c r="E48" s="90" t="e">
        <f ca="1"/>
        <v>#NAME?</v>
      </c>
      <c r="F48" s="173" t="e">
        <f t="shared" ca="1" si="16"/>
        <v>#NAME?</v>
      </c>
      <c r="H48" t="str">
        <v>Motivate</v>
      </c>
      <c r="I48" s="123" t="e">
        <f ca="1"/>
        <v>#NAME?</v>
      </c>
      <c r="J48" s="37" t="e">
        <f ca="1"/>
        <v>#NAME?</v>
      </c>
      <c r="K48" s="37" t="e">
        <f ca="1"/>
        <v>#NAME?</v>
      </c>
      <c r="L48" s="90" t="e">
        <f ca="1"/>
        <v>#NAME?</v>
      </c>
      <c r="M48" s="173" t="e">
        <f t="shared" ca="1" si="13"/>
        <v>#NAME?</v>
      </c>
      <c r="O48" t="str">
        <v>Motivate</v>
      </c>
      <c r="P48" s="123" t="e">
        <f t="shared" ca="1" si="17"/>
        <v>#NAME?</v>
      </c>
      <c r="Q48" s="90" t="e">
        <f t="shared" ca="1" si="18"/>
        <v>#NAME?</v>
      </c>
      <c r="AC48" s="46" t="str">
        <v>Expert</v>
      </c>
      <c r="AD48" s="124" t="e">
        <f ca="1"/>
        <v>#NAME?</v>
      </c>
      <c r="AE48" s="3" t="e">
        <f ca="1"/>
        <v>#NAME?</v>
      </c>
      <c r="AF48" s="3" t="e">
        <f ca="1"/>
        <v>#NAME?</v>
      </c>
      <c r="AG48" s="3" t="e">
        <f ca="1"/>
        <v>#NAME?</v>
      </c>
      <c r="AH48" s="3" t="e">
        <f ca="1"/>
        <v>#NAME?</v>
      </c>
      <c r="AI48" s="3" t="e">
        <f ca="1"/>
        <v>#NAME?</v>
      </c>
      <c r="AJ48" s="3" t="e">
        <f ca="1"/>
        <v>#NAME?</v>
      </c>
      <c r="AK48" s="3" t="e">
        <f ca="1"/>
        <v>#NAME?</v>
      </c>
      <c r="AL48" s="179" t="e">
        <f ca="1"/>
        <v>#NAME?</v>
      </c>
      <c r="BU48" t="str">
        <v>Comm</v>
      </c>
      <c r="BV48" s="123" t="e">
        <f ca="1"/>
        <v>#NAME?</v>
      </c>
      <c r="BW48" s="37" t="e">
        <f ca="1"/>
        <v>#NAME?</v>
      </c>
      <c r="BX48" s="37" t="e">
        <f ca="1"/>
        <v>#NAME?</v>
      </c>
      <c r="BY48" s="90" t="e">
        <f ca="1"/>
        <v>#NAME?</v>
      </c>
      <c r="CG48">
        <f t="shared" si="3"/>
        <v>30</v>
      </c>
      <c r="CH48" s="123" t="e">
        <f ca="1"/>
        <v>#NAME?</v>
      </c>
      <c r="CI48" s="37" t="e">
        <f ca="1"/>
        <v>#NAME?</v>
      </c>
      <c r="CJ48" s="37" t="e">
        <f ca="1"/>
        <v>#NAME?</v>
      </c>
      <c r="CK48" s="90" t="e">
        <f ca="1"/>
        <v>#NAME?</v>
      </c>
      <c r="CY48">
        <f t="shared" si="4"/>
        <v>30</v>
      </c>
      <c r="CZ48" s="123" t="e">
        <f ca="1"/>
        <v>#NAME?</v>
      </c>
      <c r="DA48" s="37" t="e">
        <f ca="1"/>
        <v>#NAME?</v>
      </c>
      <c r="DB48" s="37" t="e">
        <f ca="1"/>
        <v>#NAME?</v>
      </c>
      <c r="DC48" s="90" t="e">
        <f ca="1"/>
        <v>#NAME?</v>
      </c>
      <c r="DQ48">
        <f t="shared" si="6"/>
        <v>23</v>
      </c>
      <c r="DR48" s="123" t="e">
        <f ca="1"/>
        <v>#NAME?</v>
      </c>
      <c r="DS48" s="37" t="e">
        <f ca="1"/>
        <v>#NAME?</v>
      </c>
      <c r="DT48" s="37" t="e">
        <f ca="1"/>
        <v>#NAME?</v>
      </c>
      <c r="DU48" s="90" t="e">
        <f ca="1"/>
        <v>#NAME?</v>
      </c>
      <c r="ED48" s="123" t="e">
        <f ca="1"/>
        <v>#NAME?</v>
      </c>
      <c r="EE48" s="37" t="e">
        <f ca="1"/>
        <v>#NAME?</v>
      </c>
      <c r="EF48" s="37" t="e">
        <f ca="1"/>
        <v>#NAME?</v>
      </c>
      <c r="EG48" s="90" t="e">
        <f ca="1"/>
        <v>#NAME?</v>
      </c>
    </row>
    <row r="49" spans="1:137" x14ac:dyDescent="0.35">
      <c r="A49" t="str">
        <f t="shared" si="15"/>
        <v>Caring</v>
      </c>
      <c r="B49" s="123" t="e">
        <f ca="1"/>
        <v>#NAME?</v>
      </c>
      <c r="C49" s="37" t="e">
        <f ca="1"/>
        <v>#NAME?</v>
      </c>
      <c r="D49" s="37" t="e">
        <f ca="1"/>
        <v>#NAME?</v>
      </c>
      <c r="E49" s="90" t="e">
        <f ca="1"/>
        <v>#NAME?</v>
      </c>
      <c r="F49" s="173" t="e">
        <f t="shared" ca="1" si="16"/>
        <v>#NAME?</v>
      </c>
      <c r="H49" t="str">
        <v>Caring</v>
      </c>
      <c r="I49" s="123" t="e">
        <f ca="1"/>
        <v>#NAME?</v>
      </c>
      <c r="J49" s="37" t="e">
        <f ca="1"/>
        <v>#NAME?</v>
      </c>
      <c r="K49" s="37" t="e">
        <f ca="1"/>
        <v>#NAME?</v>
      </c>
      <c r="L49" s="90" t="e">
        <f ca="1"/>
        <v>#NAME?</v>
      </c>
      <c r="M49" s="173" t="e">
        <f ca="1">SUMSQ(I49:L49)</f>
        <v>#NAME?</v>
      </c>
      <c r="O49" t="str">
        <v>Caring</v>
      </c>
      <c r="P49" s="123" t="e">
        <f t="shared" ca="1" si="17"/>
        <v>#NAME?</v>
      </c>
      <c r="Q49" s="90" t="e">
        <f t="shared" ca="1" si="18"/>
        <v>#NAME?</v>
      </c>
      <c r="AC49" s="46" t="str">
        <v>Motivate</v>
      </c>
      <c r="AD49" s="124" t="e">
        <f ca="1"/>
        <v>#NAME?</v>
      </c>
      <c r="AE49" s="3" t="e">
        <f ca="1"/>
        <v>#NAME?</v>
      </c>
      <c r="AF49" s="3" t="e">
        <f ca="1"/>
        <v>#NAME?</v>
      </c>
      <c r="AG49" s="3" t="e">
        <f ca="1"/>
        <v>#NAME?</v>
      </c>
      <c r="AH49" s="3" t="e">
        <f ca="1"/>
        <v>#NAME?</v>
      </c>
      <c r="AI49" s="3" t="e">
        <f ca="1"/>
        <v>#NAME?</v>
      </c>
      <c r="AJ49" s="3" t="e">
        <f ca="1"/>
        <v>#NAME?</v>
      </c>
      <c r="AK49" s="3" t="e">
        <f ca="1"/>
        <v>#NAME?</v>
      </c>
      <c r="AL49" s="179" t="e">
        <f ca="1"/>
        <v>#NAME?</v>
      </c>
      <c r="BU49" t="str">
        <v>Expert</v>
      </c>
      <c r="BV49" s="123" t="e">
        <f ca="1"/>
        <v>#NAME?</v>
      </c>
      <c r="BW49" s="37" t="e">
        <f ca="1"/>
        <v>#NAME?</v>
      </c>
      <c r="BX49" s="37" t="e">
        <f ca="1"/>
        <v>#NAME?</v>
      </c>
      <c r="BY49" s="90" t="e">
        <f ca="1"/>
        <v>#NAME?</v>
      </c>
      <c r="CG49">
        <f t="shared" si="3"/>
        <v>31</v>
      </c>
      <c r="CH49" s="123" t="e">
        <f ca="1"/>
        <v>#NAME?</v>
      </c>
      <c r="CI49" s="37" t="e">
        <f ca="1"/>
        <v>#NAME?</v>
      </c>
      <c r="CJ49" s="37" t="e">
        <f ca="1"/>
        <v>#NAME?</v>
      </c>
      <c r="CK49" s="90" t="e">
        <f ca="1"/>
        <v>#NAME?</v>
      </c>
      <c r="CY49">
        <f t="shared" si="4"/>
        <v>31</v>
      </c>
      <c r="CZ49" s="123" t="e">
        <f ca="1"/>
        <v>#NAME?</v>
      </c>
      <c r="DA49" s="37" t="e">
        <f ca="1"/>
        <v>#NAME?</v>
      </c>
      <c r="DB49" s="37" t="e">
        <f ca="1"/>
        <v>#NAME?</v>
      </c>
      <c r="DC49" s="90" t="e">
        <f ca="1"/>
        <v>#NAME?</v>
      </c>
      <c r="DQ49">
        <f t="shared" si="6"/>
        <v>24</v>
      </c>
      <c r="DR49" s="123" t="e">
        <f ca="1"/>
        <v>#NAME?</v>
      </c>
      <c r="DS49" s="37" t="e">
        <f ca="1"/>
        <v>#NAME?</v>
      </c>
      <c r="DT49" s="37" t="e">
        <f ca="1"/>
        <v>#NAME?</v>
      </c>
      <c r="DU49" s="90" t="e">
        <f ca="1"/>
        <v>#NAME?</v>
      </c>
      <c r="ED49" s="123" t="e">
        <f ca="1"/>
        <v>#NAME?</v>
      </c>
      <c r="EE49" s="37" t="e">
        <f ca="1"/>
        <v>#NAME?</v>
      </c>
      <c r="EF49" s="37" t="e">
        <f ca="1"/>
        <v>#NAME?</v>
      </c>
      <c r="EG49" s="90" t="e">
        <f ca="1"/>
        <v>#NAME?</v>
      </c>
    </row>
    <row r="50" spans="1:137" x14ac:dyDescent="0.35">
      <c r="A50" t="str">
        <f t="shared" si="15"/>
        <v>Charisma</v>
      </c>
      <c r="B50" s="123" t="e">
        <f ca="1"/>
        <v>#NAME?</v>
      </c>
      <c r="C50" s="37" t="e">
        <f ca="1"/>
        <v>#NAME?</v>
      </c>
      <c r="D50" s="37" t="e">
        <f ca="1"/>
        <v>#NAME?</v>
      </c>
      <c r="E50" s="90" t="e">
        <f ca="1"/>
        <v>#NAME?</v>
      </c>
      <c r="F50" s="173" t="e">
        <f t="shared" ca="1" si="16"/>
        <v>#NAME?</v>
      </c>
      <c r="H50" t="str">
        <v>Charisma</v>
      </c>
      <c r="I50" s="123" t="e">
        <f ca="1"/>
        <v>#NAME?</v>
      </c>
      <c r="J50" s="37" t="e">
        <f ca="1"/>
        <v>#NAME?</v>
      </c>
      <c r="K50" s="37" t="e">
        <f ca="1"/>
        <v>#NAME?</v>
      </c>
      <c r="L50" s="90" t="e">
        <f ca="1"/>
        <v>#NAME?</v>
      </c>
      <c r="M50" s="173" t="e">
        <f t="shared" ca="1" si="13"/>
        <v>#NAME?</v>
      </c>
      <c r="O50" t="str">
        <v>Charisma</v>
      </c>
      <c r="P50" s="123" t="e">
        <f t="shared" ca="1" si="17"/>
        <v>#NAME?</v>
      </c>
      <c r="Q50" s="90" t="e">
        <f t="shared" ca="1" si="18"/>
        <v>#NAME?</v>
      </c>
      <c r="AC50" s="46" t="str">
        <v>Caring</v>
      </c>
      <c r="AD50" s="124" t="e">
        <f ca="1"/>
        <v>#NAME?</v>
      </c>
      <c r="AE50" s="3" t="e">
        <f ca="1"/>
        <v>#NAME?</v>
      </c>
      <c r="AF50" s="3" t="e">
        <f ca="1"/>
        <v>#NAME?</v>
      </c>
      <c r="AG50" s="3" t="e">
        <f ca="1"/>
        <v>#NAME?</v>
      </c>
      <c r="AH50" s="3" t="e">
        <f ca="1"/>
        <v>#NAME?</v>
      </c>
      <c r="AI50" s="3" t="e">
        <f ca="1"/>
        <v>#NAME?</v>
      </c>
      <c r="AJ50" s="3" t="e">
        <f ca="1"/>
        <v>#NAME?</v>
      </c>
      <c r="AK50" s="3" t="e">
        <f ca="1"/>
        <v>#NAME?</v>
      </c>
      <c r="AL50" s="179" t="e">
        <f ca="1"/>
        <v>#NAME?</v>
      </c>
      <c r="BU50" t="str">
        <v>Motivate</v>
      </c>
      <c r="BV50" s="123" t="e">
        <f ca="1"/>
        <v>#NAME?</v>
      </c>
      <c r="BW50" s="37" t="e">
        <f ca="1"/>
        <v>#NAME?</v>
      </c>
      <c r="BX50" s="37" t="e">
        <f ca="1"/>
        <v>#NAME?</v>
      </c>
      <c r="BY50" s="90" t="e">
        <f ca="1"/>
        <v>#NAME?</v>
      </c>
      <c r="CG50">
        <f t="shared" si="3"/>
        <v>32</v>
      </c>
      <c r="CH50" s="123" t="e">
        <f ca="1"/>
        <v>#NAME?</v>
      </c>
      <c r="CI50" s="37" t="e">
        <f ca="1"/>
        <v>#NAME?</v>
      </c>
      <c r="CJ50" s="37" t="e">
        <f ca="1"/>
        <v>#NAME?</v>
      </c>
      <c r="CK50" s="90" t="e">
        <f ca="1"/>
        <v>#NAME?</v>
      </c>
      <c r="CY50">
        <f t="shared" si="4"/>
        <v>32</v>
      </c>
      <c r="CZ50" s="123" t="e">
        <f ca="1"/>
        <v>#NAME?</v>
      </c>
      <c r="DA50" s="37" t="e">
        <f ca="1"/>
        <v>#NAME?</v>
      </c>
      <c r="DB50" s="37" t="e">
        <f ca="1"/>
        <v>#NAME?</v>
      </c>
      <c r="DC50" s="90" t="e">
        <f ca="1"/>
        <v>#NAME?</v>
      </c>
      <c r="DQ50">
        <f t="shared" si="6"/>
        <v>25</v>
      </c>
      <c r="DR50" s="123" t="e">
        <f ca="1"/>
        <v>#NAME?</v>
      </c>
      <c r="DS50" s="37" t="e">
        <f ca="1"/>
        <v>#NAME?</v>
      </c>
      <c r="DT50" s="37" t="e">
        <f ca="1"/>
        <v>#NAME?</v>
      </c>
      <c r="DU50" s="90" t="e">
        <f ca="1"/>
        <v>#NAME?</v>
      </c>
      <c r="ED50" s="123" t="e">
        <f ca="1"/>
        <v>#NAME?</v>
      </c>
      <c r="EE50" s="37" t="e">
        <f ca="1"/>
        <v>#NAME?</v>
      </c>
      <c r="EF50" s="37" t="e">
        <f ca="1"/>
        <v>#NAME?</v>
      </c>
      <c r="EG50" s="90" t="e">
        <f ca="1"/>
        <v>#NAME?</v>
      </c>
    </row>
    <row r="51" spans="1:137" x14ac:dyDescent="0.35">
      <c r="A51" t="str">
        <f t="shared" si="15"/>
        <v>Passion</v>
      </c>
      <c r="B51" s="123" t="e">
        <f ca="1"/>
        <v>#NAME?</v>
      </c>
      <c r="C51" s="37" t="e">
        <f ca="1"/>
        <v>#NAME?</v>
      </c>
      <c r="D51" s="37" t="e">
        <f ca="1"/>
        <v>#NAME?</v>
      </c>
      <c r="E51" s="90" t="e">
        <f ca="1"/>
        <v>#NAME?</v>
      </c>
      <c r="F51" s="173" t="e">
        <f t="shared" ca="1" si="16"/>
        <v>#NAME?</v>
      </c>
      <c r="H51" t="str">
        <v>Passion</v>
      </c>
      <c r="I51" s="123" t="e">
        <f ca="1"/>
        <v>#NAME?</v>
      </c>
      <c r="J51" s="37" t="e">
        <f ca="1"/>
        <v>#NAME?</v>
      </c>
      <c r="K51" s="37" t="e">
        <f ca="1"/>
        <v>#NAME?</v>
      </c>
      <c r="L51" s="90" t="e">
        <f ca="1"/>
        <v>#NAME?</v>
      </c>
      <c r="M51" s="173" t="e">
        <f t="shared" ca="1" si="13"/>
        <v>#NAME?</v>
      </c>
      <c r="O51" t="str">
        <v>Passion</v>
      </c>
      <c r="P51" s="123" t="e">
        <f t="shared" ca="1" si="17"/>
        <v>#NAME?</v>
      </c>
      <c r="Q51" s="90" t="e">
        <f t="shared" ca="1" si="18"/>
        <v>#NAME?</v>
      </c>
      <c r="AC51" s="46" t="str">
        <v>Charisma</v>
      </c>
      <c r="AD51" s="124" t="e">
        <f ca="1"/>
        <v>#NAME?</v>
      </c>
      <c r="AE51" s="3" t="e">
        <f ca="1"/>
        <v>#NAME?</v>
      </c>
      <c r="AF51" s="3" t="e">
        <f ca="1"/>
        <v>#NAME?</v>
      </c>
      <c r="AG51" s="3" t="e">
        <f ca="1"/>
        <v>#NAME?</v>
      </c>
      <c r="AH51" s="3" t="e">
        <f ca="1"/>
        <v>#NAME?</v>
      </c>
      <c r="AI51" s="3" t="e">
        <f ca="1"/>
        <v>#NAME?</v>
      </c>
      <c r="AJ51" s="3" t="e">
        <f ca="1"/>
        <v>#NAME?</v>
      </c>
      <c r="AK51" s="3" t="e">
        <f ca="1"/>
        <v>#NAME?</v>
      </c>
      <c r="AL51" s="179" t="e">
        <f ca="1"/>
        <v>#NAME?</v>
      </c>
      <c r="BU51" t="str">
        <v>Caring</v>
      </c>
      <c r="BV51" s="123" t="e">
        <f ca="1"/>
        <v>#NAME?</v>
      </c>
      <c r="BW51" s="37" t="e">
        <f ca="1"/>
        <v>#NAME?</v>
      </c>
      <c r="BX51" s="37" t="e">
        <f ca="1"/>
        <v>#NAME?</v>
      </c>
      <c r="BY51" s="90" t="e">
        <f ca="1"/>
        <v>#NAME?</v>
      </c>
      <c r="CG51">
        <f t="shared" si="3"/>
        <v>33</v>
      </c>
      <c r="CH51" s="123" t="e">
        <f ca="1"/>
        <v>#NAME?</v>
      </c>
      <c r="CI51" s="37" t="e">
        <f ca="1"/>
        <v>#NAME?</v>
      </c>
      <c r="CJ51" s="37" t="e">
        <f ca="1"/>
        <v>#NAME?</v>
      </c>
      <c r="CK51" s="90" t="e">
        <f ca="1"/>
        <v>#NAME?</v>
      </c>
      <c r="CY51">
        <f t="shared" si="4"/>
        <v>33</v>
      </c>
      <c r="CZ51" s="123" t="e">
        <f ca="1"/>
        <v>#NAME?</v>
      </c>
      <c r="DA51" s="37" t="e">
        <f ca="1"/>
        <v>#NAME?</v>
      </c>
      <c r="DB51" s="37" t="e">
        <f ca="1"/>
        <v>#NAME?</v>
      </c>
      <c r="DC51" s="90" t="e">
        <f ca="1"/>
        <v>#NAME?</v>
      </c>
      <c r="DQ51">
        <f t="shared" si="6"/>
        <v>26</v>
      </c>
      <c r="DR51" s="123" t="e">
        <f ca="1"/>
        <v>#NAME?</v>
      </c>
      <c r="DS51" s="37" t="e">
        <f ca="1"/>
        <v>#NAME?</v>
      </c>
      <c r="DT51" s="37" t="e">
        <f ca="1"/>
        <v>#NAME?</v>
      </c>
      <c r="DU51" s="90" t="e">
        <f ca="1"/>
        <v>#NAME?</v>
      </c>
      <c r="ED51" s="123" t="e">
        <f ca="1"/>
        <v>#NAME?</v>
      </c>
      <c r="EE51" s="37" t="e">
        <f ca="1"/>
        <v>#NAME?</v>
      </c>
      <c r="EF51" s="37" t="e">
        <f ca="1"/>
        <v>#NAME?</v>
      </c>
      <c r="EG51" s="90" t="e">
        <f ca="1"/>
        <v>#NAME?</v>
      </c>
    </row>
    <row r="52" spans="1:137" x14ac:dyDescent="0.35">
      <c r="A52" t="str">
        <f t="shared" si="15"/>
        <v>Friendly</v>
      </c>
      <c r="B52" s="91" t="e">
        <f ca="1"/>
        <v>#NAME?</v>
      </c>
      <c r="C52" s="92" t="e">
        <f ca="1"/>
        <v>#NAME?</v>
      </c>
      <c r="D52" s="92" t="e">
        <f ca="1"/>
        <v>#NAME?</v>
      </c>
      <c r="E52" s="93" t="e">
        <f ca="1"/>
        <v>#NAME?</v>
      </c>
      <c r="F52" s="174" t="e">
        <f t="shared" ca="1" si="16"/>
        <v>#NAME?</v>
      </c>
      <c r="H52" t="str">
        <v>Friendly</v>
      </c>
      <c r="I52" s="91" t="e">
        <f ca="1"/>
        <v>#NAME?</v>
      </c>
      <c r="J52" s="92" t="e">
        <f ca="1"/>
        <v>#NAME?</v>
      </c>
      <c r="K52" s="92" t="e">
        <f ca="1"/>
        <v>#NAME?</v>
      </c>
      <c r="L52" s="93" t="e">
        <f ca="1"/>
        <v>#NAME?</v>
      </c>
      <c r="M52" s="174" t="e">
        <f t="shared" ca="1" si="13"/>
        <v>#NAME?</v>
      </c>
      <c r="O52" t="str">
        <v>Friendly</v>
      </c>
      <c r="P52" s="91" t="e">
        <f t="shared" ca="1" si="17"/>
        <v>#NAME?</v>
      </c>
      <c r="Q52" s="93" t="e">
        <f t="shared" ca="1" si="18"/>
        <v>#NAME?</v>
      </c>
      <c r="AC52" s="46" t="str">
        <v>Passion</v>
      </c>
      <c r="AD52" s="124" t="e">
        <f ca="1"/>
        <v>#NAME?</v>
      </c>
      <c r="AE52" s="3" t="e">
        <f ca="1"/>
        <v>#NAME?</v>
      </c>
      <c r="AF52" s="3" t="e">
        <f ca="1"/>
        <v>#NAME?</v>
      </c>
      <c r="AG52" s="3" t="e">
        <f ca="1"/>
        <v>#NAME?</v>
      </c>
      <c r="AH52" s="3" t="e">
        <f ca="1"/>
        <v>#NAME?</v>
      </c>
      <c r="AI52" s="3" t="e">
        <f ca="1"/>
        <v>#NAME?</v>
      </c>
      <c r="AJ52" s="3" t="e">
        <f ca="1"/>
        <v>#NAME?</v>
      </c>
      <c r="AK52" s="3" t="e">
        <f ca="1"/>
        <v>#NAME?</v>
      </c>
      <c r="AL52" s="179" t="e">
        <f ca="1"/>
        <v>#NAME?</v>
      </c>
      <c r="BU52" t="str">
        <v>Charisma</v>
      </c>
      <c r="BV52" s="123" t="e">
        <f ca="1"/>
        <v>#NAME?</v>
      </c>
      <c r="BW52" s="37" t="e">
        <f ca="1"/>
        <v>#NAME?</v>
      </c>
      <c r="BX52" s="37" t="e">
        <f ca="1"/>
        <v>#NAME?</v>
      </c>
      <c r="BY52" s="90" t="e">
        <f ca="1"/>
        <v>#NAME?</v>
      </c>
      <c r="CG52">
        <f t="shared" si="3"/>
        <v>34</v>
      </c>
      <c r="CH52" s="123" t="e">
        <f ca="1"/>
        <v>#NAME?</v>
      </c>
      <c r="CI52" s="37" t="e">
        <f ca="1"/>
        <v>#NAME?</v>
      </c>
      <c r="CJ52" s="37" t="e">
        <f ca="1"/>
        <v>#NAME?</v>
      </c>
      <c r="CK52" s="90" t="e">
        <f ca="1"/>
        <v>#NAME?</v>
      </c>
      <c r="CY52">
        <f t="shared" si="4"/>
        <v>34</v>
      </c>
      <c r="CZ52" s="123" t="e">
        <f ca="1"/>
        <v>#NAME?</v>
      </c>
      <c r="DA52" s="37" t="e">
        <f ca="1"/>
        <v>#NAME?</v>
      </c>
      <c r="DB52" s="37" t="e">
        <f ca="1"/>
        <v>#NAME?</v>
      </c>
      <c r="DC52" s="90" t="e">
        <f ca="1"/>
        <v>#NAME?</v>
      </c>
      <c r="DQ52">
        <f t="shared" si="6"/>
        <v>27</v>
      </c>
      <c r="DR52" s="123" t="e">
        <f ca="1"/>
        <v>#NAME?</v>
      </c>
      <c r="DS52" s="37" t="e">
        <f ca="1"/>
        <v>#NAME?</v>
      </c>
      <c r="DT52" s="37" t="e">
        <f ca="1"/>
        <v>#NAME?</v>
      </c>
      <c r="DU52" s="90" t="e">
        <f ca="1"/>
        <v>#NAME?</v>
      </c>
      <c r="ED52" s="123" t="e">
        <f ca="1"/>
        <v>#NAME?</v>
      </c>
      <c r="EE52" s="37" t="e">
        <f ca="1"/>
        <v>#NAME?</v>
      </c>
      <c r="EF52" s="37" t="e">
        <f ca="1"/>
        <v>#NAME?</v>
      </c>
      <c r="EG52" s="90" t="e">
        <f ca="1"/>
        <v>#NAME?</v>
      </c>
    </row>
    <row r="53" spans="1:137" x14ac:dyDescent="0.35">
      <c r="F53" s="60" t="e">
        <f ca="1">SUM(F44:F52)</f>
        <v>#NAME?</v>
      </c>
      <c r="M53" s="60" t="e">
        <f ca="1">SUM(M44:M52)</f>
        <v>#NAME?</v>
      </c>
      <c r="P53" s="185" t="e">
        <f ca="1">SUM(P44:P52)</f>
        <v>#NAME?</v>
      </c>
      <c r="Q53" s="60" t="e">
        <f ca="1">SUM(Q44:Q52)</f>
        <v>#NAME?</v>
      </c>
      <c r="AC53" s="46" t="str">
        <v>Friendly</v>
      </c>
      <c r="AD53" s="180" t="e">
        <f ca="1"/>
        <v>#NAME?</v>
      </c>
      <c r="AE53" s="181" t="e">
        <f ca="1"/>
        <v>#NAME?</v>
      </c>
      <c r="AF53" s="181" t="e">
        <f ca="1"/>
        <v>#NAME?</v>
      </c>
      <c r="AG53" s="181" t="e">
        <f ca="1"/>
        <v>#NAME?</v>
      </c>
      <c r="AH53" s="181" t="e">
        <f ca="1"/>
        <v>#NAME?</v>
      </c>
      <c r="AI53" s="181" t="e">
        <f ca="1"/>
        <v>#NAME?</v>
      </c>
      <c r="AJ53" s="181" t="e">
        <f ca="1"/>
        <v>#NAME?</v>
      </c>
      <c r="AK53" s="181" t="e">
        <f ca="1"/>
        <v>#NAME?</v>
      </c>
      <c r="AL53" s="182" t="e">
        <f ca="1"/>
        <v>#NAME?</v>
      </c>
      <c r="BU53" t="str">
        <v>Passion</v>
      </c>
      <c r="BV53" s="123" t="e">
        <f ca="1"/>
        <v>#NAME?</v>
      </c>
      <c r="BW53" s="37" t="e">
        <f ca="1"/>
        <v>#NAME?</v>
      </c>
      <c r="BX53" s="37" t="e">
        <f ca="1"/>
        <v>#NAME?</v>
      </c>
      <c r="BY53" s="90" t="e">
        <f ca="1"/>
        <v>#NAME?</v>
      </c>
      <c r="CG53">
        <f t="shared" si="3"/>
        <v>35</v>
      </c>
      <c r="CH53" s="123" t="e">
        <f ca="1"/>
        <v>#NAME?</v>
      </c>
      <c r="CI53" s="37" t="e">
        <f ca="1"/>
        <v>#NAME?</v>
      </c>
      <c r="CJ53" s="37" t="e">
        <f ca="1"/>
        <v>#NAME?</v>
      </c>
      <c r="CK53" s="90" t="e">
        <f ca="1"/>
        <v>#NAME?</v>
      </c>
      <c r="CY53">
        <f t="shared" si="4"/>
        <v>35</v>
      </c>
      <c r="CZ53" s="123" t="e">
        <f ca="1"/>
        <v>#NAME?</v>
      </c>
      <c r="DA53" s="37" t="e">
        <f ca="1"/>
        <v>#NAME?</v>
      </c>
      <c r="DB53" s="37" t="e">
        <f ca="1"/>
        <v>#NAME?</v>
      </c>
      <c r="DC53" s="90" t="e">
        <f ca="1"/>
        <v>#NAME?</v>
      </c>
      <c r="DQ53">
        <f t="shared" si="6"/>
        <v>28</v>
      </c>
      <c r="DR53" s="123" t="e">
        <f ca="1"/>
        <v>#NAME?</v>
      </c>
      <c r="DS53" s="37" t="e">
        <f ca="1"/>
        <v>#NAME?</v>
      </c>
      <c r="DT53" s="37" t="e">
        <f ca="1"/>
        <v>#NAME?</v>
      </c>
      <c r="DU53" s="90" t="e">
        <f ca="1"/>
        <v>#NAME?</v>
      </c>
      <c r="ED53" s="123" t="e">
        <f ca="1"/>
        <v>#NAME?</v>
      </c>
      <c r="EE53" s="37" t="e">
        <f ca="1"/>
        <v>#NAME?</v>
      </c>
      <c r="EF53" s="37" t="e">
        <f ca="1"/>
        <v>#NAME?</v>
      </c>
      <c r="EG53" s="90" t="e">
        <f ca="1"/>
        <v>#NAME?</v>
      </c>
    </row>
    <row r="54" spans="1:137" x14ac:dyDescent="0.35">
      <c r="BU54" t="str">
        <v>Friendly</v>
      </c>
      <c r="BV54" s="91" t="e">
        <f ca="1"/>
        <v>#NAME?</v>
      </c>
      <c r="BW54" s="92" t="e">
        <f ca="1"/>
        <v>#NAME?</v>
      </c>
      <c r="BX54" s="92" t="e">
        <f ca="1"/>
        <v>#NAME?</v>
      </c>
      <c r="BY54" s="93" t="e">
        <f ca="1"/>
        <v>#NAME?</v>
      </c>
      <c r="CG54">
        <f t="shared" si="3"/>
        <v>36</v>
      </c>
      <c r="CH54" s="123" t="e">
        <f ca="1"/>
        <v>#NAME?</v>
      </c>
      <c r="CI54" s="37" t="e">
        <f ca="1"/>
        <v>#NAME?</v>
      </c>
      <c r="CJ54" s="37" t="e">
        <f ca="1"/>
        <v>#NAME?</v>
      </c>
      <c r="CK54" s="90" t="e">
        <f ca="1"/>
        <v>#NAME?</v>
      </c>
      <c r="CY54">
        <f t="shared" si="4"/>
        <v>36</v>
      </c>
      <c r="CZ54" s="123" t="e">
        <f ca="1"/>
        <v>#NAME?</v>
      </c>
      <c r="DA54" s="37" t="e">
        <f ca="1"/>
        <v>#NAME?</v>
      </c>
      <c r="DB54" s="37" t="e">
        <f ca="1"/>
        <v>#NAME?</v>
      </c>
      <c r="DC54" s="90" t="e">
        <f ca="1"/>
        <v>#NAME?</v>
      </c>
      <c r="DQ54">
        <f t="shared" si="6"/>
        <v>29</v>
      </c>
      <c r="DR54" s="123" t="e">
        <f ca="1"/>
        <v>#NAME?</v>
      </c>
      <c r="DS54" s="37" t="e">
        <f ca="1"/>
        <v>#NAME?</v>
      </c>
      <c r="DT54" s="37" t="e">
        <f ca="1"/>
        <v>#NAME?</v>
      </c>
      <c r="DU54" s="90" t="e">
        <f ca="1"/>
        <v>#NAME?</v>
      </c>
      <c r="ED54" s="123" t="e">
        <f ca="1"/>
        <v>#NAME?</v>
      </c>
      <c r="EE54" s="37" t="e">
        <f ca="1"/>
        <v>#NAME?</v>
      </c>
      <c r="EF54" s="37" t="e">
        <f ca="1"/>
        <v>#NAME?</v>
      </c>
      <c r="EG54" s="90" t="e">
        <f ca="1"/>
        <v>#NAME?</v>
      </c>
    </row>
    <row r="55" spans="1:137" x14ac:dyDescent="0.35">
      <c r="A55" t="s">
        <v>446</v>
      </c>
      <c r="CG55">
        <f t="shared" si="3"/>
        <v>37</v>
      </c>
      <c r="CH55" s="123" t="e">
        <f ca="1"/>
        <v>#NAME?</v>
      </c>
      <c r="CI55" s="37" t="e">
        <f ca="1"/>
        <v>#NAME?</v>
      </c>
      <c r="CJ55" s="37" t="e">
        <f ca="1"/>
        <v>#NAME?</v>
      </c>
      <c r="CK55" s="90" t="e">
        <f ca="1"/>
        <v>#NAME?</v>
      </c>
      <c r="CY55">
        <f t="shared" si="4"/>
        <v>37</v>
      </c>
      <c r="CZ55" s="123" t="e">
        <f ca="1"/>
        <v>#NAME?</v>
      </c>
      <c r="DA55" s="37" t="e">
        <f ca="1"/>
        <v>#NAME?</v>
      </c>
      <c r="DB55" s="37" t="e">
        <f ca="1"/>
        <v>#NAME?</v>
      </c>
      <c r="DC55" s="90" t="e">
        <f ca="1"/>
        <v>#NAME?</v>
      </c>
      <c r="DQ55">
        <f t="shared" si="6"/>
        <v>30</v>
      </c>
      <c r="DR55" s="123" t="e">
        <f ca="1"/>
        <v>#NAME?</v>
      </c>
      <c r="DS55" s="37" t="e">
        <f ca="1"/>
        <v>#NAME?</v>
      </c>
      <c r="DT55" s="37" t="e">
        <f ca="1"/>
        <v>#NAME?</v>
      </c>
      <c r="DU55" s="90" t="e">
        <f ca="1"/>
        <v>#NAME?</v>
      </c>
      <c r="ED55" s="123" t="e">
        <f ca="1"/>
        <v>#NAME?</v>
      </c>
      <c r="EE55" s="37" t="e">
        <f ca="1"/>
        <v>#NAME?</v>
      </c>
      <c r="EF55" s="37" t="e">
        <f ca="1"/>
        <v>#NAME?</v>
      </c>
      <c r="EG55" s="90" t="e">
        <f ca="1"/>
        <v>#NAME?</v>
      </c>
    </row>
    <row r="56" spans="1:137" x14ac:dyDescent="0.35">
      <c r="CG56">
        <f t="shared" si="3"/>
        <v>38</v>
      </c>
      <c r="CH56" s="123" t="e">
        <f ca="1"/>
        <v>#NAME?</v>
      </c>
      <c r="CI56" s="37" t="e">
        <f ca="1"/>
        <v>#NAME?</v>
      </c>
      <c r="CJ56" s="37" t="e">
        <f ca="1"/>
        <v>#NAME?</v>
      </c>
      <c r="CK56" s="90" t="e">
        <f ca="1"/>
        <v>#NAME?</v>
      </c>
      <c r="CY56">
        <f t="shared" si="4"/>
        <v>38</v>
      </c>
      <c r="CZ56" s="123" t="e">
        <f ca="1"/>
        <v>#NAME?</v>
      </c>
      <c r="DA56" s="37" t="e">
        <f ca="1"/>
        <v>#NAME?</v>
      </c>
      <c r="DB56" s="37" t="e">
        <f ca="1"/>
        <v>#NAME?</v>
      </c>
      <c r="DC56" s="90" t="e">
        <f ca="1"/>
        <v>#NAME?</v>
      </c>
      <c r="DQ56">
        <f t="shared" si="6"/>
        <v>31</v>
      </c>
      <c r="DR56" s="123" t="e">
        <f ca="1"/>
        <v>#NAME?</v>
      </c>
      <c r="DS56" s="37" t="e">
        <f ca="1"/>
        <v>#NAME?</v>
      </c>
      <c r="DT56" s="37" t="e">
        <f ca="1"/>
        <v>#NAME?</v>
      </c>
      <c r="DU56" s="90" t="e">
        <f ca="1"/>
        <v>#NAME?</v>
      </c>
      <c r="ED56" s="123" t="e">
        <f ca="1"/>
        <v>#NAME?</v>
      </c>
      <c r="EE56" s="37" t="e">
        <f ca="1"/>
        <v>#NAME?</v>
      </c>
      <c r="EF56" s="37" t="e">
        <f ca="1"/>
        <v>#NAME?</v>
      </c>
      <c r="EG56" s="90" t="e">
        <f ca="1"/>
        <v>#NAME?</v>
      </c>
    </row>
    <row r="57" spans="1:137" x14ac:dyDescent="0.35">
      <c r="A57" s="156" t="e">
        <f t="array" ref="A57:D65" ca="1">B44:E52</f>
        <v>#NAME?</v>
      </c>
      <c r="B57" s="157" t="e">
        <f ca="1"/>
        <v>#NAME?</v>
      </c>
      <c r="C57" s="157" t="e">
        <f ca="1"/>
        <v>#NAME?</v>
      </c>
      <c r="D57" s="158" t="e">
        <f ca="1"/>
        <v>#NAME?</v>
      </c>
      <c r="E57" s="156" t="e">
        <f t="array" ref="E57:H65" ca="1">I44:L52</f>
        <v>#NAME?</v>
      </c>
      <c r="F57" s="157" t="e">
        <f ca="1"/>
        <v>#NAME?</v>
      </c>
      <c r="G57" s="157" t="e">
        <f ca="1"/>
        <v>#NAME?</v>
      </c>
      <c r="H57" s="158" t="e">
        <f ca="1"/>
        <v>#NAME?</v>
      </c>
      <c r="CG57">
        <f t="shared" si="3"/>
        <v>39</v>
      </c>
      <c r="CH57" s="123" t="e">
        <f ca="1"/>
        <v>#NAME?</v>
      </c>
      <c r="CI57" s="37" t="e">
        <f ca="1"/>
        <v>#NAME?</v>
      </c>
      <c r="CJ57" s="37" t="e">
        <f ca="1"/>
        <v>#NAME?</v>
      </c>
      <c r="CK57" s="90" t="e">
        <f ca="1"/>
        <v>#NAME?</v>
      </c>
      <c r="CY57">
        <f t="shared" si="4"/>
        <v>39</v>
      </c>
      <c r="CZ57" s="123" t="e">
        <f ca="1"/>
        <v>#NAME?</v>
      </c>
      <c r="DA57" s="37" t="e">
        <f ca="1"/>
        <v>#NAME?</v>
      </c>
      <c r="DB57" s="37" t="e">
        <f ca="1"/>
        <v>#NAME?</v>
      </c>
      <c r="DC57" s="90" t="e">
        <f ca="1"/>
        <v>#NAME?</v>
      </c>
      <c r="DQ57">
        <f t="shared" si="6"/>
        <v>32</v>
      </c>
      <c r="DR57" s="123" t="e">
        <f ca="1"/>
        <v>#NAME?</v>
      </c>
      <c r="DS57" s="37" t="e">
        <f ca="1"/>
        <v>#NAME?</v>
      </c>
      <c r="DT57" s="37" t="e">
        <f ca="1"/>
        <v>#NAME?</v>
      </c>
      <c r="DU57" s="90" t="e">
        <f ca="1"/>
        <v>#NAME?</v>
      </c>
      <c r="ED57" s="123" t="e">
        <f ca="1"/>
        <v>#NAME?</v>
      </c>
      <c r="EE57" s="37" t="e">
        <f ca="1"/>
        <v>#NAME?</v>
      </c>
      <c r="EF57" s="37" t="e">
        <f ca="1"/>
        <v>#NAME?</v>
      </c>
      <c r="EG57" s="90" t="e">
        <f ca="1"/>
        <v>#NAME?</v>
      </c>
    </row>
    <row r="58" spans="1:137" x14ac:dyDescent="0.35">
      <c r="A58" s="123" t="e">
        <f ca="1"/>
        <v>#NAME?</v>
      </c>
      <c r="B58" s="37" t="e">
        <f ca="1"/>
        <v>#NAME?</v>
      </c>
      <c r="C58" s="37" t="e">
        <f ca="1"/>
        <v>#NAME?</v>
      </c>
      <c r="D58" s="90" t="e">
        <f ca="1"/>
        <v>#NAME?</v>
      </c>
      <c r="E58" s="123" t="e">
        <f ca="1"/>
        <v>#NAME?</v>
      </c>
      <c r="F58" s="37" t="e">
        <f ca="1"/>
        <v>#NAME?</v>
      </c>
      <c r="G58" s="37" t="e">
        <f ca="1"/>
        <v>#NAME?</v>
      </c>
      <c r="H58" s="90" t="e">
        <f ca="1"/>
        <v>#NAME?</v>
      </c>
      <c r="CG58">
        <f t="shared" si="3"/>
        <v>40</v>
      </c>
      <c r="CH58" s="123" t="e">
        <f ca="1"/>
        <v>#NAME?</v>
      </c>
      <c r="CI58" s="37" t="e">
        <f ca="1"/>
        <v>#NAME?</v>
      </c>
      <c r="CJ58" s="37" t="e">
        <f ca="1"/>
        <v>#NAME?</v>
      </c>
      <c r="CK58" s="90" t="e">
        <f ca="1"/>
        <v>#NAME?</v>
      </c>
      <c r="CY58">
        <f t="shared" si="4"/>
        <v>40</v>
      </c>
      <c r="CZ58" s="123" t="e">
        <f ca="1"/>
        <v>#NAME?</v>
      </c>
      <c r="DA58" s="37" t="e">
        <f ca="1"/>
        <v>#NAME?</v>
      </c>
      <c r="DB58" s="37" t="e">
        <f ca="1"/>
        <v>#NAME?</v>
      </c>
      <c r="DC58" s="90" t="e">
        <f ca="1"/>
        <v>#NAME?</v>
      </c>
      <c r="DQ58">
        <f t="shared" si="6"/>
        <v>33</v>
      </c>
      <c r="DR58" s="123" t="e">
        <f ca="1"/>
        <v>#NAME?</v>
      </c>
      <c r="DS58" s="37" t="e">
        <f ca="1"/>
        <v>#NAME?</v>
      </c>
      <c r="DT58" s="37" t="e">
        <f ca="1"/>
        <v>#NAME?</v>
      </c>
      <c r="DU58" s="90" t="e">
        <f ca="1"/>
        <v>#NAME?</v>
      </c>
      <c r="ED58" s="123" t="e">
        <f ca="1"/>
        <v>#NAME?</v>
      </c>
      <c r="EE58" s="37" t="e">
        <f ca="1"/>
        <v>#NAME?</v>
      </c>
      <c r="EF58" s="37" t="e">
        <f ca="1"/>
        <v>#NAME?</v>
      </c>
      <c r="EG58" s="90" t="e">
        <f ca="1"/>
        <v>#NAME?</v>
      </c>
    </row>
    <row r="59" spans="1:137" x14ac:dyDescent="0.35">
      <c r="A59" s="123" t="e">
        <f ca="1"/>
        <v>#NAME?</v>
      </c>
      <c r="B59" s="37" t="e">
        <f ca="1"/>
        <v>#NAME?</v>
      </c>
      <c r="C59" s="37" t="e">
        <f ca="1"/>
        <v>#NAME?</v>
      </c>
      <c r="D59" s="90" t="e">
        <f ca="1"/>
        <v>#NAME?</v>
      </c>
      <c r="E59" s="123" t="e">
        <f ca="1"/>
        <v>#NAME?</v>
      </c>
      <c r="F59" s="37" t="e">
        <f ca="1"/>
        <v>#NAME?</v>
      </c>
      <c r="G59" s="37" t="e">
        <f ca="1"/>
        <v>#NAME?</v>
      </c>
      <c r="H59" s="90" t="e">
        <f ca="1"/>
        <v>#NAME?</v>
      </c>
      <c r="CG59">
        <f t="shared" si="3"/>
        <v>41</v>
      </c>
      <c r="CH59" s="123" t="e">
        <f ca="1"/>
        <v>#NAME?</v>
      </c>
      <c r="CI59" s="37" t="e">
        <f ca="1"/>
        <v>#NAME?</v>
      </c>
      <c r="CJ59" s="37" t="e">
        <f ca="1"/>
        <v>#NAME?</v>
      </c>
      <c r="CK59" s="90" t="e">
        <f ca="1"/>
        <v>#NAME?</v>
      </c>
      <c r="CY59">
        <f t="shared" si="4"/>
        <v>41</v>
      </c>
      <c r="CZ59" s="123" t="e">
        <f ca="1"/>
        <v>#NAME?</v>
      </c>
      <c r="DA59" s="37" t="e">
        <f ca="1"/>
        <v>#NAME?</v>
      </c>
      <c r="DB59" s="37" t="e">
        <f ca="1"/>
        <v>#NAME?</v>
      </c>
      <c r="DC59" s="90" t="e">
        <f ca="1"/>
        <v>#NAME?</v>
      </c>
      <c r="DQ59">
        <f t="shared" si="6"/>
        <v>34</v>
      </c>
      <c r="DR59" s="123" t="e">
        <f ca="1"/>
        <v>#NAME?</v>
      </c>
      <c r="DS59" s="37" t="e">
        <f ca="1"/>
        <v>#NAME?</v>
      </c>
      <c r="DT59" s="37" t="e">
        <f ca="1"/>
        <v>#NAME?</v>
      </c>
      <c r="DU59" s="90" t="e">
        <f ca="1"/>
        <v>#NAME?</v>
      </c>
      <c r="ED59" s="123" t="e">
        <f ca="1"/>
        <v>#NAME?</v>
      </c>
      <c r="EE59" s="37" t="e">
        <f ca="1"/>
        <v>#NAME?</v>
      </c>
      <c r="EF59" s="37" t="e">
        <f ca="1"/>
        <v>#NAME?</v>
      </c>
      <c r="EG59" s="90" t="e">
        <f ca="1"/>
        <v>#NAME?</v>
      </c>
    </row>
    <row r="60" spans="1:137" x14ac:dyDescent="0.35">
      <c r="A60" s="123" t="e">
        <f ca="1"/>
        <v>#NAME?</v>
      </c>
      <c r="B60" s="37" t="e">
        <f ca="1"/>
        <v>#NAME?</v>
      </c>
      <c r="C60" s="37" t="e">
        <f ca="1"/>
        <v>#NAME?</v>
      </c>
      <c r="D60" s="90" t="e">
        <f ca="1"/>
        <v>#NAME?</v>
      </c>
      <c r="E60" s="123" t="e">
        <f ca="1"/>
        <v>#NAME?</v>
      </c>
      <c r="F60" s="37" t="e">
        <f ca="1"/>
        <v>#NAME?</v>
      </c>
      <c r="G60" s="37" t="e">
        <f ca="1"/>
        <v>#NAME?</v>
      </c>
      <c r="H60" s="90" t="e">
        <f ca="1"/>
        <v>#NAME?</v>
      </c>
      <c r="CG60">
        <f t="shared" si="3"/>
        <v>42</v>
      </c>
      <c r="CH60" s="123" t="e">
        <f ca="1"/>
        <v>#NAME?</v>
      </c>
      <c r="CI60" s="37" t="e">
        <f ca="1"/>
        <v>#NAME?</v>
      </c>
      <c r="CJ60" s="37" t="e">
        <f ca="1"/>
        <v>#NAME?</v>
      </c>
      <c r="CK60" s="90" t="e">
        <f ca="1"/>
        <v>#NAME?</v>
      </c>
      <c r="CY60">
        <f t="shared" si="4"/>
        <v>42</v>
      </c>
      <c r="CZ60" s="123" t="e">
        <f ca="1"/>
        <v>#NAME?</v>
      </c>
      <c r="DA60" s="37" t="e">
        <f ca="1"/>
        <v>#NAME?</v>
      </c>
      <c r="DB60" s="37" t="e">
        <f ca="1"/>
        <v>#NAME?</v>
      </c>
      <c r="DC60" s="90" t="e">
        <f ca="1"/>
        <v>#NAME?</v>
      </c>
      <c r="DQ60">
        <f t="shared" si="6"/>
        <v>35</v>
      </c>
      <c r="DR60" s="123" t="e">
        <f ca="1"/>
        <v>#NAME?</v>
      </c>
      <c r="DS60" s="37" t="e">
        <f ca="1"/>
        <v>#NAME?</v>
      </c>
      <c r="DT60" s="37" t="e">
        <f ca="1"/>
        <v>#NAME?</v>
      </c>
      <c r="DU60" s="90" t="e">
        <f ca="1"/>
        <v>#NAME?</v>
      </c>
      <c r="ED60" s="123" t="e">
        <f ca="1"/>
        <v>#NAME?</v>
      </c>
      <c r="EE60" s="37" t="e">
        <f ca="1"/>
        <v>#NAME?</v>
      </c>
      <c r="EF60" s="37" t="e">
        <f ca="1"/>
        <v>#NAME?</v>
      </c>
      <c r="EG60" s="90" t="e">
        <f ca="1"/>
        <v>#NAME?</v>
      </c>
    </row>
    <row r="61" spans="1:137" x14ac:dyDescent="0.35">
      <c r="A61" s="123" t="e">
        <f ca="1"/>
        <v>#NAME?</v>
      </c>
      <c r="B61" s="37" t="e">
        <f ca="1"/>
        <v>#NAME?</v>
      </c>
      <c r="C61" s="37" t="e">
        <f ca="1"/>
        <v>#NAME?</v>
      </c>
      <c r="D61" s="90" t="e">
        <f ca="1"/>
        <v>#NAME?</v>
      </c>
      <c r="E61" s="123" t="e">
        <f ca="1"/>
        <v>#NAME?</v>
      </c>
      <c r="F61" s="37" t="e">
        <f ca="1"/>
        <v>#NAME?</v>
      </c>
      <c r="G61" s="37" t="e">
        <f ca="1"/>
        <v>#NAME?</v>
      </c>
      <c r="H61" s="90" t="e">
        <f ca="1"/>
        <v>#NAME?</v>
      </c>
      <c r="CG61">
        <f t="shared" si="3"/>
        <v>43</v>
      </c>
      <c r="CH61" s="123" t="e">
        <f ca="1"/>
        <v>#NAME?</v>
      </c>
      <c r="CI61" s="37" t="e">
        <f ca="1"/>
        <v>#NAME?</v>
      </c>
      <c r="CJ61" s="37" t="e">
        <f ca="1"/>
        <v>#NAME?</v>
      </c>
      <c r="CK61" s="90" t="e">
        <f ca="1"/>
        <v>#NAME?</v>
      </c>
      <c r="CY61">
        <f t="shared" si="4"/>
        <v>43</v>
      </c>
      <c r="CZ61" s="123" t="e">
        <f ca="1"/>
        <v>#NAME?</v>
      </c>
      <c r="DA61" s="37" t="e">
        <f ca="1"/>
        <v>#NAME?</v>
      </c>
      <c r="DB61" s="37" t="e">
        <f ca="1"/>
        <v>#NAME?</v>
      </c>
      <c r="DC61" s="90" t="e">
        <f ca="1"/>
        <v>#NAME?</v>
      </c>
      <c r="DQ61">
        <f t="shared" si="6"/>
        <v>36</v>
      </c>
      <c r="DR61" s="123" t="e">
        <f ca="1"/>
        <v>#NAME?</v>
      </c>
      <c r="DS61" s="37" t="e">
        <f ca="1"/>
        <v>#NAME?</v>
      </c>
      <c r="DT61" s="37" t="e">
        <f ca="1"/>
        <v>#NAME?</v>
      </c>
      <c r="DU61" s="90" t="e">
        <f ca="1"/>
        <v>#NAME?</v>
      </c>
      <c r="ED61" s="123" t="e">
        <f ca="1"/>
        <v>#NAME?</v>
      </c>
      <c r="EE61" s="37" t="e">
        <f ca="1"/>
        <v>#NAME?</v>
      </c>
      <c r="EF61" s="37" t="e">
        <f ca="1"/>
        <v>#NAME?</v>
      </c>
      <c r="EG61" s="90" t="e">
        <f ca="1"/>
        <v>#NAME?</v>
      </c>
    </row>
    <row r="62" spans="1:137" x14ac:dyDescent="0.35">
      <c r="A62" s="123" t="e">
        <f ca="1"/>
        <v>#NAME?</v>
      </c>
      <c r="B62" s="37" t="e">
        <f ca="1"/>
        <v>#NAME?</v>
      </c>
      <c r="C62" s="37" t="e">
        <f ca="1"/>
        <v>#NAME?</v>
      </c>
      <c r="D62" s="90" t="e">
        <f ca="1"/>
        <v>#NAME?</v>
      </c>
      <c r="E62" s="123" t="e">
        <f ca="1"/>
        <v>#NAME?</v>
      </c>
      <c r="F62" s="37" t="e">
        <f ca="1"/>
        <v>#NAME?</v>
      </c>
      <c r="G62" s="37" t="e">
        <f ca="1"/>
        <v>#NAME?</v>
      </c>
      <c r="H62" s="90" t="e">
        <f ca="1"/>
        <v>#NAME?</v>
      </c>
      <c r="CG62">
        <f t="shared" si="3"/>
        <v>44</v>
      </c>
      <c r="CH62" s="123" t="e">
        <f ca="1"/>
        <v>#NAME?</v>
      </c>
      <c r="CI62" s="37" t="e">
        <f ca="1"/>
        <v>#NAME?</v>
      </c>
      <c r="CJ62" s="37" t="e">
        <f ca="1"/>
        <v>#NAME?</v>
      </c>
      <c r="CK62" s="90" t="e">
        <f ca="1"/>
        <v>#NAME?</v>
      </c>
      <c r="CY62">
        <f t="shared" si="4"/>
        <v>44</v>
      </c>
      <c r="CZ62" s="123" t="e">
        <f ca="1"/>
        <v>#NAME?</v>
      </c>
      <c r="DA62" s="37" t="e">
        <f ca="1"/>
        <v>#NAME?</v>
      </c>
      <c r="DB62" s="37" t="e">
        <f ca="1"/>
        <v>#NAME?</v>
      </c>
      <c r="DC62" s="90" t="e">
        <f ca="1"/>
        <v>#NAME?</v>
      </c>
      <c r="DQ62">
        <f t="shared" si="6"/>
        <v>37</v>
      </c>
      <c r="DR62" s="123" t="e">
        <f ca="1"/>
        <v>#NAME?</v>
      </c>
      <c r="DS62" s="37" t="e">
        <f ca="1"/>
        <v>#NAME?</v>
      </c>
      <c r="DT62" s="37" t="e">
        <f ca="1"/>
        <v>#NAME?</v>
      </c>
      <c r="DU62" s="90" t="e">
        <f ca="1"/>
        <v>#NAME?</v>
      </c>
      <c r="ED62" s="123" t="e">
        <f ca="1"/>
        <v>#NAME?</v>
      </c>
      <c r="EE62" s="37" t="e">
        <f ca="1"/>
        <v>#NAME?</v>
      </c>
      <c r="EF62" s="37" t="e">
        <f ca="1"/>
        <v>#NAME?</v>
      </c>
      <c r="EG62" s="90" t="e">
        <f ca="1"/>
        <v>#NAME?</v>
      </c>
    </row>
    <row r="63" spans="1:137" x14ac:dyDescent="0.35">
      <c r="A63" s="123" t="e">
        <f ca="1"/>
        <v>#NAME?</v>
      </c>
      <c r="B63" s="37" t="e">
        <f ca="1"/>
        <v>#NAME?</v>
      </c>
      <c r="C63" s="37" t="e">
        <f ca="1"/>
        <v>#NAME?</v>
      </c>
      <c r="D63" s="90" t="e">
        <f ca="1"/>
        <v>#NAME?</v>
      </c>
      <c r="E63" s="123" t="e">
        <f ca="1"/>
        <v>#NAME?</v>
      </c>
      <c r="F63" s="37" t="e">
        <f ca="1"/>
        <v>#NAME?</v>
      </c>
      <c r="G63" s="37" t="e">
        <f ca="1"/>
        <v>#NAME?</v>
      </c>
      <c r="H63" s="90" t="e">
        <f ca="1"/>
        <v>#NAME?</v>
      </c>
      <c r="CG63">
        <f t="shared" si="3"/>
        <v>45</v>
      </c>
      <c r="CH63" s="123" t="e">
        <f ca="1"/>
        <v>#NAME?</v>
      </c>
      <c r="CI63" s="37" t="e">
        <f ca="1"/>
        <v>#NAME?</v>
      </c>
      <c r="CJ63" s="37" t="e">
        <f ca="1"/>
        <v>#NAME?</v>
      </c>
      <c r="CK63" s="90" t="e">
        <f ca="1"/>
        <v>#NAME?</v>
      </c>
      <c r="CY63">
        <f t="shared" si="4"/>
        <v>45</v>
      </c>
      <c r="CZ63" s="123" t="e">
        <f ca="1"/>
        <v>#NAME?</v>
      </c>
      <c r="DA63" s="37" t="e">
        <f ca="1"/>
        <v>#NAME?</v>
      </c>
      <c r="DB63" s="37" t="e">
        <f ca="1"/>
        <v>#NAME?</v>
      </c>
      <c r="DC63" s="90" t="e">
        <f ca="1"/>
        <v>#NAME?</v>
      </c>
      <c r="DQ63">
        <f t="shared" si="6"/>
        <v>38</v>
      </c>
      <c r="DR63" s="123" t="e">
        <f ca="1"/>
        <v>#NAME?</v>
      </c>
      <c r="DS63" s="37" t="e">
        <f ca="1"/>
        <v>#NAME?</v>
      </c>
      <c r="DT63" s="37" t="e">
        <f ca="1"/>
        <v>#NAME?</v>
      </c>
      <c r="DU63" s="90" t="e">
        <f ca="1"/>
        <v>#NAME?</v>
      </c>
      <c r="ED63" s="123" t="e">
        <f ca="1"/>
        <v>#NAME?</v>
      </c>
      <c r="EE63" s="37" t="e">
        <f ca="1"/>
        <v>#NAME?</v>
      </c>
      <c r="EF63" s="37" t="e">
        <f ca="1"/>
        <v>#NAME?</v>
      </c>
      <c r="EG63" s="90" t="e">
        <f ca="1"/>
        <v>#NAME?</v>
      </c>
    </row>
    <row r="64" spans="1:137" x14ac:dyDescent="0.35">
      <c r="A64" s="123" t="e">
        <f ca="1"/>
        <v>#NAME?</v>
      </c>
      <c r="B64" s="37" t="e">
        <f ca="1"/>
        <v>#NAME?</v>
      </c>
      <c r="C64" s="37" t="e">
        <f ca="1"/>
        <v>#NAME?</v>
      </c>
      <c r="D64" s="90" t="e">
        <f ca="1"/>
        <v>#NAME?</v>
      </c>
      <c r="E64" s="123" t="e">
        <f ca="1"/>
        <v>#NAME?</v>
      </c>
      <c r="F64" s="37" t="e">
        <f ca="1"/>
        <v>#NAME?</v>
      </c>
      <c r="G64" s="37" t="e">
        <f ca="1"/>
        <v>#NAME?</v>
      </c>
      <c r="H64" s="90" t="e">
        <f ca="1"/>
        <v>#NAME?</v>
      </c>
      <c r="CG64">
        <f t="shared" si="3"/>
        <v>46</v>
      </c>
      <c r="CH64" s="123" t="e">
        <f ca="1"/>
        <v>#NAME?</v>
      </c>
      <c r="CI64" s="37" t="e">
        <f ca="1"/>
        <v>#NAME?</v>
      </c>
      <c r="CJ64" s="37" t="e">
        <f ca="1"/>
        <v>#NAME?</v>
      </c>
      <c r="CK64" s="90" t="e">
        <f ca="1"/>
        <v>#NAME?</v>
      </c>
      <c r="CY64">
        <f t="shared" si="4"/>
        <v>46</v>
      </c>
      <c r="CZ64" s="123" t="e">
        <f ca="1"/>
        <v>#NAME?</v>
      </c>
      <c r="DA64" s="37" t="e">
        <f ca="1"/>
        <v>#NAME?</v>
      </c>
      <c r="DB64" s="37" t="e">
        <f ca="1"/>
        <v>#NAME?</v>
      </c>
      <c r="DC64" s="90" t="e">
        <f ca="1"/>
        <v>#NAME?</v>
      </c>
      <c r="DQ64">
        <f t="shared" si="6"/>
        <v>39</v>
      </c>
      <c r="DR64" s="123" t="e">
        <f ca="1"/>
        <v>#NAME?</v>
      </c>
      <c r="DS64" s="37" t="e">
        <f ca="1"/>
        <v>#NAME?</v>
      </c>
      <c r="DT64" s="37" t="e">
        <f ca="1"/>
        <v>#NAME?</v>
      </c>
      <c r="DU64" s="90" t="e">
        <f ca="1"/>
        <v>#NAME?</v>
      </c>
      <c r="ED64" s="123" t="e">
        <f ca="1"/>
        <v>#NAME?</v>
      </c>
      <c r="EE64" s="37" t="e">
        <f ca="1"/>
        <v>#NAME?</v>
      </c>
      <c r="EF64" s="37" t="e">
        <f ca="1"/>
        <v>#NAME?</v>
      </c>
      <c r="EG64" s="90" t="e">
        <f ca="1"/>
        <v>#NAME?</v>
      </c>
    </row>
    <row r="65" spans="1:137" x14ac:dyDescent="0.35">
      <c r="A65" s="91" t="e">
        <f ca="1"/>
        <v>#NAME?</v>
      </c>
      <c r="B65" s="92" t="e">
        <f ca="1"/>
        <v>#NAME?</v>
      </c>
      <c r="C65" s="92" t="e">
        <f ca="1"/>
        <v>#NAME?</v>
      </c>
      <c r="D65" s="93" t="e">
        <f ca="1"/>
        <v>#NAME?</v>
      </c>
      <c r="E65" s="91" t="e">
        <f ca="1"/>
        <v>#NAME?</v>
      </c>
      <c r="F65" s="92" t="e">
        <f ca="1"/>
        <v>#NAME?</v>
      </c>
      <c r="G65" s="92" t="e">
        <f ca="1"/>
        <v>#NAME?</v>
      </c>
      <c r="H65" s="93" t="e">
        <f ca="1"/>
        <v>#NAME?</v>
      </c>
      <c r="CG65">
        <f t="shared" si="3"/>
        <v>47</v>
      </c>
      <c r="CH65" s="123" t="e">
        <f ca="1"/>
        <v>#NAME?</v>
      </c>
      <c r="CI65" s="37" t="e">
        <f ca="1"/>
        <v>#NAME?</v>
      </c>
      <c r="CJ65" s="37" t="e">
        <f ca="1"/>
        <v>#NAME?</v>
      </c>
      <c r="CK65" s="90" t="e">
        <f ca="1"/>
        <v>#NAME?</v>
      </c>
      <c r="CY65">
        <f t="shared" si="4"/>
        <v>47</v>
      </c>
      <c r="CZ65" s="123" t="e">
        <f ca="1"/>
        <v>#NAME?</v>
      </c>
      <c r="DA65" s="37" t="e">
        <f ca="1"/>
        <v>#NAME?</v>
      </c>
      <c r="DB65" s="37" t="e">
        <f ca="1"/>
        <v>#NAME?</v>
      </c>
      <c r="DC65" s="90" t="e">
        <f ca="1"/>
        <v>#NAME?</v>
      </c>
      <c r="DQ65">
        <f t="shared" si="6"/>
        <v>40</v>
      </c>
      <c r="DR65" s="123" t="e">
        <f ca="1"/>
        <v>#NAME?</v>
      </c>
      <c r="DS65" s="37" t="e">
        <f ca="1"/>
        <v>#NAME?</v>
      </c>
      <c r="DT65" s="37" t="e">
        <f ca="1"/>
        <v>#NAME?</v>
      </c>
      <c r="DU65" s="90" t="e">
        <f ca="1"/>
        <v>#NAME?</v>
      </c>
      <c r="ED65" s="123" t="e">
        <f ca="1"/>
        <v>#NAME?</v>
      </c>
      <c r="EE65" s="37" t="e">
        <f ca="1"/>
        <v>#NAME?</v>
      </c>
      <c r="EF65" s="37" t="e">
        <f ca="1"/>
        <v>#NAME?</v>
      </c>
      <c r="EG65" s="90" t="e">
        <f ca="1"/>
        <v>#NAME?</v>
      </c>
    </row>
    <row r="66" spans="1:137" x14ac:dyDescent="0.35">
      <c r="J66" t="s">
        <v>530</v>
      </c>
      <c r="O66" t="s">
        <v>531</v>
      </c>
      <c r="CG66">
        <f t="shared" si="3"/>
        <v>48</v>
      </c>
      <c r="CH66" s="123" t="e">
        <f ca="1"/>
        <v>#NAME?</v>
      </c>
      <c r="CI66" s="37" t="e">
        <f ca="1"/>
        <v>#NAME?</v>
      </c>
      <c r="CJ66" s="37" t="e">
        <f ca="1"/>
        <v>#NAME?</v>
      </c>
      <c r="CK66" s="90" t="e">
        <f ca="1"/>
        <v>#NAME?</v>
      </c>
      <c r="CY66">
        <f t="shared" si="4"/>
        <v>48</v>
      </c>
      <c r="CZ66" s="123" t="e">
        <f ca="1"/>
        <v>#NAME?</v>
      </c>
      <c r="DA66" s="37" t="e">
        <f ca="1"/>
        <v>#NAME?</v>
      </c>
      <c r="DB66" s="37" t="e">
        <f ca="1"/>
        <v>#NAME?</v>
      </c>
      <c r="DC66" s="90" t="e">
        <f ca="1"/>
        <v>#NAME?</v>
      </c>
      <c r="DQ66">
        <f t="shared" si="6"/>
        <v>41</v>
      </c>
      <c r="DR66" s="123" t="e">
        <f ca="1"/>
        <v>#NAME?</v>
      </c>
      <c r="DS66" s="37" t="e">
        <f ca="1"/>
        <v>#NAME?</v>
      </c>
      <c r="DT66" s="37" t="e">
        <f ca="1"/>
        <v>#NAME?</v>
      </c>
      <c r="DU66" s="90" t="e">
        <f ca="1"/>
        <v>#NAME?</v>
      </c>
      <c r="ED66" s="123" t="e">
        <f ca="1"/>
        <v>#NAME?</v>
      </c>
      <c r="EE66" s="37" t="e">
        <f ca="1"/>
        <v>#NAME?</v>
      </c>
      <c r="EF66" s="37" t="e">
        <f ca="1"/>
        <v>#NAME?</v>
      </c>
      <c r="EG66" s="90" t="e">
        <f ca="1"/>
        <v>#NAME?</v>
      </c>
    </row>
    <row r="67" spans="1:137" x14ac:dyDescent="0.35">
      <c r="A67" s="156" t="e">
        <f t="array" aca="1" ref="A67:H75" ca="1">ELIM(A57:H65)</f>
        <v>#NAME?</v>
      </c>
      <c r="B67" s="157" t="e">
        <f ca="1"/>
        <v>#NAME?</v>
      </c>
      <c r="C67" s="157" t="e">
        <f ca="1"/>
        <v>#NAME?</v>
      </c>
      <c r="D67" s="158" t="e">
        <f ca="1"/>
        <v>#NAME?</v>
      </c>
      <c r="E67" s="156" t="e">
        <f ca="1"/>
        <v>#NAME?</v>
      </c>
      <c r="F67" s="157" t="e">
        <f ca="1"/>
        <v>#NAME?</v>
      </c>
      <c r="G67" s="157" t="e">
        <f ca="1"/>
        <v>#NAME?</v>
      </c>
      <c r="H67" s="158" t="e">
        <f ca="1"/>
        <v>#NAME?</v>
      </c>
      <c r="J67" s="201" t="e">
        <f t="array" aca="1" ref="J67:M70" ca="1">MMULT(TRANSPOSE(E67:H70),E67:H70)</f>
        <v>#NAME?</v>
      </c>
      <c r="K67" s="202" t="e">
        <f ca="1"/>
        <v>#NAME?</v>
      </c>
      <c r="L67" s="202" t="e">
        <f ca="1"/>
        <v>#NAME?</v>
      </c>
      <c r="M67" s="203" t="e">
        <f ca="1"/>
        <v>#NAME?</v>
      </c>
      <c r="O67" s="210" t="e">
        <f ca="1">MDETERM(E67:H70)</f>
        <v>#NAME?</v>
      </c>
      <c r="CG67">
        <f t="shared" si="3"/>
        <v>49</v>
      </c>
      <c r="CH67" s="123" t="e">
        <f ca="1"/>
        <v>#NAME?</v>
      </c>
      <c r="CI67" s="37" t="e">
        <f ca="1"/>
        <v>#NAME?</v>
      </c>
      <c r="CJ67" s="37" t="e">
        <f ca="1"/>
        <v>#NAME?</v>
      </c>
      <c r="CK67" s="90" t="e">
        <f ca="1"/>
        <v>#NAME?</v>
      </c>
      <c r="CY67">
        <f t="shared" si="4"/>
        <v>49</v>
      </c>
      <c r="CZ67" s="123" t="e">
        <f ca="1"/>
        <v>#NAME?</v>
      </c>
      <c r="DA67" s="37" t="e">
        <f ca="1"/>
        <v>#NAME?</v>
      </c>
      <c r="DB67" s="37" t="e">
        <f ca="1"/>
        <v>#NAME?</v>
      </c>
      <c r="DC67" s="90" t="e">
        <f ca="1"/>
        <v>#NAME?</v>
      </c>
      <c r="DQ67">
        <f t="shared" si="6"/>
        <v>42</v>
      </c>
      <c r="DR67" s="123" t="e">
        <f ca="1"/>
        <v>#NAME?</v>
      </c>
      <c r="DS67" s="37" t="e">
        <f ca="1"/>
        <v>#NAME?</v>
      </c>
      <c r="DT67" s="37" t="e">
        <f ca="1"/>
        <v>#NAME?</v>
      </c>
      <c r="DU67" s="90" t="e">
        <f ca="1"/>
        <v>#NAME?</v>
      </c>
      <c r="ED67" s="123" t="e">
        <f ca="1"/>
        <v>#NAME?</v>
      </c>
      <c r="EE67" s="37" t="e">
        <f ca="1"/>
        <v>#NAME?</v>
      </c>
      <c r="EF67" s="37" t="e">
        <f ca="1"/>
        <v>#NAME?</v>
      </c>
      <c r="EG67" s="90" t="e">
        <f ca="1"/>
        <v>#NAME?</v>
      </c>
    </row>
    <row r="68" spans="1:137" x14ac:dyDescent="0.35">
      <c r="A68" s="123" t="e">
        <f ca="1"/>
        <v>#NAME?</v>
      </c>
      <c r="B68" s="37" t="e">
        <f ca="1"/>
        <v>#NAME?</v>
      </c>
      <c r="C68" s="37" t="e">
        <f ca="1"/>
        <v>#NAME?</v>
      </c>
      <c r="D68" s="90" t="e">
        <f ca="1"/>
        <v>#NAME?</v>
      </c>
      <c r="E68" s="123" t="e">
        <f ca="1"/>
        <v>#NAME?</v>
      </c>
      <c r="F68" s="37" t="e">
        <f ca="1"/>
        <v>#NAME?</v>
      </c>
      <c r="G68" s="37" t="e">
        <f ca="1"/>
        <v>#NAME?</v>
      </c>
      <c r="H68" s="90" t="e">
        <f ca="1"/>
        <v>#NAME?</v>
      </c>
      <c r="J68" s="123" t="e">
        <f ca="1"/>
        <v>#NAME?</v>
      </c>
      <c r="K68" s="37" t="e">
        <f ca="1"/>
        <v>#NAME?</v>
      </c>
      <c r="L68" s="37" t="e">
        <f ca="1"/>
        <v>#NAME?</v>
      </c>
      <c r="M68" s="90" t="e">
        <f ca="1"/>
        <v>#NAME?</v>
      </c>
      <c r="CG68">
        <f t="shared" si="3"/>
        <v>50</v>
      </c>
      <c r="CH68" s="123" t="e">
        <f ca="1"/>
        <v>#NAME?</v>
      </c>
      <c r="CI68" s="37" t="e">
        <f ca="1"/>
        <v>#NAME?</v>
      </c>
      <c r="CJ68" s="37" t="e">
        <f ca="1"/>
        <v>#NAME?</v>
      </c>
      <c r="CK68" s="90" t="e">
        <f ca="1"/>
        <v>#NAME?</v>
      </c>
      <c r="CY68">
        <f t="shared" si="4"/>
        <v>50</v>
      </c>
      <c r="CZ68" s="123" t="e">
        <f ca="1"/>
        <v>#NAME?</v>
      </c>
      <c r="DA68" s="37" t="e">
        <f ca="1"/>
        <v>#NAME?</v>
      </c>
      <c r="DB68" s="37" t="e">
        <f ca="1"/>
        <v>#NAME?</v>
      </c>
      <c r="DC68" s="90" t="e">
        <f ca="1"/>
        <v>#NAME?</v>
      </c>
      <c r="DQ68">
        <f t="shared" si="6"/>
        <v>43</v>
      </c>
      <c r="DR68" s="123" t="e">
        <f ca="1"/>
        <v>#NAME?</v>
      </c>
      <c r="DS68" s="37" t="e">
        <f ca="1"/>
        <v>#NAME?</v>
      </c>
      <c r="DT68" s="37" t="e">
        <f ca="1"/>
        <v>#NAME?</v>
      </c>
      <c r="DU68" s="90" t="e">
        <f ca="1"/>
        <v>#NAME?</v>
      </c>
      <c r="ED68" s="123" t="e">
        <f ca="1"/>
        <v>#NAME?</v>
      </c>
      <c r="EE68" s="37" t="e">
        <f ca="1"/>
        <v>#NAME?</v>
      </c>
      <c r="EF68" s="37" t="e">
        <f ca="1"/>
        <v>#NAME?</v>
      </c>
      <c r="EG68" s="90" t="e">
        <f ca="1"/>
        <v>#NAME?</v>
      </c>
    </row>
    <row r="69" spans="1:137" x14ac:dyDescent="0.35">
      <c r="A69" s="123" t="e">
        <f ca="1"/>
        <v>#NAME?</v>
      </c>
      <c r="B69" s="37" t="e">
        <f ca="1"/>
        <v>#NAME?</v>
      </c>
      <c r="C69" s="37" t="e">
        <f ca="1"/>
        <v>#NAME?</v>
      </c>
      <c r="D69" s="90" t="e">
        <f ca="1"/>
        <v>#NAME?</v>
      </c>
      <c r="E69" s="123" t="e">
        <f ca="1"/>
        <v>#NAME?</v>
      </c>
      <c r="F69" s="37" t="e">
        <f ca="1"/>
        <v>#NAME?</v>
      </c>
      <c r="G69" s="37" t="e">
        <f ca="1"/>
        <v>#NAME?</v>
      </c>
      <c r="H69" s="90" t="e">
        <f ca="1"/>
        <v>#NAME?</v>
      </c>
      <c r="J69" s="123" t="e">
        <f ca="1"/>
        <v>#NAME?</v>
      </c>
      <c r="K69" s="37" t="e">
        <f ca="1"/>
        <v>#NAME?</v>
      </c>
      <c r="L69" s="37" t="e">
        <f ca="1"/>
        <v>#NAME?</v>
      </c>
      <c r="M69" s="90" t="e">
        <f ca="1"/>
        <v>#NAME?</v>
      </c>
      <c r="CG69">
        <f t="shared" si="3"/>
        <v>51</v>
      </c>
      <c r="CH69" s="123" t="e">
        <f ca="1"/>
        <v>#NAME?</v>
      </c>
      <c r="CI69" s="37" t="e">
        <f ca="1"/>
        <v>#NAME?</v>
      </c>
      <c r="CJ69" s="37" t="e">
        <f ca="1"/>
        <v>#NAME?</v>
      </c>
      <c r="CK69" s="90" t="e">
        <f ca="1"/>
        <v>#NAME?</v>
      </c>
      <c r="CY69">
        <f t="shared" si="4"/>
        <v>51</v>
      </c>
      <c r="CZ69" s="123" t="e">
        <f ca="1"/>
        <v>#NAME?</v>
      </c>
      <c r="DA69" s="37" t="e">
        <f ca="1"/>
        <v>#NAME?</v>
      </c>
      <c r="DB69" s="37" t="e">
        <f ca="1"/>
        <v>#NAME?</v>
      </c>
      <c r="DC69" s="90" t="e">
        <f ca="1"/>
        <v>#NAME?</v>
      </c>
      <c r="DQ69">
        <f t="shared" si="6"/>
        <v>44</v>
      </c>
      <c r="DR69" s="123" t="e">
        <f ca="1"/>
        <v>#NAME?</v>
      </c>
      <c r="DS69" s="37" t="e">
        <f ca="1"/>
        <v>#NAME?</v>
      </c>
      <c r="DT69" s="37" t="e">
        <f ca="1"/>
        <v>#NAME?</v>
      </c>
      <c r="DU69" s="90" t="e">
        <f ca="1"/>
        <v>#NAME?</v>
      </c>
      <c r="ED69" s="123" t="e">
        <f ca="1"/>
        <v>#NAME?</v>
      </c>
      <c r="EE69" s="37" t="e">
        <f ca="1"/>
        <v>#NAME?</v>
      </c>
      <c r="EF69" s="37" t="e">
        <f ca="1"/>
        <v>#NAME?</v>
      </c>
      <c r="EG69" s="90" t="e">
        <f ca="1"/>
        <v>#NAME?</v>
      </c>
    </row>
    <row r="70" spans="1:137" x14ac:dyDescent="0.35">
      <c r="A70" s="123" t="e">
        <f ca="1"/>
        <v>#NAME?</v>
      </c>
      <c r="B70" s="37" t="e">
        <f ca="1"/>
        <v>#NAME?</v>
      </c>
      <c r="C70" s="37" t="e">
        <f ca="1"/>
        <v>#NAME?</v>
      </c>
      <c r="D70" s="90" t="e">
        <f ca="1"/>
        <v>#NAME?</v>
      </c>
      <c r="E70" s="91" t="e">
        <f ca="1"/>
        <v>#NAME?</v>
      </c>
      <c r="F70" s="92" t="e">
        <f ca="1"/>
        <v>#NAME?</v>
      </c>
      <c r="G70" s="92" t="e">
        <f ca="1"/>
        <v>#NAME?</v>
      </c>
      <c r="H70" s="93" t="e">
        <f ca="1"/>
        <v>#NAME?</v>
      </c>
      <c r="J70" s="91" t="e">
        <f ca="1"/>
        <v>#NAME?</v>
      </c>
      <c r="K70" s="92" t="e">
        <f ca="1"/>
        <v>#NAME?</v>
      </c>
      <c r="L70" s="92" t="e">
        <f ca="1"/>
        <v>#NAME?</v>
      </c>
      <c r="M70" s="93" t="e">
        <f ca="1"/>
        <v>#NAME?</v>
      </c>
      <c r="CG70">
        <f t="shared" si="3"/>
        <v>52</v>
      </c>
      <c r="CH70" s="123" t="e">
        <f ca="1"/>
        <v>#NAME?</v>
      </c>
      <c r="CI70" s="37" t="e">
        <f ca="1"/>
        <v>#NAME?</v>
      </c>
      <c r="CJ70" s="37" t="e">
        <f ca="1"/>
        <v>#NAME?</v>
      </c>
      <c r="CK70" s="90" t="e">
        <f ca="1"/>
        <v>#NAME?</v>
      </c>
      <c r="CY70">
        <f t="shared" si="4"/>
        <v>52</v>
      </c>
      <c r="CZ70" s="123" t="e">
        <f ca="1"/>
        <v>#NAME?</v>
      </c>
      <c r="DA70" s="37" t="e">
        <f ca="1"/>
        <v>#NAME?</v>
      </c>
      <c r="DB70" s="37" t="e">
        <f ca="1"/>
        <v>#NAME?</v>
      </c>
      <c r="DC70" s="90" t="e">
        <f ca="1"/>
        <v>#NAME?</v>
      </c>
      <c r="DQ70">
        <f t="shared" si="6"/>
        <v>45</v>
      </c>
      <c r="DR70" s="123" t="e">
        <f ca="1"/>
        <v>#NAME?</v>
      </c>
      <c r="DS70" s="37" t="e">
        <f ca="1"/>
        <v>#NAME?</v>
      </c>
      <c r="DT70" s="37" t="e">
        <f ca="1"/>
        <v>#NAME?</v>
      </c>
      <c r="DU70" s="90" t="e">
        <f ca="1"/>
        <v>#NAME?</v>
      </c>
      <c r="ED70" s="123" t="e">
        <f ca="1"/>
        <v>#NAME?</v>
      </c>
      <c r="EE70" s="37" t="e">
        <f ca="1"/>
        <v>#NAME?</v>
      </c>
      <c r="EF70" s="37" t="e">
        <f ca="1"/>
        <v>#NAME?</v>
      </c>
      <c r="EG70" s="90" t="e">
        <f ca="1"/>
        <v>#NAME?</v>
      </c>
    </row>
    <row r="71" spans="1:137" x14ac:dyDescent="0.35">
      <c r="A71" s="123" t="e">
        <f ca="1"/>
        <v>#NAME?</v>
      </c>
      <c r="B71" s="37" t="e">
        <f ca="1"/>
        <v>#NAME?</v>
      </c>
      <c r="C71" s="37" t="e">
        <f ca="1"/>
        <v>#NAME?</v>
      </c>
      <c r="D71" s="90" t="e">
        <f ca="1"/>
        <v>#NAME?</v>
      </c>
      <c r="E71" s="123" t="e">
        <f ca="1"/>
        <v>#NAME?</v>
      </c>
      <c r="F71" s="37" t="e">
        <f ca="1"/>
        <v>#NAME?</v>
      </c>
      <c r="G71" s="37" t="e">
        <f ca="1"/>
        <v>#NAME?</v>
      </c>
      <c r="H71" s="90" t="e">
        <f ca="1"/>
        <v>#NAME?</v>
      </c>
      <c r="CG71">
        <f t="shared" si="3"/>
        <v>53</v>
      </c>
      <c r="CH71" s="123" t="e">
        <f ca="1"/>
        <v>#NAME?</v>
      </c>
      <c r="CI71" s="37" t="e">
        <f ca="1"/>
        <v>#NAME?</v>
      </c>
      <c r="CJ71" s="37" t="e">
        <f ca="1"/>
        <v>#NAME?</v>
      </c>
      <c r="CK71" s="90" t="e">
        <f ca="1"/>
        <v>#NAME?</v>
      </c>
      <c r="CY71">
        <f t="shared" si="4"/>
        <v>53</v>
      </c>
      <c r="CZ71" s="123" t="e">
        <f ca="1"/>
        <v>#NAME?</v>
      </c>
      <c r="DA71" s="37" t="e">
        <f ca="1"/>
        <v>#NAME?</v>
      </c>
      <c r="DB71" s="37" t="e">
        <f ca="1"/>
        <v>#NAME?</v>
      </c>
      <c r="DC71" s="90" t="e">
        <f ca="1"/>
        <v>#NAME?</v>
      </c>
      <c r="DQ71">
        <f t="shared" si="6"/>
        <v>46</v>
      </c>
      <c r="DR71" s="123" t="e">
        <f ca="1"/>
        <v>#NAME?</v>
      </c>
      <c r="DS71" s="37" t="e">
        <f ca="1"/>
        <v>#NAME?</v>
      </c>
      <c r="DT71" s="37" t="e">
        <f ca="1"/>
        <v>#NAME?</v>
      </c>
      <c r="DU71" s="90" t="e">
        <f ca="1"/>
        <v>#NAME?</v>
      </c>
      <c r="ED71" s="123" t="e">
        <f ca="1"/>
        <v>#NAME?</v>
      </c>
      <c r="EE71" s="37" t="e">
        <f ca="1"/>
        <v>#NAME?</v>
      </c>
      <c r="EF71" s="37" t="e">
        <f ca="1"/>
        <v>#NAME?</v>
      </c>
      <c r="EG71" s="90" t="e">
        <f ca="1"/>
        <v>#NAME?</v>
      </c>
    </row>
    <row r="72" spans="1:137" x14ac:dyDescent="0.35">
      <c r="A72" s="123" t="e">
        <f ca="1"/>
        <v>#NAME?</v>
      </c>
      <c r="B72" s="37" t="e">
        <f ca="1"/>
        <v>#NAME?</v>
      </c>
      <c r="C72" s="37" t="e">
        <f ca="1"/>
        <v>#NAME?</v>
      </c>
      <c r="D72" s="90" t="e">
        <f ca="1"/>
        <v>#NAME?</v>
      </c>
      <c r="E72" s="123" t="e">
        <f ca="1"/>
        <v>#NAME?</v>
      </c>
      <c r="F72" s="37" t="e">
        <f ca="1"/>
        <v>#NAME?</v>
      </c>
      <c r="G72" s="37" t="e">
        <f ca="1"/>
        <v>#NAME?</v>
      </c>
      <c r="H72" s="90" t="e">
        <f ca="1"/>
        <v>#NAME?</v>
      </c>
      <c r="CG72">
        <f t="shared" si="3"/>
        <v>54</v>
      </c>
      <c r="CH72" s="123" t="e">
        <f ca="1"/>
        <v>#NAME?</v>
      </c>
      <c r="CI72" s="37" t="e">
        <f ca="1"/>
        <v>#NAME?</v>
      </c>
      <c r="CJ72" s="37" t="e">
        <f ca="1"/>
        <v>#NAME?</v>
      </c>
      <c r="CK72" s="90" t="e">
        <f ca="1"/>
        <v>#NAME?</v>
      </c>
      <c r="CY72">
        <f t="shared" si="4"/>
        <v>54</v>
      </c>
      <c r="CZ72" s="123" t="e">
        <f ca="1"/>
        <v>#NAME?</v>
      </c>
      <c r="DA72" s="37" t="e">
        <f ca="1"/>
        <v>#NAME?</v>
      </c>
      <c r="DB72" s="37" t="e">
        <f ca="1"/>
        <v>#NAME?</v>
      </c>
      <c r="DC72" s="90" t="e">
        <f ca="1"/>
        <v>#NAME?</v>
      </c>
      <c r="DQ72">
        <f t="shared" si="6"/>
        <v>47</v>
      </c>
      <c r="DR72" s="123" t="e">
        <f ca="1"/>
        <v>#NAME?</v>
      </c>
      <c r="DS72" s="37" t="e">
        <f ca="1"/>
        <v>#NAME?</v>
      </c>
      <c r="DT72" s="37" t="e">
        <f ca="1"/>
        <v>#NAME?</v>
      </c>
      <c r="DU72" s="90" t="e">
        <f ca="1"/>
        <v>#NAME?</v>
      </c>
      <c r="ED72" s="123" t="e">
        <f ca="1"/>
        <v>#NAME?</v>
      </c>
      <c r="EE72" s="37" t="e">
        <f ca="1"/>
        <v>#NAME?</v>
      </c>
      <c r="EF72" s="37" t="e">
        <f ca="1"/>
        <v>#NAME?</v>
      </c>
      <c r="EG72" s="90" t="e">
        <f ca="1"/>
        <v>#NAME?</v>
      </c>
    </row>
    <row r="73" spans="1:137" x14ac:dyDescent="0.35">
      <c r="A73" s="123" t="e">
        <f ca="1"/>
        <v>#NAME?</v>
      </c>
      <c r="B73" s="37" t="e">
        <f ca="1"/>
        <v>#NAME?</v>
      </c>
      <c r="C73" s="37" t="e">
        <f ca="1"/>
        <v>#NAME?</v>
      </c>
      <c r="D73" s="90" t="e">
        <f ca="1"/>
        <v>#NAME?</v>
      </c>
      <c r="E73" s="123" t="e">
        <f ca="1"/>
        <v>#NAME?</v>
      </c>
      <c r="F73" s="37" t="e">
        <f ca="1"/>
        <v>#NAME?</v>
      </c>
      <c r="G73" s="37" t="e">
        <f ca="1"/>
        <v>#NAME?</v>
      </c>
      <c r="H73" s="90" t="e">
        <f ca="1"/>
        <v>#NAME?</v>
      </c>
      <c r="CG73">
        <f t="shared" si="3"/>
        <v>55</v>
      </c>
      <c r="CH73" s="123" t="e">
        <f ca="1"/>
        <v>#NAME?</v>
      </c>
      <c r="CI73" s="37" t="e">
        <f ca="1"/>
        <v>#NAME?</v>
      </c>
      <c r="CJ73" s="37" t="e">
        <f ca="1"/>
        <v>#NAME?</v>
      </c>
      <c r="CK73" s="90" t="e">
        <f ca="1"/>
        <v>#NAME?</v>
      </c>
      <c r="CY73">
        <f t="shared" si="4"/>
        <v>55</v>
      </c>
      <c r="CZ73" s="123" t="e">
        <f ca="1"/>
        <v>#NAME?</v>
      </c>
      <c r="DA73" s="37" t="e">
        <f ca="1"/>
        <v>#NAME?</v>
      </c>
      <c r="DB73" s="37" t="e">
        <f ca="1"/>
        <v>#NAME?</v>
      </c>
      <c r="DC73" s="90" t="e">
        <f ca="1"/>
        <v>#NAME?</v>
      </c>
      <c r="DQ73">
        <f t="shared" si="6"/>
        <v>48</v>
      </c>
      <c r="DR73" s="123" t="e">
        <f ca="1"/>
        <v>#NAME?</v>
      </c>
      <c r="DS73" s="37" t="e">
        <f ca="1"/>
        <v>#NAME?</v>
      </c>
      <c r="DT73" s="37" t="e">
        <f ca="1"/>
        <v>#NAME?</v>
      </c>
      <c r="DU73" s="90" t="e">
        <f ca="1"/>
        <v>#NAME?</v>
      </c>
      <c r="ED73" s="123" t="e">
        <f ca="1"/>
        <v>#NAME?</v>
      </c>
      <c r="EE73" s="37" t="e">
        <f ca="1"/>
        <v>#NAME?</v>
      </c>
      <c r="EF73" s="37" t="e">
        <f ca="1"/>
        <v>#NAME?</v>
      </c>
      <c r="EG73" s="90" t="e">
        <f ca="1"/>
        <v>#NAME?</v>
      </c>
    </row>
    <row r="74" spans="1:137" x14ac:dyDescent="0.35">
      <c r="A74" s="123" t="e">
        <f ca="1"/>
        <v>#NAME?</v>
      </c>
      <c r="B74" s="37" t="e">
        <f ca="1"/>
        <v>#NAME?</v>
      </c>
      <c r="C74" s="37" t="e">
        <f ca="1"/>
        <v>#NAME?</v>
      </c>
      <c r="D74" s="90" t="e">
        <f ca="1"/>
        <v>#NAME?</v>
      </c>
      <c r="E74" s="123" t="e">
        <f ca="1"/>
        <v>#NAME?</v>
      </c>
      <c r="F74" s="37" t="e">
        <f ca="1"/>
        <v>#NAME?</v>
      </c>
      <c r="G74" s="37" t="e">
        <f ca="1"/>
        <v>#NAME?</v>
      </c>
      <c r="H74" s="90" t="e">
        <f ca="1"/>
        <v>#NAME?</v>
      </c>
      <c r="CG74">
        <f t="shared" si="3"/>
        <v>56</v>
      </c>
      <c r="CH74" s="123" t="e">
        <f ca="1"/>
        <v>#NAME?</v>
      </c>
      <c r="CI74" s="37" t="e">
        <f ca="1"/>
        <v>#NAME?</v>
      </c>
      <c r="CJ74" s="37" t="e">
        <f ca="1"/>
        <v>#NAME?</v>
      </c>
      <c r="CK74" s="90" t="e">
        <f ca="1"/>
        <v>#NAME?</v>
      </c>
      <c r="CY74">
        <f t="shared" si="4"/>
        <v>56</v>
      </c>
      <c r="CZ74" s="123" t="e">
        <f ca="1"/>
        <v>#NAME?</v>
      </c>
      <c r="DA74" s="37" t="e">
        <f ca="1"/>
        <v>#NAME?</v>
      </c>
      <c r="DB74" s="37" t="e">
        <f ca="1"/>
        <v>#NAME?</v>
      </c>
      <c r="DC74" s="90" t="e">
        <f ca="1"/>
        <v>#NAME?</v>
      </c>
      <c r="DQ74">
        <f t="shared" si="6"/>
        <v>49</v>
      </c>
      <c r="DR74" s="123" t="e">
        <f ca="1"/>
        <v>#NAME?</v>
      </c>
      <c r="DS74" s="37" t="e">
        <f ca="1"/>
        <v>#NAME?</v>
      </c>
      <c r="DT74" s="37" t="e">
        <f ca="1"/>
        <v>#NAME?</v>
      </c>
      <c r="DU74" s="90" t="e">
        <f ca="1"/>
        <v>#NAME?</v>
      </c>
      <c r="ED74" s="123" t="e">
        <f ca="1"/>
        <v>#NAME?</v>
      </c>
      <c r="EE74" s="37" t="e">
        <f ca="1"/>
        <v>#NAME?</v>
      </c>
      <c r="EF74" s="37" t="e">
        <f ca="1"/>
        <v>#NAME?</v>
      </c>
      <c r="EG74" s="90" t="e">
        <f ca="1"/>
        <v>#NAME?</v>
      </c>
    </row>
    <row r="75" spans="1:137" x14ac:dyDescent="0.35">
      <c r="A75" s="91" t="e">
        <f ca="1"/>
        <v>#NAME?</v>
      </c>
      <c r="B75" s="92" t="e">
        <f ca="1"/>
        <v>#NAME?</v>
      </c>
      <c r="C75" s="92" t="e">
        <f ca="1"/>
        <v>#NAME?</v>
      </c>
      <c r="D75" s="93" t="e">
        <f ca="1"/>
        <v>#NAME?</v>
      </c>
      <c r="E75" s="91" t="e">
        <f ca="1"/>
        <v>#NAME?</v>
      </c>
      <c r="F75" s="92" t="e">
        <f ca="1"/>
        <v>#NAME?</v>
      </c>
      <c r="G75" s="92" t="e">
        <f ca="1"/>
        <v>#NAME?</v>
      </c>
      <c r="H75" s="93" t="e">
        <f ca="1"/>
        <v>#NAME?</v>
      </c>
      <c r="CG75">
        <f t="shared" si="3"/>
        <v>57</v>
      </c>
      <c r="CH75" s="123" t="e">
        <f ca="1"/>
        <v>#NAME?</v>
      </c>
      <c r="CI75" s="37" t="e">
        <f ca="1"/>
        <v>#NAME?</v>
      </c>
      <c r="CJ75" s="37" t="e">
        <f ca="1"/>
        <v>#NAME?</v>
      </c>
      <c r="CK75" s="90" t="e">
        <f ca="1"/>
        <v>#NAME?</v>
      </c>
      <c r="CY75">
        <f t="shared" si="4"/>
        <v>57</v>
      </c>
      <c r="CZ75" s="123" t="e">
        <f ca="1"/>
        <v>#NAME?</v>
      </c>
      <c r="DA75" s="37" t="e">
        <f ca="1"/>
        <v>#NAME?</v>
      </c>
      <c r="DB75" s="37" t="e">
        <f ca="1"/>
        <v>#NAME?</v>
      </c>
      <c r="DC75" s="90" t="e">
        <f ca="1"/>
        <v>#NAME?</v>
      </c>
      <c r="DQ75">
        <f t="shared" si="6"/>
        <v>50</v>
      </c>
      <c r="DR75" s="123" t="e">
        <f ca="1"/>
        <v>#NAME?</v>
      </c>
      <c r="DS75" s="37" t="e">
        <f ca="1"/>
        <v>#NAME?</v>
      </c>
      <c r="DT75" s="37" t="e">
        <f ca="1"/>
        <v>#NAME?</v>
      </c>
      <c r="DU75" s="90" t="e">
        <f ca="1"/>
        <v>#NAME?</v>
      </c>
      <c r="ED75" s="123" t="e">
        <f ca="1"/>
        <v>#NAME?</v>
      </c>
      <c r="EE75" s="37" t="e">
        <f ca="1"/>
        <v>#NAME?</v>
      </c>
      <c r="EF75" s="37" t="e">
        <f ca="1"/>
        <v>#NAME?</v>
      </c>
      <c r="EG75" s="90" t="e">
        <f ca="1"/>
        <v>#NAME?</v>
      </c>
    </row>
    <row r="76" spans="1:137" x14ac:dyDescent="0.35">
      <c r="CG76">
        <f t="shared" si="3"/>
        <v>58</v>
      </c>
      <c r="CH76" s="123" t="e">
        <f ca="1"/>
        <v>#NAME?</v>
      </c>
      <c r="CI76" s="37" t="e">
        <f ca="1"/>
        <v>#NAME?</v>
      </c>
      <c r="CJ76" s="37" t="e">
        <f ca="1"/>
        <v>#NAME?</v>
      </c>
      <c r="CK76" s="90" t="e">
        <f ca="1"/>
        <v>#NAME?</v>
      </c>
      <c r="CY76">
        <f t="shared" si="4"/>
        <v>58</v>
      </c>
      <c r="CZ76" s="123" t="e">
        <f ca="1"/>
        <v>#NAME?</v>
      </c>
      <c r="DA76" s="37" t="e">
        <f ca="1"/>
        <v>#NAME?</v>
      </c>
      <c r="DB76" s="37" t="e">
        <f ca="1"/>
        <v>#NAME?</v>
      </c>
      <c r="DC76" s="90" t="e">
        <f ca="1"/>
        <v>#NAME?</v>
      </c>
      <c r="DQ76">
        <f t="shared" si="6"/>
        <v>51</v>
      </c>
      <c r="DR76" s="123" t="e">
        <f ca="1"/>
        <v>#NAME?</v>
      </c>
      <c r="DS76" s="37" t="e">
        <f ca="1"/>
        <v>#NAME?</v>
      </c>
      <c r="DT76" s="37" t="e">
        <f ca="1"/>
        <v>#NAME?</v>
      </c>
      <c r="DU76" s="90" t="e">
        <f ca="1"/>
        <v>#NAME?</v>
      </c>
      <c r="ED76" s="123" t="e">
        <f ca="1"/>
        <v>#NAME?</v>
      </c>
      <c r="EE76" s="37" t="e">
        <f ca="1"/>
        <v>#NAME?</v>
      </c>
      <c r="EF76" s="37" t="e">
        <f ca="1"/>
        <v>#NAME?</v>
      </c>
      <c r="EG76" s="90" t="e">
        <f ca="1"/>
        <v>#NAME?</v>
      </c>
    </row>
    <row r="77" spans="1:137" x14ac:dyDescent="0.35">
      <c r="A77" t="s">
        <v>447</v>
      </c>
      <c r="CG77">
        <f t="shared" si="3"/>
        <v>59</v>
      </c>
      <c r="CH77" s="123" t="e">
        <f ca="1"/>
        <v>#NAME?</v>
      </c>
      <c r="CI77" s="37" t="e">
        <f ca="1"/>
        <v>#NAME?</v>
      </c>
      <c r="CJ77" s="37" t="e">
        <f ca="1"/>
        <v>#NAME?</v>
      </c>
      <c r="CK77" s="90" t="e">
        <f ca="1"/>
        <v>#NAME?</v>
      </c>
      <c r="CY77">
        <f t="shared" si="4"/>
        <v>59</v>
      </c>
      <c r="CZ77" s="123" t="e">
        <f ca="1"/>
        <v>#NAME?</v>
      </c>
      <c r="DA77" s="37" t="e">
        <f ca="1"/>
        <v>#NAME?</v>
      </c>
      <c r="DB77" s="37" t="e">
        <f ca="1"/>
        <v>#NAME?</v>
      </c>
      <c r="DC77" s="90" t="e">
        <f ca="1"/>
        <v>#NAME?</v>
      </c>
      <c r="DQ77">
        <f t="shared" si="6"/>
        <v>52</v>
      </c>
      <c r="DR77" s="123" t="e">
        <f ca="1"/>
        <v>#NAME?</v>
      </c>
      <c r="DS77" s="37" t="e">
        <f ca="1"/>
        <v>#NAME?</v>
      </c>
      <c r="DT77" s="37" t="e">
        <f ca="1"/>
        <v>#NAME?</v>
      </c>
      <c r="DU77" s="90" t="e">
        <f ca="1"/>
        <v>#NAME?</v>
      </c>
      <c r="ED77" s="123" t="e">
        <f ca="1"/>
        <v>#NAME?</v>
      </c>
      <c r="EE77" s="37" t="e">
        <f ca="1"/>
        <v>#NAME?</v>
      </c>
      <c r="EF77" s="37" t="e">
        <f ca="1"/>
        <v>#NAME?</v>
      </c>
      <c r="EG77" s="90" t="e">
        <f ca="1"/>
        <v>#NAME?</v>
      </c>
    </row>
    <row r="78" spans="1:137" x14ac:dyDescent="0.35">
      <c r="CG78">
        <f t="shared" si="3"/>
        <v>60</v>
      </c>
      <c r="CH78" s="123" t="e">
        <f ca="1"/>
        <v>#NAME?</v>
      </c>
      <c r="CI78" s="37" t="e">
        <f ca="1"/>
        <v>#NAME?</v>
      </c>
      <c r="CJ78" s="37" t="e">
        <f ca="1"/>
        <v>#NAME?</v>
      </c>
      <c r="CK78" s="90" t="e">
        <f ca="1"/>
        <v>#NAME?</v>
      </c>
      <c r="CY78">
        <f t="shared" si="4"/>
        <v>60</v>
      </c>
      <c r="CZ78" s="123" t="e">
        <f ca="1"/>
        <v>#NAME?</v>
      </c>
      <c r="DA78" s="37" t="e">
        <f ca="1"/>
        <v>#NAME?</v>
      </c>
      <c r="DB78" s="37" t="e">
        <f ca="1"/>
        <v>#NAME?</v>
      </c>
      <c r="DC78" s="90" t="e">
        <f ca="1"/>
        <v>#NAME?</v>
      </c>
      <c r="DQ78">
        <f t="shared" si="6"/>
        <v>53</v>
      </c>
      <c r="DR78" s="123" t="e">
        <f ca="1"/>
        <v>#NAME?</v>
      </c>
      <c r="DS78" s="37" t="e">
        <f ca="1"/>
        <v>#NAME?</v>
      </c>
      <c r="DT78" s="37" t="e">
        <f ca="1"/>
        <v>#NAME?</v>
      </c>
      <c r="DU78" s="90" t="e">
        <f ca="1"/>
        <v>#NAME?</v>
      </c>
      <c r="ED78" s="123" t="e">
        <f ca="1"/>
        <v>#NAME?</v>
      </c>
      <c r="EE78" s="37" t="e">
        <f ca="1"/>
        <v>#NAME?</v>
      </c>
      <c r="EF78" s="37" t="e">
        <f ca="1"/>
        <v>#NAME?</v>
      </c>
      <c r="EG78" s="90" t="e">
        <f ca="1"/>
        <v>#NAME?</v>
      </c>
    </row>
    <row r="79" spans="1:137" x14ac:dyDescent="0.35">
      <c r="A79" t="s">
        <v>448</v>
      </c>
      <c r="CG79">
        <f t="shared" si="3"/>
        <v>61</v>
      </c>
      <c r="CH79" s="123" t="e">
        <f ca="1"/>
        <v>#NAME?</v>
      </c>
      <c r="CI79" s="37" t="e">
        <f ca="1"/>
        <v>#NAME?</v>
      </c>
      <c r="CJ79" s="37" t="e">
        <f ca="1"/>
        <v>#NAME?</v>
      </c>
      <c r="CK79" s="90" t="e">
        <f ca="1"/>
        <v>#NAME?</v>
      </c>
      <c r="CY79">
        <f t="shared" si="4"/>
        <v>61</v>
      </c>
      <c r="CZ79" s="123" t="e">
        <f ca="1"/>
        <v>#NAME?</v>
      </c>
      <c r="DA79" s="37" t="e">
        <f ca="1"/>
        <v>#NAME?</v>
      </c>
      <c r="DB79" s="37" t="e">
        <f ca="1"/>
        <v>#NAME?</v>
      </c>
      <c r="DC79" s="90" t="e">
        <f ca="1"/>
        <v>#NAME?</v>
      </c>
      <c r="DQ79">
        <f t="shared" si="6"/>
        <v>54</v>
      </c>
      <c r="DR79" s="123" t="e">
        <f ca="1"/>
        <v>#NAME?</v>
      </c>
      <c r="DS79" s="37" t="e">
        <f ca="1"/>
        <v>#NAME?</v>
      </c>
      <c r="DT79" s="37" t="e">
        <f ca="1"/>
        <v>#NAME?</v>
      </c>
      <c r="DU79" s="90" t="e">
        <f ca="1"/>
        <v>#NAME?</v>
      </c>
      <c r="ED79" s="123" t="e">
        <f ca="1"/>
        <v>#NAME?</v>
      </c>
      <c r="EE79" s="37" t="e">
        <f ca="1"/>
        <v>#NAME?</v>
      </c>
      <c r="EF79" s="37" t="e">
        <f ca="1"/>
        <v>#NAME?</v>
      </c>
      <c r="EG79" s="90" t="e">
        <f ca="1"/>
        <v>#NAME?</v>
      </c>
    </row>
    <row r="80" spans="1:137" x14ac:dyDescent="0.35">
      <c r="CG80">
        <f t="shared" si="3"/>
        <v>62</v>
      </c>
      <c r="CH80" s="123" t="e">
        <f ca="1"/>
        <v>#NAME?</v>
      </c>
      <c r="CI80" s="37" t="e">
        <f ca="1"/>
        <v>#NAME?</v>
      </c>
      <c r="CJ80" s="37" t="e">
        <f ca="1"/>
        <v>#NAME?</v>
      </c>
      <c r="CK80" s="90" t="e">
        <f ca="1"/>
        <v>#NAME?</v>
      </c>
      <c r="CY80">
        <f t="shared" si="4"/>
        <v>62</v>
      </c>
      <c r="CZ80" s="123" t="e">
        <f ca="1"/>
        <v>#NAME?</v>
      </c>
      <c r="DA80" s="37" t="e">
        <f ca="1"/>
        <v>#NAME?</v>
      </c>
      <c r="DB80" s="37" t="e">
        <f ca="1"/>
        <v>#NAME?</v>
      </c>
      <c r="DC80" s="90" t="e">
        <f ca="1"/>
        <v>#NAME?</v>
      </c>
      <c r="DQ80">
        <f t="shared" si="6"/>
        <v>55</v>
      </c>
      <c r="DR80" s="123" t="e">
        <f ca="1"/>
        <v>#NAME?</v>
      </c>
      <c r="DS80" s="37" t="e">
        <f ca="1"/>
        <v>#NAME?</v>
      </c>
      <c r="DT80" s="37" t="e">
        <f ca="1"/>
        <v>#NAME?</v>
      </c>
      <c r="DU80" s="90" t="e">
        <f ca="1"/>
        <v>#NAME?</v>
      </c>
      <c r="ED80" s="123" t="e">
        <f ca="1"/>
        <v>#NAME?</v>
      </c>
      <c r="EE80" s="37" t="e">
        <f ca="1"/>
        <v>#NAME?</v>
      </c>
      <c r="EF80" s="37" t="e">
        <f ca="1"/>
        <v>#NAME?</v>
      </c>
      <c r="EG80" s="90" t="e">
        <f ca="1"/>
        <v>#NAME?</v>
      </c>
    </row>
    <row r="81" spans="1:137" ht="16.5" x14ac:dyDescent="0.35">
      <c r="A81" t="s">
        <v>208</v>
      </c>
      <c r="E81" t="s">
        <v>449</v>
      </c>
      <c r="G81" t="s">
        <v>450</v>
      </c>
      <c r="CG81">
        <f t="shared" si="3"/>
        <v>63</v>
      </c>
      <c r="CH81" s="123" t="e">
        <f ca="1"/>
        <v>#NAME?</v>
      </c>
      <c r="CI81" s="37" t="e">
        <f ca="1"/>
        <v>#NAME?</v>
      </c>
      <c r="CJ81" s="37" t="e">
        <f ca="1"/>
        <v>#NAME?</v>
      </c>
      <c r="CK81" s="90" t="e">
        <f ca="1"/>
        <v>#NAME?</v>
      </c>
      <c r="CY81">
        <f t="shared" si="4"/>
        <v>63</v>
      </c>
      <c r="CZ81" s="123" t="e">
        <f ca="1"/>
        <v>#NAME?</v>
      </c>
      <c r="DA81" s="37" t="e">
        <f ca="1"/>
        <v>#NAME?</v>
      </c>
      <c r="DB81" s="37" t="e">
        <f ca="1"/>
        <v>#NAME?</v>
      </c>
      <c r="DC81" s="90" t="e">
        <f ca="1"/>
        <v>#NAME?</v>
      </c>
      <c r="DQ81">
        <f t="shared" si="6"/>
        <v>56</v>
      </c>
      <c r="DR81" s="123" t="e">
        <f ca="1"/>
        <v>#NAME?</v>
      </c>
      <c r="DS81" s="37" t="e">
        <f ca="1"/>
        <v>#NAME?</v>
      </c>
      <c r="DT81" s="37" t="e">
        <f ca="1"/>
        <v>#NAME?</v>
      </c>
      <c r="DU81" s="90" t="e">
        <f ca="1"/>
        <v>#NAME?</v>
      </c>
      <c r="ED81" s="123" t="e">
        <f ca="1"/>
        <v>#NAME?</v>
      </c>
      <c r="EE81" s="37" t="e">
        <f ca="1"/>
        <v>#NAME?</v>
      </c>
      <c r="EF81" s="37" t="e">
        <f ca="1"/>
        <v>#NAME?</v>
      </c>
      <c r="EG81" s="90" t="e">
        <f ca="1"/>
        <v>#NAME?</v>
      </c>
    </row>
    <row r="82" spans="1:137" x14ac:dyDescent="0.35">
      <c r="A82" s="156" t="e">
        <f t="array" ref="A82:D90" ca="1">B44:E52</f>
        <v>#NAME?</v>
      </c>
      <c r="B82" s="157" t="e">
        <f ca="1"/>
        <v>#NAME?</v>
      </c>
      <c r="C82" s="157" t="e">
        <f ca="1"/>
        <v>#NAME?</v>
      </c>
      <c r="D82" s="158" t="e">
        <f ca="1"/>
        <v>#NAME?</v>
      </c>
      <c r="E82" s="172" t="e">
        <f ca="1">SUMSQ(A82:D82)</f>
        <v>#NAME?</v>
      </c>
      <c r="G82" s="156" t="e">
        <f ca="1">(A82/$E82)^2</f>
        <v>#NAME?</v>
      </c>
      <c r="H82" s="157" t="e">
        <f t="shared" ref="H82:J90" ca="1" si="19">(B82/$E82)^2</f>
        <v>#NAME?</v>
      </c>
      <c r="I82" s="157" t="e">
        <f t="shared" ca="1" si="19"/>
        <v>#NAME?</v>
      </c>
      <c r="J82" s="158" t="e">
        <f t="shared" ca="1" si="19"/>
        <v>#NAME?</v>
      </c>
      <c r="CG82">
        <f t="shared" si="3"/>
        <v>64</v>
      </c>
      <c r="CH82" s="123" t="e">
        <f ca="1"/>
        <v>#NAME?</v>
      </c>
      <c r="CI82" s="37" t="e">
        <f ca="1"/>
        <v>#NAME?</v>
      </c>
      <c r="CJ82" s="37" t="e">
        <f ca="1"/>
        <v>#NAME?</v>
      </c>
      <c r="CK82" s="90" t="e">
        <f ca="1"/>
        <v>#NAME?</v>
      </c>
      <c r="CY82">
        <f t="shared" si="4"/>
        <v>64</v>
      </c>
      <c r="CZ82" s="123" t="e">
        <f ca="1"/>
        <v>#NAME?</v>
      </c>
      <c r="DA82" s="37" t="e">
        <f ca="1"/>
        <v>#NAME?</v>
      </c>
      <c r="DB82" s="37" t="e">
        <f ca="1"/>
        <v>#NAME?</v>
      </c>
      <c r="DC82" s="90" t="e">
        <f ca="1"/>
        <v>#NAME?</v>
      </c>
      <c r="DQ82">
        <f t="shared" si="6"/>
        <v>57</v>
      </c>
      <c r="DR82" s="123" t="e">
        <f ca="1"/>
        <v>#NAME?</v>
      </c>
      <c r="DS82" s="37" t="e">
        <f ca="1"/>
        <v>#NAME?</v>
      </c>
      <c r="DT82" s="37" t="e">
        <f ca="1"/>
        <v>#NAME?</v>
      </c>
      <c r="DU82" s="90" t="e">
        <f ca="1"/>
        <v>#NAME?</v>
      </c>
      <c r="ED82" s="123" t="e">
        <f ca="1"/>
        <v>#NAME?</v>
      </c>
      <c r="EE82" s="37" t="e">
        <f ca="1"/>
        <v>#NAME?</v>
      </c>
      <c r="EF82" s="37" t="e">
        <f ca="1"/>
        <v>#NAME?</v>
      </c>
      <c r="EG82" s="90" t="e">
        <f ca="1"/>
        <v>#NAME?</v>
      </c>
    </row>
    <row r="83" spans="1:137" x14ac:dyDescent="0.35">
      <c r="A83" s="123" t="e">
        <f ca="1"/>
        <v>#NAME?</v>
      </c>
      <c r="B83" s="37" t="e">
        <f ca="1"/>
        <v>#NAME?</v>
      </c>
      <c r="C83" s="37" t="e">
        <f ca="1"/>
        <v>#NAME?</v>
      </c>
      <c r="D83" s="90" t="e">
        <f ca="1"/>
        <v>#NAME?</v>
      </c>
      <c r="E83" s="173" t="e">
        <f t="shared" ref="E83:E90" ca="1" si="20">SUMSQ(A83:D83)</f>
        <v>#NAME?</v>
      </c>
      <c r="G83" s="123" t="e">
        <f t="shared" ref="G83:G90" ca="1" si="21">(A83/$E83)^2</f>
        <v>#NAME?</v>
      </c>
      <c r="H83" s="37" t="e">
        <f t="shared" ca="1" si="19"/>
        <v>#NAME?</v>
      </c>
      <c r="I83" s="37" t="e">
        <f t="shared" ca="1" si="19"/>
        <v>#NAME?</v>
      </c>
      <c r="J83" s="90" t="e">
        <f t="shared" ca="1" si="19"/>
        <v>#NAME?</v>
      </c>
      <c r="CG83">
        <f t="shared" si="3"/>
        <v>65</v>
      </c>
      <c r="CH83" s="123" t="e">
        <f ca="1"/>
        <v>#NAME?</v>
      </c>
      <c r="CI83" s="37" t="e">
        <f ca="1"/>
        <v>#NAME?</v>
      </c>
      <c r="CJ83" s="37" t="e">
        <f ca="1"/>
        <v>#NAME?</v>
      </c>
      <c r="CK83" s="90" t="e">
        <f ca="1"/>
        <v>#NAME?</v>
      </c>
      <c r="CY83">
        <f t="shared" si="4"/>
        <v>65</v>
      </c>
      <c r="CZ83" s="123" t="e">
        <f ca="1"/>
        <v>#NAME?</v>
      </c>
      <c r="DA83" s="37" t="e">
        <f ca="1"/>
        <v>#NAME?</v>
      </c>
      <c r="DB83" s="37" t="e">
        <f ca="1"/>
        <v>#NAME?</v>
      </c>
      <c r="DC83" s="90" t="e">
        <f ca="1"/>
        <v>#NAME?</v>
      </c>
      <c r="DQ83">
        <f t="shared" si="6"/>
        <v>58</v>
      </c>
      <c r="DR83" s="123" t="e">
        <f ca="1"/>
        <v>#NAME?</v>
      </c>
      <c r="DS83" s="37" t="e">
        <f ca="1"/>
        <v>#NAME?</v>
      </c>
      <c r="DT83" s="37" t="e">
        <f ca="1"/>
        <v>#NAME?</v>
      </c>
      <c r="DU83" s="90" t="e">
        <f ca="1"/>
        <v>#NAME?</v>
      </c>
      <c r="ED83" s="123" t="e">
        <f ca="1"/>
        <v>#NAME?</v>
      </c>
      <c r="EE83" s="37" t="e">
        <f ca="1"/>
        <v>#NAME?</v>
      </c>
      <c r="EF83" s="37" t="e">
        <f ca="1"/>
        <v>#NAME?</v>
      </c>
      <c r="EG83" s="90" t="e">
        <f ca="1"/>
        <v>#NAME?</v>
      </c>
    </row>
    <row r="84" spans="1:137" x14ac:dyDescent="0.35">
      <c r="A84" s="123" t="e">
        <f ca="1"/>
        <v>#NAME?</v>
      </c>
      <c r="B84" s="37" t="e">
        <f ca="1"/>
        <v>#NAME?</v>
      </c>
      <c r="C84" s="37" t="e">
        <f ca="1"/>
        <v>#NAME?</v>
      </c>
      <c r="D84" s="90" t="e">
        <f ca="1"/>
        <v>#NAME?</v>
      </c>
      <c r="E84" s="173" t="e">
        <f t="shared" ca="1" si="20"/>
        <v>#NAME?</v>
      </c>
      <c r="G84" s="123" t="e">
        <f t="shared" ca="1" si="21"/>
        <v>#NAME?</v>
      </c>
      <c r="H84" s="37" t="e">
        <f t="shared" ca="1" si="19"/>
        <v>#NAME?</v>
      </c>
      <c r="I84" s="37" t="e">
        <f t="shared" ca="1" si="19"/>
        <v>#NAME?</v>
      </c>
      <c r="J84" s="90" t="e">
        <f t="shared" ca="1" si="19"/>
        <v>#NAME?</v>
      </c>
      <c r="CG84">
        <f t="shared" si="3"/>
        <v>66</v>
      </c>
      <c r="CH84" s="123" t="e">
        <f ca="1"/>
        <v>#NAME?</v>
      </c>
      <c r="CI84" s="37" t="e">
        <f ca="1"/>
        <v>#NAME?</v>
      </c>
      <c r="CJ84" s="37" t="e">
        <f ca="1"/>
        <v>#NAME?</v>
      </c>
      <c r="CK84" s="90" t="e">
        <f ca="1"/>
        <v>#NAME?</v>
      </c>
      <c r="CY84">
        <f t="shared" si="4"/>
        <v>66</v>
      </c>
      <c r="CZ84" s="123" t="e">
        <f ca="1"/>
        <v>#NAME?</v>
      </c>
      <c r="DA84" s="37" t="e">
        <f ca="1"/>
        <v>#NAME?</v>
      </c>
      <c r="DB84" s="37" t="e">
        <f ca="1"/>
        <v>#NAME?</v>
      </c>
      <c r="DC84" s="90" t="e">
        <f ca="1"/>
        <v>#NAME?</v>
      </c>
      <c r="DQ84">
        <f t="shared" si="6"/>
        <v>59</v>
      </c>
      <c r="DR84" s="123" t="e">
        <f ca="1"/>
        <v>#NAME?</v>
      </c>
      <c r="DS84" s="37" t="e">
        <f ca="1"/>
        <v>#NAME?</v>
      </c>
      <c r="DT84" s="37" t="e">
        <f ca="1"/>
        <v>#NAME?</v>
      </c>
      <c r="DU84" s="90" t="e">
        <f ca="1"/>
        <v>#NAME?</v>
      </c>
      <c r="ED84" s="123" t="e">
        <f ca="1"/>
        <v>#NAME?</v>
      </c>
      <c r="EE84" s="37" t="e">
        <f ca="1"/>
        <v>#NAME?</v>
      </c>
      <c r="EF84" s="37" t="e">
        <f ca="1"/>
        <v>#NAME?</v>
      </c>
      <c r="EG84" s="90" t="e">
        <f ca="1"/>
        <v>#NAME?</v>
      </c>
    </row>
    <row r="85" spans="1:137" x14ac:dyDescent="0.35">
      <c r="A85" s="123" t="e">
        <f ca="1"/>
        <v>#NAME?</v>
      </c>
      <c r="B85" s="37" t="e">
        <f ca="1"/>
        <v>#NAME?</v>
      </c>
      <c r="C85" s="37" t="e">
        <f ca="1"/>
        <v>#NAME?</v>
      </c>
      <c r="D85" s="90" t="e">
        <f ca="1"/>
        <v>#NAME?</v>
      </c>
      <c r="E85" s="173" t="e">
        <f t="shared" ca="1" si="20"/>
        <v>#NAME?</v>
      </c>
      <c r="G85" s="123" t="e">
        <f t="shared" ca="1" si="21"/>
        <v>#NAME?</v>
      </c>
      <c r="H85" s="37" t="e">
        <f t="shared" ca="1" si="19"/>
        <v>#NAME?</v>
      </c>
      <c r="I85" s="37" t="e">
        <f t="shared" ca="1" si="19"/>
        <v>#NAME?</v>
      </c>
      <c r="J85" s="90" t="e">
        <f t="shared" ca="1" si="19"/>
        <v>#NAME?</v>
      </c>
      <c r="CG85">
        <f t="shared" ref="CG85:CG138" si="22">CG84+1</f>
        <v>67</v>
      </c>
      <c r="CH85" s="123" t="e">
        <f ca="1"/>
        <v>#NAME?</v>
      </c>
      <c r="CI85" s="37" t="e">
        <f ca="1"/>
        <v>#NAME?</v>
      </c>
      <c r="CJ85" s="37" t="e">
        <f ca="1"/>
        <v>#NAME?</v>
      </c>
      <c r="CK85" s="90" t="e">
        <f ca="1"/>
        <v>#NAME?</v>
      </c>
      <c r="CY85">
        <f t="shared" ref="CY85:CY138" si="23">CY84+1</f>
        <v>67</v>
      </c>
      <c r="CZ85" s="123" t="e">
        <f ca="1"/>
        <v>#NAME?</v>
      </c>
      <c r="DA85" s="37" t="e">
        <f ca="1"/>
        <v>#NAME?</v>
      </c>
      <c r="DB85" s="37" t="e">
        <f ca="1"/>
        <v>#NAME?</v>
      </c>
      <c r="DC85" s="90" t="e">
        <f ca="1"/>
        <v>#NAME?</v>
      </c>
      <c r="DQ85">
        <f t="shared" si="6"/>
        <v>60</v>
      </c>
      <c r="DR85" s="123" t="e">
        <f ca="1"/>
        <v>#NAME?</v>
      </c>
      <c r="DS85" s="37" t="e">
        <f ca="1"/>
        <v>#NAME?</v>
      </c>
      <c r="DT85" s="37" t="e">
        <f ca="1"/>
        <v>#NAME?</v>
      </c>
      <c r="DU85" s="90" t="e">
        <f ca="1"/>
        <v>#NAME?</v>
      </c>
      <c r="ED85" s="123" t="e">
        <f ca="1"/>
        <v>#NAME?</v>
      </c>
      <c r="EE85" s="37" t="e">
        <f ca="1"/>
        <v>#NAME?</v>
      </c>
      <c r="EF85" s="37" t="e">
        <f ca="1"/>
        <v>#NAME?</v>
      </c>
      <c r="EG85" s="90" t="e">
        <f ca="1"/>
        <v>#NAME?</v>
      </c>
    </row>
    <row r="86" spans="1:137" x14ac:dyDescent="0.35">
      <c r="A86" s="123" t="e">
        <f ca="1"/>
        <v>#NAME?</v>
      </c>
      <c r="B86" s="37" t="e">
        <f ca="1"/>
        <v>#NAME?</v>
      </c>
      <c r="C86" s="37" t="e">
        <f ca="1"/>
        <v>#NAME?</v>
      </c>
      <c r="D86" s="90" t="e">
        <f ca="1"/>
        <v>#NAME?</v>
      </c>
      <c r="E86" s="173" t="e">
        <f t="shared" ca="1" si="20"/>
        <v>#NAME?</v>
      </c>
      <c r="G86" s="123" t="e">
        <f t="shared" ca="1" si="21"/>
        <v>#NAME?</v>
      </c>
      <c r="H86" s="37" t="e">
        <f t="shared" ca="1" si="19"/>
        <v>#NAME?</v>
      </c>
      <c r="I86" s="37" t="e">
        <f t="shared" ca="1" si="19"/>
        <v>#NAME?</v>
      </c>
      <c r="J86" s="90" t="e">
        <f t="shared" ca="1" si="19"/>
        <v>#NAME?</v>
      </c>
      <c r="CG86">
        <f t="shared" si="22"/>
        <v>68</v>
      </c>
      <c r="CH86" s="123" t="e">
        <f ca="1"/>
        <v>#NAME?</v>
      </c>
      <c r="CI86" s="37" t="e">
        <f ca="1"/>
        <v>#NAME?</v>
      </c>
      <c r="CJ86" s="37" t="e">
        <f ca="1"/>
        <v>#NAME?</v>
      </c>
      <c r="CK86" s="90" t="e">
        <f ca="1"/>
        <v>#NAME?</v>
      </c>
      <c r="CY86">
        <f t="shared" si="23"/>
        <v>68</v>
      </c>
      <c r="CZ86" s="123" t="e">
        <f ca="1"/>
        <v>#NAME?</v>
      </c>
      <c r="DA86" s="37" t="e">
        <f ca="1"/>
        <v>#NAME?</v>
      </c>
      <c r="DB86" s="37" t="e">
        <f ca="1"/>
        <v>#NAME?</v>
      </c>
      <c r="DC86" s="90" t="e">
        <f ca="1"/>
        <v>#NAME?</v>
      </c>
      <c r="DQ86">
        <f t="shared" si="6"/>
        <v>61</v>
      </c>
      <c r="DR86" s="123" t="e">
        <f ca="1"/>
        <v>#NAME?</v>
      </c>
      <c r="DS86" s="37" t="e">
        <f ca="1"/>
        <v>#NAME?</v>
      </c>
      <c r="DT86" s="37" t="e">
        <f ca="1"/>
        <v>#NAME?</v>
      </c>
      <c r="DU86" s="90" t="e">
        <f ca="1"/>
        <v>#NAME?</v>
      </c>
      <c r="ED86" s="123" t="e">
        <f ca="1"/>
        <v>#NAME?</v>
      </c>
      <c r="EE86" s="37" t="e">
        <f ca="1"/>
        <v>#NAME?</v>
      </c>
      <c r="EF86" s="37" t="e">
        <f ca="1"/>
        <v>#NAME?</v>
      </c>
      <c r="EG86" s="90" t="e">
        <f ca="1"/>
        <v>#NAME?</v>
      </c>
    </row>
    <row r="87" spans="1:137" x14ac:dyDescent="0.35">
      <c r="A87" s="123" t="e">
        <f ca="1"/>
        <v>#NAME?</v>
      </c>
      <c r="B87" s="37" t="e">
        <f ca="1"/>
        <v>#NAME?</v>
      </c>
      <c r="C87" s="37" t="e">
        <f ca="1"/>
        <v>#NAME?</v>
      </c>
      <c r="D87" s="90" t="e">
        <f ca="1"/>
        <v>#NAME?</v>
      </c>
      <c r="E87" s="173" t="e">
        <f t="shared" ca="1" si="20"/>
        <v>#NAME?</v>
      </c>
      <c r="G87" s="123" t="e">
        <f t="shared" ca="1" si="21"/>
        <v>#NAME?</v>
      </c>
      <c r="H87" s="37" t="e">
        <f t="shared" ca="1" si="19"/>
        <v>#NAME?</v>
      </c>
      <c r="I87" s="37" t="e">
        <f t="shared" ca="1" si="19"/>
        <v>#NAME?</v>
      </c>
      <c r="J87" s="90" t="e">
        <f t="shared" ca="1" si="19"/>
        <v>#NAME?</v>
      </c>
      <c r="CG87">
        <f t="shared" si="22"/>
        <v>69</v>
      </c>
      <c r="CH87" s="123" t="e">
        <f ca="1"/>
        <v>#NAME?</v>
      </c>
      <c r="CI87" s="37" t="e">
        <f ca="1"/>
        <v>#NAME?</v>
      </c>
      <c r="CJ87" s="37" t="e">
        <f ca="1"/>
        <v>#NAME?</v>
      </c>
      <c r="CK87" s="90" t="e">
        <f ca="1"/>
        <v>#NAME?</v>
      </c>
      <c r="CY87">
        <f t="shared" si="23"/>
        <v>69</v>
      </c>
      <c r="CZ87" s="123" t="e">
        <f ca="1"/>
        <v>#NAME?</v>
      </c>
      <c r="DA87" s="37" t="e">
        <f ca="1"/>
        <v>#NAME?</v>
      </c>
      <c r="DB87" s="37" t="e">
        <f ca="1"/>
        <v>#NAME?</v>
      </c>
      <c r="DC87" s="90" t="e">
        <f ca="1"/>
        <v>#NAME?</v>
      </c>
      <c r="DQ87">
        <f t="shared" si="6"/>
        <v>62</v>
      </c>
      <c r="DR87" s="123" t="e">
        <f ca="1"/>
        <v>#NAME?</v>
      </c>
      <c r="DS87" s="37" t="e">
        <f ca="1"/>
        <v>#NAME?</v>
      </c>
      <c r="DT87" s="37" t="e">
        <f ca="1"/>
        <v>#NAME?</v>
      </c>
      <c r="DU87" s="90" t="e">
        <f ca="1"/>
        <v>#NAME?</v>
      </c>
      <c r="ED87" s="123" t="e">
        <f ca="1"/>
        <v>#NAME?</v>
      </c>
      <c r="EE87" s="37" t="e">
        <f ca="1"/>
        <v>#NAME?</v>
      </c>
      <c r="EF87" s="37" t="e">
        <f ca="1"/>
        <v>#NAME?</v>
      </c>
      <c r="EG87" s="90" t="e">
        <f ca="1"/>
        <v>#NAME?</v>
      </c>
    </row>
    <row r="88" spans="1:137" x14ac:dyDescent="0.35">
      <c r="A88" s="123" t="e">
        <f ca="1"/>
        <v>#NAME?</v>
      </c>
      <c r="B88" s="37" t="e">
        <f ca="1"/>
        <v>#NAME?</v>
      </c>
      <c r="C88" s="37" t="e">
        <f ca="1"/>
        <v>#NAME?</v>
      </c>
      <c r="D88" s="90" t="e">
        <f ca="1"/>
        <v>#NAME?</v>
      </c>
      <c r="E88" s="173" t="e">
        <f t="shared" ca="1" si="20"/>
        <v>#NAME?</v>
      </c>
      <c r="G88" s="123" t="e">
        <f t="shared" ca="1" si="21"/>
        <v>#NAME?</v>
      </c>
      <c r="H88" s="37" t="e">
        <f t="shared" ca="1" si="19"/>
        <v>#NAME?</v>
      </c>
      <c r="I88" s="37" t="e">
        <f t="shared" ca="1" si="19"/>
        <v>#NAME?</v>
      </c>
      <c r="J88" s="90" t="e">
        <f t="shared" ca="1" si="19"/>
        <v>#NAME?</v>
      </c>
      <c r="CG88">
        <f t="shared" si="22"/>
        <v>70</v>
      </c>
      <c r="CH88" s="123" t="e">
        <f ca="1"/>
        <v>#NAME?</v>
      </c>
      <c r="CI88" s="37" t="e">
        <f ca="1"/>
        <v>#NAME?</v>
      </c>
      <c r="CJ88" s="37" t="e">
        <f ca="1"/>
        <v>#NAME?</v>
      </c>
      <c r="CK88" s="90" t="e">
        <f ca="1"/>
        <v>#NAME?</v>
      </c>
      <c r="CY88">
        <f t="shared" si="23"/>
        <v>70</v>
      </c>
      <c r="CZ88" s="123" t="e">
        <f ca="1"/>
        <v>#NAME?</v>
      </c>
      <c r="DA88" s="37" t="e">
        <f ca="1"/>
        <v>#NAME?</v>
      </c>
      <c r="DB88" s="37" t="e">
        <f ca="1"/>
        <v>#NAME?</v>
      </c>
      <c r="DC88" s="90" t="e">
        <f ca="1"/>
        <v>#NAME?</v>
      </c>
      <c r="DQ88">
        <f t="shared" si="6"/>
        <v>63</v>
      </c>
      <c r="DR88" s="123" t="e">
        <f ca="1"/>
        <v>#NAME?</v>
      </c>
      <c r="DS88" s="37" t="e">
        <f ca="1"/>
        <v>#NAME?</v>
      </c>
      <c r="DT88" s="37" t="e">
        <f ca="1"/>
        <v>#NAME?</v>
      </c>
      <c r="DU88" s="90" t="e">
        <f ca="1"/>
        <v>#NAME?</v>
      </c>
      <c r="ED88" s="123" t="e">
        <f ca="1"/>
        <v>#NAME?</v>
      </c>
      <c r="EE88" s="37" t="e">
        <f ca="1"/>
        <v>#NAME?</v>
      </c>
      <c r="EF88" s="37" t="e">
        <f ca="1"/>
        <v>#NAME?</v>
      </c>
      <c r="EG88" s="90" t="e">
        <f ca="1"/>
        <v>#NAME?</v>
      </c>
    </row>
    <row r="89" spans="1:137" x14ac:dyDescent="0.35">
      <c r="A89" s="123" t="e">
        <f ca="1"/>
        <v>#NAME?</v>
      </c>
      <c r="B89" s="37" t="e">
        <f ca="1"/>
        <v>#NAME?</v>
      </c>
      <c r="C89" s="37" t="e">
        <f ca="1"/>
        <v>#NAME?</v>
      </c>
      <c r="D89" s="90" t="e">
        <f ca="1"/>
        <v>#NAME?</v>
      </c>
      <c r="E89" s="173" t="e">
        <f t="shared" ca="1" si="20"/>
        <v>#NAME?</v>
      </c>
      <c r="G89" s="123" t="e">
        <f t="shared" ca="1" si="21"/>
        <v>#NAME?</v>
      </c>
      <c r="H89" s="37" t="e">
        <f t="shared" ca="1" si="19"/>
        <v>#NAME?</v>
      </c>
      <c r="I89" s="37" t="e">
        <f t="shared" ca="1" si="19"/>
        <v>#NAME?</v>
      </c>
      <c r="J89" s="90" t="e">
        <f t="shared" ca="1" si="19"/>
        <v>#NAME?</v>
      </c>
      <c r="CG89">
        <f t="shared" si="22"/>
        <v>71</v>
      </c>
      <c r="CH89" s="123" t="e">
        <f ca="1"/>
        <v>#NAME?</v>
      </c>
      <c r="CI89" s="37" t="e">
        <f ca="1"/>
        <v>#NAME?</v>
      </c>
      <c r="CJ89" s="37" t="e">
        <f ca="1"/>
        <v>#NAME?</v>
      </c>
      <c r="CK89" s="90" t="e">
        <f ca="1"/>
        <v>#NAME?</v>
      </c>
      <c r="CY89">
        <f t="shared" si="23"/>
        <v>71</v>
      </c>
      <c r="CZ89" s="123" t="e">
        <f ca="1"/>
        <v>#NAME?</v>
      </c>
      <c r="DA89" s="37" t="e">
        <f ca="1"/>
        <v>#NAME?</v>
      </c>
      <c r="DB89" s="37" t="e">
        <f ca="1"/>
        <v>#NAME?</v>
      </c>
      <c r="DC89" s="90" t="e">
        <f ca="1"/>
        <v>#NAME?</v>
      </c>
      <c r="DQ89">
        <f t="shared" si="6"/>
        <v>64</v>
      </c>
      <c r="DR89" s="123" t="e">
        <f ca="1"/>
        <v>#NAME?</v>
      </c>
      <c r="DS89" s="37" t="e">
        <f ca="1"/>
        <v>#NAME?</v>
      </c>
      <c r="DT89" s="37" t="e">
        <f ca="1"/>
        <v>#NAME?</v>
      </c>
      <c r="DU89" s="90" t="e">
        <f ca="1"/>
        <v>#NAME?</v>
      </c>
      <c r="ED89" s="123" t="e">
        <f ca="1"/>
        <v>#NAME?</v>
      </c>
      <c r="EE89" s="37" t="e">
        <f ca="1"/>
        <v>#NAME?</v>
      </c>
      <c r="EF89" s="37" t="e">
        <f ca="1"/>
        <v>#NAME?</v>
      </c>
      <c r="EG89" s="90" t="e">
        <f ca="1"/>
        <v>#NAME?</v>
      </c>
    </row>
    <row r="90" spans="1:137" x14ac:dyDescent="0.35">
      <c r="A90" s="91" t="e">
        <f ca="1"/>
        <v>#NAME?</v>
      </c>
      <c r="B90" s="92" t="e">
        <f ca="1"/>
        <v>#NAME?</v>
      </c>
      <c r="C90" s="92" t="e">
        <f ca="1"/>
        <v>#NAME?</v>
      </c>
      <c r="D90" s="93" t="e">
        <f ca="1"/>
        <v>#NAME?</v>
      </c>
      <c r="E90" s="174" t="e">
        <f t="shared" ca="1" si="20"/>
        <v>#NAME?</v>
      </c>
      <c r="G90" s="91" t="e">
        <f t="shared" ca="1" si="21"/>
        <v>#NAME?</v>
      </c>
      <c r="H90" s="92" t="e">
        <f t="shared" ca="1" si="19"/>
        <v>#NAME?</v>
      </c>
      <c r="I90" s="92" t="e">
        <f t="shared" ca="1" si="19"/>
        <v>#NAME?</v>
      </c>
      <c r="J90" s="93" t="e">
        <f t="shared" ca="1" si="19"/>
        <v>#NAME?</v>
      </c>
      <c r="CG90">
        <f t="shared" si="22"/>
        <v>72</v>
      </c>
      <c r="CH90" s="123" t="e">
        <f ca="1"/>
        <v>#NAME?</v>
      </c>
      <c r="CI90" s="37" t="e">
        <f ca="1"/>
        <v>#NAME?</v>
      </c>
      <c r="CJ90" s="37" t="e">
        <f ca="1"/>
        <v>#NAME?</v>
      </c>
      <c r="CK90" s="90" t="e">
        <f ca="1"/>
        <v>#NAME?</v>
      </c>
      <c r="CY90">
        <f t="shared" si="23"/>
        <v>72</v>
      </c>
      <c r="CZ90" s="123" t="e">
        <f ca="1"/>
        <v>#NAME?</v>
      </c>
      <c r="DA90" s="37" t="e">
        <f ca="1"/>
        <v>#NAME?</v>
      </c>
      <c r="DB90" s="37" t="e">
        <f ca="1"/>
        <v>#NAME?</v>
      </c>
      <c r="DC90" s="90" t="e">
        <f ca="1"/>
        <v>#NAME?</v>
      </c>
      <c r="DQ90">
        <f t="shared" si="6"/>
        <v>65</v>
      </c>
      <c r="DR90" s="123" t="e">
        <f ca="1"/>
        <v>#NAME?</v>
      </c>
      <c r="DS90" s="37" t="e">
        <f ca="1"/>
        <v>#NAME?</v>
      </c>
      <c r="DT90" s="37" t="e">
        <f ca="1"/>
        <v>#NAME?</v>
      </c>
      <c r="DU90" s="90" t="e">
        <f ca="1"/>
        <v>#NAME?</v>
      </c>
      <c r="ED90" s="123" t="e">
        <f ca="1"/>
        <v>#NAME?</v>
      </c>
      <c r="EE90" s="37" t="e">
        <f ca="1"/>
        <v>#NAME?</v>
      </c>
      <c r="EF90" s="37" t="e">
        <f ca="1"/>
        <v>#NAME?</v>
      </c>
      <c r="EG90" s="90" t="e">
        <f ca="1"/>
        <v>#NAME?</v>
      </c>
    </row>
    <row r="91" spans="1:137" x14ac:dyDescent="0.35">
      <c r="A91">
        <f ca="1">COUNT(A82:A90)</f>
        <v>0</v>
      </c>
      <c r="E91" t="e">
        <f ca="1">SUM(E82:E90)</f>
        <v>#NAME?</v>
      </c>
      <c r="F91" s="47" t="s">
        <v>451</v>
      </c>
      <c r="G91" s="156" t="e">
        <f ca="1">SUM(G82:G90)</f>
        <v>#NAME?</v>
      </c>
      <c r="H91" s="157" t="e">
        <f ca="1">SUM(H82:H90)</f>
        <v>#NAME?</v>
      </c>
      <c r="I91" s="157" t="e">
        <f ca="1">SUM(I82:I90)</f>
        <v>#NAME?</v>
      </c>
      <c r="J91" s="158" t="e">
        <f ca="1">SUM(J82:J90)</f>
        <v>#NAME?</v>
      </c>
      <c r="CG91">
        <f t="shared" si="22"/>
        <v>73</v>
      </c>
      <c r="CH91" s="123" t="e">
        <f ca="1"/>
        <v>#NAME?</v>
      </c>
      <c r="CI91" s="37" t="e">
        <f ca="1"/>
        <v>#NAME?</v>
      </c>
      <c r="CJ91" s="37" t="e">
        <f ca="1"/>
        <v>#NAME?</v>
      </c>
      <c r="CK91" s="90" t="e">
        <f ca="1"/>
        <v>#NAME?</v>
      </c>
      <c r="CY91">
        <f t="shared" si="23"/>
        <v>73</v>
      </c>
      <c r="CZ91" s="123" t="e">
        <f ca="1"/>
        <v>#NAME?</v>
      </c>
      <c r="DA91" s="37" t="e">
        <f ca="1"/>
        <v>#NAME?</v>
      </c>
      <c r="DB91" s="37" t="e">
        <f ca="1"/>
        <v>#NAME?</v>
      </c>
      <c r="DC91" s="90" t="e">
        <f ca="1"/>
        <v>#NAME?</v>
      </c>
      <c r="DQ91">
        <f t="shared" si="6"/>
        <v>66</v>
      </c>
      <c r="DR91" s="123" t="e">
        <f ca="1"/>
        <v>#NAME?</v>
      </c>
      <c r="DS91" s="37" t="e">
        <f ca="1"/>
        <v>#NAME?</v>
      </c>
      <c r="DT91" s="37" t="e">
        <f ca="1"/>
        <v>#NAME?</v>
      </c>
      <c r="DU91" s="90" t="e">
        <f ca="1"/>
        <v>#NAME?</v>
      </c>
      <c r="ED91" s="123" t="e">
        <f ca="1"/>
        <v>#NAME?</v>
      </c>
      <c r="EE91" s="37" t="e">
        <f ca="1"/>
        <v>#NAME?</v>
      </c>
      <c r="EF91" s="37" t="e">
        <f ca="1"/>
        <v>#NAME?</v>
      </c>
      <c r="EG91" s="90" t="e">
        <f ca="1"/>
        <v>#NAME?</v>
      </c>
    </row>
    <row r="92" spans="1:137" x14ac:dyDescent="0.35">
      <c r="F92" s="47" t="s">
        <v>452</v>
      </c>
      <c r="G92" s="123" t="e">
        <f ca="1">SUMSQ(G82:G90)</f>
        <v>#NAME?</v>
      </c>
      <c r="H92" s="37" t="e">
        <f ca="1">SUMSQ(H82:H90)</f>
        <v>#NAME?</v>
      </c>
      <c r="I92" s="37" t="e">
        <f ca="1">SUMSQ(I82:I90)</f>
        <v>#NAME?</v>
      </c>
      <c r="J92" s="90" t="e">
        <f ca="1">SUMSQ(J82:J90)</f>
        <v>#NAME?</v>
      </c>
      <c r="CG92">
        <f t="shared" si="22"/>
        <v>74</v>
      </c>
      <c r="CH92" s="123" t="e">
        <f ca="1"/>
        <v>#NAME?</v>
      </c>
      <c r="CI92" s="37" t="e">
        <f ca="1"/>
        <v>#NAME?</v>
      </c>
      <c r="CJ92" s="37" t="e">
        <f ca="1"/>
        <v>#NAME?</v>
      </c>
      <c r="CK92" s="90" t="e">
        <f ca="1"/>
        <v>#NAME?</v>
      </c>
      <c r="CY92">
        <f t="shared" si="23"/>
        <v>74</v>
      </c>
      <c r="CZ92" s="123" t="e">
        <f ca="1"/>
        <v>#NAME?</v>
      </c>
      <c r="DA92" s="37" t="e">
        <f ca="1"/>
        <v>#NAME?</v>
      </c>
      <c r="DB92" s="37" t="e">
        <f ca="1"/>
        <v>#NAME?</v>
      </c>
      <c r="DC92" s="90" t="e">
        <f ca="1"/>
        <v>#NAME?</v>
      </c>
      <c r="DQ92">
        <f t="shared" ref="DQ92:DQ145" si="24">DQ91+1</f>
        <v>67</v>
      </c>
      <c r="DR92" s="123" t="e">
        <f ca="1"/>
        <v>#NAME?</v>
      </c>
      <c r="DS92" s="37" t="e">
        <f ca="1"/>
        <v>#NAME?</v>
      </c>
      <c r="DT92" s="37" t="e">
        <f ca="1"/>
        <v>#NAME?</v>
      </c>
      <c r="DU92" s="90" t="e">
        <f ca="1"/>
        <v>#NAME?</v>
      </c>
      <c r="ED92" s="123" t="e">
        <f ca="1"/>
        <v>#NAME?</v>
      </c>
      <c r="EE92" s="37" t="e">
        <f ca="1"/>
        <v>#NAME?</v>
      </c>
      <c r="EF92" s="37" t="e">
        <f ca="1"/>
        <v>#NAME?</v>
      </c>
      <c r="EG92" s="90" t="e">
        <f ca="1"/>
        <v>#NAME?</v>
      </c>
    </row>
    <row r="93" spans="1:137" x14ac:dyDescent="0.35">
      <c r="F93" s="47" t="s">
        <v>453</v>
      </c>
      <c r="G93" s="91" t="e">
        <f ca="1">G92-(G91/$A91)^2</f>
        <v>#NAME?</v>
      </c>
      <c r="H93" s="92" t="e">
        <f ca="1">H92-(H91/$A91)^2</f>
        <v>#NAME?</v>
      </c>
      <c r="I93" s="92" t="e">
        <f ca="1">I92-(I91/$A91)^2</f>
        <v>#NAME?</v>
      </c>
      <c r="J93" s="93" t="e">
        <f ca="1">J92-(J91/$A91)^2</f>
        <v>#NAME?</v>
      </c>
      <c r="K93" s="60" t="e">
        <f ca="1">SUM(G93:J93)</f>
        <v>#NAME?</v>
      </c>
      <c r="CG93">
        <f t="shared" si="22"/>
        <v>75</v>
      </c>
      <c r="CH93" s="123" t="e">
        <f ca="1"/>
        <v>#NAME?</v>
      </c>
      <c r="CI93" s="37" t="e">
        <f ca="1"/>
        <v>#NAME?</v>
      </c>
      <c r="CJ93" s="37" t="e">
        <f ca="1"/>
        <v>#NAME?</v>
      </c>
      <c r="CK93" s="90" t="e">
        <f ca="1"/>
        <v>#NAME?</v>
      </c>
      <c r="CY93">
        <f t="shared" si="23"/>
        <v>75</v>
      </c>
      <c r="CZ93" s="123" t="e">
        <f ca="1"/>
        <v>#NAME?</v>
      </c>
      <c r="DA93" s="37" t="e">
        <f ca="1"/>
        <v>#NAME?</v>
      </c>
      <c r="DB93" s="37" t="e">
        <f ca="1"/>
        <v>#NAME?</v>
      </c>
      <c r="DC93" s="90" t="e">
        <f ca="1"/>
        <v>#NAME?</v>
      </c>
      <c r="DQ93">
        <f t="shared" si="24"/>
        <v>68</v>
      </c>
      <c r="DR93" s="123" t="e">
        <f ca="1"/>
        <v>#NAME?</v>
      </c>
      <c r="DS93" s="37" t="e">
        <f ca="1"/>
        <v>#NAME?</v>
      </c>
      <c r="DT93" s="37" t="e">
        <f ca="1"/>
        <v>#NAME?</v>
      </c>
      <c r="DU93" s="90" t="e">
        <f ca="1"/>
        <v>#NAME?</v>
      </c>
      <c r="ED93" s="123" t="e">
        <f ca="1"/>
        <v>#NAME?</v>
      </c>
      <c r="EE93" s="37" t="e">
        <f ca="1"/>
        <v>#NAME?</v>
      </c>
      <c r="EF93" s="37" t="e">
        <f ca="1"/>
        <v>#NAME?</v>
      </c>
      <c r="EG93" s="90" t="e">
        <f ca="1"/>
        <v>#NAME?</v>
      </c>
    </row>
    <row r="94" spans="1:137" x14ac:dyDescent="0.35">
      <c r="J94" s="47" t="s">
        <v>202</v>
      </c>
      <c r="K94" s="159" t="e">
        <f ca="1">K93/A91</f>
        <v>#NAME?</v>
      </c>
      <c r="CG94">
        <f t="shared" si="22"/>
        <v>76</v>
      </c>
      <c r="CH94" s="123" t="e">
        <f ca="1"/>
        <v>#NAME?</v>
      </c>
      <c r="CI94" s="37" t="e">
        <f ca="1"/>
        <v>#NAME?</v>
      </c>
      <c r="CJ94" s="37" t="e">
        <f ca="1"/>
        <v>#NAME?</v>
      </c>
      <c r="CK94" s="90" t="e">
        <f ca="1"/>
        <v>#NAME?</v>
      </c>
      <c r="CY94">
        <f t="shared" si="23"/>
        <v>76</v>
      </c>
      <c r="CZ94" s="123" t="e">
        <f ca="1"/>
        <v>#NAME?</v>
      </c>
      <c r="DA94" s="37" t="e">
        <f ca="1"/>
        <v>#NAME?</v>
      </c>
      <c r="DB94" s="37" t="e">
        <f ca="1"/>
        <v>#NAME?</v>
      </c>
      <c r="DC94" s="90" t="e">
        <f ca="1"/>
        <v>#NAME?</v>
      </c>
      <c r="DQ94">
        <f t="shared" si="24"/>
        <v>69</v>
      </c>
      <c r="DR94" s="123" t="e">
        <f ca="1"/>
        <v>#NAME?</v>
      </c>
      <c r="DS94" s="37" t="e">
        <f ca="1"/>
        <v>#NAME?</v>
      </c>
      <c r="DT94" s="37" t="e">
        <f ca="1"/>
        <v>#NAME?</v>
      </c>
      <c r="DU94" s="90" t="e">
        <f ca="1"/>
        <v>#NAME?</v>
      </c>
      <c r="ED94" s="123" t="e">
        <f ca="1"/>
        <v>#NAME?</v>
      </c>
      <c r="EE94" s="37" t="e">
        <f ca="1"/>
        <v>#NAME?</v>
      </c>
      <c r="EF94" s="37" t="e">
        <f ca="1"/>
        <v>#NAME?</v>
      </c>
      <c r="EG94" s="90" t="e">
        <f ca="1"/>
        <v>#NAME?</v>
      </c>
    </row>
    <row r="95" spans="1:137" x14ac:dyDescent="0.35">
      <c r="CG95">
        <f t="shared" si="22"/>
        <v>77</v>
      </c>
      <c r="CH95" s="123" t="e">
        <f ca="1"/>
        <v>#NAME?</v>
      </c>
      <c r="CI95" s="37" t="e">
        <f ca="1"/>
        <v>#NAME?</v>
      </c>
      <c r="CJ95" s="37" t="e">
        <f ca="1"/>
        <v>#NAME?</v>
      </c>
      <c r="CK95" s="90" t="e">
        <f ca="1"/>
        <v>#NAME?</v>
      </c>
      <c r="CY95">
        <f t="shared" si="23"/>
        <v>77</v>
      </c>
      <c r="CZ95" s="123" t="e">
        <f ca="1"/>
        <v>#NAME?</v>
      </c>
      <c r="DA95" s="37" t="e">
        <f ca="1"/>
        <v>#NAME?</v>
      </c>
      <c r="DB95" s="37" t="e">
        <f ca="1"/>
        <v>#NAME?</v>
      </c>
      <c r="DC95" s="90" t="e">
        <f ca="1"/>
        <v>#NAME?</v>
      </c>
      <c r="DQ95">
        <f t="shared" si="24"/>
        <v>70</v>
      </c>
      <c r="DR95" s="123" t="e">
        <f ca="1"/>
        <v>#NAME?</v>
      </c>
      <c r="DS95" s="37" t="e">
        <f ca="1"/>
        <v>#NAME?</v>
      </c>
      <c r="DT95" s="37" t="e">
        <f ca="1"/>
        <v>#NAME?</v>
      </c>
      <c r="DU95" s="90" t="e">
        <f ca="1"/>
        <v>#NAME?</v>
      </c>
      <c r="ED95" s="123" t="e">
        <f ca="1"/>
        <v>#NAME?</v>
      </c>
      <c r="EE95" s="37" t="e">
        <f ca="1"/>
        <v>#NAME?</v>
      </c>
      <c r="EF95" s="37" t="e">
        <f ca="1"/>
        <v>#NAME?</v>
      </c>
      <c r="EG95" s="90" t="e">
        <f ca="1"/>
        <v>#NAME?</v>
      </c>
    </row>
    <row r="96" spans="1:137" x14ac:dyDescent="0.35">
      <c r="A96" t="s">
        <v>454</v>
      </c>
      <c r="CG96">
        <f t="shared" si="22"/>
        <v>78</v>
      </c>
      <c r="CH96" s="123" t="e">
        <f ca="1"/>
        <v>#NAME?</v>
      </c>
      <c r="CI96" s="37" t="e">
        <f ca="1"/>
        <v>#NAME?</v>
      </c>
      <c r="CJ96" s="37" t="e">
        <f ca="1"/>
        <v>#NAME?</v>
      </c>
      <c r="CK96" s="90" t="e">
        <f ca="1"/>
        <v>#NAME?</v>
      </c>
      <c r="CY96">
        <f t="shared" si="23"/>
        <v>78</v>
      </c>
      <c r="CZ96" s="123" t="e">
        <f ca="1"/>
        <v>#NAME?</v>
      </c>
      <c r="DA96" s="37" t="e">
        <f ca="1"/>
        <v>#NAME?</v>
      </c>
      <c r="DB96" s="37" t="e">
        <f ca="1"/>
        <v>#NAME?</v>
      </c>
      <c r="DC96" s="90" t="e">
        <f ca="1"/>
        <v>#NAME?</v>
      </c>
      <c r="DQ96">
        <f t="shared" si="24"/>
        <v>71</v>
      </c>
      <c r="DR96" s="123" t="e">
        <f ca="1"/>
        <v>#NAME?</v>
      </c>
      <c r="DS96" s="37" t="e">
        <f ca="1"/>
        <v>#NAME?</v>
      </c>
      <c r="DT96" s="37" t="e">
        <f ca="1"/>
        <v>#NAME?</v>
      </c>
      <c r="DU96" s="90" t="e">
        <f ca="1"/>
        <v>#NAME?</v>
      </c>
      <c r="ED96" s="123" t="e">
        <f ca="1"/>
        <v>#NAME?</v>
      </c>
      <c r="EE96" s="37" t="e">
        <f ca="1"/>
        <v>#NAME?</v>
      </c>
      <c r="EF96" s="37" t="e">
        <f ca="1"/>
        <v>#NAME?</v>
      </c>
      <c r="EG96" s="90" t="e">
        <f ca="1"/>
        <v>#NAME?</v>
      </c>
    </row>
    <row r="97" spans="1:137" x14ac:dyDescent="0.35">
      <c r="CG97">
        <f t="shared" si="22"/>
        <v>79</v>
      </c>
      <c r="CH97" s="123" t="e">
        <f ca="1"/>
        <v>#NAME?</v>
      </c>
      <c r="CI97" s="37" t="e">
        <f ca="1"/>
        <v>#NAME?</v>
      </c>
      <c r="CJ97" s="37" t="e">
        <f ca="1"/>
        <v>#NAME?</v>
      </c>
      <c r="CK97" s="90" t="e">
        <f ca="1"/>
        <v>#NAME?</v>
      </c>
      <c r="CY97">
        <f t="shared" si="23"/>
        <v>79</v>
      </c>
      <c r="CZ97" s="123" t="e">
        <f ca="1"/>
        <v>#NAME?</v>
      </c>
      <c r="DA97" s="37" t="e">
        <f ca="1"/>
        <v>#NAME?</v>
      </c>
      <c r="DB97" s="37" t="e">
        <f ca="1"/>
        <v>#NAME?</v>
      </c>
      <c r="DC97" s="90" t="e">
        <f ca="1"/>
        <v>#NAME?</v>
      </c>
      <c r="DQ97">
        <f t="shared" si="24"/>
        <v>72</v>
      </c>
      <c r="DR97" s="123" t="e">
        <f ca="1"/>
        <v>#NAME?</v>
      </c>
      <c r="DS97" s="37" t="e">
        <f ca="1"/>
        <v>#NAME?</v>
      </c>
      <c r="DT97" s="37" t="e">
        <f ca="1"/>
        <v>#NAME?</v>
      </c>
      <c r="DU97" s="90" t="e">
        <f ca="1"/>
        <v>#NAME?</v>
      </c>
      <c r="ED97" s="123" t="e">
        <f ca="1"/>
        <v>#NAME?</v>
      </c>
      <c r="EE97" s="37" t="e">
        <f ca="1"/>
        <v>#NAME?</v>
      </c>
      <c r="EF97" s="37" t="e">
        <f ca="1"/>
        <v>#NAME?</v>
      </c>
      <c r="EG97" s="90" t="e">
        <f ca="1"/>
        <v>#NAME?</v>
      </c>
    </row>
    <row r="98" spans="1:137" ht="16.5" x14ac:dyDescent="0.35">
      <c r="A98" t="s">
        <v>208</v>
      </c>
      <c r="E98" t="s">
        <v>449</v>
      </c>
      <c r="G98" t="s">
        <v>450</v>
      </c>
      <c r="CG98">
        <f t="shared" si="22"/>
        <v>80</v>
      </c>
      <c r="CH98" s="123" t="e">
        <f ca="1"/>
        <v>#NAME?</v>
      </c>
      <c r="CI98" s="37" t="e">
        <f ca="1"/>
        <v>#NAME?</v>
      </c>
      <c r="CJ98" s="37" t="e">
        <f ca="1"/>
        <v>#NAME?</v>
      </c>
      <c r="CK98" s="90" t="e">
        <f ca="1"/>
        <v>#NAME?</v>
      </c>
      <c r="CY98">
        <f t="shared" si="23"/>
        <v>80</v>
      </c>
      <c r="CZ98" s="123" t="e">
        <f ca="1"/>
        <v>#NAME?</v>
      </c>
      <c r="DA98" s="37" t="e">
        <f ca="1"/>
        <v>#NAME?</v>
      </c>
      <c r="DB98" s="37" t="e">
        <f ca="1"/>
        <v>#NAME?</v>
      </c>
      <c r="DC98" s="90" t="e">
        <f ca="1"/>
        <v>#NAME?</v>
      </c>
      <c r="DQ98">
        <f t="shared" si="24"/>
        <v>73</v>
      </c>
      <c r="DR98" s="123" t="e">
        <f ca="1"/>
        <v>#NAME?</v>
      </c>
      <c r="DS98" s="37" t="e">
        <f ca="1"/>
        <v>#NAME?</v>
      </c>
      <c r="DT98" s="37" t="e">
        <f ca="1"/>
        <v>#NAME?</v>
      </c>
      <c r="DU98" s="90" t="e">
        <f ca="1"/>
        <v>#NAME?</v>
      </c>
      <c r="ED98" s="123" t="e">
        <f ca="1"/>
        <v>#NAME?</v>
      </c>
      <c r="EE98" s="37" t="e">
        <f ca="1"/>
        <v>#NAME?</v>
      </c>
      <c r="EF98" s="37" t="e">
        <f ca="1"/>
        <v>#NAME?</v>
      </c>
      <c r="EG98" s="90" t="e">
        <f ca="1"/>
        <v>#NAME?</v>
      </c>
    </row>
    <row r="99" spans="1:137" x14ac:dyDescent="0.35">
      <c r="A99" s="156" t="e">
        <f t="array" ref="A99:D107" ca="1">I44:L52</f>
        <v>#NAME?</v>
      </c>
      <c r="B99" s="157" t="e">
        <f ca="1"/>
        <v>#NAME?</v>
      </c>
      <c r="C99" s="157" t="e">
        <f ca="1"/>
        <v>#NAME?</v>
      </c>
      <c r="D99" s="158" t="e">
        <f ca="1"/>
        <v>#NAME?</v>
      </c>
      <c r="E99" s="172" t="e">
        <f ca="1">SUMSQ(A99:D99)</f>
        <v>#NAME?</v>
      </c>
      <c r="G99" s="156" t="e">
        <f ca="1">(A99/$E99)^2</f>
        <v>#NAME?</v>
      </c>
      <c r="H99" s="157" t="e">
        <f t="shared" ref="H99:J107" ca="1" si="25">(B99/$E99)^2</f>
        <v>#NAME?</v>
      </c>
      <c r="I99" s="157" t="e">
        <f t="shared" ca="1" si="25"/>
        <v>#NAME?</v>
      </c>
      <c r="J99" s="158" t="e">
        <f t="shared" ca="1" si="25"/>
        <v>#NAME?</v>
      </c>
      <c r="CG99">
        <f t="shared" si="22"/>
        <v>81</v>
      </c>
      <c r="CH99" s="123" t="e">
        <f ca="1"/>
        <v>#NAME?</v>
      </c>
      <c r="CI99" s="37" t="e">
        <f ca="1"/>
        <v>#NAME?</v>
      </c>
      <c r="CJ99" s="37" t="e">
        <f ca="1"/>
        <v>#NAME?</v>
      </c>
      <c r="CK99" s="90" t="e">
        <f ca="1"/>
        <v>#NAME?</v>
      </c>
      <c r="CY99">
        <f t="shared" si="23"/>
        <v>81</v>
      </c>
      <c r="CZ99" s="123" t="e">
        <f ca="1"/>
        <v>#NAME?</v>
      </c>
      <c r="DA99" s="37" t="e">
        <f ca="1"/>
        <v>#NAME?</v>
      </c>
      <c r="DB99" s="37" t="e">
        <f ca="1"/>
        <v>#NAME?</v>
      </c>
      <c r="DC99" s="90" t="e">
        <f ca="1"/>
        <v>#NAME?</v>
      </c>
      <c r="DQ99">
        <f t="shared" si="24"/>
        <v>74</v>
      </c>
      <c r="DR99" s="123" t="e">
        <f ca="1"/>
        <v>#NAME?</v>
      </c>
      <c r="DS99" s="37" t="e">
        <f ca="1"/>
        <v>#NAME?</v>
      </c>
      <c r="DT99" s="37" t="e">
        <f ca="1"/>
        <v>#NAME?</v>
      </c>
      <c r="DU99" s="90" t="e">
        <f ca="1"/>
        <v>#NAME?</v>
      </c>
      <c r="ED99" s="123" t="e">
        <f ca="1"/>
        <v>#NAME?</v>
      </c>
      <c r="EE99" s="37" t="e">
        <f ca="1"/>
        <v>#NAME?</v>
      </c>
      <c r="EF99" s="37" t="e">
        <f ca="1"/>
        <v>#NAME?</v>
      </c>
      <c r="EG99" s="90" t="e">
        <f ca="1"/>
        <v>#NAME?</v>
      </c>
    </row>
    <row r="100" spans="1:137" x14ac:dyDescent="0.35">
      <c r="A100" s="123" t="e">
        <f ca="1"/>
        <v>#NAME?</v>
      </c>
      <c r="B100" s="37" t="e">
        <f ca="1"/>
        <v>#NAME?</v>
      </c>
      <c r="C100" s="37" t="e">
        <f ca="1"/>
        <v>#NAME?</v>
      </c>
      <c r="D100" s="90" t="e">
        <f ca="1"/>
        <v>#NAME?</v>
      </c>
      <c r="E100" s="173" t="e">
        <f t="shared" ref="E100:E107" ca="1" si="26">SUMSQ(A100:D100)</f>
        <v>#NAME?</v>
      </c>
      <c r="G100" s="123" t="e">
        <f t="shared" ref="G100:G107" ca="1" si="27">(A100/$E100)^2</f>
        <v>#NAME?</v>
      </c>
      <c r="H100" s="37" t="e">
        <f t="shared" ca="1" si="25"/>
        <v>#NAME?</v>
      </c>
      <c r="I100" s="37" t="e">
        <f t="shared" ca="1" si="25"/>
        <v>#NAME?</v>
      </c>
      <c r="J100" s="90" t="e">
        <f t="shared" ca="1" si="25"/>
        <v>#NAME?</v>
      </c>
      <c r="CG100">
        <f t="shared" si="22"/>
        <v>82</v>
      </c>
      <c r="CH100" s="123" t="e">
        <f ca="1"/>
        <v>#NAME?</v>
      </c>
      <c r="CI100" s="37" t="e">
        <f ca="1"/>
        <v>#NAME?</v>
      </c>
      <c r="CJ100" s="37" t="e">
        <f ca="1"/>
        <v>#NAME?</v>
      </c>
      <c r="CK100" s="90" t="e">
        <f ca="1"/>
        <v>#NAME?</v>
      </c>
      <c r="CY100">
        <f t="shared" si="23"/>
        <v>82</v>
      </c>
      <c r="CZ100" s="123" t="e">
        <f ca="1"/>
        <v>#NAME?</v>
      </c>
      <c r="DA100" s="37" t="e">
        <f ca="1"/>
        <v>#NAME?</v>
      </c>
      <c r="DB100" s="37" t="e">
        <f ca="1"/>
        <v>#NAME?</v>
      </c>
      <c r="DC100" s="90" t="e">
        <f ca="1"/>
        <v>#NAME?</v>
      </c>
      <c r="DQ100">
        <f t="shared" si="24"/>
        <v>75</v>
      </c>
      <c r="DR100" s="123" t="e">
        <f ca="1"/>
        <v>#NAME?</v>
      </c>
      <c r="DS100" s="37" t="e">
        <f ca="1"/>
        <v>#NAME?</v>
      </c>
      <c r="DT100" s="37" t="e">
        <f ca="1"/>
        <v>#NAME?</v>
      </c>
      <c r="DU100" s="90" t="e">
        <f ca="1"/>
        <v>#NAME?</v>
      </c>
      <c r="ED100" s="123" t="e">
        <f ca="1"/>
        <v>#NAME?</v>
      </c>
      <c r="EE100" s="37" t="e">
        <f ca="1"/>
        <v>#NAME?</v>
      </c>
      <c r="EF100" s="37" t="e">
        <f ca="1"/>
        <v>#NAME?</v>
      </c>
      <c r="EG100" s="90" t="e">
        <f ca="1"/>
        <v>#NAME?</v>
      </c>
    </row>
    <row r="101" spans="1:137" x14ac:dyDescent="0.35">
      <c r="A101" s="123" t="e">
        <f ca="1"/>
        <v>#NAME?</v>
      </c>
      <c r="B101" s="37" t="e">
        <f ca="1"/>
        <v>#NAME?</v>
      </c>
      <c r="C101" s="37" t="e">
        <f ca="1"/>
        <v>#NAME?</v>
      </c>
      <c r="D101" s="90" t="e">
        <f ca="1"/>
        <v>#NAME?</v>
      </c>
      <c r="E101" s="173" t="e">
        <f t="shared" ca="1" si="26"/>
        <v>#NAME?</v>
      </c>
      <c r="G101" s="123" t="e">
        <f t="shared" ca="1" si="27"/>
        <v>#NAME?</v>
      </c>
      <c r="H101" s="37" t="e">
        <f t="shared" ca="1" si="25"/>
        <v>#NAME?</v>
      </c>
      <c r="I101" s="37" t="e">
        <f t="shared" ca="1" si="25"/>
        <v>#NAME?</v>
      </c>
      <c r="J101" s="90" t="e">
        <f t="shared" ca="1" si="25"/>
        <v>#NAME?</v>
      </c>
      <c r="CG101">
        <f t="shared" si="22"/>
        <v>83</v>
      </c>
      <c r="CH101" s="123" t="e">
        <f ca="1"/>
        <v>#NAME?</v>
      </c>
      <c r="CI101" s="37" t="e">
        <f ca="1"/>
        <v>#NAME?</v>
      </c>
      <c r="CJ101" s="37" t="e">
        <f ca="1"/>
        <v>#NAME?</v>
      </c>
      <c r="CK101" s="90" t="e">
        <f ca="1"/>
        <v>#NAME?</v>
      </c>
      <c r="CY101">
        <f t="shared" si="23"/>
        <v>83</v>
      </c>
      <c r="CZ101" s="123" t="e">
        <f ca="1"/>
        <v>#NAME?</v>
      </c>
      <c r="DA101" s="37" t="e">
        <f ca="1"/>
        <v>#NAME?</v>
      </c>
      <c r="DB101" s="37" t="e">
        <f ca="1"/>
        <v>#NAME?</v>
      </c>
      <c r="DC101" s="90" t="e">
        <f ca="1"/>
        <v>#NAME?</v>
      </c>
      <c r="DQ101">
        <f t="shared" si="24"/>
        <v>76</v>
      </c>
      <c r="DR101" s="123" t="e">
        <f ca="1"/>
        <v>#NAME?</v>
      </c>
      <c r="DS101" s="37" t="e">
        <f ca="1"/>
        <v>#NAME?</v>
      </c>
      <c r="DT101" s="37" t="e">
        <f ca="1"/>
        <v>#NAME?</v>
      </c>
      <c r="DU101" s="90" t="e">
        <f ca="1"/>
        <v>#NAME?</v>
      </c>
      <c r="ED101" s="123" t="e">
        <f ca="1"/>
        <v>#NAME?</v>
      </c>
      <c r="EE101" s="37" t="e">
        <f ca="1"/>
        <v>#NAME?</v>
      </c>
      <c r="EF101" s="37" t="e">
        <f ca="1"/>
        <v>#NAME?</v>
      </c>
      <c r="EG101" s="90" t="e">
        <f ca="1"/>
        <v>#NAME?</v>
      </c>
    </row>
    <row r="102" spans="1:137" x14ac:dyDescent="0.35">
      <c r="A102" s="123" t="e">
        <f ca="1"/>
        <v>#NAME?</v>
      </c>
      <c r="B102" s="37" t="e">
        <f ca="1"/>
        <v>#NAME?</v>
      </c>
      <c r="C102" s="37" t="e">
        <f ca="1"/>
        <v>#NAME?</v>
      </c>
      <c r="D102" s="90" t="e">
        <f ca="1"/>
        <v>#NAME?</v>
      </c>
      <c r="E102" s="173" t="e">
        <f t="shared" ca="1" si="26"/>
        <v>#NAME?</v>
      </c>
      <c r="G102" s="123" t="e">
        <f t="shared" ca="1" si="27"/>
        <v>#NAME?</v>
      </c>
      <c r="H102" s="37" t="e">
        <f t="shared" ca="1" si="25"/>
        <v>#NAME?</v>
      </c>
      <c r="I102" s="37" t="e">
        <f t="shared" ca="1" si="25"/>
        <v>#NAME?</v>
      </c>
      <c r="J102" s="90" t="e">
        <f t="shared" ca="1" si="25"/>
        <v>#NAME?</v>
      </c>
      <c r="CG102">
        <f t="shared" si="22"/>
        <v>84</v>
      </c>
      <c r="CH102" s="123" t="e">
        <f ca="1"/>
        <v>#NAME?</v>
      </c>
      <c r="CI102" s="37" t="e">
        <f ca="1"/>
        <v>#NAME?</v>
      </c>
      <c r="CJ102" s="37" t="e">
        <f ca="1"/>
        <v>#NAME?</v>
      </c>
      <c r="CK102" s="90" t="e">
        <f ca="1"/>
        <v>#NAME?</v>
      </c>
      <c r="CY102">
        <f t="shared" si="23"/>
        <v>84</v>
      </c>
      <c r="CZ102" s="123" t="e">
        <f ca="1"/>
        <v>#NAME?</v>
      </c>
      <c r="DA102" s="37" t="e">
        <f ca="1"/>
        <v>#NAME?</v>
      </c>
      <c r="DB102" s="37" t="e">
        <f ca="1"/>
        <v>#NAME?</v>
      </c>
      <c r="DC102" s="90" t="e">
        <f ca="1"/>
        <v>#NAME?</v>
      </c>
      <c r="DQ102">
        <f t="shared" si="24"/>
        <v>77</v>
      </c>
      <c r="DR102" s="123" t="e">
        <f ca="1"/>
        <v>#NAME?</v>
      </c>
      <c r="DS102" s="37" t="e">
        <f ca="1"/>
        <v>#NAME?</v>
      </c>
      <c r="DT102" s="37" t="e">
        <f ca="1"/>
        <v>#NAME?</v>
      </c>
      <c r="DU102" s="90" t="e">
        <f ca="1"/>
        <v>#NAME?</v>
      </c>
      <c r="ED102" s="123" t="e">
        <f ca="1"/>
        <v>#NAME?</v>
      </c>
      <c r="EE102" s="37" t="e">
        <f ca="1"/>
        <v>#NAME?</v>
      </c>
      <c r="EF102" s="37" t="e">
        <f ca="1"/>
        <v>#NAME?</v>
      </c>
      <c r="EG102" s="90" t="e">
        <f ca="1"/>
        <v>#NAME?</v>
      </c>
    </row>
    <row r="103" spans="1:137" x14ac:dyDescent="0.35">
      <c r="A103" s="123" t="e">
        <f ca="1"/>
        <v>#NAME?</v>
      </c>
      <c r="B103" s="37" t="e">
        <f ca="1"/>
        <v>#NAME?</v>
      </c>
      <c r="C103" s="37" t="e">
        <f ca="1"/>
        <v>#NAME?</v>
      </c>
      <c r="D103" s="90" t="e">
        <f ca="1"/>
        <v>#NAME?</v>
      </c>
      <c r="E103" s="173" t="e">
        <f t="shared" ca="1" si="26"/>
        <v>#NAME?</v>
      </c>
      <c r="G103" s="123" t="e">
        <f t="shared" ca="1" si="27"/>
        <v>#NAME?</v>
      </c>
      <c r="H103" s="37" t="e">
        <f t="shared" ca="1" si="25"/>
        <v>#NAME?</v>
      </c>
      <c r="I103" s="37" t="e">
        <f t="shared" ca="1" si="25"/>
        <v>#NAME?</v>
      </c>
      <c r="J103" s="90" t="e">
        <f t="shared" ca="1" si="25"/>
        <v>#NAME?</v>
      </c>
      <c r="CG103">
        <f t="shared" si="22"/>
        <v>85</v>
      </c>
      <c r="CH103" s="123" t="e">
        <f ca="1"/>
        <v>#NAME?</v>
      </c>
      <c r="CI103" s="37" t="e">
        <f ca="1"/>
        <v>#NAME?</v>
      </c>
      <c r="CJ103" s="37" t="e">
        <f ca="1"/>
        <v>#NAME?</v>
      </c>
      <c r="CK103" s="90" t="e">
        <f ca="1"/>
        <v>#NAME?</v>
      </c>
      <c r="CY103">
        <f t="shared" si="23"/>
        <v>85</v>
      </c>
      <c r="CZ103" s="123" t="e">
        <f ca="1"/>
        <v>#NAME?</v>
      </c>
      <c r="DA103" s="37" t="e">
        <f ca="1"/>
        <v>#NAME?</v>
      </c>
      <c r="DB103" s="37" t="e">
        <f ca="1"/>
        <v>#NAME?</v>
      </c>
      <c r="DC103" s="90" t="e">
        <f ca="1"/>
        <v>#NAME?</v>
      </c>
      <c r="DQ103">
        <f t="shared" si="24"/>
        <v>78</v>
      </c>
      <c r="DR103" s="123" t="e">
        <f ca="1"/>
        <v>#NAME?</v>
      </c>
      <c r="DS103" s="37" t="e">
        <f ca="1"/>
        <v>#NAME?</v>
      </c>
      <c r="DT103" s="37" t="e">
        <f ca="1"/>
        <v>#NAME?</v>
      </c>
      <c r="DU103" s="90" t="e">
        <f ca="1"/>
        <v>#NAME?</v>
      </c>
      <c r="ED103" s="123" t="e">
        <f ca="1"/>
        <v>#NAME?</v>
      </c>
      <c r="EE103" s="37" t="e">
        <f ca="1"/>
        <v>#NAME?</v>
      </c>
      <c r="EF103" s="37" t="e">
        <f ca="1"/>
        <v>#NAME?</v>
      </c>
      <c r="EG103" s="90" t="e">
        <f ca="1"/>
        <v>#NAME?</v>
      </c>
    </row>
    <row r="104" spans="1:137" x14ac:dyDescent="0.35">
      <c r="A104" s="123" t="e">
        <f ca="1"/>
        <v>#NAME?</v>
      </c>
      <c r="B104" s="37" t="e">
        <f ca="1"/>
        <v>#NAME?</v>
      </c>
      <c r="C104" s="37" t="e">
        <f ca="1"/>
        <v>#NAME?</v>
      </c>
      <c r="D104" s="90" t="e">
        <f ca="1"/>
        <v>#NAME?</v>
      </c>
      <c r="E104" s="173" t="e">
        <f t="shared" ca="1" si="26"/>
        <v>#NAME?</v>
      </c>
      <c r="G104" s="123" t="e">
        <f t="shared" ca="1" si="27"/>
        <v>#NAME?</v>
      </c>
      <c r="H104" s="37" t="e">
        <f t="shared" ca="1" si="25"/>
        <v>#NAME?</v>
      </c>
      <c r="I104" s="37" t="e">
        <f t="shared" ca="1" si="25"/>
        <v>#NAME?</v>
      </c>
      <c r="J104" s="90" t="e">
        <f t="shared" ca="1" si="25"/>
        <v>#NAME?</v>
      </c>
      <c r="CG104">
        <f t="shared" si="22"/>
        <v>86</v>
      </c>
      <c r="CH104" s="123" t="e">
        <f ca="1"/>
        <v>#NAME?</v>
      </c>
      <c r="CI104" s="37" t="e">
        <f ca="1"/>
        <v>#NAME?</v>
      </c>
      <c r="CJ104" s="37" t="e">
        <f ca="1"/>
        <v>#NAME?</v>
      </c>
      <c r="CK104" s="90" t="e">
        <f ca="1"/>
        <v>#NAME?</v>
      </c>
      <c r="CY104">
        <f t="shared" si="23"/>
        <v>86</v>
      </c>
      <c r="CZ104" s="123" t="e">
        <f ca="1"/>
        <v>#NAME?</v>
      </c>
      <c r="DA104" s="37" t="e">
        <f ca="1"/>
        <v>#NAME?</v>
      </c>
      <c r="DB104" s="37" t="e">
        <f ca="1"/>
        <v>#NAME?</v>
      </c>
      <c r="DC104" s="90" t="e">
        <f ca="1"/>
        <v>#NAME?</v>
      </c>
      <c r="DQ104">
        <f t="shared" si="24"/>
        <v>79</v>
      </c>
      <c r="DR104" s="123" t="e">
        <f ca="1"/>
        <v>#NAME?</v>
      </c>
      <c r="DS104" s="37" t="e">
        <f ca="1"/>
        <v>#NAME?</v>
      </c>
      <c r="DT104" s="37" t="e">
        <f ca="1"/>
        <v>#NAME?</v>
      </c>
      <c r="DU104" s="90" t="e">
        <f ca="1"/>
        <v>#NAME?</v>
      </c>
      <c r="ED104" s="123" t="e">
        <f ca="1"/>
        <v>#NAME?</v>
      </c>
      <c r="EE104" s="37" t="e">
        <f ca="1"/>
        <v>#NAME?</v>
      </c>
      <c r="EF104" s="37" t="e">
        <f ca="1"/>
        <v>#NAME?</v>
      </c>
      <c r="EG104" s="90" t="e">
        <f ca="1"/>
        <v>#NAME?</v>
      </c>
    </row>
    <row r="105" spans="1:137" x14ac:dyDescent="0.35">
      <c r="A105" s="123" t="e">
        <f ca="1"/>
        <v>#NAME?</v>
      </c>
      <c r="B105" s="37" t="e">
        <f ca="1"/>
        <v>#NAME?</v>
      </c>
      <c r="C105" s="37" t="e">
        <f ca="1"/>
        <v>#NAME?</v>
      </c>
      <c r="D105" s="90" t="e">
        <f ca="1"/>
        <v>#NAME?</v>
      </c>
      <c r="E105" s="173" t="e">
        <f t="shared" ca="1" si="26"/>
        <v>#NAME?</v>
      </c>
      <c r="G105" s="123" t="e">
        <f t="shared" ca="1" si="27"/>
        <v>#NAME?</v>
      </c>
      <c r="H105" s="37" t="e">
        <f t="shared" ca="1" si="25"/>
        <v>#NAME?</v>
      </c>
      <c r="I105" s="37" t="e">
        <f t="shared" ca="1" si="25"/>
        <v>#NAME?</v>
      </c>
      <c r="J105" s="90" t="e">
        <f t="shared" ca="1" si="25"/>
        <v>#NAME?</v>
      </c>
      <c r="CG105">
        <f t="shared" si="22"/>
        <v>87</v>
      </c>
      <c r="CH105" s="123" t="e">
        <f ca="1"/>
        <v>#NAME?</v>
      </c>
      <c r="CI105" s="37" t="e">
        <f ca="1"/>
        <v>#NAME?</v>
      </c>
      <c r="CJ105" s="37" t="e">
        <f ca="1"/>
        <v>#NAME?</v>
      </c>
      <c r="CK105" s="90" t="e">
        <f ca="1"/>
        <v>#NAME?</v>
      </c>
      <c r="CY105">
        <f t="shared" si="23"/>
        <v>87</v>
      </c>
      <c r="CZ105" s="123" t="e">
        <f ca="1"/>
        <v>#NAME?</v>
      </c>
      <c r="DA105" s="37" t="e">
        <f ca="1"/>
        <v>#NAME?</v>
      </c>
      <c r="DB105" s="37" t="e">
        <f ca="1"/>
        <v>#NAME?</v>
      </c>
      <c r="DC105" s="90" t="e">
        <f ca="1"/>
        <v>#NAME?</v>
      </c>
      <c r="DQ105">
        <f t="shared" si="24"/>
        <v>80</v>
      </c>
      <c r="DR105" s="123" t="e">
        <f ca="1"/>
        <v>#NAME?</v>
      </c>
      <c r="DS105" s="37" t="e">
        <f ca="1"/>
        <v>#NAME?</v>
      </c>
      <c r="DT105" s="37" t="e">
        <f ca="1"/>
        <v>#NAME?</v>
      </c>
      <c r="DU105" s="90" t="e">
        <f ca="1"/>
        <v>#NAME?</v>
      </c>
      <c r="ED105" s="123" t="e">
        <f ca="1"/>
        <v>#NAME?</v>
      </c>
      <c r="EE105" s="37" t="e">
        <f ca="1"/>
        <v>#NAME?</v>
      </c>
      <c r="EF105" s="37" t="e">
        <f ca="1"/>
        <v>#NAME?</v>
      </c>
      <c r="EG105" s="90" t="e">
        <f ca="1"/>
        <v>#NAME?</v>
      </c>
    </row>
    <row r="106" spans="1:137" x14ac:dyDescent="0.35">
      <c r="A106" s="123" t="e">
        <f ca="1"/>
        <v>#NAME?</v>
      </c>
      <c r="B106" s="37" t="e">
        <f ca="1"/>
        <v>#NAME?</v>
      </c>
      <c r="C106" s="37" t="e">
        <f ca="1"/>
        <v>#NAME?</v>
      </c>
      <c r="D106" s="90" t="e">
        <f ca="1"/>
        <v>#NAME?</v>
      </c>
      <c r="E106" s="173" t="e">
        <f t="shared" ca="1" si="26"/>
        <v>#NAME?</v>
      </c>
      <c r="G106" s="123" t="e">
        <f t="shared" ca="1" si="27"/>
        <v>#NAME?</v>
      </c>
      <c r="H106" s="37" t="e">
        <f t="shared" ca="1" si="25"/>
        <v>#NAME?</v>
      </c>
      <c r="I106" s="37" t="e">
        <f t="shared" ca="1" si="25"/>
        <v>#NAME?</v>
      </c>
      <c r="J106" s="90" t="e">
        <f t="shared" ca="1" si="25"/>
        <v>#NAME?</v>
      </c>
      <c r="CG106">
        <f t="shared" si="22"/>
        <v>88</v>
      </c>
      <c r="CH106" s="123" t="e">
        <f ca="1"/>
        <v>#NAME?</v>
      </c>
      <c r="CI106" s="37" t="e">
        <f ca="1"/>
        <v>#NAME?</v>
      </c>
      <c r="CJ106" s="37" t="e">
        <f ca="1"/>
        <v>#NAME?</v>
      </c>
      <c r="CK106" s="90" t="e">
        <f ca="1"/>
        <v>#NAME?</v>
      </c>
      <c r="CY106">
        <f t="shared" si="23"/>
        <v>88</v>
      </c>
      <c r="CZ106" s="123" t="e">
        <f ca="1"/>
        <v>#NAME?</v>
      </c>
      <c r="DA106" s="37" t="e">
        <f ca="1"/>
        <v>#NAME?</v>
      </c>
      <c r="DB106" s="37" t="e">
        <f ca="1"/>
        <v>#NAME?</v>
      </c>
      <c r="DC106" s="90" t="e">
        <f ca="1"/>
        <v>#NAME?</v>
      </c>
      <c r="DQ106">
        <f t="shared" si="24"/>
        <v>81</v>
      </c>
      <c r="DR106" s="123" t="e">
        <f ca="1"/>
        <v>#NAME?</v>
      </c>
      <c r="DS106" s="37" t="e">
        <f ca="1"/>
        <v>#NAME?</v>
      </c>
      <c r="DT106" s="37" t="e">
        <f ca="1"/>
        <v>#NAME?</v>
      </c>
      <c r="DU106" s="90" t="e">
        <f ca="1"/>
        <v>#NAME?</v>
      </c>
      <c r="ED106" s="123" t="e">
        <f ca="1"/>
        <v>#NAME?</v>
      </c>
      <c r="EE106" s="37" t="e">
        <f ca="1"/>
        <v>#NAME?</v>
      </c>
      <c r="EF106" s="37" t="e">
        <f ca="1"/>
        <v>#NAME?</v>
      </c>
      <c r="EG106" s="90" t="e">
        <f ca="1"/>
        <v>#NAME?</v>
      </c>
    </row>
    <row r="107" spans="1:137" x14ac:dyDescent="0.35">
      <c r="A107" s="91" t="e">
        <f ca="1"/>
        <v>#NAME?</v>
      </c>
      <c r="B107" s="92" t="e">
        <f ca="1"/>
        <v>#NAME?</v>
      </c>
      <c r="C107" s="92" t="e">
        <f ca="1"/>
        <v>#NAME?</v>
      </c>
      <c r="D107" s="93" t="e">
        <f ca="1"/>
        <v>#NAME?</v>
      </c>
      <c r="E107" s="174" t="e">
        <f t="shared" ca="1" si="26"/>
        <v>#NAME?</v>
      </c>
      <c r="G107" s="91" t="e">
        <f t="shared" ca="1" si="27"/>
        <v>#NAME?</v>
      </c>
      <c r="H107" s="92" t="e">
        <f t="shared" ca="1" si="25"/>
        <v>#NAME?</v>
      </c>
      <c r="I107" s="92" t="e">
        <f t="shared" ca="1" si="25"/>
        <v>#NAME?</v>
      </c>
      <c r="J107" s="93" t="e">
        <f t="shared" ca="1" si="25"/>
        <v>#NAME?</v>
      </c>
      <c r="CG107">
        <f t="shared" si="22"/>
        <v>89</v>
      </c>
      <c r="CH107" s="123" t="e">
        <f ca="1"/>
        <v>#NAME?</v>
      </c>
      <c r="CI107" s="37" t="e">
        <f ca="1"/>
        <v>#NAME?</v>
      </c>
      <c r="CJ107" s="37" t="e">
        <f ca="1"/>
        <v>#NAME?</v>
      </c>
      <c r="CK107" s="90" t="e">
        <f ca="1"/>
        <v>#NAME?</v>
      </c>
      <c r="CY107">
        <f t="shared" si="23"/>
        <v>89</v>
      </c>
      <c r="CZ107" s="123" t="e">
        <f ca="1"/>
        <v>#NAME?</v>
      </c>
      <c r="DA107" s="37" t="e">
        <f ca="1"/>
        <v>#NAME?</v>
      </c>
      <c r="DB107" s="37" t="e">
        <f ca="1"/>
        <v>#NAME?</v>
      </c>
      <c r="DC107" s="90" t="e">
        <f ca="1"/>
        <v>#NAME?</v>
      </c>
      <c r="DQ107">
        <f t="shared" si="24"/>
        <v>82</v>
      </c>
      <c r="DR107" s="123" t="e">
        <f ca="1"/>
        <v>#NAME?</v>
      </c>
      <c r="DS107" s="37" t="e">
        <f ca="1"/>
        <v>#NAME?</v>
      </c>
      <c r="DT107" s="37" t="e">
        <f ca="1"/>
        <v>#NAME?</v>
      </c>
      <c r="DU107" s="90" t="e">
        <f ca="1"/>
        <v>#NAME?</v>
      </c>
      <c r="ED107" s="123" t="e">
        <f ca="1"/>
        <v>#NAME?</v>
      </c>
      <c r="EE107" s="37" t="e">
        <f ca="1"/>
        <v>#NAME?</v>
      </c>
      <c r="EF107" s="37" t="e">
        <f ca="1"/>
        <v>#NAME?</v>
      </c>
      <c r="EG107" s="90" t="e">
        <f ca="1"/>
        <v>#NAME?</v>
      </c>
    </row>
    <row r="108" spans="1:137" x14ac:dyDescent="0.35">
      <c r="A108">
        <f ca="1">COUNT(A99:A107)</f>
        <v>0</v>
      </c>
      <c r="E108" t="e">
        <f ca="1">SUM(E99:E107)</f>
        <v>#NAME?</v>
      </c>
      <c r="F108" s="47" t="s">
        <v>451</v>
      </c>
      <c r="G108" s="156" t="e">
        <f ca="1">SUM(G99:G107)</f>
        <v>#NAME?</v>
      </c>
      <c r="H108" s="157" t="e">
        <f ca="1">SUM(H99:H107)</f>
        <v>#NAME?</v>
      </c>
      <c r="I108" s="157" t="e">
        <f ca="1">SUM(I99:I107)</f>
        <v>#NAME?</v>
      </c>
      <c r="J108" s="158" t="e">
        <f ca="1">SUM(J99:J107)</f>
        <v>#NAME?</v>
      </c>
      <c r="CG108">
        <f t="shared" si="22"/>
        <v>90</v>
      </c>
      <c r="CH108" s="123" t="e">
        <f ca="1"/>
        <v>#NAME?</v>
      </c>
      <c r="CI108" s="37" t="e">
        <f ca="1"/>
        <v>#NAME?</v>
      </c>
      <c r="CJ108" s="37" t="e">
        <f ca="1"/>
        <v>#NAME?</v>
      </c>
      <c r="CK108" s="90" t="e">
        <f ca="1"/>
        <v>#NAME?</v>
      </c>
      <c r="CY108">
        <f t="shared" si="23"/>
        <v>90</v>
      </c>
      <c r="CZ108" s="123" t="e">
        <f ca="1"/>
        <v>#NAME?</v>
      </c>
      <c r="DA108" s="37" t="e">
        <f ca="1"/>
        <v>#NAME?</v>
      </c>
      <c r="DB108" s="37" t="e">
        <f ca="1"/>
        <v>#NAME?</v>
      </c>
      <c r="DC108" s="90" t="e">
        <f ca="1"/>
        <v>#NAME?</v>
      </c>
      <c r="DQ108">
        <f t="shared" si="24"/>
        <v>83</v>
      </c>
      <c r="DR108" s="123" t="e">
        <f ca="1"/>
        <v>#NAME?</v>
      </c>
      <c r="DS108" s="37" t="e">
        <f ca="1"/>
        <v>#NAME?</v>
      </c>
      <c r="DT108" s="37" t="e">
        <f ca="1"/>
        <v>#NAME?</v>
      </c>
      <c r="DU108" s="90" t="e">
        <f ca="1"/>
        <v>#NAME?</v>
      </c>
      <c r="ED108" s="123" t="e">
        <f ca="1"/>
        <v>#NAME?</v>
      </c>
      <c r="EE108" s="37" t="e">
        <f ca="1"/>
        <v>#NAME?</v>
      </c>
      <c r="EF108" s="37" t="e">
        <f ca="1"/>
        <v>#NAME?</v>
      </c>
      <c r="EG108" s="90" t="e">
        <f ca="1"/>
        <v>#NAME?</v>
      </c>
    </row>
    <row r="109" spans="1:137" x14ac:dyDescent="0.35">
      <c r="F109" s="47" t="s">
        <v>452</v>
      </c>
      <c r="G109" s="123" t="e">
        <f ca="1">SUMSQ(G99:G107)</f>
        <v>#NAME?</v>
      </c>
      <c r="H109" s="37" t="e">
        <f ca="1">SUMSQ(H99:H107)</f>
        <v>#NAME?</v>
      </c>
      <c r="I109" s="37" t="e">
        <f ca="1">SUMSQ(I99:I107)</f>
        <v>#NAME?</v>
      </c>
      <c r="J109" s="90" t="e">
        <f ca="1">SUMSQ(J99:J107)</f>
        <v>#NAME?</v>
      </c>
      <c r="CG109">
        <f t="shared" si="22"/>
        <v>91</v>
      </c>
      <c r="CH109" s="123" t="e">
        <f ca="1"/>
        <v>#NAME?</v>
      </c>
      <c r="CI109" s="37" t="e">
        <f ca="1"/>
        <v>#NAME?</v>
      </c>
      <c r="CJ109" s="37" t="e">
        <f ca="1"/>
        <v>#NAME?</v>
      </c>
      <c r="CK109" s="90" t="e">
        <f ca="1"/>
        <v>#NAME?</v>
      </c>
      <c r="CY109">
        <f t="shared" si="23"/>
        <v>91</v>
      </c>
      <c r="CZ109" s="123" t="e">
        <f ca="1"/>
        <v>#NAME?</v>
      </c>
      <c r="DA109" s="37" t="e">
        <f ca="1"/>
        <v>#NAME?</v>
      </c>
      <c r="DB109" s="37" t="e">
        <f ca="1"/>
        <v>#NAME?</v>
      </c>
      <c r="DC109" s="90" t="e">
        <f ca="1"/>
        <v>#NAME?</v>
      </c>
      <c r="DQ109">
        <f t="shared" si="24"/>
        <v>84</v>
      </c>
      <c r="DR109" s="123" t="e">
        <f ca="1"/>
        <v>#NAME?</v>
      </c>
      <c r="DS109" s="37" t="e">
        <f ca="1"/>
        <v>#NAME?</v>
      </c>
      <c r="DT109" s="37" t="e">
        <f ca="1"/>
        <v>#NAME?</v>
      </c>
      <c r="DU109" s="90" t="e">
        <f ca="1"/>
        <v>#NAME?</v>
      </c>
      <c r="ED109" s="123" t="e">
        <f ca="1"/>
        <v>#NAME?</v>
      </c>
      <c r="EE109" s="37" t="e">
        <f ca="1"/>
        <v>#NAME?</v>
      </c>
      <c r="EF109" s="37" t="e">
        <f ca="1"/>
        <v>#NAME?</v>
      </c>
      <c r="EG109" s="90" t="e">
        <f ca="1"/>
        <v>#NAME?</v>
      </c>
    </row>
    <row r="110" spans="1:137" x14ac:dyDescent="0.35">
      <c r="F110" s="47" t="s">
        <v>453</v>
      </c>
      <c r="G110" s="91" t="e">
        <f ca="1">G109-(G108/$A108)^2</f>
        <v>#NAME?</v>
      </c>
      <c r="H110" s="92" t="e">
        <f ca="1">H109-(H108/$A108)^2</f>
        <v>#NAME?</v>
      </c>
      <c r="I110" s="92" t="e">
        <f ca="1">I109-(I108/$A108)^2</f>
        <v>#NAME?</v>
      </c>
      <c r="J110" s="93" t="e">
        <f ca="1">J109-(J108/$A108)^2</f>
        <v>#NAME?</v>
      </c>
      <c r="K110" s="60" t="e">
        <f ca="1">SUM(G110:J110)</f>
        <v>#NAME?</v>
      </c>
      <c r="CG110">
        <f t="shared" si="22"/>
        <v>92</v>
      </c>
      <c r="CH110" s="123" t="e">
        <f ca="1"/>
        <v>#NAME?</v>
      </c>
      <c r="CI110" s="37" t="e">
        <f ca="1"/>
        <v>#NAME?</v>
      </c>
      <c r="CJ110" s="37" t="e">
        <f ca="1"/>
        <v>#NAME?</v>
      </c>
      <c r="CK110" s="90" t="e">
        <f ca="1"/>
        <v>#NAME?</v>
      </c>
      <c r="CY110">
        <f t="shared" si="23"/>
        <v>92</v>
      </c>
      <c r="CZ110" s="123" t="e">
        <f ca="1"/>
        <v>#NAME?</v>
      </c>
      <c r="DA110" s="37" t="e">
        <f ca="1"/>
        <v>#NAME?</v>
      </c>
      <c r="DB110" s="37" t="e">
        <f ca="1"/>
        <v>#NAME?</v>
      </c>
      <c r="DC110" s="90" t="e">
        <f ca="1"/>
        <v>#NAME?</v>
      </c>
      <c r="DQ110">
        <f t="shared" si="24"/>
        <v>85</v>
      </c>
      <c r="DR110" s="123" t="e">
        <f ca="1"/>
        <v>#NAME?</v>
      </c>
      <c r="DS110" s="37" t="e">
        <f ca="1"/>
        <v>#NAME?</v>
      </c>
      <c r="DT110" s="37" t="e">
        <f ca="1"/>
        <v>#NAME?</v>
      </c>
      <c r="DU110" s="90" t="e">
        <f ca="1"/>
        <v>#NAME?</v>
      </c>
      <c r="ED110" s="123" t="e">
        <f ca="1"/>
        <v>#NAME?</v>
      </c>
      <c r="EE110" s="37" t="e">
        <f ca="1"/>
        <v>#NAME?</v>
      </c>
      <c r="EF110" s="37" t="e">
        <f ca="1"/>
        <v>#NAME?</v>
      </c>
      <c r="EG110" s="90" t="e">
        <f ca="1"/>
        <v>#NAME?</v>
      </c>
    </row>
    <row r="111" spans="1:137" x14ac:dyDescent="0.35">
      <c r="J111" s="47" t="s">
        <v>202</v>
      </c>
      <c r="K111" s="159" t="e">
        <f ca="1">K110/A108</f>
        <v>#NAME?</v>
      </c>
      <c r="CG111">
        <f t="shared" si="22"/>
        <v>93</v>
      </c>
      <c r="CH111" s="123" t="e">
        <f ca="1"/>
        <v>#NAME?</v>
      </c>
      <c r="CI111" s="37" t="e">
        <f ca="1"/>
        <v>#NAME?</v>
      </c>
      <c r="CJ111" s="37" t="e">
        <f ca="1"/>
        <v>#NAME?</v>
      </c>
      <c r="CK111" s="90" t="e">
        <f ca="1"/>
        <v>#NAME?</v>
      </c>
      <c r="CY111">
        <f t="shared" si="23"/>
        <v>93</v>
      </c>
      <c r="CZ111" s="123" t="e">
        <f ca="1"/>
        <v>#NAME?</v>
      </c>
      <c r="DA111" s="37" t="e">
        <f ca="1"/>
        <v>#NAME?</v>
      </c>
      <c r="DB111" s="37" t="e">
        <f ca="1"/>
        <v>#NAME?</v>
      </c>
      <c r="DC111" s="90" t="e">
        <f ca="1"/>
        <v>#NAME?</v>
      </c>
      <c r="DQ111">
        <f t="shared" si="24"/>
        <v>86</v>
      </c>
      <c r="DR111" s="123" t="e">
        <f ca="1"/>
        <v>#NAME?</v>
      </c>
      <c r="DS111" s="37" t="e">
        <f ca="1"/>
        <v>#NAME?</v>
      </c>
      <c r="DT111" s="37" t="e">
        <f ca="1"/>
        <v>#NAME?</v>
      </c>
      <c r="DU111" s="90" t="e">
        <f ca="1"/>
        <v>#NAME?</v>
      </c>
      <c r="ED111" s="123" t="e">
        <f ca="1"/>
        <v>#NAME?</v>
      </c>
      <c r="EE111" s="37" t="e">
        <f ca="1"/>
        <v>#NAME?</v>
      </c>
      <c r="EF111" s="37" t="e">
        <f ca="1"/>
        <v>#NAME?</v>
      </c>
      <c r="EG111" s="90" t="e">
        <f ca="1"/>
        <v>#NAME?</v>
      </c>
    </row>
    <row r="112" spans="1:137" x14ac:dyDescent="0.35">
      <c r="CG112">
        <f t="shared" si="22"/>
        <v>94</v>
      </c>
      <c r="CH112" s="123" t="e">
        <f ca="1"/>
        <v>#NAME?</v>
      </c>
      <c r="CI112" s="37" t="e">
        <f ca="1"/>
        <v>#NAME?</v>
      </c>
      <c r="CJ112" s="37" t="e">
        <f ca="1"/>
        <v>#NAME?</v>
      </c>
      <c r="CK112" s="90" t="e">
        <f ca="1"/>
        <v>#NAME?</v>
      </c>
      <c r="CY112">
        <f t="shared" si="23"/>
        <v>94</v>
      </c>
      <c r="CZ112" s="123" t="e">
        <f ca="1"/>
        <v>#NAME?</v>
      </c>
      <c r="DA112" s="37" t="e">
        <f ca="1"/>
        <v>#NAME?</v>
      </c>
      <c r="DB112" s="37" t="e">
        <f ca="1"/>
        <v>#NAME?</v>
      </c>
      <c r="DC112" s="90" t="e">
        <f ca="1"/>
        <v>#NAME?</v>
      </c>
      <c r="DQ112">
        <f t="shared" si="24"/>
        <v>87</v>
      </c>
      <c r="DR112" s="123" t="e">
        <f ca="1"/>
        <v>#NAME?</v>
      </c>
      <c r="DS112" s="37" t="e">
        <f ca="1"/>
        <v>#NAME?</v>
      </c>
      <c r="DT112" s="37" t="e">
        <f ca="1"/>
        <v>#NAME?</v>
      </c>
      <c r="DU112" s="90" t="e">
        <f ca="1"/>
        <v>#NAME?</v>
      </c>
      <c r="ED112" s="123" t="e">
        <f ca="1"/>
        <v>#NAME?</v>
      </c>
      <c r="EE112" s="37" t="e">
        <f ca="1"/>
        <v>#NAME?</v>
      </c>
      <c r="EF112" s="37" t="e">
        <f ca="1"/>
        <v>#NAME?</v>
      </c>
      <c r="EG112" s="90" t="e">
        <f ca="1"/>
        <v>#NAME?</v>
      </c>
    </row>
    <row r="113" spans="85:137" x14ac:dyDescent="0.35">
      <c r="CG113">
        <f t="shared" si="22"/>
        <v>95</v>
      </c>
      <c r="CH113" s="123" t="e">
        <f ca="1"/>
        <v>#NAME?</v>
      </c>
      <c r="CI113" s="37" t="e">
        <f ca="1"/>
        <v>#NAME?</v>
      </c>
      <c r="CJ113" s="37" t="e">
        <f ca="1"/>
        <v>#NAME?</v>
      </c>
      <c r="CK113" s="90" t="e">
        <f ca="1"/>
        <v>#NAME?</v>
      </c>
      <c r="CY113">
        <f t="shared" si="23"/>
        <v>95</v>
      </c>
      <c r="CZ113" s="123" t="e">
        <f ca="1"/>
        <v>#NAME?</v>
      </c>
      <c r="DA113" s="37" t="e">
        <f ca="1"/>
        <v>#NAME?</v>
      </c>
      <c r="DB113" s="37" t="e">
        <f ca="1"/>
        <v>#NAME?</v>
      </c>
      <c r="DC113" s="90" t="e">
        <f ca="1"/>
        <v>#NAME?</v>
      </c>
      <c r="DQ113">
        <f t="shared" si="24"/>
        <v>88</v>
      </c>
      <c r="DR113" s="123" t="e">
        <f ca="1"/>
        <v>#NAME?</v>
      </c>
      <c r="DS113" s="37" t="e">
        <f ca="1"/>
        <v>#NAME?</v>
      </c>
      <c r="DT113" s="37" t="e">
        <f ca="1"/>
        <v>#NAME?</v>
      </c>
      <c r="DU113" s="90" t="e">
        <f ca="1"/>
        <v>#NAME?</v>
      </c>
      <c r="ED113" s="123" t="e">
        <f ca="1"/>
        <v>#NAME?</v>
      </c>
      <c r="EE113" s="37" t="e">
        <f ca="1"/>
        <v>#NAME?</v>
      </c>
      <c r="EF113" s="37" t="e">
        <f ca="1"/>
        <v>#NAME?</v>
      </c>
      <c r="EG113" s="90" t="e">
        <f ca="1"/>
        <v>#NAME?</v>
      </c>
    </row>
    <row r="114" spans="85:137" x14ac:dyDescent="0.35">
      <c r="CG114">
        <f t="shared" si="22"/>
        <v>96</v>
      </c>
      <c r="CH114" s="123" t="e">
        <f ca="1"/>
        <v>#NAME?</v>
      </c>
      <c r="CI114" s="37" t="e">
        <f ca="1"/>
        <v>#NAME?</v>
      </c>
      <c r="CJ114" s="37" t="e">
        <f ca="1"/>
        <v>#NAME?</v>
      </c>
      <c r="CK114" s="90" t="e">
        <f ca="1"/>
        <v>#NAME?</v>
      </c>
      <c r="CY114">
        <f t="shared" si="23"/>
        <v>96</v>
      </c>
      <c r="CZ114" s="123" t="e">
        <f ca="1"/>
        <v>#NAME?</v>
      </c>
      <c r="DA114" s="37" t="e">
        <f ca="1"/>
        <v>#NAME?</v>
      </c>
      <c r="DB114" s="37" t="e">
        <f ca="1"/>
        <v>#NAME?</v>
      </c>
      <c r="DC114" s="90" t="e">
        <f ca="1"/>
        <v>#NAME?</v>
      </c>
      <c r="DQ114">
        <f t="shared" si="24"/>
        <v>89</v>
      </c>
      <c r="DR114" s="123" t="e">
        <f ca="1"/>
        <v>#NAME?</v>
      </c>
      <c r="DS114" s="37" t="e">
        <f ca="1"/>
        <v>#NAME?</v>
      </c>
      <c r="DT114" s="37" t="e">
        <f ca="1"/>
        <v>#NAME?</v>
      </c>
      <c r="DU114" s="90" t="e">
        <f ca="1"/>
        <v>#NAME?</v>
      </c>
      <c r="ED114" s="123" t="e">
        <f ca="1"/>
        <v>#NAME?</v>
      </c>
      <c r="EE114" s="37" t="e">
        <f ca="1"/>
        <v>#NAME?</v>
      </c>
      <c r="EF114" s="37" t="e">
        <f ca="1"/>
        <v>#NAME?</v>
      </c>
      <c r="EG114" s="90" t="e">
        <f ca="1"/>
        <v>#NAME?</v>
      </c>
    </row>
    <row r="115" spans="85:137" x14ac:dyDescent="0.35">
      <c r="CG115">
        <f t="shared" si="22"/>
        <v>97</v>
      </c>
      <c r="CH115" s="123" t="e">
        <f ca="1"/>
        <v>#NAME?</v>
      </c>
      <c r="CI115" s="37" t="e">
        <f ca="1"/>
        <v>#NAME?</v>
      </c>
      <c r="CJ115" s="37" t="e">
        <f ca="1"/>
        <v>#NAME?</v>
      </c>
      <c r="CK115" s="90" t="e">
        <f ca="1"/>
        <v>#NAME?</v>
      </c>
      <c r="CY115">
        <f t="shared" si="23"/>
        <v>97</v>
      </c>
      <c r="CZ115" s="123" t="e">
        <f ca="1"/>
        <v>#NAME?</v>
      </c>
      <c r="DA115" s="37" t="e">
        <f ca="1"/>
        <v>#NAME?</v>
      </c>
      <c r="DB115" s="37" t="e">
        <f ca="1"/>
        <v>#NAME?</v>
      </c>
      <c r="DC115" s="90" t="e">
        <f ca="1"/>
        <v>#NAME?</v>
      </c>
      <c r="DQ115">
        <f t="shared" si="24"/>
        <v>90</v>
      </c>
      <c r="DR115" s="123" t="e">
        <f ca="1"/>
        <v>#NAME?</v>
      </c>
      <c r="DS115" s="37" t="e">
        <f ca="1"/>
        <v>#NAME?</v>
      </c>
      <c r="DT115" s="37" t="e">
        <f ca="1"/>
        <v>#NAME?</v>
      </c>
      <c r="DU115" s="90" t="e">
        <f ca="1"/>
        <v>#NAME?</v>
      </c>
      <c r="ED115" s="123" t="e">
        <f ca="1"/>
        <v>#NAME?</v>
      </c>
      <c r="EE115" s="37" t="e">
        <f ca="1"/>
        <v>#NAME?</v>
      </c>
      <c r="EF115" s="37" t="e">
        <f ca="1"/>
        <v>#NAME?</v>
      </c>
      <c r="EG115" s="90" t="e">
        <f ca="1"/>
        <v>#NAME?</v>
      </c>
    </row>
    <row r="116" spans="85:137" x14ac:dyDescent="0.35">
      <c r="CG116">
        <f t="shared" si="22"/>
        <v>98</v>
      </c>
      <c r="CH116" s="123" t="e">
        <f ca="1"/>
        <v>#NAME?</v>
      </c>
      <c r="CI116" s="37" t="e">
        <f ca="1"/>
        <v>#NAME?</v>
      </c>
      <c r="CJ116" s="37" t="e">
        <f ca="1"/>
        <v>#NAME?</v>
      </c>
      <c r="CK116" s="90" t="e">
        <f ca="1"/>
        <v>#NAME?</v>
      </c>
      <c r="CY116">
        <f t="shared" si="23"/>
        <v>98</v>
      </c>
      <c r="CZ116" s="123" t="e">
        <f ca="1"/>
        <v>#NAME?</v>
      </c>
      <c r="DA116" s="37" t="e">
        <f ca="1"/>
        <v>#NAME?</v>
      </c>
      <c r="DB116" s="37" t="e">
        <f ca="1"/>
        <v>#NAME?</v>
      </c>
      <c r="DC116" s="90" t="e">
        <f ca="1"/>
        <v>#NAME?</v>
      </c>
      <c r="DQ116">
        <f t="shared" si="24"/>
        <v>91</v>
      </c>
      <c r="DR116" s="123" t="e">
        <f ca="1"/>
        <v>#NAME?</v>
      </c>
      <c r="DS116" s="37" t="e">
        <f ca="1"/>
        <v>#NAME?</v>
      </c>
      <c r="DT116" s="37" t="e">
        <f ca="1"/>
        <v>#NAME?</v>
      </c>
      <c r="DU116" s="90" t="e">
        <f ca="1"/>
        <v>#NAME?</v>
      </c>
      <c r="ED116" s="123" t="e">
        <f ca="1"/>
        <v>#NAME?</v>
      </c>
      <c r="EE116" s="37" t="e">
        <f ca="1"/>
        <v>#NAME?</v>
      </c>
      <c r="EF116" s="37" t="e">
        <f ca="1"/>
        <v>#NAME?</v>
      </c>
      <c r="EG116" s="90" t="e">
        <f ca="1"/>
        <v>#NAME?</v>
      </c>
    </row>
    <row r="117" spans="85:137" x14ac:dyDescent="0.35">
      <c r="CG117">
        <f t="shared" si="22"/>
        <v>99</v>
      </c>
      <c r="CH117" s="123" t="e">
        <f ca="1"/>
        <v>#NAME?</v>
      </c>
      <c r="CI117" s="37" t="e">
        <f ca="1"/>
        <v>#NAME?</v>
      </c>
      <c r="CJ117" s="37" t="e">
        <f ca="1"/>
        <v>#NAME?</v>
      </c>
      <c r="CK117" s="90" t="e">
        <f ca="1"/>
        <v>#NAME?</v>
      </c>
      <c r="CY117">
        <f t="shared" si="23"/>
        <v>99</v>
      </c>
      <c r="CZ117" s="123" t="e">
        <f ca="1"/>
        <v>#NAME?</v>
      </c>
      <c r="DA117" s="37" t="e">
        <f ca="1"/>
        <v>#NAME?</v>
      </c>
      <c r="DB117" s="37" t="e">
        <f ca="1"/>
        <v>#NAME?</v>
      </c>
      <c r="DC117" s="90" t="e">
        <f ca="1"/>
        <v>#NAME?</v>
      </c>
      <c r="DQ117">
        <f t="shared" si="24"/>
        <v>92</v>
      </c>
      <c r="DR117" s="123" t="e">
        <f ca="1"/>
        <v>#NAME?</v>
      </c>
      <c r="DS117" s="37" t="e">
        <f ca="1"/>
        <v>#NAME?</v>
      </c>
      <c r="DT117" s="37" t="e">
        <f ca="1"/>
        <v>#NAME?</v>
      </c>
      <c r="DU117" s="90" t="e">
        <f ca="1"/>
        <v>#NAME?</v>
      </c>
      <c r="ED117" s="123" t="e">
        <f ca="1"/>
        <v>#NAME?</v>
      </c>
      <c r="EE117" s="37" t="e">
        <f ca="1"/>
        <v>#NAME?</v>
      </c>
      <c r="EF117" s="37" t="e">
        <f ca="1"/>
        <v>#NAME?</v>
      </c>
      <c r="EG117" s="90" t="e">
        <f ca="1"/>
        <v>#NAME?</v>
      </c>
    </row>
    <row r="118" spans="85:137" x14ac:dyDescent="0.35">
      <c r="CG118">
        <f t="shared" si="22"/>
        <v>100</v>
      </c>
      <c r="CH118" s="123" t="e">
        <f ca="1"/>
        <v>#NAME?</v>
      </c>
      <c r="CI118" s="37" t="e">
        <f ca="1"/>
        <v>#NAME?</v>
      </c>
      <c r="CJ118" s="37" t="e">
        <f ca="1"/>
        <v>#NAME?</v>
      </c>
      <c r="CK118" s="90" t="e">
        <f ca="1"/>
        <v>#NAME?</v>
      </c>
      <c r="CY118">
        <f t="shared" si="23"/>
        <v>100</v>
      </c>
      <c r="CZ118" s="123" t="e">
        <f ca="1"/>
        <v>#NAME?</v>
      </c>
      <c r="DA118" s="37" t="e">
        <f ca="1"/>
        <v>#NAME?</v>
      </c>
      <c r="DB118" s="37" t="e">
        <f ca="1"/>
        <v>#NAME?</v>
      </c>
      <c r="DC118" s="90" t="e">
        <f ca="1"/>
        <v>#NAME?</v>
      </c>
      <c r="DQ118">
        <f t="shared" si="24"/>
        <v>93</v>
      </c>
      <c r="DR118" s="123" t="e">
        <f ca="1"/>
        <v>#NAME?</v>
      </c>
      <c r="DS118" s="37" t="e">
        <f ca="1"/>
        <v>#NAME?</v>
      </c>
      <c r="DT118" s="37" t="e">
        <f ca="1"/>
        <v>#NAME?</v>
      </c>
      <c r="DU118" s="90" t="e">
        <f ca="1"/>
        <v>#NAME?</v>
      </c>
      <c r="ED118" s="123" t="e">
        <f ca="1"/>
        <v>#NAME?</v>
      </c>
      <c r="EE118" s="37" t="e">
        <f ca="1"/>
        <v>#NAME?</v>
      </c>
      <c r="EF118" s="37" t="e">
        <f ca="1"/>
        <v>#NAME?</v>
      </c>
      <c r="EG118" s="90" t="e">
        <f ca="1"/>
        <v>#NAME?</v>
      </c>
    </row>
    <row r="119" spans="85:137" x14ac:dyDescent="0.35">
      <c r="CG119">
        <f t="shared" si="22"/>
        <v>101</v>
      </c>
      <c r="CH119" s="123" t="e">
        <f ca="1"/>
        <v>#NAME?</v>
      </c>
      <c r="CI119" s="37" t="e">
        <f ca="1"/>
        <v>#NAME?</v>
      </c>
      <c r="CJ119" s="37" t="e">
        <f ca="1"/>
        <v>#NAME?</v>
      </c>
      <c r="CK119" s="90" t="e">
        <f ca="1"/>
        <v>#NAME?</v>
      </c>
      <c r="CY119">
        <f t="shared" si="23"/>
        <v>101</v>
      </c>
      <c r="CZ119" s="123" t="e">
        <f ca="1"/>
        <v>#NAME?</v>
      </c>
      <c r="DA119" s="37" t="e">
        <f ca="1"/>
        <v>#NAME?</v>
      </c>
      <c r="DB119" s="37" t="e">
        <f ca="1"/>
        <v>#NAME?</v>
      </c>
      <c r="DC119" s="90" t="e">
        <f ca="1"/>
        <v>#NAME?</v>
      </c>
      <c r="DQ119">
        <f t="shared" si="24"/>
        <v>94</v>
      </c>
      <c r="DR119" s="123" t="e">
        <f ca="1"/>
        <v>#NAME?</v>
      </c>
      <c r="DS119" s="37" t="e">
        <f ca="1"/>
        <v>#NAME?</v>
      </c>
      <c r="DT119" s="37" t="e">
        <f ca="1"/>
        <v>#NAME?</v>
      </c>
      <c r="DU119" s="90" t="e">
        <f ca="1"/>
        <v>#NAME?</v>
      </c>
      <c r="ED119" s="123" t="e">
        <f ca="1"/>
        <v>#NAME?</v>
      </c>
      <c r="EE119" s="37" t="e">
        <f ca="1"/>
        <v>#NAME?</v>
      </c>
      <c r="EF119" s="37" t="e">
        <f ca="1"/>
        <v>#NAME?</v>
      </c>
      <c r="EG119" s="90" t="e">
        <f ca="1"/>
        <v>#NAME?</v>
      </c>
    </row>
    <row r="120" spans="85:137" x14ac:dyDescent="0.35">
      <c r="CG120">
        <f t="shared" si="22"/>
        <v>102</v>
      </c>
      <c r="CH120" s="123" t="e">
        <f ca="1"/>
        <v>#NAME?</v>
      </c>
      <c r="CI120" s="37" t="e">
        <f ca="1"/>
        <v>#NAME?</v>
      </c>
      <c r="CJ120" s="37" t="e">
        <f ca="1"/>
        <v>#NAME?</v>
      </c>
      <c r="CK120" s="90" t="e">
        <f ca="1"/>
        <v>#NAME?</v>
      </c>
      <c r="CY120">
        <f t="shared" si="23"/>
        <v>102</v>
      </c>
      <c r="CZ120" s="123" t="e">
        <f ca="1"/>
        <v>#NAME?</v>
      </c>
      <c r="DA120" s="37" t="e">
        <f ca="1"/>
        <v>#NAME?</v>
      </c>
      <c r="DB120" s="37" t="e">
        <f ca="1"/>
        <v>#NAME?</v>
      </c>
      <c r="DC120" s="90" t="e">
        <f ca="1"/>
        <v>#NAME?</v>
      </c>
      <c r="DQ120">
        <f t="shared" si="24"/>
        <v>95</v>
      </c>
      <c r="DR120" s="123" t="e">
        <f ca="1"/>
        <v>#NAME?</v>
      </c>
      <c r="DS120" s="37" t="e">
        <f ca="1"/>
        <v>#NAME?</v>
      </c>
      <c r="DT120" s="37" t="e">
        <f ca="1"/>
        <v>#NAME?</v>
      </c>
      <c r="DU120" s="90" t="e">
        <f ca="1"/>
        <v>#NAME?</v>
      </c>
      <c r="ED120" s="123" t="e">
        <f ca="1"/>
        <v>#NAME?</v>
      </c>
      <c r="EE120" s="37" t="e">
        <f ca="1"/>
        <v>#NAME?</v>
      </c>
      <c r="EF120" s="37" t="e">
        <f ca="1"/>
        <v>#NAME?</v>
      </c>
      <c r="EG120" s="90" t="e">
        <f ca="1"/>
        <v>#NAME?</v>
      </c>
    </row>
    <row r="121" spans="85:137" x14ac:dyDescent="0.35">
      <c r="CG121">
        <f t="shared" si="22"/>
        <v>103</v>
      </c>
      <c r="CH121" s="123" t="e">
        <f ca="1"/>
        <v>#NAME?</v>
      </c>
      <c r="CI121" s="37" t="e">
        <f ca="1"/>
        <v>#NAME?</v>
      </c>
      <c r="CJ121" s="37" t="e">
        <f ca="1"/>
        <v>#NAME?</v>
      </c>
      <c r="CK121" s="90" t="e">
        <f ca="1"/>
        <v>#NAME?</v>
      </c>
      <c r="CY121">
        <f t="shared" si="23"/>
        <v>103</v>
      </c>
      <c r="CZ121" s="123" t="e">
        <f ca="1"/>
        <v>#NAME?</v>
      </c>
      <c r="DA121" s="37" t="e">
        <f ca="1"/>
        <v>#NAME?</v>
      </c>
      <c r="DB121" s="37" t="e">
        <f ca="1"/>
        <v>#NAME?</v>
      </c>
      <c r="DC121" s="90" t="e">
        <f ca="1"/>
        <v>#NAME?</v>
      </c>
      <c r="DQ121">
        <f t="shared" si="24"/>
        <v>96</v>
      </c>
      <c r="DR121" s="123" t="e">
        <f ca="1"/>
        <v>#NAME?</v>
      </c>
      <c r="DS121" s="37" t="e">
        <f ca="1"/>
        <v>#NAME?</v>
      </c>
      <c r="DT121" s="37" t="e">
        <f ca="1"/>
        <v>#NAME?</v>
      </c>
      <c r="DU121" s="90" t="e">
        <f ca="1"/>
        <v>#NAME?</v>
      </c>
      <c r="ED121" s="123" t="e">
        <f ca="1"/>
        <v>#NAME?</v>
      </c>
      <c r="EE121" s="37" t="e">
        <f ca="1"/>
        <v>#NAME?</v>
      </c>
      <c r="EF121" s="37" t="e">
        <f ca="1"/>
        <v>#NAME?</v>
      </c>
      <c r="EG121" s="90" t="e">
        <f ca="1"/>
        <v>#NAME?</v>
      </c>
    </row>
    <row r="122" spans="85:137" x14ac:dyDescent="0.35">
      <c r="CG122">
        <f t="shared" si="22"/>
        <v>104</v>
      </c>
      <c r="CH122" s="123" t="e">
        <f ca="1"/>
        <v>#NAME?</v>
      </c>
      <c r="CI122" s="37" t="e">
        <f ca="1"/>
        <v>#NAME?</v>
      </c>
      <c r="CJ122" s="37" t="e">
        <f ca="1"/>
        <v>#NAME?</v>
      </c>
      <c r="CK122" s="90" t="e">
        <f ca="1"/>
        <v>#NAME?</v>
      </c>
      <c r="CY122">
        <f t="shared" si="23"/>
        <v>104</v>
      </c>
      <c r="CZ122" s="123" t="e">
        <f ca="1"/>
        <v>#NAME?</v>
      </c>
      <c r="DA122" s="37" t="e">
        <f ca="1"/>
        <v>#NAME?</v>
      </c>
      <c r="DB122" s="37" t="e">
        <f ca="1"/>
        <v>#NAME?</v>
      </c>
      <c r="DC122" s="90" t="e">
        <f ca="1"/>
        <v>#NAME?</v>
      </c>
      <c r="DQ122">
        <f t="shared" si="24"/>
        <v>97</v>
      </c>
      <c r="DR122" s="123" t="e">
        <f ca="1"/>
        <v>#NAME?</v>
      </c>
      <c r="DS122" s="37" t="e">
        <f ca="1"/>
        <v>#NAME?</v>
      </c>
      <c r="DT122" s="37" t="e">
        <f ca="1"/>
        <v>#NAME?</v>
      </c>
      <c r="DU122" s="90" t="e">
        <f ca="1"/>
        <v>#NAME?</v>
      </c>
      <c r="ED122" s="123" t="e">
        <f ca="1"/>
        <v>#NAME?</v>
      </c>
      <c r="EE122" s="37" t="e">
        <f ca="1"/>
        <v>#NAME?</v>
      </c>
      <c r="EF122" s="37" t="e">
        <f ca="1"/>
        <v>#NAME?</v>
      </c>
      <c r="EG122" s="90" t="e">
        <f ca="1"/>
        <v>#NAME?</v>
      </c>
    </row>
    <row r="123" spans="85:137" x14ac:dyDescent="0.35">
      <c r="CG123">
        <f t="shared" si="22"/>
        <v>105</v>
      </c>
      <c r="CH123" s="123" t="e">
        <f ca="1"/>
        <v>#NAME?</v>
      </c>
      <c r="CI123" s="37" t="e">
        <f ca="1"/>
        <v>#NAME?</v>
      </c>
      <c r="CJ123" s="37" t="e">
        <f ca="1"/>
        <v>#NAME?</v>
      </c>
      <c r="CK123" s="90" t="e">
        <f ca="1"/>
        <v>#NAME?</v>
      </c>
      <c r="CY123">
        <f t="shared" si="23"/>
        <v>105</v>
      </c>
      <c r="CZ123" s="123" t="e">
        <f ca="1"/>
        <v>#NAME?</v>
      </c>
      <c r="DA123" s="37" t="e">
        <f ca="1"/>
        <v>#NAME?</v>
      </c>
      <c r="DB123" s="37" t="e">
        <f ca="1"/>
        <v>#NAME?</v>
      </c>
      <c r="DC123" s="90" t="e">
        <f ca="1"/>
        <v>#NAME?</v>
      </c>
      <c r="DQ123">
        <f t="shared" si="24"/>
        <v>98</v>
      </c>
      <c r="DR123" s="123" t="e">
        <f ca="1"/>
        <v>#NAME?</v>
      </c>
      <c r="DS123" s="37" t="e">
        <f ca="1"/>
        <v>#NAME?</v>
      </c>
      <c r="DT123" s="37" t="e">
        <f ca="1"/>
        <v>#NAME?</v>
      </c>
      <c r="DU123" s="90" t="e">
        <f ca="1"/>
        <v>#NAME?</v>
      </c>
      <c r="ED123" s="123" t="e">
        <f ca="1"/>
        <v>#NAME?</v>
      </c>
      <c r="EE123" s="37" t="e">
        <f ca="1"/>
        <v>#NAME?</v>
      </c>
      <c r="EF123" s="37" t="e">
        <f ca="1"/>
        <v>#NAME?</v>
      </c>
      <c r="EG123" s="90" t="e">
        <f ca="1"/>
        <v>#NAME?</v>
      </c>
    </row>
    <row r="124" spans="85:137" x14ac:dyDescent="0.35">
      <c r="CG124">
        <f t="shared" si="22"/>
        <v>106</v>
      </c>
      <c r="CH124" s="123" t="e">
        <f ca="1"/>
        <v>#NAME?</v>
      </c>
      <c r="CI124" s="37" t="e">
        <f ca="1"/>
        <v>#NAME?</v>
      </c>
      <c r="CJ124" s="37" t="e">
        <f ca="1"/>
        <v>#NAME?</v>
      </c>
      <c r="CK124" s="90" t="e">
        <f ca="1"/>
        <v>#NAME?</v>
      </c>
      <c r="CY124">
        <f t="shared" si="23"/>
        <v>106</v>
      </c>
      <c r="CZ124" s="123" t="e">
        <f ca="1"/>
        <v>#NAME?</v>
      </c>
      <c r="DA124" s="37" t="e">
        <f ca="1"/>
        <v>#NAME?</v>
      </c>
      <c r="DB124" s="37" t="e">
        <f ca="1"/>
        <v>#NAME?</v>
      </c>
      <c r="DC124" s="90" t="e">
        <f ca="1"/>
        <v>#NAME?</v>
      </c>
      <c r="DQ124">
        <f t="shared" si="24"/>
        <v>99</v>
      </c>
      <c r="DR124" s="123" t="e">
        <f ca="1"/>
        <v>#NAME?</v>
      </c>
      <c r="DS124" s="37" t="e">
        <f ca="1"/>
        <v>#NAME?</v>
      </c>
      <c r="DT124" s="37" t="e">
        <f ca="1"/>
        <v>#NAME?</v>
      </c>
      <c r="DU124" s="90" t="e">
        <f ca="1"/>
        <v>#NAME?</v>
      </c>
      <c r="ED124" s="123" t="e">
        <f ca="1"/>
        <v>#NAME?</v>
      </c>
      <c r="EE124" s="37" t="e">
        <f ca="1"/>
        <v>#NAME?</v>
      </c>
      <c r="EF124" s="37" t="e">
        <f ca="1"/>
        <v>#NAME?</v>
      </c>
      <c r="EG124" s="90" t="e">
        <f ca="1"/>
        <v>#NAME?</v>
      </c>
    </row>
    <row r="125" spans="85:137" x14ac:dyDescent="0.35">
      <c r="CG125">
        <f t="shared" si="22"/>
        <v>107</v>
      </c>
      <c r="CH125" s="123" t="e">
        <f ca="1"/>
        <v>#NAME?</v>
      </c>
      <c r="CI125" s="37" t="e">
        <f ca="1"/>
        <v>#NAME?</v>
      </c>
      <c r="CJ125" s="37" t="e">
        <f ca="1"/>
        <v>#NAME?</v>
      </c>
      <c r="CK125" s="90" t="e">
        <f ca="1"/>
        <v>#NAME?</v>
      </c>
      <c r="CY125">
        <f t="shared" si="23"/>
        <v>107</v>
      </c>
      <c r="CZ125" s="123" t="e">
        <f ca="1"/>
        <v>#NAME?</v>
      </c>
      <c r="DA125" s="37" t="e">
        <f ca="1"/>
        <v>#NAME?</v>
      </c>
      <c r="DB125" s="37" t="e">
        <f ca="1"/>
        <v>#NAME?</v>
      </c>
      <c r="DC125" s="90" t="e">
        <f ca="1"/>
        <v>#NAME?</v>
      </c>
      <c r="DQ125">
        <f t="shared" si="24"/>
        <v>100</v>
      </c>
      <c r="DR125" s="123" t="e">
        <f ca="1"/>
        <v>#NAME?</v>
      </c>
      <c r="DS125" s="37" t="e">
        <f ca="1"/>
        <v>#NAME?</v>
      </c>
      <c r="DT125" s="37" t="e">
        <f ca="1"/>
        <v>#NAME?</v>
      </c>
      <c r="DU125" s="90" t="e">
        <f ca="1"/>
        <v>#NAME?</v>
      </c>
      <c r="ED125" s="123" t="e">
        <f ca="1"/>
        <v>#NAME?</v>
      </c>
      <c r="EE125" s="37" t="e">
        <f ca="1"/>
        <v>#NAME?</v>
      </c>
      <c r="EF125" s="37" t="e">
        <f ca="1"/>
        <v>#NAME?</v>
      </c>
      <c r="EG125" s="90" t="e">
        <f ca="1"/>
        <v>#NAME?</v>
      </c>
    </row>
    <row r="126" spans="85:137" x14ac:dyDescent="0.35">
      <c r="CG126">
        <f t="shared" si="22"/>
        <v>108</v>
      </c>
      <c r="CH126" s="123" t="e">
        <f ca="1"/>
        <v>#NAME?</v>
      </c>
      <c r="CI126" s="37" t="e">
        <f ca="1"/>
        <v>#NAME?</v>
      </c>
      <c r="CJ126" s="37" t="e">
        <f ca="1"/>
        <v>#NAME?</v>
      </c>
      <c r="CK126" s="90" t="e">
        <f ca="1"/>
        <v>#NAME?</v>
      </c>
      <c r="CY126">
        <f t="shared" si="23"/>
        <v>108</v>
      </c>
      <c r="CZ126" s="123" t="e">
        <f ca="1"/>
        <v>#NAME?</v>
      </c>
      <c r="DA126" s="37" t="e">
        <f ca="1"/>
        <v>#NAME?</v>
      </c>
      <c r="DB126" s="37" t="e">
        <f ca="1"/>
        <v>#NAME?</v>
      </c>
      <c r="DC126" s="90" t="e">
        <f ca="1"/>
        <v>#NAME?</v>
      </c>
      <c r="DQ126">
        <f t="shared" si="24"/>
        <v>101</v>
      </c>
      <c r="DR126" s="123" t="e">
        <f ca="1"/>
        <v>#NAME?</v>
      </c>
      <c r="DS126" s="37" t="e">
        <f ca="1"/>
        <v>#NAME?</v>
      </c>
      <c r="DT126" s="37" t="e">
        <f ca="1"/>
        <v>#NAME?</v>
      </c>
      <c r="DU126" s="90" t="e">
        <f ca="1"/>
        <v>#NAME?</v>
      </c>
      <c r="ED126" s="123" t="e">
        <f ca="1"/>
        <v>#NAME?</v>
      </c>
      <c r="EE126" s="37" t="e">
        <f ca="1"/>
        <v>#NAME?</v>
      </c>
      <c r="EF126" s="37" t="e">
        <f ca="1"/>
        <v>#NAME?</v>
      </c>
      <c r="EG126" s="90" t="e">
        <f ca="1"/>
        <v>#NAME?</v>
      </c>
    </row>
    <row r="127" spans="85:137" x14ac:dyDescent="0.35">
      <c r="CG127">
        <f t="shared" si="22"/>
        <v>109</v>
      </c>
      <c r="CH127" s="123" t="e">
        <f ca="1"/>
        <v>#NAME?</v>
      </c>
      <c r="CI127" s="37" t="e">
        <f ca="1"/>
        <v>#NAME?</v>
      </c>
      <c r="CJ127" s="37" t="e">
        <f ca="1"/>
        <v>#NAME?</v>
      </c>
      <c r="CK127" s="90" t="e">
        <f ca="1"/>
        <v>#NAME?</v>
      </c>
      <c r="CY127">
        <f t="shared" si="23"/>
        <v>109</v>
      </c>
      <c r="CZ127" s="123" t="e">
        <f ca="1"/>
        <v>#NAME?</v>
      </c>
      <c r="DA127" s="37" t="e">
        <f ca="1"/>
        <v>#NAME?</v>
      </c>
      <c r="DB127" s="37" t="e">
        <f ca="1"/>
        <v>#NAME?</v>
      </c>
      <c r="DC127" s="90" t="e">
        <f ca="1"/>
        <v>#NAME?</v>
      </c>
      <c r="DQ127">
        <f t="shared" si="24"/>
        <v>102</v>
      </c>
      <c r="DR127" s="123" t="e">
        <f ca="1"/>
        <v>#NAME?</v>
      </c>
      <c r="DS127" s="37" t="e">
        <f ca="1"/>
        <v>#NAME?</v>
      </c>
      <c r="DT127" s="37" t="e">
        <f ca="1"/>
        <v>#NAME?</v>
      </c>
      <c r="DU127" s="90" t="e">
        <f ca="1"/>
        <v>#NAME?</v>
      </c>
      <c r="ED127" s="123" t="e">
        <f ca="1"/>
        <v>#NAME?</v>
      </c>
      <c r="EE127" s="37" t="e">
        <f ca="1"/>
        <v>#NAME?</v>
      </c>
      <c r="EF127" s="37" t="e">
        <f ca="1"/>
        <v>#NAME?</v>
      </c>
      <c r="EG127" s="90" t="e">
        <f ca="1"/>
        <v>#NAME?</v>
      </c>
    </row>
    <row r="128" spans="85:137" x14ac:dyDescent="0.35">
      <c r="CG128">
        <f t="shared" si="22"/>
        <v>110</v>
      </c>
      <c r="CH128" s="123" t="e">
        <f ca="1"/>
        <v>#NAME?</v>
      </c>
      <c r="CI128" s="37" t="e">
        <f ca="1"/>
        <v>#NAME?</v>
      </c>
      <c r="CJ128" s="37" t="e">
        <f ca="1"/>
        <v>#NAME?</v>
      </c>
      <c r="CK128" s="90" t="e">
        <f ca="1"/>
        <v>#NAME?</v>
      </c>
      <c r="CY128">
        <f t="shared" si="23"/>
        <v>110</v>
      </c>
      <c r="CZ128" s="123" t="e">
        <f ca="1"/>
        <v>#NAME?</v>
      </c>
      <c r="DA128" s="37" t="e">
        <f ca="1"/>
        <v>#NAME?</v>
      </c>
      <c r="DB128" s="37" t="e">
        <f ca="1"/>
        <v>#NAME?</v>
      </c>
      <c r="DC128" s="90" t="e">
        <f ca="1"/>
        <v>#NAME?</v>
      </c>
      <c r="DQ128">
        <f t="shared" si="24"/>
        <v>103</v>
      </c>
      <c r="DR128" s="123" t="e">
        <f ca="1"/>
        <v>#NAME?</v>
      </c>
      <c r="DS128" s="37" t="e">
        <f ca="1"/>
        <v>#NAME?</v>
      </c>
      <c r="DT128" s="37" t="e">
        <f ca="1"/>
        <v>#NAME?</v>
      </c>
      <c r="DU128" s="90" t="e">
        <f ca="1"/>
        <v>#NAME?</v>
      </c>
      <c r="ED128" s="123" t="e">
        <f ca="1"/>
        <v>#NAME?</v>
      </c>
      <c r="EE128" s="37" t="e">
        <f ca="1"/>
        <v>#NAME?</v>
      </c>
      <c r="EF128" s="37" t="e">
        <f ca="1"/>
        <v>#NAME?</v>
      </c>
      <c r="EG128" s="90" t="e">
        <f ca="1"/>
        <v>#NAME?</v>
      </c>
    </row>
    <row r="129" spans="85:137" x14ac:dyDescent="0.35">
      <c r="CG129">
        <f t="shared" si="22"/>
        <v>111</v>
      </c>
      <c r="CH129" s="123" t="e">
        <f ca="1"/>
        <v>#NAME?</v>
      </c>
      <c r="CI129" s="37" t="e">
        <f ca="1"/>
        <v>#NAME?</v>
      </c>
      <c r="CJ129" s="37" t="e">
        <f ca="1"/>
        <v>#NAME?</v>
      </c>
      <c r="CK129" s="90" t="e">
        <f ca="1"/>
        <v>#NAME?</v>
      </c>
      <c r="CY129">
        <f t="shared" si="23"/>
        <v>111</v>
      </c>
      <c r="CZ129" s="123" t="e">
        <f ca="1"/>
        <v>#NAME?</v>
      </c>
      <c r="DA129" s="37" t="e">
        <f ca="1"/>
        <v>#NAME?</v>
      </c>
      <c r="DB129" s="37" t="e">
        <f ca="1"/>
        <v>#NAME?</v>
      </c>
      <c r="DC129" s="90" t="e">
        <f ca="1"/>
        <v>#NAME?</v>
      </c>
      <c r="DQ129">
        <f t="shared" si="24"/>
        <v>104</v>
      </c>
      <c r="DR129" s="123" t="e">
        <f ca="1"/>
        <v>#NAME?</v>
      </c>
      <c r="DS129" s="37" t="e">
        <f ca="1"/>
        <v>#NAME?</v>
      </c>
      <c r="DT129" s="37" t="e">
        <f ca="1"/>
        <v>#NAME?</v>
      </c>
      <c r="DU129" s="90" t="e">
        <f ca="1"/>
        <v>#NAME?</v>
      </c>
      <c r="ED129" s="123" t="e">
        <f ca="1"/>
        <v>#NAME?</v>
      </c>
      <c r="EE129" s="37" t="e">
        <f ca="1"/>
        <v>#NAME?</v>
      </c>
      <c r="EF129" s="37" t="e">
        <f ca="1"/>
        <v>#NAME?</v>
      </c>
      <c r="EG129" s="90" t="e">
        <f ca="1"/>
        <v>#NAME?</v>
      </c>
    </row>
    <row r="130" spans="85:137" x14ac:dyDescent="0.35">
      <c r="CG130">
        <f t="shared" si="22"/>
        <v>112</v>
      </c>
      <c r="CH130" s="123" t="e">
        <f ca="1"/>
        <v>#NAME?</v>
      </c>
      <c r="CI130" s="37" t="e">
        <f ca="1"/>
        <v>#NAME?</v>
      </c>
      <c r="CJ130" s="37" t="e">
        <f ca="1"/>
        <v>#NAME?</v>
      </c>
      <c r="CK130" s="90" t="e">
        <f ca="1"/>
        <v>#NAME?</v>
      </c>
      <c r="CY130">
        <f t="shared" si="23"/>
        <v>112</v>
      </c>
      <c r="CZ130" s="123" t="e">
        <f ca="1"/>
        <v>#NAME?</v>
      </c>
      <c r="DA130" s="37" t="e">
        <f ca="1"/>
        <v>#NAME?</v>
      </c>
      <c r="DB130" s="37" t="e">
        <f ca="1"/>
        <v>#NAME?</v>
      </c>
      <c r="DC130" s="90" t="e">
        <f ca="1"/>
        <v>#NAME?</v>
      </c>
      <c r="DQ130">
        <f t="shared" si="24"/>
        <v>105</v>
      </c>
      <c r="DR130" s="123" t="e">
        <f ca="1"/>
        <v>#NAME?</v>
      </c>
      <c r="DS130" s="37" t="e">
        <f ca="1"/>
        <v>#NAME?</v>
      </c>
      <c r="DT130" s="37" t="e">
        <f ca="1"/>
        <v>#NAME?</v>
      </c>
      <c r="DU130" s="90" t="e">
        <f ca="1"/>
        <v>#NAME?</v>
      </c>
      <c r="ED130" s="123" t="e">
        <f ca="1"/>
        <v>#NAME?</v>
      </c>
      <c r="EE130" s="37" t="e">
        <f ca="1"/>
        <v>#NAME?</v>
      </c>
      <c r="EF130" s="37" t="e">
        <f ca="1"/>
        <v>#NAME?</v>
      </c>
      <c r="EG130" s="90" t="e">
        <f ca="1"/>
        <v>#NAME?</v>
      </c>
    </row>
    <row r="131" spans="85:137" x14ac:dyDescent="0.35">
      <c r="CG131">
        <f t="shared" si="22"/>
        <v>113</v>
      </c>
      <c r="CH131" s="123" t="e">
        <f ca="1"/>
        <v>#NAME?</v>
      </c>
      <c r="CI131" s="37" t="e">
        <f ca="1"/>
        <v>#NAME?</v>
      </c>
      <c r="CJ131" s="37" t="e">
        <f ca="1"/>
        <v>#NAME?</v>
      </c>
      <c r="CK131" s="90" t="e">
        <f ca="1"/>
        <v>#NAME?</v>
      </c>
      <c r="CY131">
        <f t="shared" si="23"/>
        <v>113</v>
      </c>
      <c r="CZ131" s="123" t="e">
        <f ca="1"/>
        <v>#NAME?</v>
      </c>
      <c r="DA131" s="37" t="e">
        <f ca="1"/>
        <v>#NAME?</v>
      </c>
      <c r="DB131" s="37" t="e">
        <f ca="1"/>
        <v>#NAME?</v>
      </c>
      <c r="DC131" s="90" t="e">
        <f ca="1"/>
        <v>#NAME?</v>
      </c>
      <c r="DQ131">
        <f t="shared" si="24"/>
        <v>106</v>
      </c>
      <c r="DR131" s="123" t="e">
        <f ca="1"/>
        <v>#NAME?</v>
      </c>
      <c r="DS131" s="37" t="e">
        <f ca="1"/>
        <v>#NAME?</v>
      </c>
      <c r="DT131" s="37" t="e">
        <f ca="1"/>
        <v>#NAME?</v>
      </c>
      <c r="DU131" s="90" t="e">
        <f ca="1"/>
        <v>#NAME?</v>
      </c>
      <c r="ED131" s="123" t="e">
        <f ca="1"/>
        <v>#NAME?</v>
      </c>
      <c r="EE131" s="37" t="e">
        <f ca="1"/>
        <v>#NAME?</v>
      </c>
      <c r="EF131" s="37" t="e">
        <f ca="1"/>
        <v>#NAME?</v>
      </c>
      <c r="EG131" s="90" t="e">
        <f ca="1"/>
        <v>#NAME?</v>
      </c>
    </row>
    <row r="132" spans="85:137" x14ac:dyDescent="0.35">
      <c r="CG132">
        <f t="shared" si="22"/>
        <v>114</v>
      </c>
      <c r="CH132" s="123" t="e">
        <f ca="1"/>
        <v>#NAME?</v>
      </c>
      <c r="CI132" s="37" t="e">
        <f ca="1"/>
        <v>#NAME?</v>
      </c>
      <c r="CJ132" s="37" t="e">
        <f ca="1"/>
        <v>#NAME?</v>
      </c>
      <c r="CK132" s="90" t="e">
        <f ca="1"/>
        <v>#NAME?</v>
      </c>
      <c r="CY132">
        <f t="shared" si="23"/>
        <v>114</v>
      </c>
      <c r="CZ132" s="123" t="e">
        <f ca="1"/>
        <v>#NAME?</v>
      </c>
      <c r="DA132" s="37" t="e">
        <f ca="1"/>
        <v>#NAME?</v>
      </c>
      <c r="DB132" s="37" t="e">
        <f ca="1"/>
        <v>#NAME?</v>
      </c>
      <c r="DC132" s="90" t="e">
        <f ca="1"/>
        <v>#NAME?</v>
      </c>
      <c r="DQ132">
        <f t="shared" si="24"/>
        <v>107</v>
      </c>
      <c r="DR132" s="123" t="e">
        <f ca="1"/>
        <v>#NAME?</v>
      </c>
      <c r="DS132" s="37" t="e">
        <f ca="1"/>
        <v>#NAME?</v>
      </c>
      <c r="DT132" s="37" t="e">
        <f ca="1"/>
        <v>#NAME?</v>
      </c>
      <c r="DU132" s="90" t="e">
        <f ca="1"/>
        <v>#NAME?</v>
      </c>
      <c r="ED132" s="123" t="e">
        <f ca="1"/>
        <v>#NAME?</v>
      </c>
      <c r="EE132" s="37" t="e">
        <f ca="1"/>
        <v>#NAME?</v>
      </c>
      <c r="EF132" s="37" t="e">
        <f ca="1"/>
        <v>#NAME?</v>
      </c>
      <c r="EG132" s="90" t="e">
        <f ca="1"/>
        <v>#NAME?</v>
      </c>
    </row>
    <row r="133" spans="85:137" x14ac:dyDescent="0.35">
      <c r="CG133">
        <f t="shared" si="22"/>
        <v>115</v>
      </c>
      <c r="CH133" s="123" t="e">
        <f ca="1"/>
        <v>#NAME?</v>
      </c>
      <c r="CI133" s="37" t="e">
        <f ca="1"/>
        <v>#NAME?</v>
      </c>
      <c r="CJ133" s="37" t="e">
        <f ca="1"/>
        <v>#NAME?</v>
      </c>
      <c r="CK133" s="90" t="e">
        <f ca="1"/>
        <v>#NAME?</v>
      </c>
      <c r="CY133">
        <f t="shared" si="23"/>
        <v>115</v>
      </c>
      <c r="CZ133" s="123" t="e">
        <f ca="1"/>
        <v>#NAME?</v>
      </c>
      <c r="DA133" s="37" t="e">
        <f ca="1"/>
        <v>#NAME?</v>
      </c>
      <c r="DB133" s="37" t="e">
        <f ca="1"/>
        <v>#NAME?</v>
      </c>
      <c r="DC133" s="90" t="e">
        <f ca="1"/>
        <v>#NAME?</v>
      </c>
      <c r="DQ133">
        <f t="shared" si="24"/>
        <v>108</v>
      </c>
      <c r="DR133" s="123" t="e">
        <f ca="1"/>
        <v>#NAME?</v>
      </c>
      <c r="DS133" s="37" t="e">
        <f ca="1"/>
        <v>#NAME?</v>
      </c>
      <c r="DT133" s="37" t="e">
        <f ca="1"/>
        <v>#NAME?</v>
      </c>
      <c r="DU133" s="90" t="e">
        <f ca="1"/>
        <v>#NAME?</v>
      </c>
      <c r="ED133" s="123" t="e">
        <f ca="1"/>
        <v>#NAME?</v>
      </c>
      <c r="EE133" s="37" t="e">
        <f ca="1"/>
        <v>#NAME?</v>
      </c>
      <c r="EF133" s="37" t="e">
        <f ca="1"/>
        <v>#NAME?</v>
      </c>
      <c r="EG133" s="90" t="e">
        <f ca="1"/>
        <v>#NAME?</v>
      </c>
    </row>
    <row r="134" spans="85:137" x14ac:dyDescent="0.35">
      <c r="CG134">
        <f t="shared" si="22"/>
        <v>116</v>
      </c>
      <c r="CH134" s="123" t="e">
        <f ca="1"/>
        <v>#NAME?</v>
      </c>
      <c r="CI134" s="37" t="e">
        <f ca="1"/>
        <v>#NAME?</v>
      </c>
      <c r="CJ134" s="37" t="e">
        <f ca="1"/>
        <v>#NAME?</v>
      </c>
      <c r="CK134" s="90" t="e">
        <f ca="1"/>
        <v>#NAME?</v>
      </c>
      <c r="CY134">
        <f t="shared" si="23"/>
        <v>116</v>
      </c>
      <c r="CZ134" s="123" t="e">
        <f ca="1"/>
        <v>#NAME?</v>
      </c>
      <c r="DA134" s="37" t="e">
        <f ca="1"/>
        <v>#NAME?</v>
      </c>
      <c r="DB134" s="37" t="e">
        <f ca="1"/>
        <v>#NAME?</v>
      </c>
      <c r="DC134" s="90" t="e">
        <f ca="1"/>
        <v>#NAME?</v>
      </c>
      <c r="DQ134">
        <f t="shared" si="24"/>
        <v>109</v>
      </c>
      <c r="DR134" s="123" t="e">
        <f ca="1"/>
        <v>#NAME?</v>
      </c>
      <c r="DS134" s="37" t="e">
        <f ca="1"/>
        <v>#NAME?</v>
      </c>
      <c r="DT134" s="37" t="e">
        <f ca="1"/>
        <v>#NAME?</v>
      </c>
      <c r="DU134" s="90" t="e">
        <f ca="1"/>
        <v>#NAME?</v>
      </c>
      <c r="ED134" s="123" t="e">
        <f ca="1"/>
        <v>#NAME?</v>
      </c>
      <c r="EE134" s="37" t="e">
        <f ca="1"/>
        <v>#NAME?</v>
      </c>
      <c r="EF134" s="37" t="e">
        <f ca="1"/>
        <v>#NAME?</v>
      </c>
      <c r="EG134" s="90" t="e">
        <f ca="1"/>
        <v>#NAME?</v>
      </c>
    </row>
    <row r="135" spans="85:137" x14ac:dyDescent="0.35">
      <c r="CG135">
        <f t="shared" si="22"/>
        <v>117</v>
      </c>
      <c r="CH135" s="123" t="e">
        <f ca="1"/>
        <v>#NAME?</v>
      </c>
      <c r="CI135" s="37" t="e">
        <f ca="1"/>
        <v>#NAME?</v>
      </c>
      <c r="CJ135" s="37" t="e">
        <f ca="1"/>
        <v>#NAME?</v>
      </c>
      <c r="CK135" s="90" t="e">
        <f ca="1"/>
        <v>#NAME?</v>
      </c>
      <c r="CY135">
        <f t="shared" si="23"/>
        <v>117</v>
      </c>
      <c r="CZ135" s="123" t="e">
        <f ca="1"/>
        <v>#NAME?</v>
      </c>
      <c r="DA135" s="37" t="e">
        <f ca="1"/>
        <v>#NAME?</v>
      </c>
      <c r="DB135" s="37" t="e">
        <f ca="1"/>
        <v>#NAME?</v>
      </c>
      <c r="DC135" s="90" t="e">
        <f ca="1"/>
        <v>#NAME?</v>
      </c>
      <c r="DQ135">
        <f t="shared" si="24"/>
        <v>110</v>
      </c>
      <c r="DR135" s="123" t="e">
        <f ca="1"/>
        <v>#NAME?</v>
      </c>
      <c r="DS135" s="37" t="e">
        <f ca="1"/>
        <v>#NAME?</v>
      </c>
      <c r="DT135" s="37" t="e">
        <f ca="1"/>
        <v>#NAME?</v>
      </c>
      <c r="DU135" s="90" t="e">
        <f ca="1"/>
        <v>#NAME?</v>
      </c>
      <c r="ED135" s="123" t="e">
        <f ca="1"/>
        <v>#NAME?</v>
      </c>
      <c r="EE135" s="37" t="e">
        <f ca="1"/>
        <v>#NAME?</v>
      </c>
      <c r="EF135" s="37" t="e">
        <f ca="1"/>
        <v>#NAME?</v>
      </c>
      <c r="EG135" s="90" t="e">
        <f ca="1"/>
        <v>#NAME?</v>
      </c>
    </row>
    <row r="136" spans="85:137" x14ac:dyDescent="0.35">
      <c r="CG136">
        <f t="shared" si="22"/>
        <v>118</v>
      </c>
      <c r="CH136" s="123" t="e">
        <f ca="1"/>
        <v>#NAME?</v>
      </c>
      <c r="CI136" s="37" t="e">
        <f ca="1"/>
        <v>#NAME?</v>
      </c>
      <c r="CJ136" s="37" t="e">
        <f ca="1"/>
        <v>#NAME?</v>
      </c>
      <c r="CK136" s="90" t="e">
        <f ca="1"/>
        <v>#NAME?</v>
      </c>
      <c r="CY136">
        <f t="shared" si="23"/>
        <v>118</v>
      </c>
      <c r="CZ136" s="123" t="e">
        <f ca="1"/>
        <v>#NAME?</v>
      </c>
      <c r="DA136" s="37" t="e">
        <f ca="1"/>
        <v>#NAME?</v>
      </c>
      <c r="DB136" s="37" t="e">
        <f ca="1"/>
        <v>#NAME?</v>
      </c>
      <c r="DC136" s="90" t="e">
        <f ca="1"/>
        <v>#NAME?</v>
      </c>
      <c r="DQ136">
        <f t="shared" si="24"/>
        <v>111</v>
      </c>
      <c r="DR136" s="123" t="e">
        <f ca="1"/>
        <v>#NAME?</v>
      </c>
      <c r="DS136" s="37" t="e">
        <f ca="1"/>
        <v>#NAME?</v>
      </c>
      <c r="DT136" s="37" t="e">
        <f ca="1"/>
        <v>#NAME?</v>
      </c>
      <c r="DU136" s="90" t="e">
        <f ca="1"/>
        <v>#NAME?</v>
      </c>
      <c r="ED136" s="123" t="e">
        <f ca="1"/>
        <v>#NAME?</v>
      </c>
      <c r="EE136" s="37" t="e">
        <f ca="1"/>
        <v>#NAME?</v>
      </c>
      <c r="EF136" s="37" t="e">
        <f ca="1"/>
        <v>#NAME?</v>
      </c>
      <c r="EG136" s="90" t="e">
        <f ca="1"/>
        <v>#NAME?</v>
      </c>
    </row>
    <row r="137" spans="85:137" x14ac:dyDescent="0.35">
      <c r="CG137">
        <f t="shared" si="22"/>
        <v>119</v>
      </c>
      <c r="CH137" s="123" t="e">
        <f ca="1"/>
        <v>#NAME?</v>
      </c>
      <c r="CI137" s="37" t="e">
        <f ca="1"/>
        <v>#NAME?</v>
      </c>
      <c r="CJ137" s="37" t="e">
        <f ca="1"/>
        <v>#NAME?</v>
      </c>
      <c r="CK137" s="90" t="e">
        <f ca="1"/>
        <v>#NAME?</v>
      </c>
      <c r="CY137">
        <f t="shared" si="23"/>
        <v>119</v>
      </c>
      <c r="CZ137" s="123" t="e">
        <f ca="1"/>
        <v>#NAME?</v>
      </c>
      <c r="DA137" s="37" t="e">
        <f ca="1"/>
        <v>#NAME?</v>
      </c>
      <c r="DB137" s="37" t="e">
        <f ca="1"/>
        <v>#NAME?</v>
      </c>
      <c r="DC137" s="90" t="e">
        <f ca="1"/>
        <v>#NAME?</v>
      </c>
      <c r="DQ137">
        <f t="shared" si="24"/>
        <v>112</v>
      </c>
      <c r="DR137" s="123" t="e">
        <f ca="1"/>
        <v>#NAME?</v>
      </c>
      <c r="DS137" s="37" t="e">
        <f ca="1"/>
        <v>#NAME?</v>
      </c>
      <c r="DT137" s="37" t="e">
        <f ca="1"/>
        <v>#NAME?</v>
      </c>
      <c r="DU137" s="90" t="e">
        <f ca="1"/>
        <v>#NAME?</v>
      </c>
      <c r="ED137" s="123" t="e">
        <f ca="1"/>
        <v>#NAME?</v>
      </c>
      <c r="EE137" s="37" t="e">
        <f ca="1"/>
        <v>#NAME?</v>
      </c>
      <c r="EF137" s="37" t="e">
        <f ca="1"/>
        <v>#NAME?</v>
      </c>
      <c r="EG137" s="90" t="e">
        <f ca="1"/>
        <v>#NAME?</v>
      </c>
    </row>
    <row r="138" spans="85:137" x14ac:dyDescent="0.35">
      <c r="CG138">
        <f t="shared" si="22"/>
        <v>120</v>
      </c>
      <c r="CH138" s="91" t="e">
        <f ca="1"/>
        <v>#NAME?</v>
      </c>
      <c r="CI138" s="92" t="e">
        <f ca="1"/>
        <v>#NAME?</v>
      </c>
      <c r="CJ138" s="92" t="e">
        <f ca="1"/>
        <v>#NAME?</v>
      </c>
      <c r="CK138" s="93" t="e">
        <f ca="1"/>
        <v>#NAME?</v>
      </c>
      <c r="CY138">
        <f t="shared" si="23"/>
        <v>120</v>
      </c>
      <c r="CZ138" s="91" t="e">
        <f ca="1"/>
        <v>#NAME?</v>
      </c>
      <c r="DA138" s="92" t="e">
        <f ca="1"/>
        <v>#NAME?</v>
      </c>
      <c r="DB138" s="92" t="e">
        <f ca="1"/>
        <v>#NAME?</v>
      </c>
      <c r="DC138" s="93" t="e">
        <f ca="1"/>
        <v>#NAME?</v>
      </c>
      <c r="DQ138">
        <f t="shared" si="24"/>
        <v>113</v>
      </c>
      <c r="DR138" s="123" t="e">
        <f ca="1"/>
        <v>#NAME?</v>
      </c>
      <c r="DS138" s="37" t="e">
        <f ca="1"/>
        <v>#NAME?</v>
      </c>
      <c r="DT138" s="37" t="e">
        <f ca="1"/>
        <v>#NAME?</v>
      </c>
      <c r="DU138" s="90" t="e">
        <f ca="1"/>
        <v>#NAME?</v>
      </c>
      <c r="ED138" s="123" t="e">
        <f ca="1"/>
        <v>#NAME?</v>
      </c>
      <c r="EE138" s="37" t="e">
        <f ca="1"/>
        <v>#NAME?</v>
      </c>
      <c r="EF138" s="37" t="e">
        <f ca="1"/>
        <v>#NAME?</v>
      </c>
      <c r="EG138" s="90" t="e">
        <f ca="1"/>
        <v>#NAME?</v>
      </c>
    </row>
    <row r="139" spans="85:137" x14ac:dyDescent="0.35">
      <c r="DQ139">
        <f t="shared" si="24"/>
        <v>114</v>
      </c>
      <c r="DR139" s="123" t="e">
        <f ca="1"/>
        <v>#NAME?</v>
      </c>
      <c r="DS139" s="37" t="e">
        <f ca="1"/>
        <v>#NAME?</v>
      </c>
      <c r="DT139" s="37" t="e">
        <f ca="1"/>
        <v>#NAME?</v>
      </c>
      <c r="DU139" s="90" t="e">
        <f ca="1"/>
        <v>#NAME?</v>
      </c>
      <c r="ED139" s="123" t="e">
        <f ca="1"/>
        <v>#NAME?</v>
      </c>
      <c r="EE139" s="37" t="e">
        <f ca="1"/>
        <v>#NAME?</v>
      </c>
      <c r="EF139" s="37" t="e">
        <f ca="1"/>
        <v>#NAME?</v>
      </c>
      <c r="EG139" s="90" t="e">
        <f ca="1"/>
        <v>#NAME?</v>
      </c>
    </row>
    <row r="140" spans="85:137" x14ac:dyDescent="0.35">
      <c r="CG140" t="s">
        <v>48</v>
      </c>
      <c r="CH140" s="156" t="e">
        <f ca="1">AVERAGE(CH19:CH138)</f>
        <v>#NAME?</v>
      </c>
      <c r="CI140" s="157" t="e">
        <f t="array" ref="CI140" ca="1">AVERAGE(CI19:CI138)</f>
        <v>#NAME?</v>
      </c>
      <c r="CJ140" s="157" t="e">
        <f t="array" ref="CJ140" ca="1">AVERAGE(CJ19:CJ138)</f>
        <v>#NAME?</v>
      </c>
      <c r="CK140" s="158" t="e">
        <f t="array" ref="CK140" ca="1">AVERAGE(CK19:CK138)</f>
        <v>#NAME?</v>
      </c>
      <c r="CY140" t="s">
        <v>48</v>
      </c>
      <c r="CZ140" s="156" t="e">
        <f ca="1">AVERAGE(CZ19:CZ138)</f>
        <v>#NAME?</v>
      </c>
      <c r="DA140" s="157" t="e">
        <f t="array" ref="DA140" ca="1">AVERAGE(DA19:DA138)</f>
        <v>#NAME?</v>
      </c>
      <c r="DB140" s="157" t="e">
        <f t="array" ref="DB140" ca="1">AVERAGE(DB19:DB138)</f>
        <v>#NAME?</v>
      </c>
      <c r="DC140" s="158" t="e">
        <f t="array" ref="DC140" ca="1">AVERAGE(DC19:DC138)</f>
        <v>#NAME?</v>
      </c>
      <c r="DQ140">
        <f t="shared" si="24"/>
        <v>115</v>
      </c>
      <c r="DR140" s="123" t="e">
        <f ca="1"/>
        <v>#NAME?</v>
      </c>
      <c r="DS140" s="37" t="e">
        <f ca="1"/>
        <v>#NAME?</v>
      </c>
      <c r="DT140" s="37" t="e">
        <f ca="1"/>
        <v>#NAME?</v>
      </c>
      <c r="DU140" s="90" t="e">
        <f ca="1"/>
        <v>#NAME?</v>
      </c>
      <c r="ED140" s="123" t="e">
        <f ca="1"/>
        <v>#NAME?</v>
      </c>
      <c r="EE140" s="37" t="e">
        <f ca="1"/>
        <v>#NAME?</v>
      </c>
      <c r="EF140" s="37" t="e">
        <f ca="1"/>
        <v>#NAME?</v>
      </c>
      <c r="EG140" s="90" t="e">
        <f ca="1"/>
        <v>#NAME?</v>
      </c>
    </row>
    <row r="141" spans="85:137" x14ac:dyDescent="0.35">
      <c r="CG141" t="s">
        <v>107</v>
      </c>
      <c r="CH141" s="91" t="e">
        <f ca="1">VAR(CH19:CH138)</f>
        <v>#NAME?</v>
      </c>
      <c r="CI141" s="92" t="e">
        <f ca="1">VAR(CI19:CI138)</f>
        <v>#NAME?</v>
      </c>
      <c r="CJ141" s="92" t="e">
        <f ca="1">VAR(CJ19:CJ138)</f>
        <v>#NAME?</v>
      </c>
      <c r="CK141" s="93" t="e">
        <f ca="1">VAR(CK19:CK138)</f>
        <v>#NAME?</v>
      </c>
      <c r="CY141" t="s">
        <v>107</v>
      </c>
      <c r="CZ141" s="91" t="e">
        <f ca="1">VAR(CZ19:CZ138)</f>
        <v>#NAME?</v>
      </c>
      <c r="DA141" s="92" t="e">
        <f ca="1">VAR(DA19:DA138)</f>
        <v>#NAME?</v>
      </c>
      <c r="DB141" s="92" t="e">
        <f ca="1">VAR(DB19:DB138)</f>
        <v>#NAME?</v>
      </c>
      <c r="DC141" s="93" t="e">
        <f ca="1">VAR(DC19:DC138)</f>
        <v>#NAME?</v>
      </c>
      <c r="DQ141">
        <f t="shared" si="24"/>
        <v>116</v>
      </c>
      <c r="DR141" s="123" t="e">
        <f ca="1"/>
        <v>#NAME?</v>
      </c>
      <c r="DS141" s="37" t="e">
        <f ca="1"/>
        <v>#NAME?</v>
      </c>
      <c r="DT141" s="37" t="e">
        <f ca="1"/>
        <v>#NAME?</v>
      </c>
      <c r="DU141" s="90" t="e">
        <f ca="1"/>
        <v>#NAME?</v>
      </c>
      <c r="ED141" s="123" t="e">
        <f ca="1"/>
        <v>#NAME?</v>
      </c>
      <c r="EE141" s="37" t="e">
        <f ca="1"/>
        <v>#NAME?</v>
      </c>
      <c r="EF141" s="37" t="e">
        <f ca="1"/>
        <v>#NAME?</v>
      </c>
      <c r="EG141" s="90" t="e">
        <f ca="1"/>
        <v>#NAME?</v>
      </c>
    </row>
    <row r="142" spans="85:137" x14ac:dyDescent="0.35">
      <c r="DQ142">
        <f t="shared" si="24"/>
        <v>117</v>
      </c>
      <c r="DR142" s="123" t="e">
        <f ca="1"/>
        <v>#NAME?</v>
      </c>
      <c r="DS142" s="37" t="e">
        <f ca="1"/>
        <v>#NAME?</v>
      </c>
      <c r="DT142" s="37" t="e">
        <f ca="1"/>
        <v>#NAME?</v>
      </c>
      <c r="DU142" s="90" t="e">
        <f ca="1"/>
        <v>#NAME?</v>
      </c>
      <c r="ED142" s="123" t="e">
        <f ca="1"/>
        <v>#NAME?</v>
      </c>
      <c r="EE142" s="37" t="e">
        <f ca="1"/>
        <v>#NAME?</v>
      </c>
      <c r="EF142" s="37" t="e">
        <f ca="1"/>
        <v>#NAME?</v>
      </c>
      <c r="EG142" s="90" t="e">
        <f ca="1"/>
        <v>#NAME?</v>
      </c>
    </row>
    <row r="143" spans="85:137" x14ac:dyDescent="0.35">
      <c r="DQ143">
        <f t="shared" si="24"/>
        <v>118</v>
      </c>
      <c r="DR143" s="123" t="e">
        <f ca="1"/>
        <v>#NAME?</v>
      </c>
      <c r="DS143" s="37" t="e">
        <f ca="1"/>
        <v>#NAME?</v>
      </c>
      <c r="DT143" s="37" t="e">
        <f ca="1"/>
        <v>#NAME?</v>
      </c>
      <c r="DU143" s="90" t="e">
        <f ca="1"/>
        <v>#NAME?</v>
      </c>
      <c r="ED143" s="123" t="e">
        <f ca="1"/>
        <v>#NAME?</v>
      </c>
      <c r="EE143" s="37" t="e">
        <f ca="1"/>
        <v>#NAME?</v>
      </c>
      <c r="EF143" s="37" t="e">
        <f ca="1"/>
        <v>#NAME?</v>
      </c>
      <c r="EG143" s="90" t="e">
        <f ca="1"/>
        <v>#NAME?</v>
      </c>
    </row>
    <row r="144" spans="85:137" x14ac:dyDescent="0.35">
      <c r="DQ144">
        <f t="shared" si="24"/>
        <v>119</v>
      </c>
      <c r="DR144" s="123" t="e">
        <f ca="1"/>
        <v>#NAME?</v>
      </c>
      <c r="DS144" s="37" t="e">
        <f ca="1"/>
        <v>#NAME?</v>
      </c>
      <c r="DT144" s="37" t="e">
        <f ca="1"/>
        <v>#NAME?</v>
      </c>
      <c r="DU144" s="90" t="e">
        <f ca="1"/>
        <v>#NAME?</v>
      </c>
      <c r="ED144" s="123" t="e">
        <f ca="1"/>
        <v>#NAME?</v>
      </c>
      <c r="EE144" s="37" t="e">
        <f ca="1"/>
        <v>#NAME?</v>
      </c>
      <c r="EF144" s="37" t="e">
        <f ca="1"/>
        <v>#NAME?</v>
      </c>
      <c r="EG144" s="90" t="e">
        <f ca="1"/>
        <v>#NAME?</v>
      </c>
    </row>
    <row r="145" spans="121:137" x14ac:dyDescent="0.35">
      <c r="DQ145">
        <f t="shared" si="24"/>
        <v>120</v>
      </c>
      <c r="DR145" s="91" t="e">
        <f ca="1"/>
        <v>#NAME?</v>
      </c>
      <c r="DS145" s="92" t="e">
        <f ca="1"/>
        <v>#NAME?</v>
      </c>
      <c r="DT145" s="92" t="e">
        <f ca="1"/>
        <v>#NAME?</v>
      </c>
      <c r="DU145" s="93" t="e">
        <f ca="1"/>
        <v>#NAME?</v>
      </c>
      <c r="ED145" s="91" t="e">
        <f ca="1"/>
        <v>#NAME?</v>
      </c>
      <c r="EE145" s="92" t="e">
        <f ca="1"/>
        <v>#NAME?</v>
      </c>
      <c r="EF145" s="92" t="e">
        <f ca="1"/>
        <v>#NAME?</v>
      </c>
      <c r="EG145" s="93" t="e">
        <f ca="1"/>
        <v>#NAME?</v>
      </c>
    </row>
    <row r="147" spans="121:137" x14ac:dyDescent="0.35">
      <c r="DQ147" t="s">
        <v>48</v>
      </c>
      <c r="DR147" s="156" t="e">
        <f ca="1">AVERAGE(DR26:DR145)</f>
        <v>#NAME?</v>
      </c>
      <c r="DS147" s="157" t="e">
        <f t="array" ref="DS147" ca="1">AVERAGE(DS26:DS145)</f>
        <v>#NAME?</v>
      </c>
      <c r="DT147" s="157" t="e">
        <f t="array" ref="DT147" ca="1">AVERAGE(DT26:DT145)</f>
        <v>#NAME?</v>
      </c>
      <c r="DU147" s="158" t="e">
        <f ca="1">AVERAGE(DU26:DU145)</f>
        <v>#NAME?</v>
      </c>
      <c r="ED147" s="156" t="e">
        <f ca="1">AVERAGE(ED26:ED145)</f>
        <v>#NAME?</v>
      </c>
      <c r="EE147" s="157" t="e">
        <f t="array" ref="EE147" ca="1">AVERAGE(EE26:EE145)</f>
        <v>#NAME?</v>
      </c>
      <c r="EF147" s="157" t="e">
        <f t="array" ref="EF147" ca="1">AVERAGE(EF26:EF145)</f>
        <v>#NAME?</v>
      </c>
      <c r="EG147" s="158" t="e">
        <f ca="1">AVERAGE(EG26:EG145)</f>
        <v>#NAME?</v>
      </c>
    </row>
    <row r="148" spans="121:137" x14ac:dyDescent="0.35">
      <c r="DQ148" t="s">
        <v>107</v>
      </c>
      <c r="DR148" s="91" t="e">
        <f ca="1">VAR(DR26:DR145)</f>
        <v>#NAME?</v>
      </c>
      <c r="DS148" s="92" t="e">
        <f ca="1">VAR(DS26:DS145)</f>
        <v>#NAME?</v>
      </c>
      <c r="DT148" s="92" t="e">
        <f ca="1">VAR(DT26:DT145)</f>
        <v>#NAME?</v>
      </c>
      <c r="DU148" s="93" t="e">
        <f ca="1">VAR(DU26:DU145)</f>
        <v>#NAME?</v>
      </c>
      <c r="ED148" s="91" t="e">
        <f ca="1">VAR(ED26:ED145)</f>
        <v>#NAME?</v>
      </c>
      <c r="EE148" s="92" t="e">
        <f ca="1">VAR(EE26:EE145)</f>
        <v>#NAME?</v>
      </c>
      <c r="EF148" s="92" t="e">
        <f ca="1">VAR(EF26:EF145)</f>
        <v>#NAME?</v>
      </c>
      <c r="EG148" s="93" t="e">
        <f ca="1">VAR(EG26:EG145)</f>
        <v>#NAME?</v>
      </c>
    </row>
  </sheetData>
  <conditionalFormatting sqref="B44:E52">
    <cfRule type="cellIs" dxfId="9" priority="5" operator="lessThan">
      <formula>-0.4</formula>
    </cfRule>
    <cfRule type="cellIs" dxfId="8" priority="6" operator="greaterThan">
      <formula>0.4</formula>
    </cfRule>
  </conditionalFormatting>
  <conditionalFormatting sqref="I44:L52">
    <cfRule type="cellIs" dxfId="7" priority="3" operator="lessThan">
      <formula>-0.4</formula>
    </cfRule>
    <cfRule type="cellIs" dxfId="6" priority="4" operator="greaterThan">
      <formula>0.4</formula>
    </cfRule>
  </conditionalFormatting>
  <conditionalFormatting sqref="AD32:AL40">
    <cfRule type="cellIs" dxfId="5" priority="1" operator="lessThan">
      <formula>-0.1</formula>
    </cfRule>
    <cfRule type="cellIs" dxfId="4" priority="2" operator="greaterThan">
      <formula>0.1</formula>
    </cfRule>
  </conditionalFormatting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9"/>
  <dimension ref="A1:M40"/>
  <sheetViews>
    <sheetView topLeftCell="A20" workbookViewId="0">
      <selection activeCell="P11" sqref="P11"/>
    </sheetView>
  </sheetViews>
  <sheetFormatPr defaultRowHeight="14.5" x14ac:dyDescent="0.35"/>
  <cols>
    <col min="9" max="9" width="9.1796875" customWidth="1"/>
    <col min="11" max="11" width="9" customWidth="1"/>
    <col min="13" max="13" width="9.1796875" customWidth="1"/>
  </cols>
  <sheetData>
    <row r="1" spans="1:13" x14ac:dyDescent="0.35">
      <c r="A1" s="42" t="s">
        <v>455</v>
      </c>
    </row>
    <row r="3" spans="1:13" x14ac:dyDescent="0.35">
      <c r="A3" s="46" t="s">
        <v>39</v>
      </c>
      <c r="L3" t="s">
        <v>514</v>
      </c>
    </row>
    <row r="5" spans="1:13" x14ac:dyDescent="0.35">
      <c r="B5" s="175" t="str">
        <f>PCA!M3</f>
        <v>Expect</v>
      </c>
      <c r="C5" s="175" t="str">
        <f>PCA!N3</f>
        <v>Entertain</v>
      </c>
      <c r="D5" s="175" t="str">
        <f>PCA!O3</f>
        <v>Comm</v>
      </c>
      <c r="E5" s="175" t="str">
        <f>PCA!P3</f>
        <v>Expert</v>
      </c>
      <c r="F5" s="175" t="str">
        <f>PCA!Q3</f>
        <v>Motivate</v>
      </c>
      <c r="G5" s="175" t="str">
        <f>PCA!R3</f>
        <v>Caring</v>
      </c>
      <c r="H5" s="175" t="str">
        <f>PCA!S3</f>
        <v>Charisma</v>
      </c>
      <c r="I5" s="175" t="str">
        <f>PCA!T3</f>
        <v>Passion</v>
      </c>
      <c r="J5" s="175" t="str">
        <f>PCA!U3</f>
        <v>Friendly</v>
      </c>
      <c r="L5" s="156" t="e">
        <f ca="1">B6</f>
        <v>#NAME?</v>
      </c>
      <c r="M5" s="158">
        <f>COUNT(PCA!A4:A123)</f>
        <v>120</v>
      </c>
    </row>
    <row r="6" spans="1:13" x14ac:dyDescent="0.35">
      <c r="A6" t="str">
        <f t="array" ref="A6:A14">TRANSPOSE(B5:J5)</f>
        <v>Expect</v>
      </c>
      <c r="B6" s="156" t="e">
        <f t="array" ref="B6:J14" ca="1">Factor!B6:J14</f>
        <v>#NAME?</v>
      </c>
      <c r="C6" s="157" t="e">
        <f ca="1"/>
        <v>#NAME?</v>
      </c>
      <c r="D6" s="157" t="e">
        <f ca="1"/>
        <v>#NAME?</v>
      </c>
      <c r="E6" s="157" t="e">
        <f ca="1"/>
        <v>#NAME?</v>
      </c>
      <c r="F6" s="157" t="e">
        <f ca="1"/>
        <v>#NAME?</v>
      </c>
      <c r="G6" s="157" t="e">
        <f ca="1"/>
        <v>#NAME?</v>
      </c>
      <c r="H6" s="157" t="e">
        <f ca="1"/>
        <v>#NAME?</v>
      </c>
      <c r="I6" s="157" t="e">
        <f ca="1"/>
        <v>#NAME?</v>
      </c>
      <c r="J6" s="158" t="e">
        <f ca="1"/>
        <v>#NAME?</v>
      </c>
      <c r="L6" s="91" t="e">
        <f ca="1">B19</f>
        <v>#NAME?</v>
      </c>
      <c r="M6" s="93">
        <f>M5</f>
        <v>120</v>
      </c>
    </row>
    <row r="7" spans="1:13" x14ac:dyDescent="0.35">
      <c r="A7" t="str">
        <v>Entertain</v>
      </c>
      <c r="B7" s="123" t="e">
        <f ca="1"/>
        <v>#NAME?</v>
      </c>
      <c r="C7" s="37" t="e">
        <f ca="1"/>
        <v>#NAME?</v>
      </c>
      <c r="D7" s="37" t="e">
        <f ca="1"/>
        <v>#NAME?</v>
      </c>
      <c r="E7" s="37" t="e">
        <f ca="1"/>
        <v>#NAME?</v>
      </c>
      <c r="F7" s="37" t="e">
        <f ca="1"/>
        <v>#NAME?</v>
      </c>
      <c r="G7" s="37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</row>
    <row r="8" spans="1:13" x14ac:dyDescent="0.35">
      <c r="A8" t="str">
        <v>Comm</v>
      </c>
      <c r="B8" s="123" t="e">
        <f ca="1"/>
        <v>#NAME?</v>
      </c>
      <c r="C8" s="37" t="e">
        <f ca="1"/>
        <v>#NAME?</v>
      </c>
      <c r="D8" s="37" t="e">
        <f ca="1"/>
        <v>#NAME?</v>
      </c>
      <c r="E8" s="37" t="e">
        <f ca="1"/>
        <v>#NAME?</v>
      </c>
      <c r="F8" s="37" t="e">
        <f ca="1"/>
        <v>#NAME?</v>
      </c>
      <c r="G8" s="37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  <c r="L8" t="s">
        <v>113</v>
      </c>
      <c r="M8" s="172" t="e">
        <f t="array" aca="1" ref="M8:M12" ca="1">BOX(L5:M6,COUNTA(B5:J5))</f>
        <v>#NAME?</v>
      </c>
    </row>
    <row r="9" spans="1:13" x14ac:dyDescent="0.35">
      <c r="A9" t="str">
        <v>Expert</v>
      </c>
      <c r="B9" s="123" t="e">
        <f ca="1"/>
        <v>#NAME?</v>
      </c>
      <c r="C9" s="37" t="e">
        <f ca="1"/>
        <v>#NAME?</v>
      </c>
      <c r="D9" s="37" t="e">
        <f ca="1"/>
        <v>#NAME?</v>
      </c>
      <c r="E9" s="37" t="e">
        <f ca="1"/>
        <v>#NAME?</v>
      </c>
      <c r="F9" s="37" t="e">
        <f ca="1"/>
        <v>#NAME?</v>
      </c>
      <c r="G9" s="37" t="e">
        <f ca="1"/>
        <v>#NAME?</v>
      </c>
      <c r="H9" s="37" t="e">
        <f ca="1"/>
        <v>#NAME?</v>
      </c>
      <c r="I9" s="37" t="e">
        <f ca="1"/>
        <v>#NAME?</v>
      </c>
      <c r="J9" s="90" t="e">
        <f ca="1"/>
        <v>#NAME?</v>
      </c>
      <c r="L9" t="s">
        <v>55</v>
      </c>
      <c r="M9" s="173" t="e">
        <f ca="1"/>
        <v>#NAME?</v>
      </c>
    </row>
    <row r="10" spans="1:13" x14ac:dyDescent="0.35">
      <c r="A10" t="str">
        <v>Motivate</v>
      </c>
      <c r="B10" s="123" t="e">
        <f ca="1"/>
        <v>#NAME?</v>
      </c>
      <c r="C10" s="37" t="e">
        <f ca="1"/>
        <v>#NAME?</v>
      </c>
      <c r="D10" s="37" t="e">
        <f ca="1"/>
        <v>#NAME?</v>
      </c>
      <c r="E10" s="37" t="e">
        <f ca="1"/>
        <v>#NAME?</v>
      </c>
      <c r="F10" s="37" t="e">
        <f ca="1"/>
        <v>#NAME?</v>
      </c>
      <c r="G10" s="37" t="e">
        <f ca="1"/>
        <v>#NAME?</v>
      </c>
      <c r="H10" s="37" t="e">
        <f ca="1"/>
        <v>#NAME?</v>
      </c>
      <c r="I10" s="37" t="e">
        <f ca="1"/>
        <v>#NAME?</v>
      </c>
      <c r="J10" s="90" t="e">
        <f ca="1"/>
        <v>#NAME?</v>
      </c>
      <c r="L10" t="s">
        <v>56</v>
      </c>
      <c r="M10" s="173" t="e">
        <f ca="1"/>
        <v>#NAME?</v>
      </c>
    </row>
    <row r="11" spans="1:13" x14ac:dyDescent="0.35">
      <c r="A11" t="str">
        <v>Caring</v>
      </c>
      <c r="B11" s="123" t="e">
        <f ca="1"/>
        <v>#NAME?</v>
      </c>
      <c r="C11" s="37" t="e">
        <f ca="1"/>
        <v>#NAME?</v>
      </c>
      <c r="D11" s="37" t="e">
        <f ca="1"/>
        <v>#NAME?</v>
      </c>
      <c r="E11" s="37" t="e">
        <f ca="1"/>
        <v>#NAME?</v>
      </c>
      <c r="F11" s="37" t="e">
        <f ca="1"/>
        <v>#NAME?</v>
      </c>
      <c r="G11" s="37" t="e">
        <f ca="1"/>
        <v>#NAME?</v>
      </c>
      <c r="H11" s="37" t="e">
        <f ca="1"/>
        <v>#NAME?</v>
      </c>
      <c r="I11" s="37" t="e">
        <f ca="1"/>
        <v>#NAME?</v>
      </c>
      <c r="J11" s="90" t="e">
        <f ca="1"/>
        <v>#NAME?</v>
      </c>
      <c r="L11" t="s">
        <v>54</v>
      </c>
      <c r="M11" s="173" t="e">
        <f ca="1"/>
        <v>#NAME?</v>
      </c>
    </row>
    <row r="12" spans="1:13" x14ac:dyDescent="0.35">
      <c r="A12" s="60" t="str">
        <v>Charisma</v>
      </c>
      <c r="B12" s="123" t="e">
        <f ca="1"/>
        <v>#NAME?</v>
      </c>
      <c r="C12" s="37" t="e">
        <f ca="1"/>
        <v>#NAME?</v>
      </c>
      <c r="D12" s="37" t="e">
        <f ca="1"/>
        <v>#NAME?</v>
      </c>
      <c r="E12" s="37" t="e">
        <f ca="1"/>
        <v>#NAME?</v>
      </c>
      <c r="F12" s="37" t="e">
        <f ca="1"/>
        <v>#NAME?</v>
      </c>
      <c r="G12" s="37" t="e">
        <f ca="1"/>
        <v>#NAME?</v>
      </c>
      <c r="H12" s="37" t="e">
        <f ca="1"/>
        <v>#NAME?</v>
      </c>
      <c r="I12" s="37" t="e">
        <f ca="1"/>
        <v>#NAME?</v>
      </c>
      <c r="J12" s="90" t="e">
        <f ca="1"/>
        <v>#NAME?</v>
      </c>
      <c r="L12" t="s">
        <v>65</v>
      </c>
      <c r="M12" s="174" t="e">
        <f ca="1"/>
        <v>#NAME?</v>
      </c>
    </row>
    <row r="13" spans="1:13" x14ac:dyDescent="0.35">
      <c r="A13" s="60" t="str">
        <v>Passion</v>
      </c>
      <c r="B13" s="123" t="e">
        <f ca="1"/>
        <v>#NAME?</v>
      </c>
      <c r="C13" s="37" t="e">
        <f ca="1"/>
        <v>#NAME?</v>
      </c>
      <c r="D13" s="37" t="e">
        <f ca="1"/>
        <v>#NAME?</v>
      </c>
      <c r="E13" s="37" t="e">
        <f ca="1"/>
        <v>#NAME?</v>
      </c>
      <c r="F13" s="37" t="e">
        <f ca="1"/>
        <v>#NAME?</v>
      </c>
      <c r="G13" s="37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</row>
    <row r="14" spans="1:13" x14ac:dyDescent="0.35">
      <c r="A14" s="60" t="str">
        <v>Friendly</v>
      </c>
      <c r="B14" s="91" t="e">
        <f ca="1"/>
        <v>#NAME?</v>
      </c>
      <c r="C14" s="92" t="e">
        <f ca="1"/>
        <v>#NAME?</v>
      </c>
      <c r="D14" s="92" t="e">
        <f ca="1"/>
        <v>#NAME?</v>
      </c>
      <c r="E14" s="92" t="e">
        <f ca="1"/>
        <v>#NAME?</v>
      </c>
      <c r="F14" s="92" t="e">
        <f ca="1"/>
        <v>#NAME?</v>
      </c>
      <c r="G14" s="92" t="e">
        <f ca="1"/>
        <v>#NAME?</v>
      </c>
      <c r="H14" s="92" t="e">
        <f ca="1"/>
        <v>#NAME?</v>
      </c>
      <c r="I14" s="92" t="e">
        <f ca="1"/>
        <v>#NAME?</v>
      </c>
      <c r="J14" s="93" t="e">
        <f ca="1"/>
        <v>#NAME?</v>
      </c>
    </row>
    <row r="16" spans="1:13" x14ac:dyDescent="0.35">
      <c r="A16" s="46" t="s">
        <v>456</v>
      </c>
    </row>
    <row r="18" spans="1:10" x14ac:dyDescent="0.35">
      <c r="B18" s="175" t="str">
        <f t="array" ref="B18:J18">B5:J5</f>
        <v>Expect</v>
      </c>
      <c r="C18" s="175" t="str">
        <v>Entertain</v>
      </c>
      <c r="D18" s="175" t="str">
        <v>Comm</v>
      </c>
      <c r="E18" s="175" t="str">
        <v>Expert</v>
      </c>
      <c r="F18" s="175" t="str">
        <v>Motivate</v>
      </c>
      <c r="G18" s="175" t="str">
        <v>Caring</v>
      </c>
      <c r="H18" s="175" t="str">
        <v>Charisma</v>
      </c>
      <c r="I18" s="175" t="str">
        <v>Passion</v>
      </c>
      <c r="J18" s="175" t="str">
        <v>Friendly</v>
      </c>
    </row>
    <row r="19" spans="1:10" x14ac:dyDescent="0.35">
      <c r="A19" t="str">
        <f t="array" ref="A19:A27">A6:A14</f>
        <v>Expect</v>
      </c>
      <c r="B19" s="156" t="e">
        <f t="array" aca="1" ref="B19:J27" ca="1">Identity()</f>
        <v>#NAME?</v>
      </c>
      <c r="C19" s="157" t="e">
        <f ca="1"/>
        <v>#NAME?</v>
      </c>
      <c r="D19" s="157" t="e">
        <f ca="1"/>
        <v>#NAME?</v>
      </c>
      <c r="E19" s="157" t="e">
        <f ca="1"/>
        <v>#NAME?</v>
      </c>
      <c r="F19" s="157" t="e">
        <f ca="1"/>
        <v>#NAME?</v>
      </c>
      <c r="G19" s="157" t="e">
        <f ca="1"/>
        <v>#NAME?</v>
      </c>
      <c r="H19" s="157" t="e">
        <f ca="1"/>
        <v>#NAME?</v>
      </c>
      <c r="I19" s="157" t="e">
        <f ca="1"/>
        <v>#NAME?</v>
      </c>
      <c r="J19" s="158" t="e">
        <f ca="1"/>
        <v>#NAME?</v>
      </c>
    </row>
    <row r="20" spans="1:10" x14ac:dyDescent="0.35">
      <c r="A20" t="str">
        <v>Entertain</v>
      </c>
      <c r="B20" s="123" t="e">
        <f ca="1"/>
        <v>#NAME?</v>
      </c>
      <c r="C20" s="37" t="e">
        <f ca="1"/>
        <v>#NAME?</v>
      </c>
      <c r="D20" s="37" t="e">
        <f ca="1"/>
        <v>#NAME?</v>
      </c>
      <c r="E20" s="37" t="e">
        <f ca="1"/>
        <v>#NAME?</v>
      </c>
      <c r="F20" s="37" t="e">
        <f ca="1"/>
        <v>#NAME?</v>
      </c>
      <c r="G20" s="37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</row>
    <row r="21" spans="1:10" x14ac:dyDescent="0.35">
      <c r="A21" t="str">
        <v>Comm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</row>
    <row r="22" spans="1:10" x14ac:dyDescent="0.35">
      <c r="A22" t="str">
        <v>Expert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</row>
    <row r="23" spans="1:10" x14ac:dyDescent="0.35">
      <c r="A23" t="str">
        <v>Motivate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</row>
    <row r="24" spans="1:10" x14ac:dyDescent="0.35">
      <c r="A24" t="str">
        <v>Caring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</row>
    <row r="25" spans="1:10" x14ac:dyDescent="0.35">
      <c r="A25" s="60" t="str">
        <v>Charisma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</row>
    <row r="26" spans="1:10" x14ac:dyDescent="0.35">
      <c r="A26" s="60" t="str">
        <v>Passion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</row>
    <row r="27" spans="1:10" x14ac:dyDescent="0.35">
      <c r="A27" s="60" t="str">
        <v>Friendly</v>
      </c>
      <c r="B27" s="91" t="e">
        <f ca="1"/>
        <v>#NAME?</v>
      </c>
      <c r="C27" s="92" t="e">
        <f ca="1"/>
        <v>#NAME?</v>
      </c>
      <c r="D27" s="92" t="e">
        <f ca="1"/>
        <v>#NAME?</v>
      </c>
      <c r="E27" s="92" t="e">
        <f ca="1"/>
        <v>#NAME?</v>
      </c>
      <c r="F27" s="92" t="e">
        <f ca="1"/>
        <v>#NAME?</v>
      </c>
      <c r="G27" s="92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</row>
    <row r="29" spans="1:10" x14ac:dyDescent="0.35">
      <c r="A29" s="46" t="s">
        <v>457</v>
      </c>
    </row>
    <row r="31" spans="1:10" x14ac:dyDescent="0.35">
      <c r="B31" s="32" t="str">
        <f t="array" ref="B31:J31">B18:J18</f>
        <v>Expect</v>
      </c>
      <c r="C31" s="32" t="str">
        <v>Entertain</v>
      </c>
      <c r="D31" s="32" t="str">
        <v>Comm</v>
      </c>
      <c r="E31" s="32" t="str">
        <v>Expert</v>
      </c>
      <c r="F31" s="32" t="str">
        <v>Motivate</v>
      </c>
      <c r="G31" s="32" t="str">
        <v>Caring</v>
      </c>
      <c r="H31" s="186" t="str">
        <v>Charisma</v>
      </c>
      <c r="I31" s="186" t="str">
        <v>Passion</v>
      </c>
      <c r="J31" s="186" t="str">
        <v>Friendly</v>
      </c>
    </row>
    <row r="32" spans="1:10" x14ac:dyDescent="0.35">
      <c r="A32" t="str">
        <f t="array" ref="A32:A40">A19:A27</f>
        <v>Expect</v>
      </c>
      <c r="B32" s="156" t="e">
        <f ca="1">(B6+B19)/2</f>
        <v>#NAME?</v>
      </c>
      <c r="C32" s="157" t="e">
        <f t="shared" ref="C32:J32" ca="1" si="0">(C6+C19)/2</f>
        <v>#NAME?</v>
      </c>
      <c r="D32" s="157" t="e">
        <f t="shared" ca="1" si="0"/>
        <v>#NAME?</v>
      </c>
      <c r="E32" s="157" t="e">
        <f t="shared" ca="1" si="0"/>
        <v>#NAME?</v>
      </c>
      <c r="F32" s="157" t="e">
        <f t="shared" ca="1" si="0"/>
        <v>#NAME?</v>
      </c>
      <c r="G32" s="157" t="e">
        <f t="shared" ca="1" si="0"/>
        <v>#NAME?</v>
      </c>
      <c r="H32" s="157" t="e">
        <f t="shared" ca="1" si="0"/>
        <v>#NAME?</v>
      </c>
      <c r="I32" s="157" t="e">
        <f t="shared" ca="1" si="0"/>
        <v>#NAME?</v>
      </c>
      <c r="J32" s="158" t="e">
        <f t="shared" ca="1" si="0"/>
        <v>#NAME?</v>
      </c>
    </row>
    <row r="33" spans="1:10" x14ac:dyDescent="0.35">
      <c r="A33" t="str">
        <v>Entertain</v>
      </c>
      <c r="B33" s="123" t="e">
        <f t="shared" ref="B33:J40" ca="1" si="1">(B7+B20)/2</f>
        <v>#NAME?</v>
      </c>
      <c r="C33" s="37" t="e">
        <f t="shared" ca="1" si="1"/>
        <v>#NAME?</v>
      </c>
      <c r="D33" s="37" t="e">
        <f t="shared" ca="1" si="1"/>
        <v>#NAME?</v>
      </c>
      <c r="E33" s="37" t="e">
        <f t="shared" ca="1" si="1"/>
        <v>#NAME?</v>
      </c>
      <c r="F33" s="37" t="e">
        <f t="shared" ca="1" si="1"/>
        <v>#NAME?</v>
      </c>
      <c r="G33" s="37" t="e">
        <f t="shared" ca="1" si="1"/>
        <v>#NAME?</v>
      </c>
      <c r="H33" s="37" t="e">
        <f t="shared" ca="1" si="1"/>
        <v>#NAME?</v>
      </c>
      <c r="I33" s="37" t="e">
        <f t="shared" ca="1" si="1"/>
        <v>#NAME?</v>
      </c>
      <c r="J33" s="90" t="e">
        <f t="shared" ca="1" si="1"/>
        <v>#NAME?</v>
      </c>
    </row>
    <row r="34" spans="1:10" x14ac:dyDescent="0.35">
      <c r="A34" t="str">
        <v>Comm</v>
      </c>
      <c r="B34" s="123" t="e">
        <f t="shared" ca="1" si="1"/>
        <v>#NAME?</v>
      </c>
      <c r="C34" s="37" t="e">
        <f t="shared" ca="1" si="1"/>
        <v>#NAME?</v>
      </c>
      <c r="D34" s="37" t="e">
        <f t="shared" ca="1" si="1"/>
        <v>#NAME?</v>
      </c>
      <c r="E34" s="37" t="e">
        <f t="shared" ca="1" si="1"/>
        <v>#NAME?</v>
      </c>
      <c r="F34" s="37" t="e">
        <f t="shared" ca="1" si="1"/>
        <v>#NAME?</v>
      </c>
      <c r="G34" s="37" t="e">
        <f t="shared" ca="1" si="1"/>
        <v>#NAME?</v>
      </c>
      <c r="H34" s="37" t="e">
        <f t="shared" ca="1" si="1"/>
        <v>#NAME?</v>
      </c>
      <c r="I34" s="37" t="e">
        <f t="shared" ca="1" si="1"/>
        <v>#NAME?</v>
      </c>
      <c r="J34" s="90" t="e">
        <f t="shared" ca="1" si="1"/>
        <v>#NAME?</v>
      </c>
    </row>
    <row r="35" spans="1:10" x14ac:dyDescent="0.35">
      <c r="A35" t="str">
        <v>Expert</v>
      </c>
      <c r="B35" s="123" t="e">
        <f t="shared" ca="1" si="1"/>
        <v>#NAME?</v>
      </c>
      <c r="C35" s="37" t="e">
        <f t="shared" ca="1" si="1"/>
        <v>#NAME?</v>
      </c>
      <c r="D35" s="37" t="e">
        <f t="shared" ca="1" si="1"/>
        <v>#NAME?</v>
      </c>
      <c r="E35" s="37" t="e">
        <f t="shared" ca="1" si="1"/>
        <v>#NAME?</v>
      </c>
      <c r="F35" s="37" t="e">
        <f t="shared" ca="1" si="1"/>
        <v>#NAME?</v>
      </c>
      <c r="G35" s="37" t="e">
        <f t="shared" ca="1" si="1"/>
        <v>#NAME?</v>
      </c>
      <c r="H35" s="37" t="e">
        <f t="shared" ca="1" si="1"/>
        <v>#NAME?</v>
      </c>
      <c r="I35" s="37" t="e">
        <f t="shared" ca="1" si="1"/>
        <v>#NAME?</v>
      </c>
      <c r="J35" s="90" t="e">
        <f t="shared" ca="1" si="1"/>
        <v>#NAME?</v>
      </c>
    </row>
    <row r="36" spans="1:10" x14ac:dyDescent="0.35">
      <c r="A36" t="str">
        <v>Motivate</v>
      </c>
      <c r="B36" s="123" t="e">
        <f t="shared" ca="1" si="1"/>
        <v>#NAME?</v>
      </c>
      <c r="C36" s="37" t="e">
        <f t="shared" ca="1" si="1"/>
        <v>#NAME?</v>
      </c>
      <c r="D36" s="37" t="e">
        <f t="shared" ca="1" si="1"/>
        <v>#NAME?</v>
      </c>
      <c r="E36" s="37" t="e">
        <f t="shared" ca="1" si="1"/>
        <v>#NAME?</v>
      </c>
      <c r="F36" s="37" t="e">
        <f t="shared" ca="1" si="1"/>
        <v>#NAME?</v>
      </c>
      <c r="G36" s="37" t="e">
        <f t="shared" ca="1" si="1"/>
        <v>#NAME?</v>
      </c>
      <c r="H36" s="37" t="e">
        <f t="shared" ca="1" si="1"/>
        <v>#NAME?</v>
      </c>
      <c r="I36" s="37" t="e">
        <f t="shared" ca="1" si="1"/>
        <v>#NAME?</v>
      </c>
      <c r="J36" s="90" t="e">
        <f t="shared" ca="1" si="1"/>
        <v>#NAME?</v>
      </c>
    </row>
    <row r="37" spans="1:10" x14ac:dyDescent="0.35">
      <c r="A37" t="str">
        <v>Caring</v>
      </c>
      <c r="B37" s="123" t="e">
        <f t="shared" ca="1" si="1"/>
        <v>#NAME?</v>
      </c>
      <c r="C37" s="37" t="e">
        <f t="shared" ca="1" si="1"/>
        <v>#NAME?</v>
      </c>
      <c r="D37" s="37" t="e">
        <f t="shared" ca="1" si="1"/>
        <v>#NAME?</v>
      </c>
      <c r="E37" s="37" t="e">
        <f t="shared" ca="1" si="1"/>
        <v>#NAME?</v>
      </c>
      <c r="F37" s="37" t="e">
        <f t="shared" ca="1" si="1"/>
        <v>#NAME?</v>
      </c>
      <c r="G37" s="37" t="e">
        <f t="shared" ca="1" si="1"/>
        <v>#NAME?</v>
      </c>
      <c r="H37" s="37" t="e">
        <f t="shared" ca="1" si="1"/>
        <v>#NAME?</v>
      </c>
      <c r="I37" s="37" t="e">
        <f t="shared" ca="1" si="1"/>
        <v>#NAME?</v>
      </c>
      <c r="J37" s="90" t="e">
        <f t="shared" ca="1" si="1"/>
        <v>#NAME?</v>
      </c>
    </row>
    <row r="38" spans="1:10" x14ac:dyDescent="0.35">
      <c r="A38" s="60" t="str">
        <v>Charisma</v>
      </c>
      <c r="B38" s="123" t="e">
        <f t="shared" ca="1" si="1"/>
        <v>#NAME?</v>
      </c>
      <c r="C38" s="37" t="e">
        <f t="shared" ca="1" si="1"/>
        <v>#NAME?</v>
      </c>
      <c r="D38" s="37" t="e">
        <f t="shared" ca="1" si="1"/>
        <v>#NAME?</v>
      </c>
      <c r="E38" s="37" t="e">
        <f t="shared" ca="1" si="1"/>
        <v>#NAME?</v>
      </c>
      <c r="F38" s="37" t="e">
        <f t="shared" ca="1" si="1"/>
        <v>#NAME?</v>
      </c>
      <c r="G38" s="37" t="e">
        <f t="shared" ca="1" si="1"/>
        <v>#NAME?</v>
      </c>
      <c r="H38" s="37" t="e">
        <f t="shared" ca="1" si="1"/>
        <v>#NAME?</v>
      </c>
      <c r="I38" s="37" t="e">
        <f t="shared" ca="1" si="1"/>
        <v>#NAME?</v>
      </c>
      <c r="J38" s="90" t="e">
        <f t="shared" ca="1" si="1"/>
        <v>#NAME?</v>
      </c>
    </row>
    <row r="39" spans="1:10" x14ac:dyDescent="0.35">
      <c r="A39" s="60" t="str">
        <v>Passion</v>
      </c>
      <c r="B39" s="123" t="e">
        <f t="shared" ca="1" si="1"/>
        <v>#NAME?</v>
      </c>
      <c r="C39" s="37" t="e">
        <f t="shared" ca="1" si="1"/>
        <v>#NAME?</v>
      </c>
      <c r="D39" s="37" t="e">
        <f t="shared" ca="1" si="1"/>
        <v>#NAME?</v>
      </c>
      <c r="E39" s="37" t="e">
        <f t="shared" ca="1" si="1"/>
        <v>#NAME?</v>
      </c>
      <c r="F39" s="37" t="e">
        <f t="shared" ca="1" si="1"/>
        <v>#NAME?</v>
      </c>
      <c r="G39" s="37" t="e">
        <f t="shared" ca="1" si="1"/>
        <v>#NAME?</v>
      </c>
      <c r="H39" s="37" t="e">
        <f t="shared" ca="1" si="1"/>
        <v>#NAME?</v>
      </c>
      <c r="I39" s="37" t="e">
        <f t="shared" ca="1" si="1"/>
        <v>#NAME?</v>
      </c>
      <c r="J39" s="90" t="e">
        <f t="shared" ca="1" si="1"/>
        <v>#NAME?</v>
      </c>
    </row>
    <row r="40" spans="1:10" x14ac:dyDescent="0.35">
      <c r="A40" s="60" t="str">
        <v>Friendly</v>
      </c>
      <c r="B40" s="91" t="e">
        <f t="shared" ca="1" si="1"/>
        <v>#NAME?</v>
      </c>
      <c r="C40" s="92" t="e">
        <f t="shared" ca="1" si="1"/>
        <v>#NAME?</v>
      </c>
      <c r="D40" s="92" t="e">
        <f t="shared" ca="1" si="1"/>
        <v>#NAME?</v>
      </c>
      <c r="E40" s="92" t="e">
        <f t="shared" ca="1" si="1"/>
        <v>#NAME?</v>
      </c>
      <c r="F40" s="92" t="e">
        <f t="shared" ca="1" si="1"/>
        <v>#NAME?</v>
      </c>
      <c r="G40" s="92" t="e">
        <f t="shared" ca="1" si="1"/>
        <v>#NAME?</v>
      </c>
      <c r="H40" s="92" t="e">
        <f t="shared" ca="1" si="1"/>
        <v>#NAME?</v>
      </c>
      <c r="I40" s="92" t="e">
        <f t="shared" ca="1" si="1"/>
        <v>#NAME?</v>
      </c>
      <c r="J40" s="93" t="e">
        <f t="shared" ca="1" si="1"/>
        <v>#NAME?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2"/>
  <dimension ref="A1:L46"/>
  <sheetViews>
    <sheetView topLeftCell="A16" workbookViewId="0"/>
  </sheetViews>
  <sheetFormatPr defaultRowHeight="14.5" x14ac:dyDescent="0.35"/>
  <sheetData>
    <row r="1" spans="1:11" x14ac:dyDescent="0.35">
      <c r="A1" s="42" t="s">
        <v>463</v>
      </c>
    </row>
    <row r="2" spans="1:11" x14ac:dyDescent="0.35">
      <c r="A2" s="42"/>
    </row>
    <row r="3" spans="1:11" x14ac:dyDescent="0.35">
      <c r="A3" s="46" t="s">
        <v>464</v>
      </c>
    </row>
    <row r="5" spans="1:11" s="32" customFormat="1" x14ac:dyDescent="0.35">
      <c r="B5" s="32" t="str">
        <f t="array" ref="B5:J5">Factor!B5:J5</f>
        <v>Expect</v>
      </c>
      <c r="C5" s="32" t="str">
        <v>Entertain</v>
      </c>
      <c r="D5" s="32" t="str">
        <v>Comm</v>
      </c>
      <c r="E5" s="32" t="str">
        <v>Expert</v>
      </c>
      <c r="F5" s="32" t="str">
        <v>Motivate</v>
      </c>
      <c r="G5" s="32" t="str">
        <v>Caring</v>
      </c>
      <c r="H5" s="32" t="str">
        <v>Charisma</v>
      </c>
      <c r="I5" s="32" t="str">
        <v>Passion</v>
      </c>
      <c r="J5" s="32" t="str">
        <v>Friendly</v>
      </c>
    </row>
    <row r="6" spans="1:11" x14ac:dyDescent="0.35">
      <c r="A6" t="str">
        <f t="array" ref="A6:A14">TRANSPOSE(B5:J5)</f>
        <v>Expect</v>
      </c>
      <c r="B6" s="156" t="e">
        <f t="array" ref="B6:J14" ca="1">Factor!B6:J14</f>
        <v>#NAME?</v>
      </c>
      <c r="C6" s="157" t="e">
        <f ca="1"/>
        <v>#NAME?</v>
      </c>
      <c r="D6" s="157" t="e">
        <f ca="1"/>
        <v>#NAME?</v>
      </c>
      <c r="E6" s="157" t="e">
        <f ca="1"/>
        <v>#NAME?</v>
      </c>
      <c r="F6" s="157" t="e">
        <f ca="1"/>
        <v>#NAME?</v>
      </c>
      <c r="G6" s="157" t="e">
        <f ca="1"/>
        <v>#NAME?</v>
      </c>
      <c r="H6" s="157" t="e">
        <f ca="1"/>
        <v>#NAME?</v>
      </c>
      <c r="I6" s="157" t="e">
        <f ca="1"/>
        <v>#NAME?</v>
      </c>
      <c r="J6" s="158" t="e">
        <f ca="1"/>
        <v>#NAME?</v>
      </c>
    </row>
    <row r="7" spans="1:11" x14ac:dyDescent="0.35">
      <c r="A7" t="str">
        <v>Entertain</v>
      </c>
      <c r="B7" s="123" t="e">
        <f ca="1"/>
        <v>#NAME?</v>
      </c>
      <c r="C7" s="37" t="e">
        <f ca="1"/>
        <v>#NAME?</v>
      </c>
      <c r="D7" s="37" t="e">
        <f ca="1"/>
        <v>#NAME?</v>
      </c>
      <c r="E7" s="37" t="e">
        <f ca="1"/>
        <v>#NAME?</v>
      </c>
      <c r="F7" s="37" t="e">
        <f ca="1"/>
        <v>#NAME?</v>
      </c>
      <c r="G7" s="37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</row>
    <row r="8" spans="1:11" x14ac:dyDescent="0.35">
      <c r="A8" t="str">
        <v>Comm</v>
      </c>
      <c r="B8" s="123" t="e">
        <f ca="1"/>
        <v>#NAME?</v>
      </c>
      <c r="C8" s="37" t="e">
        <f ca="1"/>
        <v>#NAME?</v>
      </c>
      <c r="D8" s="37" t="e">
        <f ca="1"/>
        <v>#NAME?</v>
      </c>
      <c r="E8" s="37" t="e">
        <f ca="1"/>
        <v>#NAME?</v>
      </c>
      <c r="F8" s="37" t="e">
        <f ca="1"/>
        <v>#NAME?</v>
      </c>
      <c r="G8" s="37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</row>
    <row r="9" spans="1:11" x14ac:dyDescent="0.35">
      <c r="A9" t="str">
        <v>Expert</v>
      </c>
      <c r="B9" s="123" t="e">
        <f ca="1"/>
        <v>#NAME?</v>
      </c>
      <c r="C9" s="37" t="e">
        <f ca="1"/>
        <v>#NAME?</v>
      </c>
      <c r="D9" s="37" t="e">
        <f ca="1"/>
        <v>#NAME?</v>
      </c>
      <c r="E9" s="37" t="e">
        <f ca="1"/>
        <v>#NAME?</v>
      </c>
      <c r="F9" s="37" t="e">
        <f ca="1"/>
        <v>#NAME?</v>
      </c>
      <c r="G9" s="37" t="e">
        <f ca="1"/>
        <v>#NAME?</v>
      </c>
      <c r="H9" s="37" t="e">
        <f ca="1"/>
        <v>#NAME?</v>
      </c>
      <c r="I9" s="37" t="e">
        <f ca="1"/>
        <v>#NAME?</v>
      </c>
      <c r="J9" s="90" t="e">
        <f ca="1"/>
        <v>#NAME?</v>
      </c>
    </row>
    <row r="10" spans="1:11" x14ac:dyDescent="0.35">
      <c r="A10" t="str">
        <v>Motivate</v>
      </c>
      <c r="B10" s="123" t="e">
        <f ca="1"/>
        <v>#NAME?</v>
      </c>
      <c r="C10" s="37" t="e">
        <f ca="1"/>
        <v>#NAME?</v>
      </c>
      <c r="D10" s="37" t="e">
        <f ca="1"/>
        <v>#NAME?</v>
      </c>
      <c r="E10" s="37" t="e">
        <f ca="1"/>
        <v>#NAME?</v>
      </c>
      <c r="F10" s="37" t="e">
        <f ca="1"/>
        <v>#NAME?</v>
      </c>
      <c r="G10" s="37" t="e">
        <f ca="1"/>
        <v>#NAME?</v>
      </c>
      <c r="H10" s="37" t="e">
        <f ca="1"/>
        <v>#NAME?</v>
      </c>
      <c r="I10" s="37" t="e">
        <f ca="1"/>
        <v>#NAME?</v>
      </c>
      <c r="J10" s="90" t="e">
        <f ca="1"/>
        <v>#NAME?</v>
      </c>
    </row>
    <row r="11" spans="1:11" x14ac:dyDescent="0.35">
      <c r="A11" t="str">
        <v>Caring</v>
      </c>
      <c r="B11" s="123" t="e">
        <f ca="1"/>
        <v>#NAME?</v>
      </c>
      <c r="C11" s="37" t="e">
        <f ca="1"/>
        <v>#NAME?</v>
      </c>
      <c r="D11" s="37" t="e">
        <f ca="1"/>
        <v>#NAME?</v>
      </c>
      <c r="E11" s="37" t="e">
        <f ca="1"/>
        <v>#NAME?</v>
      </c>
      <c r="F11" s="37" t="e">
        <f ca="1"/>
        <v>#NAME?</v>
      </c>
      <c r="G11" s="37" t="e">
        <f ca="1"/>
        <v>#NAME?</v>
      </c>
      <c r="H11" s="37" t="e">
        <f ca="1"/>
        <v>#NAME?</v>
      </c>
      <c r="I11" s="37" t="e">
        <f ca="1"/>
        <v>#NAME?</v>
      </c>
      <c r="J11" s="90" t="e">
        <f ca="1"/>
        <v>#NAME?</v>
      </c>
    </row>
    <row r="12" spans="1:11" x14ac:dyDescent="0.35">
      <c r="A12" t="str">
        <v>Charisma</v>
      </c>
      <c r="B12" s="123" t="e">
        <f ca="1"/>
        <v>#NAME?</v>
      </c>
      <c r="C12" s="37" t="e">
        <f ca="1"/>
        <v>#NAME?</v>
      </c>
      <c r="D12" s="37" t="e">
        <f ca="1"/>
        <v>#NAME?</v>
      </c>
      <c r="E12" s="37" t="e">
        <f ca="1"/>
        <v>#NAME?</v>
      </c>
      <c r="F12" s="37" t="e">
        <f ca="1"/>
        <v>#NAME?</v>
      </c>
      <c r="G12" s="37" t="e">
        <f ca="1"/>
        <v>#NAME?</v>
      </c>
      <c r="H12" s="37" t="e">
        <f ca="1"/>
        <v>#NAME?</v>
      </c>
      <c r="I12" s="37" t="e">
        <f ca="1"/>
        <v>#NAME?</v>
      </c>
      <c r="J12" s="90" t="e">
        <f ca="1"/>
        <v>#NAME?</v>
      </c>
    </row>
    <row r="13" spans="1:11" x14ac:dyDescent="0.35">
      <c r="A13" t="str">
        <v>Passion</v>
      </c>
      <c r="B13" s="123" t="e">
        <f ca="1"/>
        <v>#NAME?</v>
      </c>
      <c r="C13" s="37" t="e">
        <f ca="1"/>
        <v>#NAME?</v>
      </c>
      <c r="D13" s="37" t="e">
        <f ca="1"/>
        <v>#NAME?</v>
      </c>
      <c r="E13" s="37" t="e">
        <f ca="1"/>
        <v>#NAME?</v>
      </c>
      <c r="F13" s="37" t="e">
        <f ca="1"/>
        <v>#NAME?</v>
      </c>
      <c r="G13" s="37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</row>
    <row r="14" spans="1:11" x14ac:dyDescent="0.35">
      <c r="A14" t="str">
        <v>Friendly</v>
      </c>
      <c r="B14" s="91" t="e">
        <f ca="1"/>
        <v>#NAME?</v>
      </c>
      <c r="C14" s="92" t="e">
        <f ca="1"/>
        <v>#NAME?</v>
      </c>
      <c r="D14" s="92" t="e">
        <f ca="1"/>
        <v>#NAME?</v>
      </c>
      <c r="E14" s="92" t="e">
        <f ca="1"/>
        <v>#NAME?</v>
      </c>
      <c r="F14" s="92" t="e">
        <f ca="1"/>
        <v>#NAME?</v>
      </c>
      <c r="G14" s="92" t="e">
        <f ca="1"/>
        <v>#NAME?</v>
      </c>
      <c r="H14" s="92" t="e">
        <f ca="1"/>
        <v>#NAME?</v>
      </c>
      <c r="I14" s="92" t="e">
        <f ca="1"/>
        <v>#NAME?</v>
      </c>
      <c r="J14" s="93" t="e">
        <f ca="1"/>
        <v>#NAME?</v>
      </c>
    </row>
    <row r="15" spans="1:11" x14ac:dyDescent="0.35">
      <c r="B15" t="e">
        <f ca="1">SUMSQ(B6:B14)-1</f>
        <v>#NAME?</v>
      </c>
      <c r="C15" t="e">
        <f ca="1">SUMSQ(C6:C14)-1</f>
        <v>#NAME?</v>
      </c>
      <c r="D15" t="e">
        <f t="shared" ref="D15:J15" ca="1" si="0">SUMSQ(D6:D14)-1</f>
        <v>#NAME?</v>
      </c>
      <c r="E15" t="e">
        <f t="shared" ca="1" si="0"/>
        <v>#NAME?</v>
      </c>
      <c r="F15" t="e">
        <f t="shared" ca="1" si="0"/>
        <v>#NAME?</v>
      </c>
      <c r="G15" t="e">
        <f t="shared" ca="1" si="0"/>
        <v>#NAME?</v>
      </c>
      <c r="H15" t="e">
        <f t="shared" ca="1" si="0"/>
        <v>#NAME?</v>
      </c>
      <c r="I15" t="e">
        <f t="shared" ca="1" si="0"/>
        <v>#NAME?</v>
      </c>
      <c r="J15" t="e">
        <f t="shared" ca="1" si="0"/>
        <v>#NAME?</v>
      </c>
      <c r="K15" t="e">
        <f ca="1">SUM(B15:J15)</f>
        <v>#NAME?</v>
      </c>
    </row>
    <row r="17" spans="1:12" ht="16.5" x14ac:dyDescent="0.35">
      <c r="A17" t="s">
        <v>465</v>
      </c>
    </row>
    <row r="19" spans="1:12" s="32" customFormat="1" x14ac:dyDescent="0.35">
      <c r="B19" s="32" t="str">
        <f t="array" ref="B19:J19">B5:J5</f>
        <v>Expect</v>
      </c>
      <c r="C19" s="32" t="str">
        <v>Entertain</v>
      </c>
      <c r="D19" s="32" t="str">
        <v>Comm</v>
      </c>
      <c r="E19" s="32" t="str">
        <v>Expert</v>
      </c>
      <c r="F19" s="32" t="str">
        <v>Motivate</v>
      </c>
      <c r="G19" s="32" t="str">
        <v>Caring</v>
      </c>
      <c r="H19" s="32" t="str">
        <v>Charisma</v>
      </c>
      <c r="I19" s="32" t="str">
        <v>Passion</v>
      </c>
      <c r="J19" s="32" t="str">
        <v>Friendly</v>
      </c>
      <c r="L19" s="32" t="s">
        <v>466</v>
      </c>
    </row>
    <row r="20" spans="1:12" x14ac:dyDescent="0.35">
      <c r="A20" t="str">
        <f t="array" ref="A20:A28">A6:A14</f>
        <v>Expect</v>
      </c>
      <c r="B20" s="156" t="e">
        <f t="array" aca="1" ref="B20:J28" ca="1">MINVERSE(B6:J14)</f>
        <v>#NAME?</v>
      </c>
      <c r="C20" s="157" t="e">
        <f ca="1"/>
        <v>#NAME?</v>
      </c>
      <c r="D20" s="157" t="e">
        <f ca="1"/>
        <v>#NAME?</v>
      </c>
      <c r="E20" s="157" t="e">
        <f ca="1"/>
        <v>#NAME?</v>
      </c>
      <c r="F20" s="157" t="e">
        <f ca="1"/>
        <v>#NAME?</v>
      </c>
      <c r="G20" s="157" t="e">
        <f ca="1"/>
        <v>#NAME?</v>
      </c>
      <c r="H20" s="157" t="e">
        <f ca="1"/>
        <v>#NAME?</v>
      </c>
      <c r="I20" s="157" t="e">
        <f ca="1"/>
        <v>#NAME?</v>
      </c>
      <c r="J20" s="158" t="e">
        <f ca="1"/>
        <v>#NAME?</v>
      </c>
      <c r="L20" s="172" t="e">
        <f t="array" aca="1" ref="L20:L28" ca="1">SQRT(DIAG(B20:J28))</f>
        <v>#NAME?</v>
      </c>
    </row>
    <row r="21" spans="1:12" x14ac:dyDescent="0.35">
      <c r="A21" t="str">
        <v>Entertain</v>
      </c>
      <c r="B21" s="123" t="e">
        <f ca="1"/>
        <v>#NAME?</v>
      </c>
      <c r="C21" s="37" t="e">
        <f ca="1"/>
        <v>#NAME?</v>
      </c>
      <c r="D21" s="37" t="e">
        <f ca="1"/>
        <v>#NAME?</v>
      </c>
      <c r="E21" s="37" t="e">
        <f ca="1"/>
        <v>#NAME?</v>
      </c>
      <c r="F21" s="37" t="e">
        <f ca="1"/>
        <v>#NAME?</v>
      </c>
      <c r="G21" s="37" t="e">
        <f ca="1"/>
        <v>#NAME?</v>
      </c>
      <c r="H21" s="37" t="e">
        <f ca="1"/>
        <v>#NAME?</v>
      </c>
      <c r="I21" s="37" t="e">
        <f ca="1"/>
        <v>#NAME?</v>
      </c>
      <c r="J21" s="90" t="e">
        <f ca="1"/>
        <v>#NAME?</v>
      </c>
      <c r="L21" s="173" t="e">
        <f ca="1"/>
        <v>#NAME?</v>
      </c>
    </row>
    <row r="22" spans="1:12" x14ac:dyDescent="0.35">
      <c r="A22" t="str">
        <v>Comm</v>
      </c>
      <c r="B22" s="123" t="e">
        <f ca="1"/>
        <v>#NAME?</v>
      </c>
      <c r="C22" s="37" t="e">
        <f ca="1"/>
        <v>#NAME?</v>
      </c>
      <c r="D22" s="37" t="e">
        <f ca="1"/>
        <v>#NAME?</v>
      </c>
      <c r="E22" s="37" t="e">
        <f ca="1"/>
        <v>#NAME?</v>
      </c>
      <c r="F22" s="37" t="e">
        <f ca="1"/>
        <v>#NAME?</v>
      </c>
      <c r="G22" s="37" t="e">
        <f ca="1"/>
        <v>#NAME?</v>
      </c>
      <c r="H22" s="37" t="e">
        <f ca="1"/>
        <v>#NAME?</v>
      </c>
      <c r="I22" s="37" t="e">
        <f ca="1"/>
        <v>#NAME?</v>
      </c>
      <c r="J22" s="90" t="e">
        <f ca="1"/>
        <v>#NAME?</v>
      </c>
      <c r="L22" s="173" t="e">
        <f ca="1"/>
        <v>#NAME?</v>
      </c>
    </row>
    <row r="23" spans="1:12" x14ac:dyDescent="0.35">
      <c r="A23" t="str">
        <v>Expert</v>
      </c>
      <c r="B23" s="123" t="e">
        <f ca="1"/>
        <v>#NAME?</v>
      </c>
      <c r="C23" s="37" t="e">
        <f ca="1"/>
        <v>#NAME?</v>
      </c>
      <c r="D23" s="37" t="e">
        <f ca="1"/>
        <v>#NAME?</v>
      </c>
      <c r="E23" s="37" t="e">
        <f ca="1"/>
        <v>#NAME?</v>
      </c>
      <c r="F23" s="37" t="e">
        <f ca="1"/>
        <v>#NAME?</v>
      </c>
      <c r="G23" s="37" t="e">
        <f ca="1"/>
        <v>#NAME?</v>
      </c>
      <c r="H23" s="37" t="e">
        <f ca="1"/>
        <v>#NAME?</v>
      </c>
      <c r="I23" s="37" t="e">
        <f ca="1"/>
        <v>#NAME?</v>
      </c>
      <c r="J23" s="90" t="e">
        <f ca="1"/>
        <v>#NAME?</v>
      </c>
      <c r="L23" s="173" t="e">
        <f ca="1"/>
        <v>#NAME?</v>
      </c>
    </row>
    <row r="24" spans="1:12" x14ac:dyDescent="0.35">
      <c r="A24" t="str">
        <v>Motivate</v>
      </c>
      <c r="B24" s="123" t="e">
        <f ca="1"/>
        <v>#NAME?</v>
      </c>
      <c r="C24" s="37" t="e">
        <f ca="1"/>
        <v>#NAME?</v>
      </c>
      <c r="D24" s="37" t="e">
        <f ca="1"/>
        <v>#NAME?</v>
      </c>
      <c r="E24" s="37" t="e">
        <f ca="1"/>
        <v>#NAME?</v>
      </c>
      <c r="F24" s="37" t="e">
        <f ca="1"/>
        <v>#NAME?</v>
      </c>
      <c r="G24" s="37" t="e">
        <f ca="1"/>
        <v>#NAME?</v>
      </c>
      <c r="H24" s="37" t="e">
        <f ca="1"/>
        <v>#NAME?</v>
      </c>
      <c r="I24" s="37" t="e">
        <f ca="1"/>
        <v>#NAME?</v>
      </c>
      <c r="J24" s="90" t="e">
        <f ca="1"/>
        <v>#NAME?</v>
      </c>
      <c r="L24" s="173" t="e">
        <f ca="1"/>
        <v>#NAME?</v>
      </c>
    </row>
    <row r="25" spans="1:12" x14ac:dyDescent="0.35">
      <c r="A25" t="str">
        <v>Caring</v>
      </c>
      <c r="B25" s="123" t="e">
        <f ca="1"/>
        <v>#NAME?</v>
      </c>
      <c r="C25" s="37" t="e">
        <f ca="1"/>
        <v>#NAME?</v>
      </c>
      <c r="D25" s="37" t="e">
        <f ca="1"/>
        <v>#NAME?</v>
      </c>
      <c r="E25" s="37" t="e">
        <f ca="1"/>
        <v>#NAME?</v>
      </c>
      <c r="F25" s="37" t="e">
        <f ca="1"/>
        <v>#NAME?</v>
      </c>
      <c r="G25" s="37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L25" s="173" t="e">
        <f ca="1"/>
        <v>#NAME?</v>
      </c>
    </row>
    <row r="26" spans="1:12" x14ac:dyDescent="0.35">
      <c r="A26" t="str">
        <v>Charisma</v>
      </c>
      <c r="B26" s="123" t="e">
        <f ca="1"/>
        <v>#NAME?</v>
      </c>
      <c r="C26" s="37" t="e">
        <f ca="1"/>
        <v>#NAME?</v>
      </c>
      <c r="D26" s="37" t="e">
        <f ca="1"/>
        <v>#NAME?</v>
      </c>
      <c r="E26" s="37" t="e">
        <f ca="1"/>
        <v>#NAME?</v>
      </c>
      <c r="F26" s="37" t="e">
        <f ca="1"/>
        <v>#NAME?</v>
      </c>
      <c r="G26" s="37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L26" s="173" t="e">
        <f ca="1"/>
        <v>#NAME?</v>
      </c>
    </row>
    <row r="27" spans="1:12" x14ac:dyDescent="0.35">
      <c r="A27" t="str">
        <v>Passion</v>
      </c>
      <c r="B27" s="123" t="e">
        <f ca="1"/>
        <v>#NAME?</v>
      </c>
      <c r="C27" s="37" t="e">
        <f ca="1"/>
        <v>#NAME?</v>
      </c>
      <c r="D27" s="37" t="e">
        <f ca="1"/>
        <v>#NAME?</v>
      </c>
      <c r="E27" s="37" t="e">
        <f ca="1"/>
        <v>#NAME?</v>
      </c>
      <c r="F27" s="37" t="e">
        <f ca="1"/>
        <v>#NAME?</v>
      </c>
      <c r="G27" s="37" t="e">
        <f ca="1"/>
        <v>#NAME?</v>
      </c>
      <c r="H27" s="37" t="e">
        <f ca="1"/>
        <v>#NAME?</v>
      </c>
      <c r="I27" s="37" t="e">
        <f ca="1"/>
        <v>#NAME?</v>
      </c>
      <c r="J27" s="90" t="e">
        <f ca="1"/>
        <v>#NAME?</v>
      </c>
      <c r="L27" s="173" t="e">
        <f ca="1"/>
        <v>#NAME?</v>
      </c>
    </row>
    <row r="28" spans="1:12" x14ac:dyDescent="0.35">
      <c r="A28" t="str">
        <v>Friendly</v>
      </c>
      <c r="B28" s="91" t="e">
        <f ca="1"/>
        <v>#NAME?</v>
      </c>
      <c r="C28" s="92" t="e">
        <f ca="1"/>
        <v>#NAME?</v>
      </c>
      <c r="D28" s="92" t="e">
        <f ca="1"/>
        <v>#NAME?</v>
      </c>
      <c r="E28" s="92" t="e">
        <f ca="1"/>
        <v>#NAME?</v>
      </c>
      <c r="F28" s="92" t="e">
        <f ca="1"/>
        <v>#NAME?</v>
      </c>
      <c r="G28" s="92" t="e">
        <f ca="1"/>
        <v>#NAME?</v>
      </c>
      <c r="H28" s="92" t="e">
        <f ca="1"/>
        <v>#NAME?</v>
      </c>
      <c r="I28" s="92" t="e">
        <f ca="1"/>
        <v>#NAME?</v>
      </c>
      <c r="J28" s="93" t="e">
        <f ca="1"/>
        <v>#NAME?</v>
      </c>
      <c r="L28" s="174" t="e">
        <f ca="1"/>
        <v>#NAME?</v>
      </c>
    </row>
    <row r="30" spans="1:12" x14ac:dyDescent="0.35">
      <c r="A30" t="s">
        <v>467</v>
      </c>
    </row>
    <row r="32" spans="1:12" s="32" customFormat="1" x14ac:dyDescent="0.35">
      <c r="B32" s="32" t="str">
        <f t="array" ref="B32:J32">B19:J19</f>
        <v>Expect</v>
      </c>
      <c r="C32" s="32" t="str">
        <v>Entertain</v>
      </c>
      <c r="D32" s="32" t="str">
        <v>Comm</v>
      </c>
      <c r="E32" s="32" t="str">
        <v>Expert</v>
      </c>
      <c r="F32" s="32" t="str">
        <v>Motivate</v>
      </c>
      <c r="G32" s="32" t="str">
        <v>Caring</v>
      </c>
      <c r="H32" s="32" t="str">
        <v>Charisma</v>
      </c>
      <c r="I32" s="32" t="str">
        <v>Passion</v>
      </c>
      <c r="J32" s="32" t="str">
        <v>Friendly</v>
      </c>
    </row>
    <row r="33" spans="1:11" x14ac:dyDescent="0.35">
      <c r="A33" t="str">
        <f t="array" ref="A33:A41">A20:A28</f>
        <v>Expect</v>
      </c>
      <c r="B33" s="156" t="e">
        <f t="array" aca="1" ref="B33:J41" ca="1">-B20:J28/MMULT(L20:L28,TRANSPOSE(L20:L28))+2*Identity()</f>
        <v>#NAME?</v>
      </c>
      <c r="C33" s="157" t="e">
        <f ca="1"/>
        <v>#NAME?</v>
      </c>
      <c r="D33" s="157" t="e">
        <f ca="1"/>
        <v>#NAME?</v>
      </c>
      <c r="E33" s="157" t="e">
        <f ca="1"/>
        <v>#NAME?</v>
      </c>
      <c r="F33" s="157" t="e">
        <f ca="1"/>
        <v>#NAME?</v>
      </c>
      <c r="G33" s="157" t="e">
        <f ca="1"/>
        <v>#NAME?</v>
      </c>
      <c r="H33" s="157" t="e">
        <f ca="1"/>
        <v>#NAME?</v>
      </c>
      <c r="I33" s="157" t="e">
        <f ca="1"/>
        <v>#NAME?</v>
      </c>
      <c r="J33" s="158" t="e">
        <f ca="1"/>
        <v>#NAME?</v>
      </c>
    </row>
    <row r="34" spans="1:11" x14ac:dyDescent="0.35">
      <c r="A34" t="str">
        <v>Entertain</v>
      </c>
      <c r="B34" s="123" t="e">
        <f ca="1"/>
        <v>#NAME?</v>
      </c>
      <c r="C34" s="37" t="e">
        <f ca="1"/>
        <v>#NAME?</v>
      </c>
      <c r="D34" s="37" t="e">
        <f ca="1"/>
        <v>#NAME?</v>
      </c>
      <c r="E34" s="37" t="e">
        <f ca="1"/>
        <v>#NAME?</v>
      </c>
      <c r="F34" s="37" t="e">
        <f ca="1"/>
        <v>#NAME?</v>
      </c>
      <c r="G34" s="37" t="e">
        <f ca="1"/>
        <v>#NAME?</v>
      </c>
      <c r="H34" s="37" t="e">
        <f ca="1"/>
        <v>#NAME?</v>
      </c>
      <c r="I34" s="37" t="e">
        <f ca="1"/>
        <v>#NAME?</v>
      </c>
      <c r="J34" s="90" t="e">
        <f ca="1"/>
        <v>#NAME?</v>
      </c>
    </row>
    <row r="35" spans="1:11" x14ac:dyDescent="0.35">
      <c r="A35" t="str">
        <v>Comm</v>
      </c>
      <c r="B35" s="123" t="e">
        <f ca="1"/>
        <v>#NAME?</v>
      </c>
      <c r="C35" s="37" t="e">
        <f ca="1"/>
        <v>#NAME?</v>
      </c>
      <c r="D35" s="37" t="e">
        <f ca="1"/>
        <v>#NAME?</v>
      </c>
      <c r="E35" s="37" t="e">
        <f ca="1"/>
        <v>#NAME?</v>
      </c>
      <c r="F35" s="37" t="e">
        <f ca="1"/>
        <v>#NAME?</v>
      </c>
      <c r="G35" s="37" t="e">
        <f ca="1"/>
        <v>#NAME?</v>
      </c>
      <c r="H35" s="37" t="e">
        <f ca="1"/>
        <v>#NAME?</v>
      </c>
      <c r="I35" s="37" t="e">
        <f ca="1"/>
        <v>#NAME?</v>
      </c>
      <c r="J35" s="90" t="e">
        <f ca="1"/>
        <v>#NAME?</v>
      </c>
    </row>
    <row r="36" spans="1:11" x14ac:dyDescent="0.35">
      <c r="A36" t="str">
        <v>Expert</v>
      </c>
      <c r="B36" s="123" t="e">
        <f ca="1"/>
        <v>#NAME?</v>
      </c>
      <c r="C36" s="37" t="e">
        <f ca="1"/>
        <v>#NAME?</v>
      </c>
      <c r="D36" s="37" t="e">
        <f ca="1"/>
        <v>#NAME?</v>
      </c>
      <c r="E36" s="37" t="e">
        <f ca="1"/>
        <v>#NAME?</v>
      </c>
      <c r="F36" s="37" t="e">
        <f ca="1"/>
        <v>#NAME?</v>
      </c>
      <c r="G36" s="37" t="e">
        <f ca="1"/>
        <v>#NAME?</v>
      </c>
      <c r="H36" s="37" t="e">
        <f ca="1"/>
        <v>#NAME?</v>
      </c>
      <c r="I36" s="37" t="e">
        <f ca="1"/>
        <v>#NAME?</v>
      </c>
      <c r="J36" s="90" t="e">
        <f ca="1"/>
        <v>#NAME?</v>
      </c>
    </row>
    <row r="37" spans="1:11" x14ac:dyDescent="0.35">
      <c r="A37" t="str">
        <v>Motivate</v>
      </c>
      <c r="B37" s="123" t="e">
        <f ca="1"/>
        <v>#NAME?</v>
      </c>
      <c r="C37" s="37" t="e">
        <f ca="1"/>
        <v>#NAME?</v>
      </c>
      <c r="D37" s="37" t="e">
        <f ca="1"/>
        <v>#NAME?</v>
      </c>
      <c r="E37" s="37" t="e">
        <f ca="1"/>
        <v>#NAME?</v>
      </c>
      <c r="F37" s="37" t="e">
        <f ca="1"/>
        <v>#NAME?</v>
      </c>
      <c r="G37" s="37" t="e">
        <f ca="1"/>
        <v>#NAME?</v>
      </c>
      <c r="H37" s="37" t="e">
        <f ca="1"/>
        <v>#NAME?</v>
      </c>
      <c r="I37" s="37" t="e">
        <f ca="1"/>
        <v>#NAME?</v>
      </c>
      <c r="J37" s="90" t="e">
        <f ca="1"/>
        <v>#NAME?</v>
      </c>
    </row>
    <row r="38" spans="1:11" x14ac:dyDescent="0.35">
      <c r="A38" t="str">
        <v>Caring</v>
      </c>
      <c r="B38" s="123" t="e">
        <f ca="1"/>
        <v>#NAME?</v>
      </c>
      <c r="C38" s="37" t="e">
        <f ca="1"/>
        <v>#NAME?</v>
      </c>
      <c r="D38" s="37" t="e">
        <f ca="1"/>
        <v>#NAME?</v>
      </c>
      <c r="E38" s="37" t="e">
        <f ca="1"/>
        <v>#NAME?</v>
      </c>
      <c r="F38" s="37" t="e">
        <f ca="1"/>
        <v>#NAME?</v>
      </c>
      <c r="G38" s="37" t="e">
        <f ca="1"/>
        <v>#NAME?</v>
      </c>
      <c r="H38" s="37" t="e">
        <f ca="1"/>
        <v>#NAME?</v>
      </c>
      <c r="I38" s="37" t="e">
        <f ca="1"/>
        <v>#NAME?</v>
      </c>
      <c r="J38" s="90" t="e">
        <f ca="1"/>
        <v>#NAME?</v>
      </c>
    </row>
    <row r="39" spans="1:11" x14ac:dyDescent="0.35">
      <c r="A39" t="str">
        <v>Charisma</v>
      </c>
      <c r="B39" s="123" t="e">
        <f ca="1"/>
        <v>#NAME?</v>
      </c>
      <c r="C39" s="37" t="e">
        <f ca="1"/>
        <v>#NAME?</v>
      </c>
      <c r="D39" s="37" t="e">
        <f ca="1"/>
        <v>#NAME?</v>
      </c>
      <c r="E39" s="37" t="e">
        <f ca="1"/>
        <v>#NAME?</v>
      </c>
      <c r="F39" s="37" t="e">
        <f ca="1"/>
        <v>#NAME?</v>
      </c>
      <c r="G39" s="37" t="e">
        <f ca="1"/>
        <v>#NAME?</v>
      </c>
      <c r="H39" s="37" t="e">
        <f ca="1"/>
        <v>#NAME?</v>
      </c>
      <c r="I39" s="37" t="e">
        <f ca="1"/>
        <v>#NAME?</v>
      </c>
      <c r="J39" s="90" t="e">
        <f ca="1"/>
        <v>#NAME?</v>
      </c>
    </row>
    <row r="40" spans="1:11" x14ac:dyDescent="0.35">
      <c r="A40" t="str">
        <v>Passion</v>
      </c>
      <c r="B40" s="123" t="e">
        <f ca="1"/>
        <v>#NAME?</v>
      </c>
      <c r="C40" s="37" t="e">
        <f ca="1"/>
        <v>#NAME?</v>
      </c>
      <c r="D40" s="37" t="e">
        <f ca="1"/>
        <v>#NAME?</v>
      </c>
      <c r="E40" s="37" t="e">
        <f ca="1"/>
        <v>#NAME?</v>
      </c>
      <c r="F40" s="37" t="e">
        <f ca="1"/>
        <v>#NAME?</v>
      </c>
      <c r="G40" s="37" t="e">
        <f ca="1"/>
        <v>#NAME?</v>
      </c>
      <c r="H40" s="37" t="e">
        <f ca="1"/>
        <v>#NAME?</v>
      </c>
      <c r="I40" s="37" t="e">
        <f ca="1"/>
        <v>#NAME?</v>
      </c>
      <c r="J40" s="90" t="e">
        <f ca="1"/>
        <v>#NAME?</v>
      </c>
    </row>
    <row r="41" spans="1:11" x14ac:dyDescent="0.35">
      <c r="A41" t="str">
        <v>Friendly</v>
      </c>
      <c r="B41" s="91" t="e">
        <f ca="1"/>
        <v>#NAME?</v>
      </c>
      <c r="C41" s="92" t="e">
        <f ca="1"/>
        <v>#NAME?</v>
      </c>
      <c r="D41" s="92" t="e">
        <f ca="1"/>
        <v>#NAME?</v>
      </c>
      <c r="E41" s="92" t="e">
        <f ca="1"/>
        <v>#NAME?</v>
      </c>
      <c r="F41" s="92" t="e">
        <f ca="1"/>
        <v>#NAME?</v>
      </c>
      <c r="G41" s="92" t="e">
        <f ca="1"/>
        <v>#NAME?</v>
      </c>
      <c r="H41" s="92" t="e">
        <f ca="1"/>
        <v>#NAME?</v>
      </c>
      <c r="I41" s="92" t="e">
        <f ca="1"/>
        <v>#NAME?</v>
      </c>
      <c r="J41" s="93" t="e">
        <f ca="1"/>
        <v>#NAME?</v>
      </c>
    </row>
    <row r="42" spans="1:11" x14ac:dyDescent="0.35">
      <c r="B42" t="e">
        <f ca="1">SUMSQ(B33:B41)-1</f>
        <v>#NAME?</v>
      </c>
      <c r="C42" t="e">
        <f ca="1">SUMSQ(C33:C41)-1</f>
        <v>#NAME?</v>
      </c>
      <c r="D42" t="e">
        <f t="shared" ref="D42:J42" ca="1" si="1">SUMSQ(D33:D41)-1</f>
        <v>#NAME?</v>
      </c>
      <c r="E42" t="e">
        <f t="shared" ca="1" si="1"/>
        <v>#NAME?</v>
      </c>
      <c r="F42" t="e">
        <f t="shared" ca="1" si="1"/>
        <v>#NAME?</v>
      </c>
      <c r="G42" t="e">
        <f t="shared" ca="1" si="1"/>
        <v>#NAME?</v>
      </c>
      <c r="H42" t="e">
        <f t="shared" ca="1" si="1"/>
        <v>#NAME?</v>
      </c>
      <c r="I42" t="e">
        <f t="shared" ca="1" si="1"/>
        <v>#NAME?</v>
      </c>
      <c r="J42" t="e">
        <f t="shared" ca="1" si="1"/>
        <v>#NAME?</v>
      </c>
      <c r="K42" t="e">
        <f ca="1">SUM(B42:J42)</f>
        <v>#NAME?</v>
      </c>
    </row>
    <row r="44" spans="1:11" x14ac:dyDescent="0.35">
      <c r="A44" t="s">
        <v>463</v>
      </c>
    </row>
    <row r="45" spans="1:11" s="32" customFormat="1" x14ac:dyDescent="0.35">
      <c r="B45" s="32" t="str">
        <f t="array" ref="B45:J45">B32:J32</f>
        <v>Expect</v>
      </c>
      <c r="C45" s="32" t="str">
        <v>Entertain</v>
      </c>
      <c r="D45" s="32" t="str">
        <v>Comm</v>
      </c>
      <c r="E45" s="32" t="str">
        <v>Expert</v>
      </c>
      <c r="F45" s="32" t="str">
        <v>Motivate</v>
      </c>
      <c r="G45" s="32" t="str">
        <v>Caring</v>
      </c>
      <c r="H45" s="32" t="str">
        <v>Charisma</v>
      </c>
      <c r="I45" s="32" t="str">
        <v>Passion</v>
      </c>
      <c r="J45" s="32" t="str">
        <v>Friendly</v>
      </c>
      <c r="K45" s="32" t="s">
        <v>463</v>
      </c>
    </row>
    <row r="46" spans="1:11" x14ac:dyDescent="0.35">
      <c r="B46" s="160" t="e">
        <f ca="1">B15/(B15+B42)</f>
        <v>#NAME?</v>
      </c>
      <c r="C46" s="161" t="e">
        <f ca="1">C15/(C15+C42)</f>
        <v>#NAME?</v>
      </c>
      <c r="D46" s="161" t="e">
        <f t="shared" ref="D46:J46" ca="1" si="2">D15/(D15+D42)</f>
        <v>#NAME?</v>
      </c>
      <c r="E46" s="161" t="e">
        <f t="shared" ca="1" si="2"/>
        <v>#NAME?</v>
      </c>
      <c r="F46" s="161" t="e">
        <f t="shared" ca="1" si="2"/>
        <v>#NAME?</v>
      </c>
      <c r="G46" s="161" t="e">
        <f t="shared" ca="1" si="2"/>
        <v>#NAME?</v>
      </c>
      <c r="H46" s="161" t="e">
        <f t="shared" ca="1" si="2"/>
        <v>#NAME?</v>
      </c>
      <c r="I46" s="161" t="e">
        <f t="shared" ca="1" si="2"/>
        <v>#NAME?</v>
      </c>
      <c r="J46" s="162" t="e">
        <f t="shared" ca="1" si="2"/>
        <v>#NAME?</v>
      </c>
      <c r="K46" s="162" t="e">
        <f ca="1">K15/(K15+K42)</f>
        <v>#NAME?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9"/>
  <dimension ref="B1:O49"/>
  <sheetViews>
    <sheetView workbookViewId="0">
      <selection activeCell="H9" sqref="H9"/>
    </sheetView>
  </sheetViews>
  <sheetFormatPr defaultRowHeight="14.5" x14ac:dyDescent="0.35"/>
  <cols>
    <col min="1" max="1" width="1.453125" customWidth="1"/>
    <col min="2" max="3" width="7.54296875" style="32" customWidth="1"/>
    <col min="4" max="4" width="2.81640625" style="32" customWidth="1"/>
    <col min="5" max="5" width="6.81640625" style="32" customWidth="1"/>
    <col min="6" max="6" width="6.54296875" customWidth="1"/>
    <col min="7" max="7" width="9.1796875" customWidth="1"/>
    <col min="10" max="10" width="6.453125" customWidth="1"/>
    <col min="14" max="14" width="4.453125" customWidth="1"/>
    <col min="15" max="15" width="7.26953125" style="32" customWidth="1"/>
  </cols>
  <sheetData>
    <row r="1" spans="2:15" x14ac:dyDescent="0.35">
      <c r="B1" s="235" t="s">
        <v>583</v>
      </c>
    </row>
    <row r="3" spans="2:15" x14ac:dyDescent="0.35">
      <c r="B3" s="32" t="s">
        <v>390</v>
      </c>
      <c r="C3" s="32" t="s">
        <v>392</v>
      </c>
      <c r="E3" s="32" t="s">
        <v>584</v>
      </c>
      <c r="G3" t="s">
        <v>585</v>
      </c>
      <c r="H3" s="47">
        <v>1</v>
      </c>
      <c r="I3" s="47">
        <v>2</v>
      </c>
      <c r="K3" s="47" t="s">
        <v>586</v>
      </c>
      <c r="L3">
        <v>1</v>
      </c>
      <c r="M3">
        <v>2</v>
      </c>
      <c r="O3" s="32" t="s">
        <v>584</v>
      </c>
    </row>
    <row r="4" spans="2:15" x14ac:dyDescent="0.35">
      <c r="B4" s="236">
        <v>5</v>
      </c>
      <c r="C4" s="237">
        <v>0</v>
      </c>
      <c r="E4" s="238">
        <v>1</v>
      </c>
      <c r="G4" t="s">
        <v>390</v>
      </c>
      <c r="H4" s="138">
        <f>AVERAGEIF(E4:E13,H3,B4:B13)</f>
        <v>2.6</v>
      </c>
      <c r="I4" s="140">
        <f>AVERAGEIF(E4:E13,I3,B4:B13)</f>
        <v>3.2</v>
      </c>
      <c r="K4">
        <f>MIN(L4:M4)</f>
        <v>7.72</v>
      </c>
      <c r="L4" s="138">
        <f>(B4-H4)^2+(C4-H5)^2</f>
        <v>7.72</v>
      </c>
      <c r="M4" s="140">
        <f>(B4-I4)^2+(C4-I5)^2</f>
        <v>12.239999999999998</v>
      </c>
      <c r="O4" s="238">
        <f>IF(L4&lt;=M4,1,2)</f>
        <v>1</v>
      </c>
    </row>
    <row r="5" spans="2:15" x14ac:dyDescent="0.35">
      <c r="B5" s="239">
        <v>5</v>
      </c>
      <c r="C5" s="215">
        <v>2</v>
      </c>
      <c r="E5" s="240">
        <v>2</v>
      </c>
      <c r="G5" t="s">
        <v>392</v>
      </c>
      <c r="H5" s="91">
        <f>AVERAGEIF(E4:E13,H3,C4:C13)</f>
        <v>1.4</v>
      </c>
      <c r="I5" s="93">
        <f>AVERAGEIF(E4:E13,I3,C4:C13)</f>
        <v>3</v>
      </c>
      <c r="K5">
        <f t="shared" ref="K5:K13" si="0">MIN(L5:M5)</f>
        <v>4.2399999999999993</v>
      </c>
      <c r="L5" s="36">
        <f>(B5-H4)^2+(C5-H5)^2</f>
        <v>6.12</v>
      </c>
      <c r="M5" s="90">
        <f>(B5-I4)^2+(C5-I5)^2</f>
        <v>4.2399999999999993</v>
      </c>
      <c r="O5" s="241">
        <f t="shared" ref="O5:O13" si="1">IF(L5&lt;=M5,1,2)</f>
        <v>2</v>
      </c>
    </row>
    <row r="6" spans="2:15" x14ac:dyDescent="0.35">
      <c r="B6" s="44">
        <v>3</v>
      </c>
      <c r="C6" s="215">
        <v>1</v>
      </c>
      <c r="E6" s="241">
        <v>1</v>
      </c>
      <c r="K6">
        <f t="shared" si="0"/>
        <v>0.31999999999999984</v>
      </c>
      <c r="L6" s="36">
        <f>(B6-H4)^2+(C6-H5)^2</f>
        <v>0.31999999999999984</v>
      </c>
      <c r="M6" s="90">
        <f>(B6-I4)^2+(C6-I5)^2</f>
        <v>4.04</v>
      </c>
      <c r="O6" s="241">
        <f t="shared" si="1"/>
        <v>1</v>
      </c>
    </row>
    <row r="7" spans="2:15" x14ac:dyDescent="0.35">
      <c r="B7" s="44">
        <v>0</v>
      </c>
      <c r="C7" s="215">
        <v>4</v>
      </c>
      <c r="E7" s="241">
        <v>2</v>
      </c>
      <c r="G7" t="s">
        <v>587</v>
      </c>
      <c r="H7" s="242">
        <f>SUM(K4:K13)</f>
        <v>36.920000000000009</v>
      </c>
      <c r="K7">
        <f t="shared" si="0"/>
        <v>11.240000000000002</v>
      </c>
      <c r="L7" s="36">
        <f>(B7-H4)^2+(C7-H5)^2</f>
        <v>13.520000000000001</v>
      </c>
      <c r="M7" s="90">
        <f>(B7-I4)^2+(C7-I5)^2</f>
        <v>11.240000000000002</v>
      </c>
      <c r="O7" s="241">
        <f t="shared" si="1"/>
        <v>2</v>
      </c>
    </row>
    <row r="8" spans="2:15" x14ac:dyDescent="0.35">
      <c r="B8" s="44">
        <v>2</v>
      </c>
      <c r="C8" s="215">
        <v>1</v>
      </c>
      <c r="E8" s="241">
        <v>1</v>
      </c>
      <c r="K8">
        <f t="shared" si="0"/>
        <v>0.52</v>
      </c>
      <c r="L8" s="36">
        <f>(B8-H4)^2+(C8-H5)^2</f>
        <v>0.52</v>
      </c>
      <c r="M8" s="90">
        <f>(B8-I4)^2+(C8-I5)^2</f>
        <v>5.44</v>
      </c>
      <c r="O8" s="241">
        <f t="shared" si="1"/>
        <v>1</v>
      </c>
    </row>
    <row r="9" spans="2:15" x14ac:dyDescent="0.35">
      <c r="B9" s="44">
        <v>4</v>
      </c>
      <c r="C9" s="215">
        <v>2</v>
      </c>
      <c r="E9" s="241">
        <v>2</v>
      </c>
      <c r="G9" t="s">
        <v>588</v>
      </c>
      <c r="H9" s="242" t="b">
        <f t="array" ref="H9">AND(E4:E13=O4:O13)</f>
        <v>0</v>
      </c>
      <c r="K9">
        <f t="shared" si="0"/>
        <v>1.6399999999999997</v>
      </c>
      <c r="L9" s="36">
        <f>(B9-H4)^2+(C9-H5)^2</f>
        <v>2.3199999999999998</v>
      </c>
      <c r="M9" s="90">
        <f>(B9-I4)^2+(C9-I5)^2</f>
        <v>1.6399999999999997</v>
      </c>
      <c r="O9" s="241">
        <f t="shared" si="1"/>
        <v>2</v>
      </c>
    </row>
    <row r="10" spans="2:15" x14ac:dyDescent="0.35">
      <c r="B10" s="44">
        <v>2</v>
      </c>
      <c r="C10" s="215">
        <v>2</v>
      </c>
      <c r="E10" s="241">
        <v>1</v>
      </c>
      <c r="K10">
        <f t="shared" si="0"/>
        <v>0.7200000000000002</v>
      </c>
      <c r="L10" s="36">
        <f>(B10-H4)^2+(C10-H5)^2</f>
        <v>0.7200000000000002</v>
      </c>
      <c r="M10" s="90">
        <f>(B10-I4)^2+(C10-I5)^2</f>
        <v>2.4400000000000004</v>
      </c>
      <c r="O10" s="241">
        <f t="shared" si="1"/>
        <v>1</v>
      </c>
    </row>
    <row r="11" spans="2:15" x14ac:dyDescent="0.35">
      <c r="B11" s="44">
        <v>2</v>
      </c>
      <c r="C11" s="215">
        <v>3</v>
      </c>
      <c r="E11" s="241">
        <v>2</v>
      </c>
      <c r="K11">
        <f t="shared" si="0"/>
        <v>1.4400000000000004</v>
      </c>
      <c r="L11" s="36">
        <f>(B11-H4)^2+(C11-H5)^2</f>
        <v>2.9200000000000008</v>
      </c>
      <c r="M11" s="90">
        <f>(B11-I4)^2+(C11-I5)^2</f>
        <v>1.4400000000000004</v>
      </c>
      <c r="O11" s="241">
        <f t="shared" si="1"/>
        <v>2</v>
      </c>
    </row>
    <row r="12" spans="2:15" x14ac:dyDescent="0.35">
      <c r="B12" s="44">
        <v>1</v>
      </c>
      <c r="C12" s="215">
        <v>3</v>
      </c>
      <c r="E12" s="241">
        <v>1</v>
      </c>
      <c r="K12">
        <f t="shared" si="0"/>
        <v>4.8400000000000007</v>
      </c>
      <c r="L12" s="36">
        <f>(B12-H4)^2+(C12-H5)^2</f>
        <v>5.120000000000001</v>
      </c>
      <c r="M12" s="90">
        <f>(B12-I4)^2+(C12-I5)^2</f>
        <v>4.8400000000000007</v>
      </c>
      <c r="O12" s="241">
        <f t="shared" si="1"/>
        <v>2</v>
      </c>
    </row>
    <row r="13" spans="2:15" x14ac:dyDescent="0.35">
      <c r="B13" s="243">
        <v>5</v>
      </c>
      <c r="C13" s="218">
        <v>4</v>
      </c>
      <c r="E13" s="244">
        <v>2</v>
      </c>
      <c r="K13">
        <f t="shared" si="0"/>
        <v>4.2399999999999993</v>
      </c>
      <c r="L13" s="91">
        <f>(B13-H4)^2+(C13-H5)^2</f>
        <v>12.52</v>
      </c>
      <c r="M13" s="93">
        <f>(B13-I4)^2+(C13-I5)^2</f>
        <v>4.2399999999999993</v>
      </c>
      <c r="O13" s="244">
        <f t="shared" si="1"/>
        <v>2</v>
      </c>
    </row>
    <row r="15" spans="2:15" x14ac:dyDescent="0.35">
      <c r="B15" s="32" t="s">
        <v>390</v>
      </c>
      <c r="C15" s="32" t="s">
        <v>392</v>
      </c>
      <c r="E15" s="32" t="s">
        <v>584</v>
      </c>
      <c r="G15" t="s">
        <v>585</v>
      </c>
      <c r="H15" s="47">
        <v>1</v>
      </c>
      <c r="I15" s="47">
        <v>2</v>
      </c>
      <c r="K15" s="47" t="s">
        <v>586</v>
      </c>
      <c r="L15">
        <v>1</v>
      </c>
      <c r="M15">
        <v>2</v>
      </c>
      <c r="O15" s="32" t="s">
        <v>584</v>
      </c>
    </row>
    <row r="16" spans="2:15" x14ac:dyDescent="0.35">
      <c r="B16" s="236">
        <v>5</v>
      </c>
      <c r="C16" s="237">
        <v>0</v>
      </c>
      <c r="E16" s="238">
        <f>O4</f>
        <v>1</v>
      </c>
      <c r="G16" t="s">
        <v>390</v>
      </c>
      <c r="H16" s="138">
        <f>AVERAGEIF(E16:E25,H15,B16:B25)</f>
        <v>3</v>
      </c>
      <c r="I16" s="140">
        <f>AVERAGEIF(E16:E25,I15,B16:B25)</f>
        <v>2.8333333333333335</v>
      </c>
      <c r="K16">
        <f>MIN(L16:M16)</f>
        <v>5</v>
      </c>
      <c r="L16" s="138">
        <f>(B16-H16)^2+(C16-H17)^2</f>
        <v>5</v>
      </c>
      <c r="M16" s="140">
        <f>(B16-I16)^2+(C16-I17)^2</f>
        <v>13.694444444444443</v>
      </c>
      <c r="O16" s="238">
        <f>IF(L16&lt;=M16,1,2)</f>
        <v>1</v>
      </c>
    </row>
    <row r="17" spans="2:15" x14ac:dyDescent="0.35">
      <c r="B17" s="44">
        <v>5</v>
      </c>
      <c r="C17" s="215">
        <v>2</v>
      </c>
      <c r="E17" s="241">
        <f t="shared" ref="E17:E25" si="2">O5</f>
        <v>2</v>
      </c>
      <c r="G17" t="s">
        <v>392</v>
      </c>
      <c r="H17" s="91">
        <f>AVERAGEIF(E16:E25,H15,C16:C25)</f>
        <v>1</v>
      </c>
      <c r="I17" s="93">
        <f>AVERAGEIF(E16:E25,I15,C16:C25)</f>
        <v>3</v>
      </c>
      <c r="K17">
        <f t="shared" ref="K17:K25" si="3">MIN(L17:M17)</f>
        <v>5</v>
      </c>
      <c r="L17" s="36">
        <f>(B17-H16)^2+(C17-H17)^2</f>
        <v>5</v>
      </c>
      <c r="M17" s="90">
        <f>(B17-I16)^2+(C17-I17)^2</f>
        <v>5.6944444444444438</v>
      </c>
      <c r="O17" s="241">
        <f t="shared" ref="O17:O25" si="4">IF(L17&lt;=M17,1,2)</f>
        <v>1</v>
      </c>
    </row>
    <row r="18" spans="2:15" x14ac:dyDescent="0.35">
      <c r="B18" s="44">
        <v>3</v>
      </c>
      <c r="C18" s="215">
        <v>1</v>
      </c>
      <c r="E18" s="241">
        <f t="shared" si="2"/>
        <v>1</v>
      </c>
      <c r="K18">
        <f t="shared" si="3"/>
        <v>0</v>
      </c>
      <c r="L18" s="36">
        <f>(B18-H16)^2+(C18-H17)^2</f>
        <v>0</v>
      </c>
      <c r="M18" s="90">
        <f>(B18-I16)^2+(C18-I17)^2</f>
        <v>4.0277777777777777</v>
      </c>
      <c r="O18" s="241">
        <f t="shared" si="4"/>
        <v>1</v>
      </c>
    </row>
    <row r="19" spans="2:15" x14ac:dyDescent="0.35">
      <c r="B19" s="44">
        <v>0</v>
      </c>
      <c r="C19" s="215">
        <v>4</v>
      </c>
      <c r="E19" s="241">
        <f t="shared" si="2"/>
        <v>2</v>
      </c>
      <c r="G19" t="s">
        <v>587</v>
      </c>
      <c r="H19" s="242">
        <f>SUM(K16:K25)</f>
        <v>33.472222222222221</v>
      </c>
      <c r="K19">
        <f t="shared" si="3"/>
        <v>9.0277777777777786</v>
      </c>
      <c r="L19" s="36">
        <f>(B19-H16)^2+(C19-H17)^2</f>
        <v>18</v>
      </c>
      <c r="M19" s="90">
        <f>(B19-I16)^2+(C19-I17)^2</f>
        <v>9.0277777777777786</v>
      </c>
      <c r="O19" s="241">
        <f t="shared" si="4"/>
        <v>2</v>
      </c>
    </row>
    <row r="20" spans="2:15" x14ac:dyDescent="0.35">
      <c r="B20" s="44">
        <v>2</v>
      </c>
      <c r="C20" s="215">
        <v>1</v>
      </c>
      <c r="E20" s="241">
        <f t="shared" si="2"/>
        <v>1</v>
      </c>
      <c r="K20">
        <f t="shared" si="3"/>
        <v>1</v>
      </c>
      <c r="L20" s="36">
        <f>(B20-H16)^2+(C20-H17)^2</f>
        <v>1</v>
      </c>
      <c r="M20" s="90">
        <f>(B20-I16)^2+(C20-I17)^2</f>
        <v>4.6944444444444446</v>
      </c>
      <c r="O20" s="241">
        <f t="shared" si="4"/>
        <v>1</v>
      </c>
    </row>
    <row r="21" spans="2:15" x14ac:dyDescent="0.35">
      <c r="B21" s="44">
        <v>4</v>
      </c>
      <c r="C21" s="215">
        <v>2</v>
      </c>
      <c r="E21" s="241">
        <f t="shared" si="2"/>
        <v>2</v>
      </c>
      <c r="G21" t="s">
        <v>588</v>
      </c>
      <c r="H21" s="242" t="b">
        <f t="array" ref="H21">AND(E16:E25=O16:O25)</f>
        <v>0</v>
      </c>
      <c r="K21">
        <f t="shared" si="3"/>
        <v>2</v>
      </c>
      <c r="L21" s="36">
        <f>(B21-H16)^2+(C21-H17)^2</f>
        <v>2</v>
      </c>
      <c r="M21" s="90">
        <f>(B21-I16)^2+(C21-I17)^2</f>
        <v>2.3611111111111107</v>
      </c>
      <c r="O21" s="241">
        <f t="shared" si="4"/>
        <v>1</v>
      </c>
    </row>
    <row r="22" spans="2:15" x14ac:dyDescent="0.35">
      <c r="B22" s="44">
        <v>2</v>
      </c>
      <c r="C22" s="215">
        <v>2</v>
      </c>
      <c r="E22" s="241">
        <f t="shared" si="2"/>
        <v>1</v>
      </c>
      <c r="K22">
        <f t="shared" si="3"/>
        <v>1.6944444444444446</v>
      </c>
      <c r="L22" s="36">
        <f>(B22-H16)^2+(C22-H17)^2</f>
        <v>2</v>
      </c>
      <c r="M22" s="90">
        <f>(B22-I16)^2+(C22-I17)^2</f>
        <v>1.6944444444444446</v>
      </c>
      <c r="O22" s="241">
        <f t="shared" si="4"/>
        <v>2</v>
      </c>
    </row>
    <row r="23" spans="2:15" x14ac:dyDescent="0.35">
      <c r="B23" s="44">
        <v>2</v>
      </c>
      <c r="C23" s="215">
        <v>3</v>
      </c>
      <c r="E23" s="241">
        <f t="shared" si="2"/>
        <v>2</v>
      </c>
      <c r="K23">
        <f t="shared" si="3"/>
        <v>0.69444444444444464</v>
      </c>
      <c r="L23" s="36">
        <f>(B23-H16)^2+(C23-H17)^2</f>
        <v>5</v>
      </c>
      <c r="M23" s="90">
        <f>(B23-I16)^2+(C23-I17)^2</f>
        <v>0.69444444444444464</v>
      </c>
      <c r="O23" s="241">
        <f t="shared" si="4"/>
        <v>2</v>
      </c>
    </row>
    <row r="24" spans="2:15" x14ac:dyDescent="0.35">
      <c r="B24" s="44">
        <v>1</v>
      </c>
      <c r="C24" s="215">
        <v>3</v>
      </c>
      <c r="E24" s="241">
        <f t="shared" si="2"/>
        <v>2</v>
      </c>
      <c r="K24">
        <f t="shared" si="3"/>
        <v>3.3611111111111116</v>
      </c>
      <c r="L24" s="36">
        <f>(B24-H16)^2+(C24-H17)^2</f>
        <v>8</v>
      </c>
      <c r="M24" s="90">
        <f>(B24-I16)^2+(C24-I17)^2</f>
        <v>3.3611111111111116</v>
      </c>
      <c r="O24" s="241">
        <f t="shared" si="4"/>
        <v>2</v>
      </c>
    </row>
    <row r="25" spans="2:15" x14ac:dyDescent="0.35">
      <c r="B25" s="243">
        <v>5</v>
      </c>
      <c r="C25" s="218">
        <v>4</v>
      </c>
      <c r="E25" s="244">
        <f t="shared" si="2"/>
        <v>2</v>
      </c>
      <c r="K25">
        <f t="shared" si="3"/>
        <v>5.6944444444444438</v>
      </c>
      <c r="L25" s="91">
        <f>(B25-H16)^2+(C25-H17)^2</f>
        <v>13</v>
      </c>
      <c r="M25" s="93">
        <f>(B25-I16)^2+(C25-I17)^2</f>
        <v>5.6944444444444438</v>
      </c>
      <c r="O25" s="244">
        <f t="shared" si="4"/>
        <v>2</v>
      </c>
    </row>
    <row r="27" spans="2:15" x14ac:dyDescent="0.35">
      <c r="B27" s="32" t="s">
        <v>390</v>
      </c>
      <c r="C27" s="32" t="s">
        <v>392</v>
      </c>
      <c r="E27" s="32" t="s">
        <v>584</v>
      </c>
      <c r="G27" t="s">
        <v>585</v>
      </c>
      <c r="H27" s="47">
        <v>1</v>
      </c>
      <c r="I27" s="47">
        <v>2</v>
      </c>
      <c r="K27" s="47" t="s">
        <v>586</v>
      </c>
      <c r="L27">
        <v>1</v>
      </c>
      <c r="M27">
        <v>2</v>
      </c>
      <c r="O27" s="32" t="s">
        <v>584</v>
      </c>
    </row>
    <row r="28" spans="2:15" x14ac:dyDescent="0.35">
      <c r="B28" s="236">
        <v>5</v>
      </c>
      <c r="C28" s="237">
        <v>0</v>
      </c>
      <c r="E28" s="238">
        <f>O16</f>
        <v>1</v>
      </c>
      <c r="G28" t="s">
        <v>390</v>
      </c>
      <c r="H28" s="138">
        <f>AVERAGEIF(E28:E37,H27,B28:B37)</f>
        <v>3.8</v>
      </c>
      <c r="I28" s="140">
        <f>AVERAGEIF(E28:E37,I27,B28:B37)</f>
        <v>2</v>
      </c>
      <c r="K28">
        <f>MIN(L28:M28)</f>
        <v>2.8800000000000003</v>
      </c>
      <c r="L28" s="138">
        <f>(B28-H28)^2+(C28-H29)^2</f>
        <v>2.8800000000000003</v>
      </c>
      <c r="M28" s="140">
        <f>(B28-I28)^2+(C28-I29)^2</f>
        <v>19.240000000000002</v>
      </c>
      <c r="O28" s="238">
        <f>IF(L28&lt;=M28,1,2)</f>
        <v>1</v>
      </c>
    </row>
    <row r="29" spans="2:15" x14ac:dyDescent="0.35">
      <c r="B29" s="44">
        <v>5</v>
      </c>
      <c r="C29" s="215">
        <v>2</v>
      </c>
      <c r="E29" s="241">
        <f t="shared" ref="E29:E37" si="5">O17</f>
        <v>1</v>
      </c>
      <c r="G29" t="s">
        <v>392</v>
      </c>
      <c r="H29" s="91">
        <f>AVERAGEIF(E28:E37,H27,C28:C37)</f>
        <v>1.2</v>
      </c>
      <c r="I29" s="93">
        <f>AVERAGEIF(E28:E37,I27,C28:C37)</f>
        <v>3.2</v>
      </c>
      <c r="K29">
        <f t="shared" ref="K29:K37" si="6">MIN(L29:M29)</f>
        <v>2.0800000000000005</v>
      </c>
      <c r="L29" s="36">
        <f>(B29-H28)^2+(C29-H29)^2</f>
        <v>2.0800000000000005</v>
      </c>
      <c r="M29" s="90">
        <f>(B29-I28)^2+(C29-I29)^2</f>
        <v>10.440000000000001</v>
      </c>
      <c r="O29" s="241">
        <f t="shared" ref="O29:O37" si="7">IF(L29&lt;=M29,1,2)</f>
        <v>1</v>
      </c>
    </row>
    <row r="30" spans="2:15" x14ac:dyDescent="0.35">
      <c r="B30" s="44">
        <v>3</v>
      </c>
      <c r="C30" s="215">
        <v>1</v>
      </c>
      <c r="E30" s="241">
        <f t="shared" si="5"/>
        <v>1</v>
      </c>
      <c r="K30">
        <f t="shared" si="6"/>
        <v>0.67999999999999972</v>
      </c>
      <c r="L30" s="36">
        <f>(B30-H28)^2+(C30-H29)^2</f>
        <v>0.67999999999999972</v>
      </c>
      <c r="M30" s="90">
        <f>(B30-I28)^2+(C30-I29)^2</f>
        <v>5.8400000000000007</v>
      </c>
      <c r="O30" s="241">
        <f t="shared" si="7"/>
        <v>1</v>
      </c>
    </row>
    <row r="31" spans="2:15" x14ac:dyDescent="0.35">
      <c r="B31" s="44">
        <v>0</v>
      </c>
      <c r="C31" s="215">
        <v>4</v>
      </c>
      <c r="E31" s="241">
        <f t="shared" si="5"/>
        <v>2</v>
      </c>
      <c r="G31" t="s">
        <v>587</v>
      </c>
      <c r="H31" s="242">
        <f>SUM(K28:K37)</f>
        <v>26.04</v>
      </c>
      <c r="K31">
        <f t="shared" si="6"/>
        <v>4.6399999999999997</v>
      </c>
      <c r="L31" s="36">
        <f>(B31-H28)^2+(C31-H29)^2</f>
        <v>22.279999999999998</v>
      </c>
      <c r="M31" s="90">
        <f>(B31-I28)^2+(C31-I29)^2</f>
        <v>4.6399999999999997</v>
      </c>
      <c r="O31" s="241">
        <f t="shared" si="7"/>
        <v>2</v>
      </c>
    </row>
    <row r="32" spans="2:15" x14ac:dyDescent="0.35">
      <c r="B32" s="44">
        <v>2</v>
      </c>
      <c r="C32" s="215">
        <v>1</v>
      </c>
      <c r="E32" s="241">
        <f t="shared" si="5"/>
        <v>1</v>
      </c>
      <c r="K32">
        <f t="shared" si="6"/>
        <v>3.2799999999999994</v>
      </c>
      <c r="L32" s="36">
        <f>(B32-H28)^2+(C32-H29)^2</f>
        <v>3.2799999999999994</v>
      </c>
      <c r="M32" s="90">
        <f>(B32-I28)^2+(C32-I29)^2</f>
        <v>4.8400000000000007</v>
      </c>
      <c r="O32" s="241">
        <f t="shared" si="7"/>
        <v>1</v>
      </c>
    </row>
    <row r="33" spans="2:15" x14ac:dyDescent="0.35">
      <c r="B33" s="44">
        <v>4</v>
      </c>
      <c r="C33" s="215">
        <v>2</v>
      </c>
      <c r="E33" s="241">
        <f t="shared" si="5"/>
        <v>1</v>
      </c>
      <c r="G33" t="s">
        <v>588</v>
      </c>
      <c r="H33" s="242" t="b">
        <f t="array" ref="H33">AND(E28:E37=O28:O37)</f>
        <v>0</v>
      </c>
      <c r="K33">
        <f t="shared" si="6"/>
        <v>0.68000000000000016</v>
      </c>
      <c r="L33" s="36">
        <f>(B33-H28)^2+(C33-H29)^2</f>
        <v>0.68000000000000016</v>
      </c>
      <c r="M33" s="90">
        <f>(B33-I28)^2+(C33-I29)^2</f>
        <v>5.44</v>
      </c>
      <c r="O33" s="241">
        <f t="shared" si="7"/>
        <v>1</v>
      </c>
    </row>
    <row r="34" spans="2:15" x14ac:dyDescent="0.35">
      <c r="B34" s="44">
        <v>2</v>
      </c>
      <c r="C34" s="215">
        <v>2</v>
      </c>
      <c r="E34" s="241">
        <f t="shared" si="5"/>
        <v>2</v>
      </c>
      <c r="K34">
        <f t="shared" si="6"/>
        <v>1.4400000000000004</v>
      </c>
      <c r="L34" s="36">
        <f>(B34-H28)^2+(C34-H29)^2</f>
        <v>3.8799999999999994</v>
      </c>
      <c r="M34" s="90">
        <f>(B34-I28)^2+(C34-I29)^2</f>
        <v>1.4400000000000004</v>
      </c>
      <c r="O34" s="241">
        <f t="shared" si="7"/>
        <v>2</v>
      </c>
    </row>
    <row r="35" spans="2:15" x14ac:dyDescent="0.35">
      <c r="B35" s="44">
        <v>2</v>
      </c>
      <c r="C35" s="215">
        <v>3</v>
      </c>
      <c r="E35" s="241">
        <f t="shared" si="5"/>
        <v>2</v>
      </c>
      <c r="K35">
        <f t="shared" si="6"/>
        <v>4.000000000000007E-2</v>
      </c>
      <c r="L35" s="36">
        <f>(B35-H28)^2+(C35-H29)^2</f>
        <v>6.4799999999999995</v>
      </c>
      <c r="M35" s="90">
        <f>(B35-I28)^2+(C35-I29)^2</f>
        <v>4.000000000000007E-2</v>
      </c>
      <c r="O35" s="241">
        <f t="shared" si="7"/>
        <v>2</v>
      </c>
    </row>
    <row r="36" spans="2:15" x14ac:dyDescent="0.35">
      <c r="B36" s="44">
        <v>1</v>
      </c>
      <c r="C36" s="215">
        <v>3</v>
      </c>
      <c r="E36" s="241">
        <f t="shared" si="5"/>
        <v>2</v>
      </c>
      <c r="K36">
        <f t="shared" si="6"/>
        <v>1.04</v>
      </c>
      <c r="L36" s="36">
        <f>(B36-H28)^2+(C36-H29)^2</f>
        <v>11.079999999999998</v>
      </c>
      <c r="M36" s="90">
        <f>(B36-I28)^2+(C36-I29)^2</f>
        <v>1.04</v>
      </c>
      <c r="O36" s="241">
        <f t="shared" si="7"/>
        <v>2</v>
      </c>
    </row>
    <row r="37" spans="2:15" x14ac:dyDescent="0.35">
      <c r="B37" s="243">
        <v>5</v>
      </c>
      <c r="C37" s="218">
        <v>4</v>
      </c>
      <c r="E37" s="244">
        <f t="shared" si="5"/>
        <v>2</v>
      </c>
      <c r="K37">
        <f t="shared" si="6"/>
        <v>9.2799999999999994</v>
      </c>
      <c r="L37" s="91">
        <f>(B37-H28)^2+(C37-H29)^2</f>
        <v>9.2799999999999994</v>
      </c>
      <c r="M37" s="93">
        <f>(B37-I28)^2+(C37-I29)^2</f>
        <v>9.64</v>
      </c>
      <c r="O37" s="244">
        <f t="shared" si="7"/>
        <v>1</v>
      </c>
    </row>
    <row r="39" spans="2:15" x14ac:dyDescent="0.35">
      <c r="B39" s="32" t="s">
        <v>390</v>
      </c>
      <c r="C39" s="32" t="s">
        <v>392</v>
      </c>
      <c r="E39" s="32" t="s">
        <v>584</v>
      </c>
      <c r="G39" t="s">
        <v>585</v>
      </c>
      <c r="H39" s="47">
        <v>1</v>
      </c>
      <c r="I39" s="47">
        <v>2</v>
      </c>
      <c r="K39" s="47" t="s">
        <v>586</v>
      </c>
      <c r="L39">
        <v>1</v>
      </c>
      <c r="M39">
        <v>2</v>
      </c>
      <c r="O39" s="32" t="s">
        <v>584</v>
      </c>
    </row>
    <row r="40" spans="2:15" x14ac:dyDescent="0.35">
      <c r="B40" s="236">
        <v>5</v>
      </c>
      <c r="C40" s="237">
        <v>0</v>
      </c>
      <c r="E40" s="238">
        <f>O28</f>
        <v>1</v>
      </c>
      <c r="G40" t="s">
        <v>390</v>
      </c>
      <c r="H40" s="138">
        <f>AVERAGEIF(E40:E49,H39,B40:B49)</f>
        <v>4</v>
      </c>
      <c r="I40" s="140">
        <f>AVERAGEIF(E40:E49,I39,B40:B49)</f>
        <v>1.25</v>
      </c>
      <c r="K40">
        <f>MIN(L40:M40)</f>
        <v>3.7777777777777781</v>
      </c>
      <c r="L40" s="138">
        <f>(B40-H40)^2+(C40-H41)^2</f>
        <v>3.7777777777777781</v>
      </c>
      <c r="M40" s="140">
        <f>(B40-I40)^2+(C40-I41)^2</f>
        <v>23.0625</v>
      </c>
      <c r="O40" s="238">
        <f>IF(L40&lt;=M40,1,2)</f>
        <v>1</v>
      </c>
    </row>
    <row r="41" spans="2:15" x14ac:dyDescent="0.35">
      <c r="B41" s="44">
        <v>5</v>
      </c>
      <c r="C41" s="215">
        <v>2</v>
      </c>
      <c r="E41" s="241">
        <f t="shared" ref="E41:E49" si="8">O29</f>
        <v>1</v>
      </c>
      <c r="G41" t="s">
        <v>392</v>
      </c>
      <c r="H41" s="91">
        <f>AVERAGEIF(E40:E49,H39,C40:C49)</f>
        <v>1.6666666666666667</v>
      </c>
      <c r="I41" s="93">
        <f>AVERAGEIF(E40:E49,I39,C40:C49)</f>
        <v>3</v>
      </c>
      <c r="K41">
        <f t="shared" ref="K41:K49" si="9">MIN(L41:M41)</f>
        <v>1.1111111111111112</v>
      </c>
      <c r="L41" s="36">
        <f>(B41-H40)^2+(C41-H41)^2</f>
        <v>1.1111111111111112</v>
      </c>
      <c r="M41" s="90">
        <f>(B41-I40)^2+(C41-I41)^2</f>
        <v>15.0625</v>
      </c>
      <c r="O41" s="241">
        <f t="shared" ref="O41:O49" si="10">IF(L41&lt;=M41,1,2)</f>
        <v>1</v>
      </c>
    </row>
    <row r="42" spans="2:15" x14ac:dyDescent="0.35">
      <c r="B42" s="44">
        <v>3</v>
      </c>
      <c r="C42" s="215">
        <v>1</v>
      </c>
      <c r="E42" s="241">
        <f t="shared" si="8"/>
        <v>1</v>
      </c>
      <c r="K42">
        <f t="shared" si="9"/>
        <v>1.4444444444444446</v>
      </c>
      <c r="L42" s="36">
        <f>(B42-H40)^2+(C42-H41)^2</f>
        <v>1.4444444444444446</v>
      </c>
      <c r="M42" s="90">
        <f>(B42-I40)^2+(C42-I41)^2</f>
        <v>7.0625</v>
      </c>
      <c r="O42" s="241">
        <f t="shared" si="10"/>
        <v>1</v>
      </c>
    </row>
    <row r="43" spans="2:15" x14ac:dyDescent="0.35">
      <c r="B43" s="44">
        <v>0</v>
      </c>
      <c r="C43" s="215">
        <v>4</v>
      </c>
      <c r="E43" s="241">
        <f t="shared" si="8"/>
        <v>2</v>
      </c>
      <c r="G43" t="s">
        <v>587</v>
      </c>
      <c r="H43" s="242">
        <f>SUM(K40:K49)</f>
        <v>22.083333333333332</v>
      </c>
      <c r="K43">
        <f t="shared" si="9"/>
        <v>2.5625</v>
      </c>
      <c r="L43" s="36">
        <f>(B43-H40)^2+(C43-H41)^2</f>
        <v>21.444444444444443</v>
      </c>
      <c r="M43" s="90">
        <f>(B43-I40)^2+(C43-I41)^2</f>
        <v>2.5625</v>
      </c>
      <c r="O43" s="241">
        <f t="shared" si="10"/>
        <v>2</v>
      </c>
    </row>
    <row r="44" spans="2:15" x14ac:dyDescent="0.35">
      <c r="B44" s="44">
        <v>2</v>
      </c>
      <c r="C44" s="215">
        <v>1</v>
      </c>
      <c r="E44" s="241">
        <f t="shared" si="8"/>
        <v>1</v>
      </c>
      <c r="K44">
        <f t="shared" si="9"/>
        <v>4.4444444444444446</v>
      </c>
      <c r="L44" s="36">
        <f>(B44-H40)^2+(C44-H41)^2</f>
        <v>4.4444444444444446</v>
      </c>
      <c r="M44" s="90">
        <f>(B44-I40)^2+(C44-I41)^2</f>
        <v>4.5625</v>
      </c>
      <c r="O44" s="241">
        <f t="shared" si="10"/>
        <v>1</v>
      </c>
    </row>
    <row r="45" spans="2:15" x14ac:dyDescent="0.35">
      <c r="B45" s="44">
        <v>4</v>
      </c>
      <c r="C45" s="215">
        <v>2</v>
      </c>
      <c r="E45" s="241">
        <f t="shared" si="8"/>
        <v>1</v>
      </c>
      <c r="G45" t="s">
        <v>588</v>
      </c>
      <c r="H45" s="242" t="b">
        <f t="array" ref="H45">AND(E40:E49=O40:O49)</f>
        <v>1</v>
      </c>
      <c r="K45">
        <f t="shared" si="9"/>
        <v>0.11111111111111106</v>
      </c>
      <c r="L45" s="36">
        <f>(B45-H40)^2+(C45-H41)^2</f>
        <v>0.11111111111111106</v>
      </c>
      <c r="M45" s="90">
        <f>(B45-I40)^2+(C45-I41)^2</f>
        <v>8.5625</v>
      </c>
      <c r="O45" s="241">
        <f t="shared" si="10"/>
        <v>1</v>
      </c>
    </row>
    <row r="46" spans="2:15" x14ac:dyDescent="0.35">
      <c r="B46" s="44">
        <v>2</v>
      </c>
      <c r="C46" s="215">
        <v>2</v>
      </c>
      <c r="E46" s="241">
        <f t="shared" si="8"/>
        <v>2</v>
      </c>
      <c r="K46">
        <f t="shared" si="9"/>
        <v>1.5625</v>
      </c>
      <c r="L46" s="36">
        <f>(B46-H40)^2+(C46-H41)^2</f>
        <v>4.1111111111111107</v>
      </c>
      <c r="M46" s="90">
        <f>(B46-I40)^2+(C46-I41)^2</f>
        <v>1.5625</v>
      </c>
      <c r="O46" s="241">
        <f t="shared" si="10"/>
        <v>2</v>
      </c>
    </row>
    <row r="47" spans="2:15" x14ac:dyDescent="0.35">
      <c r="B47" s="44">
        <v>2</v>
      </c>
      <c r="C47" s="215">
        <v>3</v>
      </c>
      <c r="E47" s="241">
        <f t="shared" si="8"/>
        <v>2</v>
      </c>
      <c r="K47">
        <f t="shared" si="9"/>
        <v>0.5625</v>
      </c>
      <c r="L47" s="36">
        <f>(B47-H40)^2+(C47-H41)^2</f>
        <v>5.7777777777777777</v>
      </c>
      <c r="M47" s="90">
        <f>(B47-I40)^2+(C47-I41)^2</f>
        <v>0.5625</v>
      </c>
      <c r="O47" s="241">
        <f t="shared" si="10"/>
        <v>2</v>
      </c>
    </row>
    <row r="48" spans="2:15" x14ac:dyDescent="0.35">
      <c r="B48" s="44">
        <v>1</v>
      </c>
      <c r="C48" s="215">
        <v>3</v>
      </c>
      <c r="E48" s="241">
        <f t="shared" si="8"/>
        <v>2</v>
      </c>
      <c r="K48">
        <f t="shared" si="9"/>
        <v>6.25E-2</v>
      </c>
      <c r="L48" s="36">
        <f>(B48-H40)^2+(C48-H41)^2</f>
        <v>10.777777777777779</v>
      </c>
      <c r="M48" s="90">
        <f>(B48-I40)^2+(C48-I41)^2</f>
        <v>6.25E-2</v>
      </c>
      <c r="O48" s="241">
        <f t="shared" si="10"/>
        <v>2</v>
      </c>
    </row>
    <row r="49" spans="2:15" x14ac:dyDescent="0.35">
      <c r="B49" s="243">
        <v>5</v>
      </c>
      <c r="C49" s="218">
        <v>4</v>
      </c>
      <c r="E49" s="244">
        <f t="shared" si="8"/>
        <v>1</v>
      </c>
      <c r="K49">
        <f t="shared" si="9"/>
        <v>6.4444444444444429</v>
      </c>
      <c r="L49" s="91">
        <f>(B49-H40)^2+(C49-H41)^2</f>
        <v>6.4444444444444429</v>
      </c>
      <c r="M49" s="93">
        <f>(B49-I40)^2+(C49-I41)^2</f>
        <v>15.0625</v>
      </c>
      <c r="O49" s="244">
        <f t="shared" si="10"/>
        <v>1</v>
      </c>
    </row>
  </sheetData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7"/>
  <dimension ref="B1:P13"/>
  <sheetViews>
    <sheetView workbookViewId="0">
      <selection activeCell="G17" sqref="G17"/>
    </sheetView>
  </sheetViews>
  <sheetFormatPr defaultRowHeight="14.5" x14ac:dyDescent="0.35"/>
  <cols>
    <col min="1" max="1" width="1.81640625" customWidth="1"/>
    <col min="2" max="3" width="7.7265625" customWidth="1"/>
    <col min="4" max="4" width="3.7265625" customWidth="1"/>
    <col min="5" max="5" width="7.7265625" customWidth="1"/>
  </cols>
  <sheetData>
    <row r="1" spans="2:16" x14ac:dyDescent="0.35">
      <c r="B1" s="42" t="s">
        <v>589</v>
      </c>
    </row>
    <row r="3" spans="2:16" x14ac:dyDescent="0.35">
      <c r="B3" s="32" t="s">
        <v>390</v>
      </c>
      <c r="C3" s="32" t="s">
        <v>392</v>
      </c>
      <c r="E3" s="32" t="s">
        <v>584</v>
      </c>
      <c r="H3" s="47" t="s">
        <v>584</v>
      </c>
      <c r="J3" t="s">
        <v>585</v>
      </c>
      <c r="K3">
        <v>1</v>
      </c>
      <c r="L3">
        <f>K3+1</f>
        <v>2</v>
      </c>
      <c r="N3">
        <v>1</v>
      </c>
      <c r="O3">
        <f>N3+1</f>
        <v>2</v>
      </c>
      <c r="P3" s="47" t="s">
        <v>586</v>
      </c>
    </row>
    <row r="4" spans="2:16" x14ac:dyDescent="0.35">
      <c r="B4" s="236">
        <v>5</v>
      </c>
      <c r="C4" s="237">
        <v>0</v>
      </c>
      <c r="E4" s="238">
        <v>1</v>
      </c>
      <c r="G4">
        <v>1</v>
      </c>
      <c r="H4" s="132" t="e">
        <f t="array" aca="1" ref="H4:H13" ca="1">CLUST(B4:C13,K7,E4:E13)</f>
        <v>#NAME?</v>
      </c>
      <c r="J4" t="str">
        <f t="array" ref="J4:J5">TRANSPOSE(B3:C3)</f>
        <v>X</v>
      </c>
      <c r="K4" s="149" t="e">
        <f ca="1">AVERAGEIF($H$4:$H$13,K$3,$B$4:$B$13)</f>
        <v>#DIV/0!</v>
      </c>
      <c r="L4" s="82" t="e">
        <f ca="1">AVERAGEIF($H$4:$H$13,L$3,$B$4:$B$13)</f>
        <v>#DIV/0!</v>
      </c>
      <c r="N4" s="149" t="e">
        <f ca="1">SUMXMY2($B4:$C4,K$4:K$5)</f>
        <v>#DIV/0!</v>
      </c>
      <c r="O4" s="82" t="e">
        <f ca="1">SUMXMY2($B4:$C4,L$4:L$5)</f>
        <v>#DIV/0!</v>
      </c>
      <c r="P4" s="132" t="e">
        <f ca="1">MIN(N4:O4)</f>
        <v>#DIV/0!</v>
      </c>
    </row>
    <row r="5" spans="2:16" x14ac:dyDescent="0.35">
      <c r="B5" s="44">
        <v>5</v>
      </c>
      <c r="C5" s="215">
        <v>2</v>
      </c>
      <c r="E5" s="241">
        <v>2</v>
      </c>
      <c r="G5">
        <f>G4+1</f>
        <v>2</v>
      </c>
      <c r="H5" s="98" t="e">
        <f ca="1"/>
        <v>#NAME?</v>
      </c>
      <c r="J5" t="str">
        <v>Y</v>
      </c>
      <c r="K5" s="85" t="e">
        <f ca="1">AVERAGEIF($H$4:$H$13,K$3,$C$4:$C$13)</f>
        <v>#DIV/0!</v>
      </c>
      <c r="L5" s="87" t="e">
        <f ca="1">AVERAGEIF($H$4:$H$13,L$3,$C$4:$C$13)</f>
        <v>#DIV/0!</v>
      </c>
      <c r="N5" s="83" t="e">
        <f t="shared" ref="N5:O13" ca="1" si="0">SUMXMY2($B5:$C5,K$4:K$5)</f>
        <v>#DIV/0!</v>
      </c>
      <c r="O5" s="84" t="e">
        <f t="shared" ca="1" si="0"/>
        <v>#DIV/0!</v>
      </c>
      <c r="P5" s="98" t="e">
        <f t="shared" ref="P5:P13" ca="1" si="1">MIN(N5:O5)</f>
        <v>#DIV/0!</v>
      </c>
    </row>
    <row r="6" spans="2:16" x14ac:dyDescent="0.35">
      <c r="B6" s="44">
        <v>3</v>
      </c>
      <c r="C6" s="245">
        <v>1</v>
      </c>
      <c r="E6" s="241">
        <v>1</v>
      </c>
      <c r="G6">
        <f t="shared" ref="G6:G13" si="2">G5+1</f>
        <v>3</v>
      </c>
      <c r="H6" s="98" t="e">
        <f ca="1"/>
        <v>#NAME?</v>
      </c>
      <c r="N6" s="83" t="e">
        <f t="shared" ca="1" si="0"/>
        <v>#DIV/0!</v>
      </c>
      <c r="O6" s="84" t="e">
        <f t="shared" ca="1" si="0"/>
        <v>#DIV/0!</v>
      </c>
      <c r="P6" s="98" t="e">
        <f t="shared" ca="1" si="1"/>
        <v>#DIV/0!</v>
      </c>
    </row>
    <row r="7" spans="2:16" x14ac:dyDescent="0.35">
      <c r="B7" s="44">
        <v>0</v>
      </c>
      <c r="C7" s="245">
        <v>4</v>
      </c>
      <c r="E7" s="241">
        <v>2</v>
      </c>
      <c r="G7">
        <f t="shared" si="2"/>
        <v>4</v>
      </c>
      <c r="H7" s="98" t="e">
        <f ca="1"/>
        <v>#NAME?</v>
      </c>
      <c r="J7" t="s">
        <v>53</v>
      </c>
      <c r="K7" s="137">
        <v>2</v>
      </c>
      <c r="N7" s="83" t="e">
        <f t="shared" ca="1" si="0"/>
        <v>#DIV/0!</v>
      </c>
      <c r="O7" s="84" t="e">
        <f t="shared" ca="1" si="0"/>
        <v>#DIV/0!</v>
      </c>
      <c r="P7" s="98" t="e">
        <f t="shared" ca="1" si="1"/>
        <v>#DIV/0!</v>
      </c>
    </row>
    <row r="8" spans="2:16" x14ac:dyDescent="0.35">
      <c r="B8" s="44">
        <v>2</v>
      </c>
      <c r="C8" s="245">
        <v>1</v>
      </c>
      <c r="E8" s="241">
        <v>1</v>
      </c>
      <c r="G8">
        <f t="shared" si="2"/>
        <v>5</v>
      </c>
      <c r="H8" s="98" t="e">
        <f ca="1"/>
        <v>#NAME?</v>
      </c>
      <c r="N8" s="83" t="e">
        <f t="shared" ca="1" si="0"/>
        <v>#DIV/0!</v>
      </c>
      <c r="O8" s="84" t="e">
        <f t="shared" ca="1" si="0"/>
        <v>#DIV/0!</v>
      </c>
      <c r="P8" s="98" t="e">
        <f t="shared" ca="1" si="1"/>
        <v>#DIV/0!</v>
      </c>
    </row>
    <row r="9" spans="2:16" x14ac:dyDescent="0.35">
      <c r="B9" s="44">
        <v>4</v>
      </c>
      <c r="C9" s="245">
        <v>2</v>
      </c>
      <c r="E9" s="241">
        <v>2</v>
      </c>
      <c r="G9">
        <f t="shared" si="2"/>
        <v>6</v>
      </c>
      <c r="H9" s="98" t="e">
        <f ca="1"/>
        <v>#NAME?</v>
      </c>
      <c r="J9" t="s">
        <v>590</v>
      </c>
      <c r="K9" s="137">
        <v>10</v>
      </c>
      <c r="N9" s="83" t="e">
        <f t="shared" ca="1" si="0"/>
        <v>#DIV/0!</v>
      </c>
      <c r="O9" s="84" t="e">
        <f t="shared" ca="1" si="0"/>
        <v>#DIV/0!</v>
      </c>
      <c r="P9" s="98" t="e">
        <f t="shared" ca="1" si="1"/>
        <v>#DIV/0!</v>
      </c>
    </row>
    <row r="10" spans="2:16" x14ac:dyDescent="0.35">
      <c r="B10" s="44">
        <v>2</v>
      </c>
      <c r="C10" s="245">
        <v>2</v>
      </c>
      <c r="E10" s="241">
        <v>1</v>
      </c>
      <c r="G10">
        <f t="shared" si="2"/>
        <v>7</v>
      </c>
      <c r="H10" s="98" t="e">
        <f ca="1"/>
        <v>#NAME?</v>
      </c>
      <c r="N10" s="83" t="e">
        <f t="shared" ca="1" si="0"/>
        <v>#DIV/0!</v>
      </c>
      <c r="O10" s="84" t="e">
        <f t="shared" ca="1" si="0"/>
        <v>#DIV/0!</v>
      </c>
      <c r="P10" s="98" t="e">
        <f t="shared" ca="1" si="1"/>
        <v>#DIV/0!</v>
      </c>
    </row>
    <row r="11" spans="2:16" x14ac:dyDescent="0.35">
      <c r="B11" s="44">
        <v>2</v>
      </c>
      <c r="C11" s="245">
        <v>3</v>
      </c>
      <c r="E11" s="241">
        <v>2</v>
      </c>
      <c r="G11">
        <f t="shared" si="2"/>
        <v>8</v>
      </c>
      <c r="H11" s="98" t="e">
        <f ca="1"/>
        <v>#NAME?</v>
      </c>
      <c r="J11" t="s">
        <v>587</v>
      </c>
      <c r="K11" s="137" t="e">
        <f ca="1">SUM(P4:P13)</f>
        <v>#DIV/0!</v>
      </c>
      <c r="N11" s="83" t="e">
        <f t="shared" ca="1" si="0"/>
        <v>#DIV/0!</v>
      </c>
      <c r="O11" s="84" t="e">
        <f t="shared" ca="1" si="0"/>
        <v>#DIV/0!</v>
      </c>
      <c r="P11" s="98" t="e">
        <f t="shared" ca="1" si="1"/>
        <v>#DIV/0!</v>
      </c>
    </row>
    <row r="12" spans="2:16" x14ac:dyDescent="0.35">
      <c r="B12" s="44">
        <v>1</v>
      </c>
      <c r="C12" s="245">
        <v>3</v>
      </c>
      <c r="E12" s="241">
        <v>1</v>
      </c>
      <c r="G12">
        <f t="shared" si="2"/>
        <v>9</v>
      </c>
      <c r="H12" s="98" t="e">
        <f ca="1"/>
        <v>#NAME?</v>
      </c>
      <c r="N12" s="83" t="e">
        <f t="shared" ca="1" si="0"/>
        <v>#DIV/0!</v>
      </c>
      <c r="O12" s="84" t="e">
        <f t="shared" ca="1" si="0"/>
        <v>#DIV/0!</v>
      </c>
      <c r="P12" s="98" t="e">
        <f t="shared" ca="1" si="1"/>
        <v>#DIV/0!</v>
      </c>
    </row>
    <row r="13" spans="2:16" x14ac:dyDescent="0.35">
      <c r="B13" s="45">
        <v>5</v>
      </c>
      <c r="C13" s="246">
        <v>4</v>
      </c>
      <c r="E13" s="247">
        <v>2</v>
      </c>
      <c r="G13">
        <f t="shared" si="2"/>
        <v>10</v>
      </c>
      <c r="H13" s="99" t="e">
        <f ca="1"/>
        <v>#NAME?</v>
      </c>
      <c r="N13" s="85" t="e">
        <f t="shared" ca="1" si="0"/>
        <v>#DIV/0!</v>
      </c>
      <c r="O13" s="87" t="e">
        <f t="shared" ca="1" si="0"/>
        <v>#DIV/0!</v>
      </c>
      <c r="P13" s="99" t="e">
        <f t="shared" ca="1" si="1"/>
        <v>#DIV/0!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6"/>
  <dimension ref="A1:M21"/>
  <sheetViews>
    <sheetView workbookViewId="0"/>
  </sheetViews>
  <sheetFormatPr defaultRowHeight="14.5" x14ac:dyDescent="0.35"/>
  <cols>
    <col min="1" max="1" width="4" customWidth="1"/>
    <col min="2" max="5" width="8.26953125" customWidth="1"/>
    <col min="6" max="6" width="4.81640625" customWidth="1"/>
    <col min="10" max="11" width="7" customWidth="1"/>
  </cols>
  <sheetData>
    <row r="1" spans="1:13" x14ac:dyDescent="0.35">
      <c r="B1" s="42" t="s">
        <v>592</v>
      </c>
    </row>
    <row r="3" spans="1:13" ht="16.5" x14ac:dyDescent="0.45">
      <c r="B3" s="32" t="s">
        <v>278</v>
      </c>
      <c r="C3" s="32" t="s">
        <v>390</v>
      </c>
      <c r="D3" s="32" t="s">
        <v>392</v>
      </c>
      <c r="E3" s="32" t="s">
        <v>591</v>
      </c>
      <c r="F3" s="32"/>
      <c r="G3" s="47" t="s">
        <v>593</v>
      </c>
      <c r="H3" s="47" t="s">
        <v>594</v>
      </c>
      <c r="J3" s="47" t="s">
        <v>595</v>
      </c>
      <c r="K3" s="47" t="s">
        <v>596</v>
      </c>
      <c r="L3" s="47" t="s">
        <v>597</v>
      </c>
      <c r="M3" s="47" t="s">
        <v>594</v>
      </c>
    </row>
    <row r="4" spans="1:13" x14ac:dyDescent="0.35">
      <c r="A4">
        <v>1</v>
      </c>
      <c r="B4" s="236">
        <v>1</v>
      </c>
      <c r="C4" s="145">
        <v>4</v>
      </c>
      <c r="D4" s="145">
        <v>0</v>
      </c>
      <c r="E4" s="237">
        <v>3</v>
      </c>
      <c r="F4" s="32"/>
      <c r="G4" s="146">
        <f>SUMXMY2(B4:E4,B$6:E$6)</f>
        <v>15</v>
      </c>
      <c r="H4" s="146">
        <f>G4</f>
        <v>15</v>
      </c>
      <c r="J4" s="138">
        <f>SUMXMY2(B4:E4,B$6:E$6)</f>
        <v>15</v>
      </c>
      <c r="K4" s="139">
        <f>SUMXMY2(B4:E4,B$17:E$17)</f>
        <v>28</v>
      </c>
      <c r="L4" s="146">
        <f>MIN(J4:K4)</f>
        <v>15</v>
      </c>
      <c r="M4" s="146">
        <f>L4</f>
        <v>15</v>
      </c>
    </row>
    <row r="5" spans="1:13" x14ac:dyDescent="0.35">
      <c r="A5">
        <f>A4+1</f>
        <v>2</v>
      </c>
      <c r="B5" s="44">
        <v>2</v>
      </c>
      <c r="C5" s="73">
        <v>5</v>
      </c>
      <c r="D5" s="73">
        <v>3</v>
      </c>
      <c r="E5" s="245">
        <v>4</v>
      </c>
      <c r="F5" s="32"/>
      <c r="G5" s="49">
        <f>SUMXMY2(B5:E5,B$6:E$6)</f>
        <v>21</v>
      </c>
      <c r="H5" s="49">
        <f t="shared" ref="H5:H18" si="0">H4+G5</f>
        <v>36</v>
      </c>
      <c r="J5" s="36">
        <f t="shared" ref="J5:J18" si="1">SUMXMY2(B5:E5,B$6:E$6)</f>
        <v>21</v>
      </c>
      <c r="K5" s="37">
        <f t="shared" ref="K5:K18" si="2">SUMXMY2(B5:E5,B$17:E$17)</f>
        <v>8</v>
      </c>
      <c r="L5" s="49">
        <f t="shared" ref="L5:L18" si="3">MIN(J5:K5)</f>
        <v>8</v>
      </c>
      <c r="M5" s="49">
        <f t="shared" ref="M5:M18" si="4">M4+L5</f>
        <v>23</v>
      </c>
    </row>
    <row r="6" spans="1:13" x14ac:dyDescent="0.35">
      <c r="A6">
        <f t="shared" ref="A6:A18" si="5">A5+1</f>
        <v>3</v>
      </c>
      <c r="B6" s="44">
        <v>4</v>
      </c>
      <c r="C6" s="73">
        <v>2</v>
      </c>
      <c r="D6" s="73">
        <v>1</v>
      </c>
      <c r="E6" s="245">
        <v>2</v>
      </c>
      <c r="F6" s="32"/>
      <c r="G6" s="49">
        <f>SUMXMY2(B6:E6,B$6:E$6)</f>
        <v>0</v>
      </c>
      <c r="H6" s="49">
        <f t="shared" si="0"/>
        <v>36</v>
      </c>
      <c r="J6" s="36">
        <f t="shared" si="1"/>
        <v>0</v>
      </c>
      <c r="K6" s="37">
        <f t="shared" si="2"/>
        <v>45</v>
      </c>
      <c r="L6" s="49">
        <f t="shared" si="3"/>
        <v>0</v>
      </c>
      <c r="M6" s="49">
        <f t="shared" si="4"/>
        <v>23</v>
      </c>
    </row>
    <row r="7" spans="1:13" x14ac:dyDescent="0.35">
      <c r="A7">
        <f t="shared" si="5"/>
        <v>4</v>
      </c>
      <c r="B7" s="44">
        <v>1</v>
      </c>
      <c r="C7" s="73">
        <v>0</v>
      </c>
      <c r="D7" s="73">
        <v>5</v>
      </c>
      <c r="E7" s="249">
        <v>3</v>
      </c>
      <c r="F7" s="32"/>
      <c r="G7" s="49">
        <f t="shared" ref="G7:G18" si="6">SUMXMY2(B7:E7,B$6:E$6)</f>
        <v>30</v>
      </c>
      <c r="H7" s="49">
        <f t="shared" si="0"/>
        <v>66</v>
      </c>
      <c r="J7" s="36">
        <f t="shared" si="1"/>
        <v>30</v>
      </c>
      <c r="K7" s="37">
        <f t="shared" si="2"/>
        <v>27</v>
      </c>
      <c r="L7" s="49">
        <f t="shared" si="3"/>
        <v>27</v>
      </c>
      <c r="M7" s="49">
        <f t="shared" si="4"/>
        <v>50</v>
      </c>
    </row>
    <row r="8" spans="1:13" x14ac:dyDescent="0.35">
      <c r="A8">
        <f t="shared" si="5"/>
        <v>5</v>
      </c>
      <c r="B8" s="44">
        <v>2</v>
      </c>
      <c r="C8" s="73">
        <v>1</v>
      </c>
      <c r="D8" s="73">
        <v>1</v>
      </c>
      <c r="E8" s="249">
        <v>4</v>
      </c>
      <c r="F8" s="32"/>
      <c r="G8" s="49">
        <f t="shared" si="6"/>
        <v>9</v>
      </c>
      <c r="H8" s="49">
        <f t="shared" si="0"/>
        <v>75</v>
      </c>
      <c r="J8" s="36">
        <f t="shared" si="1"/>
        <v>9</v>
      </c>
      <c r="K8" s="37">
        <f t="shared" si="2"/>
        <v>36</v>
      </c>
      <c r="L8" s="49">
        <f t="shared" si="3"/>
        <v>9</v>
      </c>
      <c r="M8" s="49">
        <f t="shared" si="4"/>
        <v>59</v>
      </c>
    </row>
    <row r="9" spans="1:13" x14ac:dyDescent="0.35">
      <c r="A9">
        <f t="shared" si="5"/>
        <v>6</v>
      </c>
      <c r="B9" s="44">
        <v>4</v>
      </c>
      <c r="C9" s="73">
        <v>3</v>
      </c>
      <c r="D9" s="73">
        <v>3</v>
      </c>
      <c r="E9" s="249">
        <v>0</v>
      </c>
      <c r="F9" s="32"/>
      <c r="G9" s="49">
        <f t="shared" si="6"/>
        <v>9</v>
      </c>
      <c r="H9" s="49">
        <f t="shared" si="0"/>
        <v>84</v>
      </c>
      <c r="J9" s="36">
        <f t="shared" si="1"/>
        <v>9</v>
      </c>
      <c r="K9" s="37">
        <f t="shared" si="2"/>
        <v>40</v>
      </c>
      <c r="L9" s="49">
        <f t="shared" si="3"/>
        <v>9</v>
      </c>
      <c r="M9" s="49">
        <f t="shared" si="4"/>
        <v>68</v>
      </c>
    </row>
    <row r="10" spans="1:13" x14ac:dyDescent="0.35">
      <c r="A10">
        <f t="shared" si="5"/>
        <v>7</v>
      </c>
      <c r="B10" s="44">
        <v>5</v>
      </c>
      <c r="C10" s="73">
        <v>2</v>
      </c>
      <c r="D10" s="73">
        <v>2</v>
      </c>
      <c r="E10" s="249">
        <v>1</v>
      </c>
      <c r="F10" s="32"/>
      <c r="G10" s="49">
        <f t="shared" si="6"/>
        <v>3</v>
      </c>
      <c r="H10" s="49">
        <f t="shared" si="0"/>
        <v>87</v>
      </c>
      <c r="J10" s="36">
        <f t="shared" si="1"/>
        <v>3</v>
      </c>
      <c r="K10" s="37">
        <f t="shared" si="2"/>
        <v>52</v>
      </c>
      <c r="L10" s="49">
        <f t="shared" si="3"/>
        <v>3</v>
      </c>
      <c r="M10" s="49">
        <f t="shared" si="4"/>
        <v>71</v>
      </c>
    </row>
    <row r="11" spans="1:13" x14ac:dyDescent="0.35">
      <c r="A11">
        <f t="shared" si="5"/>
        <v>8</v>
      </c>
      <c r="B11" s="44">
        <v>1</v>
      </c>
      <c r="C11" s="73">
        <v>2</v>
      </c>
      <c r="D11" s="73">
        <v>4</v>
      </c>
      <c r="E11" s="249">
        <v>5</v>
      </c>
      <c r="F11" s="32"/>
      <c r="G11" s="49">
        <f t="shared" si="6"/>
        <v>27</v>
      </c>
      <c r="H11" s="49">
        <f t="shared" si="0"/>
        <v>114</v>
      </c>
      <c r="J11" s="36">
        <f t="shared" si="1"/>
        <v>27</v>
      </c>
      <c r="K11" s="37">
        <f t="shared" si="2"/>
        <v>12</v>
      </c>
      <c r="L11" s="49">
        <f t="shared" si="3"/>
        <v>12</v>
      </c>
      <c r="M11" s="49">
        <f t="shared" si="4"/>
        <v>83</v>
      </c>
    </row>
    <row r="12" spans="1:13" x14ac:dyDescent="0.35">
      <c r="A12">
        <f t="shared" si="5"/>
        <v>9</v>
      </c>
      <c r="B12" s="44">
        <v>2</v>
      </c>
      <c r="C12" s="73">
        <v>1</v>
      </c>
      <c r="D12" s="73">
        <v>3</v>
      </c>
      <c r="E12" s="249">
        <v>4</v>
      </c>
      <c r="F12" s="32"/>
      <c r="G12" s="49">
        <f t="shared" si="6"/>
        <v>13</v>
      </c>
      <c r="H12" s="49">
        <f t="shared" si="0"/>
        <v>127</v>
      </c>
      <c r="J12" s="36">
        <f t="shared" si="1"/>
        <v>13</v>
      </c>
      <c r="K12" s="37">
        <f t="shared" si="2"/>
        <v>24</v>
      </c>
      <c r="L12" s="49">
        <f t="shared" si="3"/>
        <v>13</v>
      </c>
      <c r="M12" s="49">
        <f t="shared" si="4"/>
        <v>96</v>
      </c>
    </row>
    <row r="13" spans="1:13" x14ac:dyDescent="0.35">
      <c r="A13">
        <f t="shared" si="5"/>
        <v>10</v>
      </c>
      <c r="B13" s="44">
        <v>4</v>
      </c>
      <c r="C13" s="73">
        <v>5</v>
      </c>
      <c r="D13" s="73">
        <v>4</v>
      </c>
      <c r="E13" s="249">
        <v>2</v>
      </c>
      <c r="F13" s="32"/>
      <c r="G13" s="49">
        <f t="shared" si="6"/>
        <v>18</v>
      </c>
      <c r="H13" s="49">
        <f t="shared" si="0"/>
        <v>145</v>
      </c>
      <c r="J13" s="36">
        <f t="shared" si="1"/>
        <v>18</v>
      </c>
      <c r="K13" s="37">
        <f t="shared" si="2"/>
        <v>21</v>
      </c>
      <c r="L13" s="49">
        <f t="shared" si="3"/>
        <v>18</v>
      </c>
      <c r="M13" s="49">
        <f t="shared" si="4"/>
        <v>114</v>
      </c>
    </row>
    <row r="14" spans="1:13" x14ac:dyDescent="0.35">
      <c r="A14">
        <f t="shared" si="5"/>
        <v>11</v>
      </c>
      <c r="B14" s="44">
        <v>3</v>
      </c>
      <c r="C14" s="186">
        <v>3</v>
      </c>
      <c r="D14" s="186">
        <v>2</v>
      </c>
      <c r="E14" s="245">
        <v>4</v>
      </c>
      <c r="F14" s="32"/>
      <c r="G14" s="49">
        <f t="shared" si="6"/>
        <v>7</v>
      </c>
      <c r="H14" s="49">
        <f t="shared" si="0"/>
        <v>152</v>
      </c>
      <c r="J14" s="36">
        <f t="shared" si="1"/>
        <v>7</v>
      </c>
      <c r="K14" s="37">
        <f t="shared" si="2"/>
        <v>22</v>
      </c>
      <c r="L14" s="49">
        <f t="shared" si="3"/>
        <v>7</v>
      </c>
      <c r="M14" s="49">
        <f t="shared" si="4"/>
        <v>121</v>
      </c>
    </row>
    <row r="15" spans="1:13" x14ac:dyDescent="0.35">
      <c r="A15">
        <f t="shared" si="5"/>
        <v>12</v>
      </c>
      <c r="B15" s="44">
        <v>3</v>
      </c>
      <c r="C15" s="186">
        <v>3</v>
      </c>
      <c r="D15" s="186">
        <v>5</v>
      </c>
      <c r="E15" s="245">
        <v>4</v>
      </c>
      <c r="F15" s="32"/>
      <c r="G15" s="49">
        <f t="shared" si="6"/>
        <v>22</v>
      </c>
      <c r="H15" s="49">
        <f t="shared" si="0"/>
        <v>174</v>
      </c>
      <c r="J15" s="36">
        <f t="shared" si="1"/>
        <v>22</v>
      </c>
      <c r="K15" s="37">
        <f t="shared" si="2"/>
        <v>13</v>
      </c>
      <c r="L15" s="49">
        <f t="shared" si="3"/>
        <v>13</v>
      </c>
      <c r="M15" s="49">
        <f t="shared" si="4"/>
        <v>134</v>
      </c>
    </row>
    <row r="16" spans="1:13" x14ac:dyDescent="0.35">
      <c r="A16">
        <f t="shared" si="5"/>
        <v>13</v>
      </c>
      <c r="B16" s="44">
        <v>4</v>
      </c>
      <c r="C16" s="186">
        <v>1</v>
      </c>
      <c r="D16" s="186">
        <v>2</v>
      </c>
      <c r="E16" s="245">
        <v>3</v>
      </c>
      <c r="F16" s="32"/>
      <c r="G16" s="49">
        <f t="shared" si="6"/>
        <v>3</v>
      </c>
      <c r="H16" s="49">
        <f t="shared" si="0"/>
        <v>177</v>
      </c>
      <c r="J16" s="36">
        <f t="shared" si="1"/>
        <v>3</v>
      </c>
      <c r="K16" s="37">
        <f t="shared" si="2"/>
        <v>42</v>
      </c>
      <c r="L16" s="49">
        <f t="shared" si="3"/>
        <v>3</v>
      </c>
      <c r="M16" s="49">
        <f t="shared" si="4"/>
        <v>137</v>
      </c>
    </row>
    <row r="17" spans="1:13" x14ac:dyDescent="0.35">
      <c r="A17">
        <f t="shared" si="5"/>
        <v>14</v>
      </c>
      <c r="B17" s="44">
        <v>0</v>
      </c>
      <c r="C17" s="186">
        <v>5</v>
      </c>
      <c r="D17" s="186">
        <v>5</v>
      </c>
      <c r="E17" s="245">
        <v>4</v>
      </c>
      <c r="F17" s="32"/>
      <c r="G17" s="49">
        <f t="shared" si="6"/>
        <v>45</v>
      </c>
      <c r="H17" s="49">
        <f t="shared" si="0"/>
        <v>222</v>
      </c>
      <c r="J17" s="36">
        <f t="shared" si="1"/>
        <v>45</v>
      </c>
      <c r="K17" s="37">
        <f t="shared" si="2"/>
        <v>0</v>
      </c>
      <c r="L17" s="49">
        <f t="shared" si="3"/>
        <v>0</v>
      </c>
      <c r="M17" s="49">
        <f t="shared" si="4"/>
        <v>137</v>
      </c>
    </row>
    <row r="18" spans="1:13" x14ac:dyDescent="0.35">
      <c r="A18">
        <f t="shared" si="5"/>
        <v>15</v>
      </c>
      <c r="B18" s="45">
        <v>5</v>
      </c>
      <c r="C18" s="74">
        <v>2</v>
      </c>
      <c r="D18" s="74">
        <v>4</v>
      </c>
      <c r="E18" s="246">
        <v>5</v>
      </c>
      <c r="F18" s="32"/>
      <c r="G18" s="52">
        <f t="shared" si="6"/>
        <v>19</v>
      </c>
      <c r="H18" s="52">
        <f t="shared" si="0"/>
        <v>241</v>
      </c>
      <c r="J18" s="39">
        <f t="shared" si="1"/>
        <v>19</v>
      </c>
      <c r="K18" s="40">
        <f t="shared" si="2"/>
        <v>36</v>
      </c>
      <c r="L18" s="52">
        <f t="shared" si="3"/>
        <v>19</v>
      </c>
      <c r="M18" s="52">
        <f t="shared" si="4"/>
        <v>156</v>
      </c>
    </row>
    <row r="20" spans="1:13" x14ac:dyDescent="0.35">
      <c r="B20" t="s">
        <v>598</v>
      </c>
      <c r="C20" s="242" t="b">
        <f>_xll.RANDOM(1,A18,TRUE)</f>
        <v>0</v>
      </c>
      <c r="G20" t="s">
        <v>599</v>
      </c>
      <c r="H20" t="b">
        <f>_xll.RANDOM(1,H18,TRUE)</f>
        <v>0</v>
      </c>
      <c r="L20" t="s">
        <v>599</v>
      </c>
      <c r="M20" t="b">
        <f>_xll.RANDOM(1,M18,TRUE)</f>
        <v>0</v>
      </c>
    </row>
    <row r="21" spans="1:13" x14ac:dyDescent="0.35">
      <c r="G21" t="s">
        <v>600</v>
      </c>
      <c r="H21" s="242">
        <f>IFERROR(MATCH(H20,H4:H18,0),IFERROR(MATCH(H20,H4:H18,1)+1,1))</f>
        <v>1</v>
      </c>
      <c r="L21" t="s">
        <v>601</v>
      </c>
      <c r="M21" s="242">
        <f>IFERROR(MATCH(M20,M4:M18,0),IFERROR(MATCH(M20,M4:M18,1)+1,1))</f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AG18"/>
  <sheetViews>
    <sheetView workbookViewId="0"/>
  </sheetViews>
  <sheetFormatPr defaultRowHeight="14.5" x14ac:dyDescent="0.35"/>
  <cols>
    <col min="1" max="1" width="4" customWidth="1"/>
    <col min="2" max="5" width="6.1796875" customWidth="1"/>
    <col min="6" max="6" width="4.54296875" customWidth="1"/>
    <col min="7" max="8" width="7" customWidth="1"/>
    <col min="9" max="12" width="4.7265625" customWidth="1"/>
    <col min="13" max="13" width="4.1796875" customWidth="1"/>
    <col min="14" max="14" width="5.1796875" customWidth="1"/>
    <col min="15" max="17" width="6.54296875" customWidth="1"/>
    <col min="18" max="18" width="7.26953125" customWidth="1"/>
    <col min="19" max="19" width="5.81640625" customWidth="1"/>
    <col min="20" max="20" width="8.26953125" customWidth="1"/>
    <col min="23" max="23" width="6.81640625" customWidth="1"/>
  </cols>
  <sheetData>
    <row r="1" spans="1:33" x14ac:dyDescent="0.35">
      <c r="B1" s="42" t="s">
        <v>592</v>
      </c>
    </row>
    <row r="3" spans="1:33" x14ac:dyDescent="0.35">
      <c r="B3" s="32" t="s">
        <v>278</v>
      </c>
      <c r="C3" s="32" t="s">
        <v>390</v>
      </c>
      <c r="D3" s="32" t="s">
        <v>392</v>
      </c>
      <c r="E3" s="32" t="s">
        <v>591</v>
      </c>
      <c r="G3" s="32" t="s">
        <v>584</v>
      </c>
      <c r="H3" s="32" t="s">
        <v>602</v>
      </c>
      <c r="I3" s="32" t="s">
        <v>278</v>
      </c>
      <c r="J3" s="32" t="s">
        <v>390</v>
      </c>
      <c r="K3" s="32" t="s">
        <v>392</v>
      </c>
      <c r="L3" s="32" t="s">
        <v>591</v>
      </c>
      <c r="M3" s="32"/>
      <c r="O3">
        <v>1</v>
      </c>
      <c r="P3">
        <v>2</v>
      </c>
      <c r="Q3">
        <v>3</v>
      </c>
      <c r="R3" s="47" t="s">
        <v>603</v>
      </c>
      <c r="T3" s="32" t="s">
        <v>584</v>
      </c>
      <c r="W3" s="47" t="s">
        <v>584</v>
      </c>
      <c r="Y3" t="s">
        <v>585</v>
      </c>
      <c r="Z3">
        <v>1</v>
      </c>
      <c r="AA3">
        <f>Z3+1</f>
        <v>2</v>
      </c>
      <c r="AB3">
        <f>AA3+1</f>
        <v>3</v>
      </c>
      <c r="AD3">
        <v>1</v>
      </c>
      <c r="AE3">
        <f>AD3+1</f>
        <v>2</v>
      </c>
      <c r="AF3">
        <f>AE3+1</f>
        <v>3</v>
      </c>
      <c r="AG3" s="47" t="s">
        <v>586</v>
      </c>
    </row>
    <row r="4" spans="1:33" x14ac:dyDescent="0.35">
      <c r="A4">
        <v>1</v>
      </c>
      <c r="B4" s="236">
        <v>1</v>
      </c>
      <c r="C4" s="145">
        <v>4</v>
      </c>
      <c r="D4" s="145">
        <v>0</v>
      </c>
      <c r="E4" s="237">
        <v>3</v>
      </c>
      <c r="G4" s="186">
        <v>1</v>
      </c>
      <c r="H4" s="186">
        <v>3</v>
      </c>
      <c r="I4" s="236">
        <f t="shared" ref="I4:L6" si="0">INDEX(B$4:B$18,$H4)</f>
        <v>4</v>
      </c>
      <c r="J4" s="145">
        <f t="shared" si="0"/>
        <v>2</v>
      </c>
      <c r="K4" s="145">
        <f t="shared" si="0"/>
        <v>1</v>
      </c>
      <c r="L4" s="237">
        <f t="shared" si="0"/>
        <v>2</v>
      </c>
      <c r="M4" s="73"/>
      <c r="N4">
        <v>1</v>
      </c>
      <c r="O4" s="138">
        <f>SUMXMY2($B4:$E4,I$4:L$4)</f>
        <v>15</v>
      </c>
      <c r="P4" s="139">
        <f>SUMXMY2($B4:$E4,I$5:L$5)</f>
        <v>28</v>
      </c>
      <c r="Q4" s="140">
        <f>SUMXMY2($B4:$E4,I$6:L$6)</f>
        <v>28</v>
      </c>
      <c r="R4">
        <f>MIN(O4:Q4)</f>
        <v>15</v>
      </c>
      <c r="T4" s="238">
        <f>MATCH(R4,O4:Q4,0)</f>
        <v>1</v>
      </c>
      <c r="V4">
        <v>1</v>
      </c>
      <c r="W4" s="132" t="e">
        <f t="array" aca="1" ref="W4:W18" ca="1">CLUST(B4:E18,Z9,T4:T18)</f>
        <v>#NAME?</v>
      </c>
      <c r="Y4" t="str">
        <f t="array" ref="Y4:Y7">TRANSPOSE(B3:E3)</f>
        <v>W</v>
      </c>
      <c r="Z4" s="149" t="e">
        <f ca="1">AVERAGEIF($W$4:$W$18,Z$3,$B$4:$B$18)</f>
        <v>#DIV/0!</v>
      </c>
      <c r="AA4" s="248" t="e">
        <f ca="1">AVERAGEIF($W$4:$W$18,AA$3,$B$4:$B$18)</f>
        <v>#DIV/0!</v>
      </c>
      <c r="AB4" s="82" t="e">
        <f ca="1">AVERAGEIF($W$4:$W$18,AB$3,$B$4:$B$18)</f>
        <v>#DIV/0!</v>
      </c>
      <c r="AD4" s="149" t="e">
        <f ca="1">SUMXMY2($B4:$E4,Z$4:Z$7)</f>
        <v>#DIV/0!</v>
      </c>
      <c r="AE4" s="248" t="e">
        <f t="shared" ref="AE4:AF18" ca="1" si="1">SUMXMY2($B4:$E4,AA$4:AA$7)</f>
        <v>#DIV/0!</v>
      </c>
      <c r="AF4" s="82" t="e">
        <f t="shared" ca="1" si="1"/>
        <v>#DIV/0!</v>
      </c>
      <c r="AG4" s="132" t="e">
        <f ca="1">MIN(AD4:AF4)</f>
        <v>#DIV/0!</v>
      </c>
    </row>
    <row r="5" spans="1:33" x14ac:dyDescent="0.35">
      <c r="A5">
        <f>A4+1</f>
        <v>2</v>
      </c>
      <c r="B5" s="44">
        <v>2</v>
      </c>
      <c r="C5" s="73">
        <v>5</v>
      </c>
      <c r="D5" s="73">
        <v>3</v>
      </c>
      <c r="E5" s="245">
        <v>4</v>
      </c>
      <c r="G5" s="186">
        <v>2</v>
      </c>
      <c r="H5" s="186">
        <v>14</v>
      </c>
      <c r="I5" s="44">
        <f t="shared" si="0"/>
        <v>0</v>
      </c>
      <c r="J5" s="73">
        <f t="shared" si="0"/>
        <v>5</v>
      </c>
      <c r="K5" s="73">
        <f t="shared" si="0"/>
        <v>5</v>
      </c>
      <c r="L5" s="245">
        <f t="shared" si="0"/>
        <v>4</v>
      </c>
      <c r="M5" s="73"/>
      <c r="N5">
        <f>N4+1</f>
        <v>2</v>
      </c>
      <c r="O5" s="36">
        <f t="shared" ref="O5:O18" si="2">SUMXMY2($B5:$E5,I$4:L$4)</f>
        <v>21</v>
      </c>
      <c r="P5" s="37">
        <f t="shared" ref="P5:P18" si="3">SUMXMY2($B5:$E5,I$5:L$5)</f>
        <v>8</v>
      </c>
      <c r="Q5" s="38">
        <f t="shared" ref="Q5:Q18" si="4">SUMXMY2($B5:$E5,I$6:L$6)</f>
        <v>28</v>
      </c>
      <c r="R5">
        <f t="shared" ref="R5:R18" si="5">MIN(O5:Q5)</f>
        <v>8</v>
      </c>
      <c r="T5" s="241">
        <f t="shared" ref="T5:T18" si="6">MATCH(R5,O5:Q5,0)</f>
        <v>2</v>
      </c>
      <c r="V5">
        <f>V4+1</f>
        <v>2</v>
      </c>
      <c r="W5" s="98" t="e">
        <f ca="1"/>
        <v>#NAME?</v>
      </c>
      <c r="Y5" t="str">
        <v>X</v>
      </c>
      <c r="Z5" s="83" t="e">
        <f ca="1">AVERAGEIF($W$4:$W$18,Z$3,$C$4:$C$18)</f>
        <v>#DIV/0!</v>
      </c>
      <c r="AA5" s="37" t="e">
        <f ca="1">AVERAGEIF($W$4:$W$18,AA$3,$C$4:$C$18)</f>
        <v>#DIV/0!</v>
      </c>
      <c r="AB5" s="84" t="e">
        <f ca="1">AVERAGEIF($W$4:$W$18,AB$3,$C$4:$C$18)</f>
        <v>#DIV/0!</v>
      </c>
      <c r="AD5" s="83" t="e">
        <f t="shared" ref="AD5:AD18" ca="1" si="7">SUMXMY2($B5:$E5,Z$4:Z$7)</f>
        <v>#DIV/0!</v>
      </c>
      <c r="AE5" s="37" t="e">
        <f t="shared" ca="1" si="1"/>
        <v>#DIV/0!</v>
      </c>
      <c r="AF5" s="84" t="e">
        <f t="shared" ca="1" si="1"/>
        <v>#DIV/0!</v>
      </c>
      <c r="AG5" s="98" t="e">
        <f t="shared" ref="AG5:AG18" ca="1" si="8">MIN(AD5:AF5)</f>
        <v>#DIV/0!</v>
      </c>
    </row>
    <row r="6" spans="1:33" x14ac:dyDescent="0.35">
      <c r="A6">
        <f t="shared" ref="A6:A18" si="9">A5+1</f>
        <v>3</v>
      </c>
      <c r="B6" s="44">
        <v>4</v>
      </c>
      <c r="C6" s="73">
        <v>2</v>
      </c>
      <c r="D6" s="73">
        <v>1</v>
      </c>
      <c r="E6" s="245">
        <v>2</v>
      </c>
      <c r="G6" s="186">
        <v>3</v>
      </c>
      <c r="H6" s="186">
        <v>7</v>
      </c>
      <c r="I6" s="45">
        <f t="shared" si="0"/>
        <v>5</v>
      </c>
      <c r="J6" s="74">
        <f t="shared" si="0"/>
        <v>2</v>
      </c>
      <c r="K6" s="74">
        <f t="shared" si="0"/>
        <v>2</v>
      </c>
      <c r="L6" s="246">
        <f t="shared" si="0"/>
        <v>1</v>
      </c>
      <c r="M6" s="73"/>
      <c r="N6">
        <f t="shared" ref="N6:N18" si="10">N5+1</f>
        <v>3</v>
      </c>
      <c r="O6" s="36">
        <f t="shared" si="2"/>
        <v>0</v>
      </c>
      <c r="P6" s="37">
        <f t="shared" si="3"/>
        <v>45</v>
      </c>
      <c r="Q6" s="38">
        <f t="shared" si="4"/>
        <v>3</v>
      </c>
      <c r="R6">
        <f t="shared" si="5"/>
        <v>0</v>
      </c>
      <c r="T6" s="241">
        <f t="shared" si="6"/>
        <v>1</v>
      </c>
      <c r="V6">
        <f t="shared" ref="V6:V18" si="11">V5+1</f>
        <v>3</v>
      </c>
      <c r="W6" s="98" t="e">
        <f ca="1"/>
        <v>#NAME?</v>
      </c>
      <c r="Y6" t="str">
        <v>Y</v>
      </c>
      <c r="Z6" s="83" t="e">
        <f ca="1">AVERAGEIF($W$4:$W$18,Z$3,$D$4:$D$18)</f>
        <v>#DIV/0!</v>
      </c>
      <c r="AA6" s="37" t="e">
        <f ca="1">AVERAGEIF($W$4:$W$18,AA$3,$D$4:$D$18)</f>
        <v>#DIV/0!</v>
      </c>
      <c r="AB6" s="84" t="e">
        <f ca="1">AVERAGEIF($W$4:$W$18,AB$3,$D$4:$D$18)</f>
        <v>#DIV/0!</v>
      </c>
      <c r="AD6" s="83" t="e">
        <f t="shared" ca="1" si="7"/>
        <v>#DIV/0!</v>
      </c>
      <c r="AE6" s="37" t="e">
        <f t="shared" ca="1" si="1"/>
        <v>#DIV/0!</v>
      </c>
      <c r="AF6" s="84" t="e">
        <f t="shared" ca="1" si="1"/>
        <v>#DIV/0!</v>
      </c>
      <c r="AG6" s="98" t="e">
        <f t="shared" ca="1" si="8"/>
        <v>#DIV/0!</v>
      </c>
    </row>
    <row r="7" spans="1:33" x14ac:dyDescent="0.35">
      <c r="A7">
        <f t="shared" si="9"/>
        <v>4</v>
      </c>
      <c r="B7" s="44">
        <v>1</v>
      </c>
      <c r="C7" s="73">
        <v>0</v>
      </c>
      <c r="D7" s="73">
        <v>5</v>
      </c>
      <c r="E7" s="249">
        <v>3</v>
      </c>
      <c r="N7">
        <f t="shared" si="10"/>
        <v>4</v>
      </c>
      <c r="O7" s="36">
        <f t="shared" si="2"/>
        <v>30</v>
      </c>
      <c r="P7" s="37">
        <f t="shared" si="3"/>
        <v>27</v>
      </c>
      <c r="Q7" s="38">
        <f t="shared" si="4"/>
        <v>33</v>
      </c>
      <c r="R7">
        <f t="shared" si="5"/>
        <v>27</v>
      </c>
      <c r="T7" s="241">
        <f t="shared" si="6"/>
        <v>2</v>
      </c>
      <c r="V7">
        <f t="shared" si="11"/>
        <v>4</v>
      </c>
      <c r="W7" s="98" t="e">
        <f ca="1"/>
        <v>#NAME?</v>
      </c>
      <c r="Y7" t="str">
        <v>Z</v>
      </c>
      <c r="Z7" s="85" t="e">
        <f ca="1">AVERAGEIF($W$4:$W$18,Z$3,$E$4:$E$18)</f>
        <v>#DIV/0!</v>
      </c>
      <c r="AA7" s="86" t="e">
        <f ca="1">AVERAGEIF($W$4:$W$18,AA$3,$E$4:$E$18)</f>
        <v>#DIV/0!</v>
      </c>
      <c r="AB7" s="87" t="e">
        <f ca="1">AVERAGEIF($W$4:$W$18,AB$3,$E$4:$E$18)</f>
        <v>#DIV/0!</v>
      </c>
      <c r="AD7" s="83" t="e">
        <f t="shared" ca="1" si="7"/>
        <v>#DIV/0!</v>
      </c>
      <c r="AE7" s="37" t="e">
        <f t="shared" ca="1" si="1"/>
        <v>#DIV/0!</v>
      </c>
      <c r="AF7" s="84" t="e">
        <f t="shared" ca="1" si="1"/>
        <v>#DIV/0!</v>
      </c>
      <c r="AG7" s="98" t="e">
        <f t="shared" ca="1" si="8"/>
        <v>#DIV/0!</v>
      </c>
    </row>
    <row r="8" spans="1:33" x14ac:dyDescent="0.35">
      <c r="A8">
        <f t="shared" si="9"/>
        <v>5</v>
      </c>
      <c r="B8" s="44">
        <v>2</v>
      </c>
      <c r="C8" s="73">
        <v>1</v>
      </c>
      <c r="D8" s="73">
        <v>1</v>
      </c>
      <c r="E8" s="249">
        <v>4</v>
      </c>
      <c r="N8">
        <f t="shared" si="10"/>
        <v>5</v>
      </c>
      <c r="O8" s="36">
        <f t="shared" si="2"/>
        <v>9</v>
      </c>
      <c r="P8" s="37">
        <f t="shared" si="3"/>
        <v>36</v>
      </c>
      <c r="Q8" s="38">
        <f t="shared" si="4"/>
        <v>20</v>
      </c>
      <c r="R8">
        <f t="shared" si="5"/>
        <v>9</v>
      </c>
      <c r="T8" s="241">
        <f t="shared" si="6"/>
        <v>1</v>
      </c>
      <c r="V8">
        <f t="shared" si="11"/>
        <v>5</v>
      </c>
      <c r="W8" s="98" t="e">
        <f ca="1"/>
        <v>#NAME?</v>
      </c>
      <c r="AD8" s="83" t="e">
        <f t="shared" ca="1" si="7"/>
        <v>#DIV/0!</v>
      </c>
      <c r="AE8" s="37" t="e">
        <f t="shared" ca="1" si="1"/>
        <v>#DIV/0!</v>
      </c>
      <c r="AF8" s="84" t="e">
        <f t="shared" ca="1" si="1"/>
        <v>#DIV/0!</v>
      </c>
      <c r="AG8" s="98" t="e">
        <f t="shared" ca="1" si="8"/>
        <v>#DIV/0!</v>
      </c>
    </row>
    <row r="9" spans="1:33" x14ac:dyDescent="0.35">
      <c r="A9">
        <f t="shared" si="9"/>
        <v>6</v>
      </c>
      <c r="B9" s="44">
        <v>4</v>
      </c>
      <c r="C9" s="73">
        <v>3</v>
      </c>
      <c r="D9" s="73">
        <v>3</v>
      </c>
      <c r="E9" s="249">
        <v>0</v>
      </c>
      <c r="N9">
        <f t="shared" si="10"/>
        <v>6</v>
      </c>
      <c r="O9" s="36">
        <f t="shared" si="2"/>
        <v>9</v>
      </c>
      <c r="P9" s="37">
        <f t="shared" si="3"/>
        <v>40</v>
      </c>
      <c r="Q9" s="38">
        <f t="shared" si="4"/>
        <v>4</v>
      </c>
      <c r="R9">
        <f t="shared" si="5"/>
        <v>4</v>
      </c>
      <c r="T9" s="241">
        <f t="shared" si="6"/>
        <v>3</v>
      </c>
      <c r="V9">
        <f t="shared" si="11"/>
        <v>6</v>
      </c>
      <c r="W9" s="98" t="e">
        <f ca="1"/>
        <v>#NAME?</v>
      </c>
      <c r="Y9" t="s">
        <v>53</v>
      </c>
      <c r="Z9" s="137">
        <v>3</v>
      </c>
      <c r="AD9" s="83" t="e">
        <f t="shared" ca="1" si="7"/>
        <v>#DIV/0!</v>
      </c>
      <c r="AE9" s="37" t="e">
        <f t="shared" ca="1" si="1"/>
        <v>#DIV/0!</v>
      </c>
      <c r="AF9" s="84" t="e">
        <f t="shared" ca="1" si="1"/>
        <v>#DIV/0!</v>
      </c>
      <c r="AG9" s="98" t="e">
        <f t="shared" ca="1" si="8"/>
        <v>#DIV/0!</v>
      </c>
    </row>
    <row r="10" spans="1:33" x14ac:dyDescent="0.35">
      <c r="A10">
        <f t="shared" si="9"/>
        <v>7</v>
      </c>
      <c r="B10" s="44">
        <v>5</v>
      </c>
      <c r="C10" s="73">
        <v>2</v>
      </c>
      <c r="D10" s="73">
        <v>2</v>
      </c>
      <c r="E10" s="249">
        <v>1</v>
      </c>
      <c r="N10">
        <f t="shared" si="10"/>
        <v>7</v>
      </c>
      <c r="O10" s="36">
        <f t="shared" si="2"/>
        <v>3</v>
      </c>
      <c r="P10" s="37">
        <f t="shared" si="3"/>
        <v>52</v>
      </c>
      <c r="Q10" s="38">
        <f t="shared" si="4"/>
        <v>0</v>
      </c>
      <c r="R10">
        <f t="shared" si="5"/>
        <v>0</v>
      </c>
      <c r="T10" s="241">
        <f t="shared" si="6"/>
        <v>3</v>
      </c>
      <c r="V10">
        <f t="shared" si="11"/>
        <v>7</v>
      </c>
      <c r="W10" s="98" t="e">
        <f ca="1"/>
        <v>#NAME?</v>
      </c>
      <c r="AD10" s="83" t="e">
        <f t="shared" ca="1" si="7"/>
        <v>#DIV/0!</v>
      </c>
      <c r="AE10" s="37" t="e">
        <f t="shared" ca="1" si="1"/>
        <v>#DIV/0!</v>
      </c>
      <c r="AF10" s="84" t="e">
        <f t="shared" ca="1" si="1"/>
        <v>#DIV/0!</v>
      </c>
      <c r="AG10" s="98" t="e">
        <f t="shared" ca="1" si="8"/>
        <v>#DIV/0!</v>
      </c>
    </row>
    <row r="11" spans="1:33" x14ac:dyDescent="0.35">
      <c r="A11">
        <f t="shared" si="9"/>
        <v>8</v>
      </c>
      <c r="B11" s="44">
        <v>1</v>
      </c>
      <c r="C11" s="73">
        <v>2</v>
      </c>
      <c r="D11" s="73">
        <v>4</v>
      </c>
      <c r="E11" s="249">
        <v>5</v>
      </c>
      <c r="N11">
        <f t="shared" si="10"/>
        <v>8</v>
      </c>
      <c r="O11" s="36">
        <f t="shared" si="2"/>
        <v>27</v>
      </c>
      <c r="P11" s="37">
        <f t="shared" si="3"/>
        <v>12</v>
      </c>
      <c r="Q11" s="38">
        <f t="shared" si="4"/>
        <v>36</v>
      </c>
      <c r="R11">
        <f t="shared" si="5"/>
        <v>12</v>
      </c>
      <c r="T11" s="241">
        <f t="shared" si="6"/>
        <v>2</v>
      </c>
      <c r="V11">
        <f t="shared" si="11"/>
        <v>8</v>
      </c>
      <c r="W11" s="98" t="e">
        <f ca="1"/>
        <v>#NAME?</v>
      </c>
      <c r="Y11" t="s">
        <v>590</v>
      </c>
      <c r="Z11" s="137">
        <v>10</v>
      </c>
      <c r="AD11" s="83" t="e">
        <f t="shared" ca="1" si="7"/>
        <v>#DIV/0!</v>
      </c>
      <c r="AE11" s="37" t="e">
        <f t="shared" ca="1" si="1"/>
        <v>#DIV/0!</v>
      </c>
      <c r="AF11" s="84" t="e">
        <f t="shared" ca="1" si="1"/>
        <v>#DIV/0!</v>
      </c>
      <c r="AG11" s="98" t="e">
        <f t="shared" ca="1" si="8"/>
        <v>#DIV/0!</v>
      </c>
    </row>
    <row r="12" spans="1:33" x14ac:dyDescent="0.35">
      <c r="A12">
        <f t="shared" si="9"/>
        <v>9</v>
      </c>
      <c r="B12" s="44">
        <v>2</v>
      </c>
      <c r="C12" s="73">
        <v>1</v>
      </c>
      <c r="D12" s="73">
        <v>3</v>
      </c>
      <c r="E12" s="249">
        <v>4</v>
      </c>
      <c r="N12">
        <f t="shared" si="10"/>
        <v>9</v>
      </c>
      <c r="O12" s="36">
        <f t="shared" si="2"/>
        <v>13</v>
      </c>
      <c r="P12" s="37">
        <f t="shared" si="3"/>
        <v>24</v>
      </c>
      <c r="Q12" s="38">
        <f t="shared" si="4"/>
        <v>20</v>
      </c>
      <c r="R12">
        <f t="shared" si="5"/>
        <v>13</v>
      </c>
      <c r="T12" s="241">
        <f t="shared" si="6"/>
        <v>1</v>
      </c>
      <c r="V12">
        <f t="shared" si="11"/>
        <v>9</v>
      </c>
      <c r="W12" s="98" t="e">
        <f ca="1"/>
        <v>#NAME?</v>
      </c>
      <c r="AD12" s="83" t="e">
        <f t="shared" ca="1" si="7"/>
        <v>#DIV/0!</v>
      </c>
      <c r="AE12" s="37" t="e">
        <f t="shared" ca="1" si="1"/>
        <v>#DIV/0!</v>
      </c>
      <c r="AF12" s="84" t="e">
        <f t="shared" ca="1" si="1"/>
        <v>#DIV/0!</v>
      </c>
      <c r="AG12" s="98" t="e">
        <f t="shared" ca="1" si="8"/>
        <v>#DIV/0!</v>
      </c>
    </row>
    <row r="13" spans="1:33" x14ac:dyDescent="0.35">
      <c r="A13">
        <f t="shared" si="9"/>
        <v>10</v>
      </c>
      <c r="B13" s="44">
        <v>4</v>
      </c>
      <c r="C13" s="73">
        <v>5</v>
      </c>
      <c r="D13" s="73">
        <v>4</v>
      </c>
      <c r="E13" s="249">
        <v>2</v>
      </c>
      <c r="N13">
        <f t="shared" si="10"/>
        <v>10</v>
      </c>
      <c r="O13" s="36">
        <f t="shared" si="2"/>
        <v>18</v>
      </c>
      <c r="P13" s="37">
        <f t="shared" si="3"/>
        <v>21</v>
      </c>
      <c r="Q13" s="38">
        <f t="shared" si="4"/>
        <v>15</v>
      </c>
      <c r="R13">
        <f t="shared" si="5"/>
        <v>15</v>
      </c>
      <c r="T13" s="241">
        <f t="shared" si="6"/>
        <v>3</v>
      </c>
      <c r="V13">
        <f t="shared" si="11"/>
        <v>10</v>
      </c>
      <c r="W13" s="98" t="e">
        <f ca="1"/>
        <v>#NAME?</v>
      </c>
      <c r="Y13" t="s">
        <v>587</v>
      </c>
      <c r="Z13" s="137" t="e">
        <f ca="1">SUM(AG4:AG18)</f>
        <v>#DIV/0!</v>
      </c>
      <c r="AD13" s="83" t="e">
        <f t="shared" ca="1" si="7"/>
        <v>#DIV/0!</v>
      </c>
      <c r="AE13" s="37" t="e">
        <f t="shared" ca="1" si="1"/>
        <v>#DIV/0!</v>
      </c>
      <c r="AF13" s="84" t="e">
        <f t="shared" ca="1" si="1"/>
        <v>#DIV/0!</v>
      </c>
      <c r="AG13" s="98" t="e">
        <f t="shared" ca="1" si="8"/>
        <v>#DIV/0!</v>
      </c>
    </row>
    <row r="14" spans="1:33" x14ac:dyDescent="0.35">
      <c r="A14">
        <f t="shared" si="9"/>
        <v>11</v>
      </c>
      <c r="B14" s="44">
        <v>3</v>
      </c>
      <c r="C14" s="186">
        <v>3</v>
      </c>
      <c r="D14" s="186">
        <v>2</v>
      </c>
      <c r="E14" s="245">
        <v>4</v>
      </c>
      <c r="N14">
        <f t="shared" si="10"/>
        <v>11</v>
      </c>
      <c r="O14" s="36">
        <f t="shared" si="2"/>
        <v>7</v>
      </c>
      <c r="P14" s="37">
        <f t="shared" si="3"/>
        <v>22</v>
      </c>
      <c r="Q14" s="38">
        <f t="shared" si="4"/>
        <v>14</v>
      </c>
      <c r="R14">
        <f t="shared" si="5"/>
        <v>7</v>
      </c>
      <c r="T14" s="241">
        <f t="shared" si="6"/>
        <v>1</v>
      </c>
      <c r="V14">
        <f t="shared" si="11"/>
        <v>11</v>
      </c>
      <c r="W14" s="98" t="e">
        <f ca="1"/>
        <v>#NAME?</v>
      </c>
      <c r="AD14" s="83" t="e">
        <f t="shared" ca="1" si="7"/>
        <v>#DIV/0!</v>
      </c>
      <c r="AE14" s="37" t="e">
        <f t="shared" ca="1" si="1"/>
        <v>#DIV/0!</v>
      </c>
      <c r="AF14" s="84" t="e">
        <f t="shared" ca="1" si="1"/>
        <v>#DIV/0!</v>
      </c>
      <c r="AG14" s="98" t="e">
        <f t="shared" ca="1" si="8"/>
        <v>#DIV/0!</v>
      </c>
    </row>
    <row r="15" spans="1:33" x14ac:dyDescent="0.35">
      <c r="A15">
        <f t="shared" si="9"/>
        <v>12</v>
      </c>
      <c r="B15" s="44">
        <v>3</v>
      </c>
      <c r="C15" s="186">
        <v>3</v>
      </c>
      <c r="D15" s="186">
        <v>5</v>
      </c>
      <c r="E15" s="245">
        <v>4</v>
      </c>
      <c r="N15">
        <f t="shared" si="10"/>
        <v>12</v>
      </c>
      <c r="O15" s="36">
        <f t="shared" si="2"/>
        <v>22</v>
      </c>
      <c r="P15" s="37">
        <f t="shared" si="3"/>
        <v>13</v>
      </c>
      <c r="Q15" s="38">
        <f t="shared" si="4"/>
        <v>23</v>
      </c>
      <c r="R15">
        <f t="shared" si="5"/>
        <v>13</v>
      </c>
      <c r="T15" s="241">
        <f t="shared" si="6"/>
        <v>2</v>
      </c>
      <c r="V15">
        <f t="shared" si="11"/>
        <v>12</v>
      </c>
      <c r="W15" s="98" t="e">
        <f ca="1"/>
        <v>#NAME?</v>
      </c>
      <c r="AD15" s="83" t="e">
        <f t="shared" ca="1" si="7"/>
        <v>#DIV/0!</v>
      </c>
      <c r="AE15" s="37" t="e">
        <f t="shared" ca="1" si="1"/>
        <v>#DIV/0!</v>
      </c>
      <c r="AF15" s="84" t="e">
        <f t="shared" ca="1" si="1"/>
        <v>#DIV/0!</v>
      </c>
      <c r="AG15" s="98" t="e">
        <f t="shared" ca="1" si="8"/>
        <v>#DIV/0!</v>
      </c>
    </row>
    <row r="16" spans="1:33" x14ac:dyDescent="0.35">
      <c r="A16">
        <f t="shared" si="9"/>
        <v>13</v>
      </c>
      <c r="B16" s="44">
        <v>4</v>
      </c>
      <c r="C16" s="186">
        <v>1</v>
      </c>
      <c r="D16" s="186">
        <v>2</v>
      </c>
      <c r="E16" s="245">
        <v>3</v>
      </c>
      <c r="N16">
        <f t="shared" si="10"/>
        <v>13</v>
      </c>
      <c r="O16" s="36">
        <f t="shared" si="2"/>
        <v>3</v>
      </c>
      <c r="P16" s="37">
        <f t="shared" si="3"/>
        <v>42</v>
      </c>
      <c r="Q16" s="38">
        <f t="shared" si="4"/>
        <v>6</v>
      </c>
      <c r="R16">
        <f t="shared" si="5"/>
        <v>3</v>
      </c>
      <c r="T16" s="241">
        <f t="shared" si="6"/>
        <v>1</v>
      </c>
      <c r="V16">
        <f t="shared" si="11"/>
        <v>13</v>
      </c>
      <c r="W16" s="98" t="e">
        <f ca="1"/>
        <v>#NAME?</v>
      </c>
      <c r="AD16" s="83" t="e">
        <f t="shared" ca="1" si="7"/>
        <v>#DIV/0!</v>
      </c>
      <c r="AE16" s="37" t="e">
        <f t="shared" ca="1" si="1"/>
        <v>#DIV/0!</v>
      </c>
      <c r="AF16" s="84" t="e">
        <f t="shared" ca="1" si="1"/>
        <v>#DIV/0!</v>
      </c>
      <c r="AG16" s="98" t="e">
        <f t="shared" ca="1" si="8"/>
        <v>#DIV/0!</v>
      </c>
    </row>
    <row r="17" spans="1:33" x14ac:dyDescent="0.35">
      <c r="A17">
        <f t="shared" si="9"/>
        <v>14</v>
      </c>
      <c r="B17" s="44">
        <v>0</v>
      </c>
      <c r="C17" s="186">
        <v>5</v>
      </c>
      <c r="D17" s="186">
        <v>5</v>
      </c>
      <c r="E17" s="245">
        <v>4</v>
      </c>
      <c r="N17">
        <f t="shared" si="10"/>
        <v>14</v>
      </c>
      <c r="O17" s="36">
        <f t="shared" si="2"/>
        <v>45</v>
      </c>
      <c r="P17" s="37">
        <f t="shared" si="3"/>
        <v>0</v>
      </c>
      <c r="Q17" s="38">
        <f t="shared" si="4"/>
        <v>52</v>
      </c>
      <c r="R17">
        <f t="shared" si="5"/>
        <v>0</v>
      </c>
      <c r="T17" s="241">
        <f t="shared" si="6"/>
        <v>2</v>
      </c>
      <c r="V17">
        <f t="shared" si="11"/>
        <v>14</v>
      </c>
      <c r="W17" s="98" t="e">
        <f ca="1"/>
        <v>#NAME?</v>
      </c>
      <c r="AD17" s="83" t="e">
        <f t="shared" ca="1" si="7"/>
        <v>#DIV/0!</v>
      </c>
      <c r="AE17" s="37" t="e">
        <f t="shared" ca="1" si="1"/>
        <v>#DIV/0!</v>
      </c>
      <c r="AF17" s="84" t="e">
        <f t="shared" ca="1" si="1"/>
        <v>#DIV/0!</v>
      </c>
      <c r="AG17" s="98" t="e">
        <f t="shared" ca="1" si="8"/>
        <v>#DIV/0!</v>
      </c>
    </row>
    <row r="18" spans="1:33" x14ac:dyDescent="0.35">
      <c r="A18">
        <f t="shared" si="9"/>
        <v>15</v>
      </c>
      <c r="B18" s="45">
        <v>5</v>
      </c>
      <c r="C18" s="74">
        <v>2</v>
      </c>
      <c r="D18" s="74">
        <v>4</v>
      </c>
      <c r="E18" s="246">
        <v>5</v>
      </c>
      <c r="N18">
        <f t="shared" si="10"/>
        <v>15</v>
      </c>
      <c r="O18" s="39">
        <f t="shared" si="2"/>
        <v>19</v>
      </c>
      <c r="P18" s="40">
        <f t="shared" si="3"/>
        <v>36</v>
      </c>
      <c r="Q18" s="41">
        <f t="shared" si="4"/>
        <v>20</v>
      </c>
      <c r="R18">
        <f t="shared" si="5"/>
        <v>19</v>
      </c>
      <c r="T18" s="247">
        <f t="shared" si="6"/>
        <v>1</v>
      </c>
      <c r="V18">
        <f t="shared" si="11"/>
        <v>15</v>
      </c>
      <c r="W18" s="99" t="e">
        <f ca="1"/>
        <v>#NAME?</v>
      </c>
      <c r="AD18" s="85" t="e">
        <f t="shared" ca="1" si="7"/>
        <v>#DIV/0!</v>
      </c>
      <c r="AE18" s="86" t="e">
        <f t="shared" ca="1" si="1"/>
        <v>#DIV/0!</v>
      </c>
      <c r="AF18" s="87" t="e">
        <f t="shared" ca="1" si="1"/>
        <v>#DIV/0!</v>
      </c>
      <c r="AG18" s="99" t="e">
        <f t="shared" ca="1" si="8"/>
        <v>#DIV/0!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4"/>
  <dimension ref="A1:R36"/>
  <sheetViews>
    <sheetView workbookViewId="0">
      <selection activeCell="K13" sqref="K13"/>
    </sheetView>
  </sheetViews>
  <sheetFormatPr defaultRowHeight="14.5" x14ac:dyDescent="0.35"/>
  <cols>
    <col min="1" max="1" width="4" customWidth="1"/>
    <col min="2" max="5" width="6.1796875" customWidth="1"/>
    <col min="6" max="6" width="5.453125" customWidth="1"/>
    <col min="9" max="9" width="4.26953125" customWidth="1"/>
    <col min="14" max="14" width="5.1796875" customWidth="1"/>
  </cols>
  <sheetData>
    <row r="1" spans="1:18" x14ac:dyDescent="0.35">
      <c r="B1" s="42" t="s">
        <v>592</v>
      </c>
    </row>
    <row r="3" spans="1:18" x14ac:dyDescent="0.35">
      <c r="B3" s="32" t="s">
        <v>278</v>
      </c>
      <c r="C3" s="32" t="s">
        <v>390</v>
      </c>
      <c r="D3" s="32" t="s">
        <v>392</v>
      </c>
      <c r="E3" s="32" t="s">
        <v>591</v>
      </c>
      <c r="H3" s="47" t="s">
        <v>584</v>
      </c>
      <c r="J3" t="s">
        <v>585</v>
      </c>
      <c r="K3">
        <v>1</v>
      </c>
      <c r="L3">
        <f>K3+1</f>
        <v>2</v>
      </c>
      <c r="M3">
        <f>L3+1</f>
        <v>3</v>
      </c>
      <c r="O3">
        <v>1</v>
      </c>
      <c r="P3">
        <f>O3+1</f>
        <v>2</v>
      </c>
      <c r="Q3">
        <f>P3+1</f>
        <v>3</v>
      </c>
      <c r="R3" s="47" t="s">
        <v>586</v>
      </c>
    </row>
    <row r="4" spans="1:18" x14ac:dyDescent="0.35">
      <c r="A4">
        <v>1</v>
      </c>
      <c r="B4" s="236">
        <v>1</v>
      </c>
      <c r="C4" s="145">
        <v>4</v>
      </c>
      <c r="D4" s="145">
        <v>0</v>
      </c>
      <c r="E4" s="237">
        <v>3</v>
      </c>
      <c r="G4">
        <v>1</v>
      </c>
      <c r="H4" s="132" t="e">
        <f t="array" aca="1" ref="H4:H18" ca="1">ClustAnal(B4:E18,K9,K11)</f>
        <v>#NAME?</v>
      </c>
      <c r="J4" t="str">
        <f t="array" ref="J4:J7">TRANSPOSE(B3:E3)</f>
        <v>W</v>
      </c>
      <c r="K4" s="149" t="e">
        <f ca="1">AVERAGEIF($H$4:$H$18,K$3,$B$4:$B$18)</f>
        <v>#DIV/0!</v>
      </c>
      <c r="L4" s="248" t="e">
        <f ca="1">AVERAGEIF($H$4:$H$18,L$3,$B$4:$B$18)</f>
        <v>#DIV/0!</v>
      </c>
      <c r="M4" s="82" t="e">
        <f ca="1">AVERAGEIF($H$4:$H$18,M$3,$B$4:$B$18)</f>
        <v>#DIV/0!</v>
      </c>
      <c r="O4" s="149" t="e">
        <f ca="1">SUMXMY2($B4:$E4,K$4:K$7)</f>
        <v>#DIV/0!</v>
      </c>
      <c r="P4" s="248" t="e">
        <f t="shared" ref="P4:Q18" ca="1" si="0">SUMXMY2($B4:$E4,L$4:L$7)</f>
        <v>#DIV/0!</v>
      </c>
      <c r="Q4" s="82" t="e">
        <f t="shared" ca="1" si="0"/>
        <v>#DIV/0!</v>
      </c>
      <c r="R4" s="132" t="e">
        <f ca="1">MIN(O4:Q4)</f>
        <v>#DIV/0!</v>
      </c>
    </row>
    <row r="5" spans="1:18" x14ac:dyDescent="0.35">
      <c r="A5">
        <f>A4+1</f>
        <v>2</v>
      </c>
      <c r="B5" s="44">
        <v>2</v>
      </c>
      <c r="C5" s="73">
        <v>5</v>
      </c>
      <c r="D5" s="73">
        <v>3</v>
      </c>
      <c r="E5" s="245">
        <v>4</v>
      </c>
      <c r="G5">
        <f>G4+1</f>
        <v>2</v>
      </c>
      <c r="H5" s="98" t="e">
        <f ca="1"/>
        <v>#NAME?</v>
      </c>
      <c r="J5" t="str">
        <v>X</v>
      </c>
      <c r="K5" s="83" t="e">
        <f ca="1">AVERAGEIF($H$4:$H$18,K$3,$C$4:$C$18)</f>
        <v>#DIV/0!</v>
      </c>
      <c r="L5" s="37" t="e">
        <f ca="1">AVERAGEIF($H$4:$H$18,L$3,$C$4:$C$18)</f>
        <v>#DIV/0!</v>
      </c>
      <c r="M5" s="84" t="e">
        <f ca="1">AVERAGEIF($H$4:$H$18,M$3,$C$4:$C$18)</f>
        <v>#DIV/0!</v>
      </c>
      <c r="O5" s="83" t="e">
        <f t="shared" ref="O5:O18" ca="1" si="1">SUMXMY2($B5:$E5,K$4:K$7)</f>
        <v>#DIV/0!</v>
      </c>
      <c r="P5" s="37" t="e">
        <f t="shared" ca="1" si="0"/>
        <v>#DIV/0!</v>
      </c>
      <c r="Q5" s="84" t="e">
        <f t="shared" ca="1" si="0"/>
        <v>#DIV/0!</v>
      </c>
      <c r="R5" s="98" t="e">
        <f t="shared" ref="R5:R18" ca="1" si="2">MIN(O5:Q5)</f>
        <v>#DIV/0!</v>
      </c>
    </row>
    <row r="6" spans="1:18" x14ac:dyDescent="0.35">
      <c r="A6">
        <f t="shared" ref="A6:A18" si="3">A5+1</f>
        <v>3</v>
      </c>
      <c r="B6" s="44">
        <v>4</v>
      </c>
      <c r="C6" s="73">
        <v>2</v>
      </c>
      <c r="D6" s="73">
        <v>1</v>
      </c>
      <c r="E6" s="245">
        <v>2</v>
      </c>
      <c r="G6">
        <f t="shared" ref="G6:G18" si="4">G5+1</f>
        <v>3</v>
      </c>
      <c r="H6" s="98" t="e">
        <f ca="1"/>
        <v>#NAME?</v>
      </c>
      <c r="J6" t="str">
        <v>Y</v>
      </c>
      <c r="K6" s="83" t="e">
        <f ca="1">AVERAGEIF($H$4:$H$18,K$3,$D$4:$D$18)</f>
        <v>#DIV/0!</v>
      </c>
      <c r="L6" s="37" t="e">
        <f ca="1">AVERAGEIF($H$4:$H$18,L$3,$D$4:$D$18)</f>
        <v>#DIV/0!</v>
      </c>
      <c r="M6" s="84" t="e">
        <f ca="1">AVERAGEIF($H$4:$H$18,M$3,$D$4:$D$18)</f>
        <v>#DIV/0!</v>
      </c>
      <c r="O6" s="83" t="e">
        <f t="shared" ca="1" si="1"/>
        <v>#DIV/0!</v>
      </c>
      <c r="P6" s="37" t="e">
        <f t="shared" ca="1" si="0"/>
        <v>#DIV/0!</v>
      </c>
      <c r="Q6" s="84" t="e">
        <f t="shared" ca="1" si="0"/>
        <v>#DIV/0!</v>
      </c>
      <c r="R6" s="98" t="e">
        <f t="shared" ca="1" si="2"/>
        <v>#DIV/0!</v>
      </c>
    </row>
    <row r="7" spans="1:18" x14ac:dyDescent="0.35">
      <c r="A7">
        <f t="shared" si="3"/>
        <v>4</v>
      </c>
      <c r="B7" s="44">
        <v>1</v>
      </c>
      <c r="C7" s="73">
        <v>0</v>
      </c>
      <c r="D7" s="73">
        <v>5</v>
      </c>
      <c r="E7" s="249">
        <v>3</v>
      </c>
      <c r="G7">
        <f t="shared" si="4"/>
        <v>4</v>
      </c>
      <c r="H7" s="98" t="e">
        <f ca="1"/>
        <v>#NAME?</v>
      </c>
      <c r="J7" t="str">
        <v>Z</v>
      </c>
      <c r="K7" s="85" t="e">
        <f ca="1">AVERAGEIF($H$4:$H$18,K$3,$E$4:$E$18)</f>
        <v>#DIV/0!</v>
      </c>
      <c r="L7" s="86" t="e">
        <f ca="1">AVERAGEIF($H$4:$H$18,L$3,$E$4:$E$18)</f>
        <v>#DIV/0!</v>
      </c>
      <c r="M7" s="87" t="e">
        <f ca="1">AVERAGEIF($H$4:$H$18,M$3,$E$4:$E$18)</f>
        <v>#DIV/0!</v>
      </c>
      <c r="O7" s="83" t="e">
        <f t="shared" ca="1" si="1"/>
        <v>#DIV/0!</v>
      </c>
      <c r="P7" s="37" t="e">
        <f t="shared" ca="1" si="0"/>
        <v>#DIV/0!</v>
      </c>
      <c r="Q7" s="84" t="e">
        <f t="shared" ca="1" si="0"/>
        <v>#DIV/0!</v>
      </c>
      <c r="R7" s="98" t="e">
        <f t="shared" ca="1" si="2"/>
        <v>#DIV/0!</v>
      </c>
    </row>
    <row r="8" spans="1:18" x14ac:dyDescent="0.35">
      <c r="A8">
        <f t="shared" si="3"/>
        <v>5</v>
      </c>
      <c r="B8" s="44">
        <v>2</v>
      </c>
      <c r="C8" s="73">
        <v>1</v>
      </c>
      <c r="D8" s="73">
        <v>1</v>
      </c>
      <c r="E8" s="249">
        <v>4</v>
      </c>
      <c r="G8">
        <f t="shared" si="4"/>
        <v>5</v>
      </c>
      <c r="H8" s="98" t="e">
        <f ca="1"/>
        <v>#NAME?</v>
      </c>
      <c r="O8" s="83" t="e">
        <f t="shared" ca="1" si="1"/>
        <v>#DIV/0!</v>
      </c>
      <c r="P8" s="37" t="e">
        <f t="shared" ca="1" si="0"/>
        <v>#DIV/0!</v>
      </c>
      <c r="Q8" s="84" t="e">
        <f t="shared" ca="1" si="0"/>
        <v>#DIV/0!</v>
      </c>
      <c r="R8" s="98" t="e">
        <f t="shared" ca="1" si="2"/>
        <v>#DIV/0!</v>
      </c>
    </row>
    <row r="9" spans="1:18" x14ac:dyDescent="0.35">
      <c r="A9">
        <f t="shared" si="3"/>
        <v>6</v>
      </c>
      <c r="B9" s="44">
        <v>4</v>
      </c>
      <c r="C9" s="73">
        <v>3</v>
      </c>
      <c r="D9" s="73">
        <v>3</v>
      </c>
      <c r="E9" s="249">
        <v>0</v>
      </c>
      <c r="G9">
        <f t="shared" si="4"/>
        <v>6</v>
      </c>
      <c r="H9" s="98" t="e">
        <f ca="1"/>
        <v>#NAME?</v>
      </c>
      <c r="J9" t="s">
        <v>53</v>
      </c>
      <c r="K9" s="137">
        <v>3</v>
      </c>
      <c r="O9" s="83" t="e">
        <f t="shared" ca="1" si="1"/>
        <v>#DIV/0!</v>
      </c>
      <c r="P9" s="37" t="e">
        <f t="shared" ca="1" si="0"/>
        <v>#DIV/0!</v>
      </c>
      <c r="Q9" s="84" t="e">
        <f t="shared" ca="1" si="0"/>
        <v>#DIV/0!</v>
      </c>
      <c r="R9" s="98" t="e">
        <f t="shared" ca="1" si="2"/>
        <v>#DIV/0!</v>
      </c>
    </row>
    <row r="10" spans="1:18" x14ac:dyDescent="0.35">
      <c r="A10">
        <f t="shared" si="3"/>
        <v>7</v>
      </c>
      <c r="B10" s="44">
        <v>5</v>
      </c>
      <c r="C10" s="73">
        <v>2</v>
      </c>
      <c r="D10" s="73">
        <v>2</v>
      </c>
      <c r="E10" s="249">
        <v>1</v>
      </c>
      <c r="G10">
        <f t="shared" si="4"/>
        <v>7</v>
      </c>
      <c r="H10" s="98" t="e">
        <f ca="1"/>
        <v>#NAME?</v>
      </c>
      <c r="O10" s="83" t="e">
        <f t="shared" ca="1" si="1"/>
        <v>#DIV/0!</v>
      </c>
      <c r="P10" s="37" t="e">
        <f t="shared" ca="1" si="0"/>
        <v>#DIV/0!</v>
      </c>
      <c r="Q10" s="84" t="e">
        <f t="shared" ca="1" si="0"/>
        <v>#DIV/0!</v>
      </c>
      <c r="R10" s="98" t="e">
        <f t="shared" ca="1" si="2"/>
        <v>#DIV/0!</v>
      </c>
    </row>
    <row r="11" spans="1:18" x14ac:dyDescent="0.35">
      <c r="A11">
        <f t="shared" si="3"/>
        <v>8</v>
      </c>
      <c r="B11" s="44">
        <v>1</v>
      </c>
      <c r="C11" s="73">
        <v>2</v>
      </c>
      <c r="D11" s="73">
        <v>4</v>
      </c>
      <c r="E11" s="249">
        <v>5</v>
      </c>
      <c r="G11">
        <f t="shared" si="4"/>
        <v>8</v>
      </c>
      <c r="H11" s="98" t="e">
        <f ca="1"/>
        <v>#NAME?</v>
      </c>
      <c r="J11" t="s">
        <v>590</v>
      </c>
      <c r="K11" s="137">
        <v>10</v>
      </c>
      <c r="O11" s="83" t="e">
        <f t="shared" ca="1" si="1"/>
        <v>#DIV/0!</v>
      </c>
      <c r="P11" s="37" t="e">
        <f t="shared" ca="1" si="0"/>
        <v>#DIV/0!</v>
      </c>
      <c r="Q11" s="84" t="e">
        <f t="shared" ca="1" si="0"/>
        <v>#DIV/0!</v>
      </c>
      <c r="R11" s="98" t="e">
        <f t="shared" ca="1" si="2"/>
        <v>#DIV/0!</v>
      </c>
    </row>
    <row r="12" spans="1:18" x14ac:dyDescent="0.35">
      <c r="A12">
        <f t="shared" si="3"/>
        <v>9</v>
      </c>
      <c r="B12" s="44">
        <v>2</v>
      </c>
      <c r="C12" s="73">
        <v>1</v>
      </c>
      <c r="D12" s="73">
        <v>3</v>
      </c>
      <c r="E12" s="249">
        <v>4</v>
      </c>
      <c r="G12">
        <f t="shared" si="4"/>
        <v>9</v>
      </c>
      <c r="H12" s="98" t="e">
        <f ca="1"/>
        <v>#NAME?</v>
      </c>
      <c r="O12" s="83" t="e">
        <f t="shared" ca="1" si="1"/>
        <v>#DIV/0!</v>
      </c>
      <c r="P12" s="37" t="e">
        <f t="shared" ca="1" si="0"/>
        <v>#DIV/0!</v>
      </c>
      <c r="Q12" s="84" t="e">
        <f t="shared" ca="1" si="0"/>
        <v>#DIV/0!</v>
      </c>
      <c r="R12" s="98" t="e">
        <f t="shared" ca="1" si="2"/>
        <v>#DIV/0!</v>
      </c>
    </row>
    <row r="13" spans="1:18" x14ac:dyDescent="0.35">
      <c r="A13">
        <f t="shared" si="3"/>
        <v>10</v>
      </c>
      <c r="B13" s="44">
        <v>4</v>
      </c>
      <c r="C13" s="73">
        <v>5</v>
      </c>
      <c r="D13" s="73">
        <v>4</v>
      </c>
      <c r="E13" s="249">
        <v>2</v>
      </c>
      <c r="G13">
        <f t="shared" si="4"/>
        <v>10</v>
      </c>
      <c r="H13" s="98" t="e">
        <f ca="1"/>
        <v>#NAME?</v>
      </c>
      <c r="J13" t="s">
        <v>587</v>
      </c>
      <c r="K13" s="137" t="e">
        <f ca="1">SUM(R4:R18)</f>
        <v>#DIV/0!</v>
      </c>
      <c r="O13" s="83" t="e">
        <f t="shared" ca="1" si="1"/>
        <v>#DIV/0!</v>
      </c>
      <c r="P13" s="37" t="e">
        <f t="shared" ca="1" si="0"/>
        <v>#DIV/0!</v>
      </c>
      <c r="Q13" s="84" t="e">
        <f t="shared" ca="1" si="0"/>
        <v>#DIV/0!</v>
      </c>
      <c r="R13" s="98" t="e">
        <f t="shared" ca="1" si="2"/>
        <v>#DIV/0!</v>
      </c>
    </row>
    <row r="14" spans="1:18" x14ac:dyDescent="0.35">
      <c r="A14">
        <f t="shared" si="3"/>
        <v>11</v>
      </c>
      <c r="B14" s="44">
        <v>3</v>
      </c>
      <c r="C14" s="186">
        <v>3</v>
      </c>
      <c r="D14" s="186">
        <v>2</v>
      </c>
      <c r="E14" s="245">
        <v>4</v>
      </c>
      <c r="G14">
        <f t="shared" si="4"/>
        <v>11</v>
      </c>
      <c r="H14" s="98" t="e">
        <f ca="1"/>
        <v>#NAME?</v>
      </c>
      <c r="O14" s="83" t="e">
        <f t="shared" ca="1" si="1"/>
        <v>#DIV/0!</v>
      </c>
      <c r="P14" s="37" t="e">
        <f t="shared" ca="1" si="0"/>
        <v>#DIV/0!</v>
      </c>
      <c r="Q14" s="84" t="e">
        <f t="shared" ca="1" si="0"/>
        <v>#DIV/0!</v>
      </c>
      <c r="R14" s="98" t="e">
        <f t="shared" ca="1" si="2"/>
        <v>#DIV/0!</v>
      </c>
    </row>
    <row r="15" spans="1:18" x14ac:dyDescent="0.35">
      <c r="A15">
        <f t="shared" si="3"/>
        <v>12</v>
      </c>
      <c r="B15" s="44">
        <v>3</v>
      </c>
      <c r="C15" s="186">
        <v>3</v>
      </c>
      <c r="D15" s="186">
        <v>5</v>
      </c>
      <c r="E15" s="245">
        <v>4</v>
      </c>
      <c r="G15">
        <f t="shared" si="4"/>
        <v>12</v>
      </c>
      <c r="H15" s="98" t="e">
        <f ca="1"/>
        <v>#NAME?</v>
      </c>
      <c r="O15" s="83" t="e">
        <f t="shared" ca="1" si="1"/>
        <v>#DIV/0!</v>
      </c>
      <c r="P15" s="37" t="e">
        <f t="shared" ca="1" si="0"/>
        <v>#DIV/0!</v>
      </c>
      <c r="Q15" s="84" t="e">
        <f t="shared" ca="1" si="0"/>
        <v>#DIV/0!</v>
      </c>
      <c r="R15" s="98" t="e">
        <f t="shared" ca="1" si="2"/>
        <v>#DIV/0!</v>
      </c>
    </row>
    <row r="16" spans="1:18" x14ac:dyDescent="0.35">
      <c r="A16">
        <f t="shared" si="3"/>
        <v>13</v>
      </c>
      <c r="B16" s="44">
        <v>4</v>
      </c>
      <c r="C16" s="186">
        <v>1</v>
      </c>
      <c r="D16" s="186">
        <v>2</v>
      </c>
      <c r="E16" s="245">
        <v>3</v>
      </c>
      <c r="G16">
        <f t="shared" si="4"/>
        <v>13</v>
      </c>
      <c r="H16" s="98" t="e">
        <f ca="1"/>
        <v>#NAME?</v>
      </c>
      <c r="O16" s="83" t="e">
        <f t="shared" ca="1" si="1"/>
        <v>#DIV/0!</v>
      </c>
      <c r="P16" s="37" t="e">
        <f t="shared" ca="1" si="0"/>
        <v>#DIV/0!</v>
      </c>
      <c r="Q16" s="84" t="e">
        <f t="shared" ca="1" si="0"/>
        <v>#DIV/0!</v>
      </c>
      <c r="R16" s="98" t="e">
        <f t="shared" ca="1" si="2"/>
        <v>#DIV/0!</v>
      </c>
    </row>
    <row r="17" spans="1:18" x14ac:dyDescent="0.35">
      <c r="A17">
        <f t="shared" si="3"/>
        <v>14</v>
      </c>
      <c r="B17" s="44">
        <v>0</v>
      </c>
      <c r="C17" s="186">
        <v>5</v>
      </c>
      <c r="D17" s="186">
        <v>5</v>
      </c>
      <c r="E17" s="245">
        <v>4</v>
      </c>
      <c r="G17">
        <f t="shared" si="4"/>
        <v>14</v>
      </c>
      <c r="H17" s="98" t="e">
        <f ca="1"/>
        <v>#NAME?</v>
      </c>
      <c r="O17" s="83" t="e">
        <f t="shared" ca="1" si="1"/>
        <v>#DIV/0!</v>
      </c>
      <c r="P17" s="37" t="e">
        <f t="shared" ca="1" si="0"/>
        <v>#DIV/0!</v>
      </c>
      <c r="Q17" s="84" t="e">
        <f t="shared" ca="1" si="0"/>
        <v>#DIV/0!</v>
      </c>
      <c r="R17" s="98" t="e">
        <f t="shared" ca="1" si="2"/>
        <v>#DIV/0!</v>
      </c>
    </row>
    <row r="18" spans="1:18" x14ac:dyDescent="0.35">
      <c r="A18">
        <f t="shared" si="3"/>
        <v>15</v>
      </c>
      <c r="B18" s="45">
        <v>5</v>
      </c>
      <c r="C18" s="74">
        <v>2</v>
      </c>
      <c r="D18" s="74">
        <v>4</v>
      </c>
      <c r="E18" s="246">
        <v>5</v>
      </c>
      <c r="G18">
        <f t="shared" si="4"/>
        <v>15</v>
      </c>
      <c r="H18" s="99" t="e">
        <f ca="1"/>
        <v>#NAME?</v>
      </c>
      <c r="O18" s="85" t="e">
        <f t="shared" ca="1" si="1"/>
        <v>#DIV/0!</v>
      </c>
      <c r="P18" s="86" t="e">
        <f t="shared" ca="1" si="0"/>
        <v>#DIV/0!</v>
      </c>
      <c r="Q18" s="87" t="e">
        <f t="shared" ca="1" si="0"/>
        <v>#DIV/0!</v>
      </c>
      <c r="R18" s="99" t="e">
        <f t="shared" ca="1" si="2"/>
        <v>#DIV/0!</v>
      </c>
    </row>
    <row r="21" spans="1:18" x14ac:dyDescent="0.35">
      <c r="H21" s="47" t="s">
        <v>584</v>
      </c>
      <c r="J21" t="s">
        <v>585</v>
      </c>
      <c r="K21">
        <v>1</v>
      </c>
      <c r="L21">
        <f>K21+1</f>
        <v>2</v>
      </c>
      <c r="M21">
        <f>L21+1</f>
        <v>3</v>
      </c>
      <c r="O21">
        <v>1</v>
      </c>
      <c r="P21">
        <f>O21+1</f>
        <v>2</v>
      </c>
      <c r="Q21">
        <f>P21+1</f>
        <v>3</v>
      </c>
      <c r="R21" s="47" t="s">
        <v>586</v>
      </c>
    </row>
    <row r="22" spans="1:18" x14ac:dyDescent="0.35">
      <c r="G22">
        <v>1</v>
      </c>
      <c r="H22" s="132" t="e">
        <f t="array" aca="1" ref="H22:H36" ca="1">ClustAnal(B4:E18,K27,K29)</f>
        <v>#NAME?</v>
      </c>
      <c r="J22" t="str">
        <f t="array" ref="J22:J25">TRANSPOSE(B3:E3)</f>
        <v>W</v>
      </c>
      <c r="K22" s="149" t="e">
        <f ca="1">AVERAGEIF($H$22:$H$36,K$21,$B$4:$B$18)</f>
        <v>#DIV/0!</v>
      </c>
      <c r="L22" s="248" t="e">
        <f ca="1">AVERAGEIF($H$22:$H$36,L$21,$B$4:$B$18)</f>
        <v>#DIV/0!</v>
      </c>
      <c r="M22" s="82" t="e">
        <f ca="1">AVERAGEIF($H$22:$H$36,M$21,$B$4:$B$18)</f>
        <v>#DIV/0!</v>
      </c>
      <c r="O22" s="149" t="e">
        <f ca="1">SUMXMY2($B4:$E4,K$22:K$25)</f>
        <v>#DIV/0!</v>
      </c>
      <c r="P22" s="248" t="e">
        <f t="shared" ref="P22:Q36" ca="1" si="5">SUMXMY2($B4:$E4,L$22:L$25)</f>
        <v>#DIV/0!</v>
      </c>
      <c r="Q22" s="82" t="e">
        <f t="shared" ca="1" si="5"/>
        <v>#DIV/0!</v>
      </c>
      <c r="R22" s="132" t="e">
        <f ca="1">MIN(O22:Q22)</f>
        <v>#DIV/0!</v>
      </c>
    </row>
    <row r="23" spans="1:18" x14ac:dyDescent="0.35">
      <c r="G23">
        <f>G22+1</f>
        <v>2</v>
      </c>
      <c r="H23" s="98" t="e">
        <f ca="1"/>
        <v>#NAME?</v>
      </c>
      <c r="J23" t="str">
        <v>X</v>
      </c>
      <c r="K23" s="83" t="e">
        <f ca="1">AVERAGEIF($H$22:$H$36,K$21,$C$4:$C$18)</f>
        <v>#DIV/0!</v>
      </c>
      <c r="L23" s="37" t="e">
        <f ca="1">AVERAGEIF($H$22:$H$36,L$21,$C$4:$C$18)</f>
        <v>#DIV/0!</v>
      </c>
      <c r="M23" s="84" t="e">
        <f ca="1">AVERAGEIF($H$22:$H$36,M$21,$C$4:$C$18)</f>
        <v>#DIV/0!</v>
      </c>
      <c r="O23" s="83" t="e">
        <f t="shared" ref="O23:O36" ca="1" si="6">SUMXMY2($B5:$E5,K$22:K$25)</f>
        <v>#DIV/0!</v>
      </c>
      <c r="P23" s="37" t="e">
        <f t="shared" ca="1" si="5"/>
        <v>#DIV/0!</v>
      </c>
      <c r="Q23" s="84" t="e">
        <f t="shared" ca="1" si="5"/>
        <v>#DIV/0!</v>
      </c>
      <c r="R23" s="98" t="e">
        <f t="shared" ref="R23:R36" ca="1" si="7">MIN(O23:Q23)</f>
        <v>#DIV/0!</v>
      </c>
    </row>
    <row r="24" spans="1:18" x14ac:dyDescent="0.35">
      <c r="G24">
        <f t="shared" ref="G24:G36" si="8">G23+1</f>
        <v>3</v>
      </c>
      <c r="H24" s="98" t="e">
        <f ca="1"/>
        <v>#NAME?</v>
      </c>
      <c r="J24" t="str">
        <v>Y</v>
      </c>
      <c r="K24" s="83" t="e">
        <f ca="1">AVERAGEIF($H$22:$H$36,K$21,$D$4:$D$18)</f>
        <v>#DIV/0!</v>
      </c>
      <c r="L24" s="37" t="e">
        <f ca="1">AVERAGEIF($H$22:$H$36,L$21,$D$4:$D$18)</f>
        <v>#DIV/0!</v>
      </c>
      <c r="M24" s="84" t="e">
        <f ca="1">AVERAGEIF($H$22:$H$36,M$21,$D$4:$D$18)</f>
        <v>#DIV/0!</v>
      </c>
      <c r="O24" s="83" t="e">
        <f t="shared" ca="1" si="6"/>
        <v>#DIV/0!</v>
      </c>
      <c r="P24" s="37" t="e">
        <f t="shared" ca="1" si="5"/>
        <v>#DIV/0!</v>
      </c>
      <c r="Q24" s="84" t="e">
        <f t="shared" ca="1" si="5"/>
        <v>#DIV/0!</v>
      </c>
      <c r="R24" s="98" t="e">
        <f t="shared" ca="1" si="7"/>
        <v>#DIV/0!</v>
      </c>
    </row>
    <row r="25" spans="1:18" x14ac:dyDescent="0.35">
      <c r="G25">
        <f t="shared" si="8"/>
        <v>4</v>
      </c>
      <c r="H25" s="98" t="e">
        <f ca="1"/>
        <v>#NAME?</v>
      </c>
      <c r="J25" t="str">
        <v>Z</v>
      </c>
      <c r="K25" s="85" t="e">
        <f ca="1">AVERAGEIF($H$22:$H$36,K$21,$E$4:$E$18)</f>
        <v>#DIV/0!</v>
      </c>
      <c r="L25" s="86" t="e">
        <f ca="1">AVERAGEIF($H$22:$H$36,L$21,$E$4:$E$18)</f>
        <v>#DIV/0!</v>
      </c>
      <c r="M25" s="87" t="e">
        <f ca="1">AVERAGEIF($H$22:$H$36,M$21,$E$4:$E$18)</f>
        <v>#DIV/0!</v>
      </c>
      <c r="O25" s="83" t="e">
        <f t="shared" ca="1" si="6"/>
        <v>#DIV/0!</v>
      </c>
      <c r="P25" s="37" t="e">
        <f t="shared" ca="1" si="5"/>
        <v>#DIV/0!</v>
      </c>
      <c r="Q25" s="84" t="e">
        <f t="shared" ca="1" si="5"/>
        <v>#DIV/0!</v>
      </c>
      <c r="R25" s="98" t="e">
        <f t="shared" ca="1" si="7"/>
        <v>#DIV/0!</v>
      </c>
    </row>
    <row r="26" spans="1:18" x14ac:dyDescent="0.35">
      <c r="G26">
        <f t="shared" si="8"/>
        <v>5</v>
      </c>
      <c r="H26" s="98" t="e">
        <f ca="1"/>
        <v>#NAME?</v>
      </c>
      <c r="O26" s="83" t="e">
        <f t="shared" ca="1" si="6"/>
        <v>#DIV/0!</v>
      </c>
      <c r="P26" s="37" t="e">
        <f t="shared" ca="1" si="5"/>
        <v>#DIV/0!</v>
      </c>
      <c r="Q26" s="84" t="e">
        <f t="shared" ca="1" si="5"/>
        <v>#DIV/0!</v>
      </c>
      <c r="R26" s="98" t="e">
        <f t="shared" ca="1" si="7"/>
        <v>#DIV/0!</v>
      </c>
    </row>
    <row r="27" spans="1:18" x14ac:dyDescent="0.35">
      <c r="G27">
        <f t="shared" si="8"/>
        <v>6</v>
      </c>
      <c r="H27" s="98" t="e">
        <f ca="1"/>
        <v>#NAME?</v>
      </c>
      <c r="J27" t="s">
        <v>53</v>
      </c>
      <c r="K27" s="137">
        <v>3</v>
      </c>
      <c r="O27" s="83" t="e">
        <f t="shared" ca="1" si="6"/>
        <v>#DIV/0!</v>
      </c>
      <c r="P27" s="37" t="e">
        <f t="shared" ca="1" si="5"/>
        <v>#DIV/0!</v>
      </c>
      <c r="Q27" s="84" t="e">
        <f t="shared" ca="1" si="5"/>
        <v>#DIV/0!</v>
      </c>
      <c r="R27" s="98" t="e">
        <f t="shared" ca="1" si="7"/>
        <v>#DIV/0!</v>
      </c>
    </row>
    <row r="28" spans="1:18" x14ac:dyDescent="0.35">
      <c r="G28">
        <f t="shared" si="8"/>
        <v>7</v>
      </c>
      <c r="H28" s="98" t="e">
        <f ca="1"/>
        <v>#NAME?</v>
      </c>
      <c r="O28" s="83" t="e">
        <f t="shared" ca="1" si="6"/>
        <v>#DIV/0!</v>
      </c>
      <c r="P28" s="37" t="e">
        <f t="shared" ca="1" si="5"/>
        <v>#DIV/0!</v>
      </c>
      <c r="Q28" s="84" t="e">
        <f t="shared" ca="1" si="5"/>
        <v>#DIV/0!</v>
      </c>
      <c r="R28" s="98" t="e">
        <f t="shared" ca="1" si="7"/>
        <v>#DIV/0!</v>
      </c>
    </row>
    <row r="29" spans="1:18" x14ac:dyDescent="0.35">
      <c r="G29">
        <f t="shared" si="8"/>
        <v>8</v>
      </c>
      <c r="H29" s="98" t="e">
        <f ca="1"/>
        <v>#NAME?</v>
      </c>
      <c r="J29" t="s">
        <v>590</v>
      </c>
      <c r="K29" s="137">
        <v>50</v>
      </c>
      <c r="O29" s="83" t="e">
        <f t="shared" ca="1" si="6"/>
        <v>#DIV/0!</v>
      </c>
      <c r="P29" s="37" t="e">
        <f t="shared" ca="1" si="5"/>
        <v>#DIV/0!</v>
      </c>
      <c r="Q29" s="84" t="e">
        <f t="shared" ca="1" si="5"/>
        <v>#DIV/0!</v>
      </c>
      <c r="R29" s="98" t="e">
        <f t="shared" ca="1" si="7"/>
        <v>#DIV/0!</v>
      </c>
    </row>
    <row r="30" spans="1:18" x14ac:dyDescent="0.35">
      <c r="G30">
        <f t="shared" si="8"/>
        <v>9</v>
      </c>
      <c r="H30" s="98" t="e">
        <f ca="1"/>
        <v>#NAME?</v>
      </c>
      <c r="O30" s="83" t="e">
        <f t="shared" ca="1" si="6"/>
        <v>#DIV/0!</v>
      </c>
      <c r="P30" s="37" t="e">
        <f t="shared" ca="1" si="5"/>
        <v>#DIV/0!</v>
      </c>
      <c r="Q30" s="84" t="e">
        <f t="shared" ca="1" si="5"/>
        <v>#DIV/0!</v>
      </c>
      <c r="R30" s="98" t="e">
        <f t="shared" ca="1" si="7"/>
        <v>#DIV/0!</v>
      </c>
    </row>
    <row r="31" spans="1:18" x14ac:dyDescent="0.35">
      <c r="G31">
        <f t="shared" si="8"/>
        <v>10</v>
      </c>
      <c r="H31" s="98" t="e">
        <f ca="1"/>
        <v>#NAME?</v>
      </c>
      <c r="J31" t="s">
        <v>587</v>
      </c>
      <c r="K31" s="137" t="e">
        <f ca="1">SUM(R22:R36)</f>
        <v>#DIV/0!</v>
      </c>
      <c r="O31" s="83" t="e">
        <f t="shared" ca="1" si="6"/>
        <v>#DIV/0!</v>
      </c>
      <c r="P31" s="37" t="e">
        <f t="shared" ca="1" si="5"/>
        <v>#DIV/0!</v>
      </c>
      <c r="Q31" s="84" t="e">
        <f t="shared" ca="1" si="5"/>
        <v>#DIV/0!</v>
      </c>
      <c r="R31" s="98" t="e">
        <f t="shared" ca="1" si="7"/>
        <v>#DIV/0!</v>
      </c>
    </row>
    <row r="32" spans="1:18" x14ac:dyDescent="0.35">
      <c r="G32">
        <f t="shared" si="8"/>
        <v>11</v>
      </c>
      <c r="H32" s="98" t="e">
        <f ca="1"/>
        <v>#NAME?</v>
      </c>
      <c r="O32" s="83" t="e">
        <f t="shared" ca="1" si="6"/>
        <v>#DIV/0!</v>
      </c>
      <c r="P32" s="37" t="e">
        <f t="shared" ca="1" si="5"/>
        <v>#DIV/0!</v>
      </c>
      <c r="Q32" s="84" t="e">
        <f t="shared" ca="1" si="5"/>
        <v>#DIV/0!</v>
      </c>
      <c r="R32" s="98" t="e">
        <f t="shared" ca="1" si="7"/>
        <v>#DIV/0!</v>
      </c>
    </row>
    <row r="33" spans="7:18" x14ac:dyDescent="0.35">
      <c r="G33">
        <f t="shared" si="8"/>
        <v>12</v>
      </c>
      <c r="H33" s="98" t="e">
        <f ca="1"/>
        <v>#NAME?</v>
      </c>
      <c r="O33" s="83" t="e">
        <f t="shared" ca="1" si="6"/>
        <v>#DIV/0!</v>
      </c>
      <c r="P33" s="37" t="e">
        <f t="shared" ca="1" si="5"/>
        <v>#DIV/0!</v>
      </c>
      <c r="Q33" s="84" t="e">
        <f t="shared" ca="1" si="5"/>
        <v>#DIV/0!</v>
      </c>
      <c r="R33" s="98" t="e">
        <f t="shared" ca="1" si="7"/>
        <v>#DIV/0!</v>
      </c>
    </row>
    <row r="34" spans="7:18" x14ac:dyDescent="0.35">
      <c r="G34">
        <f t="shared" si="8"/>
        <v>13</v>
      </c>
      <c r="H34" s="98" t="e">
        <f ca="1"/>
        <v>#NAME?</v>
      </c>
      <c r="O34" s="83" t="e">
        <f t="shared" ca="1" si="6"/>
        <v>#DIV/0!</v>
      </c>
      <c r="P34" s="37" t="e">
        <f t="shared" ca="1" si="5"/>
        <v>#DIV/0!</v>
      </c>
      <c r="Q34" s="84" t="e">
        <f t="shared" ca="1" si="5"/>
        <v>#DIV/0!</v>
      </c>
      <c r="R34" s="98" t="e">
        <f t="shared" ca="1" si="7"/>
        <v>#DIV/0!</v>
      </c>
    </row>
    <row r="35" spans="7:18" x14ac:dyDescent="0.35">
      <c r="G35">
        <f t="shared" si="8"/>
        <v>14</v>
      </c>
      <c r="H35" s="98" t="e">
        <f ca="1"/>
        <v>#NAME?</v>
      </c>
      <c r="O35" s="83" t="e">
        <f t="shared" ca="1" si="6"/>
        <v>#DIV/0!</v>
      </c>
      <c r="P35" s="37" t="e">
        <f t="shared" ca="1" si="5"/>
        <v>#DIV/0!</v>
      </c>
      <c r="Q35" s="84" t="e">
        <f t="shared" ca="1" si="5"/>
        <v>#DIV/0!</v>
      </c>
      <c r="R35" s="98" t="e">
        <f t="shared" ca="1" si="7"/>
        <v>#DIV/0!</v>
      </c>
    </row>
    <row r="36" spans="7:18" x14ac:dyDescent="0.35">
      <c r="G36">
        <f t="shared" si="8"/>
        <v>15</v>
      </c>
      <c r="H36" s="99" t="e">
        <f ca="1"/>
        <v>#NAME?</v>
      </c>
      <c r="O36" s="85" t="e">
        <f t="shared" ca="1" si="6"/>
        <v>#DIV/0!</v>
      </c>
      <c r="P36" s="86" t="e">
        <f t="shared" ca="1" si="5"/>
        <v>#DIV/0!</v>
      </c>
      <c r="Q36" s="87" t="e">
        <f t="shared" ca="1" si="5"/>
        <v>#DIV/0!</v>
      </c>
      <c r="R36" s="99" t="e">
        <f t="shared" ca="1" si="7"/>
        <v>#DIV/0!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8FFE-7792-437F-A758-916D998E939F}">
  <sheetPr codeName="Sheet88"/>
  <dimension ref="B1:S19"/>
  <sheetViews>
    <sheetView workbookViewId="0"/>
  </sheetViews>
  <sheetFormatPr defaultRowHeight="14.5" x14ac:dyDescent="0.35"/>
  <cols>
    <col min="1" max="1" width="1.453125" customWidth="1"/>
    <col min="2" max="5" width="7.26953125" customWidth="1"/>
    <col min="6" max="6" width="4.81640625" customWidth="1"/>
    <col min="7" max="7" width="7.26953125" customWidth="1"/>
    <col min="8" max="8" width="4.6328125" customWidth="1"/>
    <col min="10" max="10" width="3.90625" customWidth="1"/>
    <col min="11" max="11" width="11.26953125" customWidth="1"/>
    <col min="15" max="15" width="3.90625" customWidth="1"/>
  </cols>
  <sheetData>
    <row r="1" spans="2:19" x14ac:dyDescent="0.35">
      <c r="B1" s="42" t="s">
        <v>589</v>
      </c>
    </row>
    <row r="2" spans="2:19" x14ac:dyDescent="0.35">
      <c r="G2" s="32" t="s">
        <v>852</v>
      </c>
    </row>
    <row r="3" spans="2:19" x14ac:dyDescent="0.35">
      <c r="B3" s="32" t="s">
        <v>278</v>
      </c>
      <c r="C3" s="32" t="s">
        <v>390</v>
      </c>
      <c r="D3" s="32" t="s">
        <v>392</v>
      </c>
      <c r="E3" s="32" t="s">
        <v>591</v>
      </c>
      <c r="F3" s="32"/>
      <c r="G3" s="32" t="s">
        <v>584</v>
      </c>
      <c r="I3" s="32" t="s">
        <v>584</v>
      </c>
      <c r="K3" t="s">
        <v>585</v>
      </c>
      <c r="L3">
        <v>1</v>
      </c>
      <c r="M3">
        <f>L3+1</f>
        <v>2</v>
      </c>
      <c r="N3">
        <f>M3+1</f>
        <v>3</v>
      </c>
      <c r="P3">
        <v>1</v>
      </c>
      <c r="Q3">
        <f>P3+1</f>
        <v>2</v>
      </c>
      <c r="R3">
        <f>Q3+1</f>
        <v>3</v>
      </c>
      <c r="S3" s="47" t="s">
        <v>853</v>
      </c>
    </row>
    <row r="4" spans="2:19" x14ac:dyDescent="0.35">
      <c r="B4" s="409">
        <v>1</v>
      </c>
      <c r="C4" s="410">
        <v>4</v>
      </c>
      <c r="D4" s="410">
        <v>0</v>
      </c>
      <c r="E4" s="411">
        <v>3</v>
      </c>
      <c r="F4" s="32"/>
      <c r="G4" s="238">
        <v>1</v>
      </c>
      <c r="H4">
        <v>1</v>
      </c>
      <c r="I4" s="132" t="e">
        <f t="array" aca="1" ref="I4:I18" ca="1">CLUST(B4:E18,L9,G4:G18,L11,,L15)</f>
        <v>#NAME?</v>
      </c>
      <c r="K4" t="s">
        <v>278</v>
      </c>
      <c r="L4" s="149" t="e">
        <f ca="1">AVERAGEIF($I$4:$I$18,L$3,$B$4:$B$18)</f>
        <v>#DIV/0!</v>
      </c>
      <c r="M4" s="141" t="e">
        <f ca="1">AVERAGEIF($I$4:$I$18,M$3,$B$4:$B$18)</f>
        <v>#DIV/0!</v>
      </c>
      <c r="N4" s="150" t="e">
        <f ca="1">AVERAGEIF($I$4:$I$18,N$3,$B$4:$B$18)</f>
        <v>#DIV/0!</v>
      </c>
      <c r="P4" s="149" t="e">
        <f t="array" aca="1" ref="P4" ca="1">SUM(ABS(TRANSPOSE($B4:$E4)-L$4:L$7)^$L$11)</f>
        <v>#DIV/0!</v>
      </c>
      <c r="Q4" s="141" t="e">
        <f t="array" aca="1" ref="Q4" ca="1">SUM(ABS(TRANSPOSE($B4:$E4)-M$4:M$7)^$L$11)</f>
        <v>#DIV/0!</v>
      </c>
      <c r="R4" s="150" t="e">
        <f t="array" aca="1" ref="R4" ca="1">SUM(ABS(TRANSPOSE($B4:$E4)-N$4:N$7)^$L$11)</f>
        <v>#DIV/0!</v>
      </c>
      <c r="S4" s="132" t="e">
        <f ca="1">MIN(P4:R4)</f>
        <v>#DIV/0!</v>
      </c>
    </row>
    <row r="5" spans="2:19" x14ac:dyDescent="0.35">
      <c r="B5" s="44">
        <v>2</v>
      </c>
      <c r="C5" s="32">
        <v>5</v>
      </c>
      <c r="D5" s="32">
        <v>3</v>
      </c>
      <c r="E5" s="215">
        <v>4</v>
      </c>
      <c r="F5" s="32"/>
      <c r="G5" s="241">
        <v>2</v>
      </c>
      <c r="H5">
        <f>H4+1</f>
        <v>2</v>
      </c>
      <c r="I5" s="98" t="e">
        <f ca="1"/>
        <v>#NAME?</v>
      </c>
      <c r="K5" t="s">
        <v>390</v>
      </c>
      <c r="L5" s="83" t="e">
        <f ca="1">AVERAGEIF($I$4:$I$18,L$3,$C$4:$C$18)</f>
        <v>#DIV/0!</v>
      </c>
      <c r="M5" t="e">
        <f ca="1">AVERAGEIF($I$4:$I$18,M$3,$C$4:$C$18)</f>
        <v>#DIV/0!</v>
      </c>
      <c r="N5" s="84" t="e">
        <f ca="1">AVERAGEIF($I$4:$I$18,N$3,$C$4:$C$18)</f>
        <v>#DIV/0!</v>
      </c>
      <c r="P5" s="83" t="e">
        <f t="array" aca="1" ref="P5" ca="1">SUM(ABS(TRANSPOSE($B5:$E5)-L$4:L$7)^$L$11)</f>
        <v>#DIV/0!</v>
      </c>
      <c r="Q5" t="e">
        <f t="array" aca="1" ref="Q5" ca="1">SUM(ABS(TRANSPOSE($B5:$E5)-M$4:M$7)^$L$11)</f>
        <v>#DIV/0!</v>
      </c>
      <c r="R5" s="84" t="e">
        <f t="array" aca="1" ref="R5" ca="1">SUM(ABS(TRANSPOSE($B5:$E5)-N$4:N$7)^$L$11)</f>
        <v>#DIV/0!</v>
      </c>
      <c r="S5" s="98" t="e">
        <f t="shared" ref="S5:S18" ca="1" si="0">MIN(P5:R5)</f>
        <v>#DIV/0!</v>
      </c>
    </row>
    <row r="6" spans="2:19" x14ac:dyDescent="0.35">
      <c r="B6" s="44">
        <v>4</v>
      </c>
      <c r="C6" s="32">
        <v>2</v>
      </c>
      <c r="D6" s="32">
        <v>1</v>
      </c>
      <c r="E6" s="245">
        <v>2</v>
      </c>
      <c r="F6" s="32"/>
      <c r="G6" s="241">
        <v>3</v>
      </c>
      <c r="H6">
        <f t="shared" ref="H6:H18" si="1">H5+1</f>
        <v>3</v>
      </c>
      <c r="I6" s="98" t="e">
        <f ca="1"/>
        <v>#NAME?</v>
      </c>
      <c r="K6" t="s">
        <v>392</v>
      </c>
      <c r="L6" s="83" t="e">
        <f ca="1">AVERAGEIF($I$4:$I$18,L$3,$D$4:$D$18)</f>
        <v>#DIV/0!</v>
      </c>
      <c r="M6" t="e">
        <f ca="1">AVERAGEIF($I$4:$I$18,M$3,$D$4:$D$18)</f>
        <v>#DIV/0!</v>
      </c>
      <c r="N6" s="84" t="e">
        <f ca="1">AVERAGEIF($I$4:$I$18,N$3,$D$4:$D$18)</f>
        <v>#DIV/0!</v>
      </c>
      <c r="P6" s="83" t="e">
        <f t="array" aca="1" ref="P6" ca="1">SUM(ABS(TRANSPOSE($B6:$E6)-L$4:L$7)^$L$11)</f>
        <v>#DIV/0!</v>
      </c>
      <c r="Q6" t="e">
        <f t="array" aca="1" ref="Q6" ca="1">SUM(ABS(TRANSPOSE($B6:$E6)-M$4:M$7)^$L$11)</f>
        <v>#DIV/0!</v>
      </c>
      <c r="R6" s="84" t="e">
        <f t="array" aca="1" ref="R6" ca="1">SUM(ABS(TRANSPOSE($B6:$E6)-N$4:N$7)^$L$11)</f>
        <v>#DIV/0!</v>
      </c>
      <c r="S6" s="98" t="e">
        <f t="shared" ca="1" si="0"/>
        <v>#DIV/0!</v>
      </c>
    </row>
    <row r="7" spans="2:19" x14ac:dyDescent="0.35">
      <c r="B7" s="44">
        <v>1</v>
      </c>
      <c r="C7" s="32">
        <v>0</v>
      </c>
      <c r="D7" s="32">
        <v>5</v>
      </c>
      <c r="E7" s="245">
        <v>3</v>
      </c>
      <c r="F7" s="32"/>
      <c r="G7" s="241">
        <v>1</v>
      </c>
      <c r="H7" s="47">
        <f t="shared" si="1"/>
        <v>4</v>
      </c>
      <c r="I7" s="98" t="e">
        <f ca="1"/>
        <v>#NAME?</v>
      </c>
      <c r="K7" t="s">
        <v>591</v>
      </c>
      <c r="L7" s="85" t="e">
        <f ca="1">AVERAGEIF($I$4:$I$18,L$3,$E$4:$E$18)</f>
        <v>#DIV/0!</v>
      </c>
      <c r="M7" s="86" t="e">
        <f ca="1">AVERAGEIF($I$4:$I$18,M$3,$E$4:$E$18)</f>
        <v>#DIV/0!</v>
      </c>
      <c r="N7" s="87" t="e">
        <f ca="1">AVERAGEIF($I$4:$I$18,N$3,$E$4:$E$18)</f>
        <v>#DIV/0!</v>
      </c>
      <c r="P7" s="83" t="e">
        <f t="array" aca="1" ref="P7" ca="1">SUM(ABS(TRANSPOSE($B7:$E7)-L$4:L$7)^$L$11)</f>
        <v>#DIV/0!</v>
      </c>
      <c r="Q7" t="e">
        <f t="array" aca="1" ref="Q7" ca="1">SUM(ABS(TRANSPOSE($B7:$E7)-M$4:M$7)^$L$11)</f>
        <v>#DIV/0!</v>
      </c>
      <c r="R7" s="84" t="e">
        <f t="array" aca="1" ref="R7" ca="1">SUM(ABS(TRANSPOSE($B7:$E7)-N$4:N$7)^$L$11)</f>
        <v>#DIV/0!</v>
      </c>
      <c r="S7" s="98" t="e">
        <f t="shared" ca="1" si="0"/>
        <v>#DIV/0!</v>
      </c>
    </row>
    <row r="8" spans="2:19" x14ac:dyDescent="0.35">
      <c r="B8" s="44">
        <v>2</v>
      </c>
      <c r="C8" s="32">
        <v>1</v>
      </c>
      <c r="D8" s="32">
        <v>1</v>
      </c>
      <c r="E8" s="245">
        <v>4</v>
      </c>
      <c r="F8" s="32"/>
      <c r="G8" s="241">
        <v>2</v>
      </c>
      <c r="H8">
        <f t="shared" si="1"/>
        <v>5</v>
      </c>
      <c r="I8" s="98" t="e">
        <f ca="1"/>
        <v>#NAME?</v>
      </c>
      <c r="P8" s="83" t="e">
        <f t="array" aca="1" ref="P8" ca="1">SUM(ABS(TRANSPOSE($B8:$E8)-L$4:L$7)^$L$11)</f>
        <v>#DIV/0!</v>
      </c>
      <c r="Q8" t="e">
        <f t="array" aca="1" ref="Q8" ca="1">SUM(ABS(TRANSPOSE($B8:$E8)-M$4:M$7)^$L$11)</f>
        <v>#DIV/0!</v>
      </c>
      <c r="R8" s="84" t="e">
        <f t="array" aca="1" ref="R8" ca="1">SUM(ABS(TRANSPOSE($B8:$E8)-N$4:N$7)^$L$11)</f>
        <v>#DIV/0!</v>
      </c>
      <c r="S8" s="98" t="e">
        <f t="shared" ca="1" si="0"/>
        <v>#DIV/0!</v>
      </c>
    </row>
    <row r="9" spans="2:19" x14ac:dyDescent="0.35">
      <c r="B9" s="44">
        <v>4</v>
      </c>
      <c r="C9" s="32">
        <v>3</v>
      </c>
      <c r="D9" s="32">
        <v>3</v>
      </c>
      <c r="E9" s="245">
        <v>0</v>
      </c>
      <c r="F9" s="32"/>
      <c r="G9" s="241">
        <v>3</v>
      </c>
      <c r="H9">
        <f t="shared" si="1"/>
        <v>6</v>
      </c>
      <c r="I9" s="98" t="e">
        <f ca="1"/>
        <v>#NAME?</v>
      </c>
      <c r="K9" t="s">
        <v>858</v>
      </c>
      <c r="L9" s="137">
        <v>3</v>
      </c>
      <c r="P9" s="83" t="e">
        <f t="array" aca="1" ref="P9" ca="1">SUM(ABS(TRANSPOSE($B9:$E9)-L$4:L$7)^$L$11)</f>
        <v>#DIV/0!</v>
      </c>
      <c r="Q9" t="e">
        <f t="array" aca="1" ref="Q9" ca="1">SUM(ABS(TRANSPOSE($B9:$E9)-M$4:M$7)^$L$11)</f>
        <v>#DIV/0!</v>
      </c>
      <c r="R9" s="84" t="e">
        <f t="array" aca="1" ref="R9" ca="1">SUM(ABS(TRANSPOSE($B9:$E9)-N$4:N$7)^$L$11)</f>
        <v>#DIV/0!</v>
      </c>
      <c r="S9" s="98" t="e">
        <f t="shared" ca="1" si="0"/>
        <v>#DIV/0!</v>
      </c>
    </row>
    <row r="10" spans="2:19" x14ac:dyDescent="0.35">
      <c r="B10" s="44">
        <v>5</v>
      </c>
      <c r="C10" s="32">
        <v>2</v>
      </c>
      <c r="D10" s="32">
        <v>2</v>
      </c>
      <c r="E10" s="245">
        <v>1</v>
      </c>
      <c r="F10" s="32"/>
      <c r="G10" s="241">
        <v>1</v>
      </c>
      <c r="H10">
        <f t="shared" si="1"/>
        <v>7</v>
      </c>
      <c r="I10" s="98" t="e">
        <f ca="1"/>
        <v>#NAME?</v>
      </c>
      <c r="P10" s="83" t="e">
        <f t="array" aca="1" ref="P10" ca="1">SUM(ABS(TRANSPOSE($B10:$E10)-L$4:L$7)^$L$11)</f>
        <v>#DIV/0!</v>
      </c>
      <c r="Q10" t="e">
        <f t="array" aca="1" ref="Q10" ca="1">SUM(ABS(TRANSPOSE($B10:$E10)-M$4:M$7)^$L$11)</f>
        <v>#DIV/0!</v>
      </c>
      <c r="R10" s="84" t="e">
        <f t="array" aca="1" ref="R10" ca="1">SUM(ABS(TRANSPOSE($B10:$E10)-N$4:N$7)^$L$11)</f>
        <v>#DIV/0!</v>
      </c>
      <c r="S10" s="98" t="e">
        <f t="shared" ca="1" si="0"/>
        <v>#DIV/0!</v>
      </c>
    </row>
    <row r="11" spans="2:19" x14ac:dyDescent="0.35">
      <c r="B11" s="44">
        <v>1</v>
      </c>
      <c r="C11" s="32">
        <v>2</v>
      </c>
      <c r="D11" s="32">
        <v>4</v>
      </c>
      <c r="E11" s="245">
        <v>5</v>
      </c>
      <c r="F11" s="32"/>
      <c r="G11" s="241">
        <v>2</v>
      </c>
      <c r="H11">
        <f t="shared" si="1"/>
        <v>8</v>
      </c>
      <c r="I11" s="98" t="e">
        <f ca="1"/>
        <v>#NAME?</v>
      </c>
      <c r="K11" t="s">
        <v>859</v>
      </c>
      <c r="L11" s="137">
        <v>2</v>
      </c>
      <c r="P11" s="83" t="e">
        <f t="array" aca="1" ref="P11" ca="1">SUM(ABS(TRANSPOSE($B11:$E11)-L$4:L$7)^$L$11)</f>
        <v>#DIV/0!</v>
      </c>
      <c r="Q11" t="e">
        <f t="array" aca="1" ref="Q11" ca="1">SUM(ABS(TRANSPOSE($B11:$E11)-M$4:M$7)^$L$11)</f>
        <v>#DIV/0!</v>
      </c>
      <c r="R11" s="84" t="e">
        <f t="array" aca="1" ref="R11" ca="1">SUM(ABS(TRANSPOSE($B11:$E11)-N$4:N$7)^$L$11)</f>
        <v>#DIV/0!</v>
      </c>
      <c r="S11" s="98" t="e">
        <f t="shared" ca="1" si="0"/>
        <v>#DIV/0!</v>
      </c>
    </row>
    <row r="12" spans="2:19" x14ac:dyDescent="0.35">
      <c r="B12" s="44">
        <v>2</v>
      </c>
      <c r="C12" s="32">
        <v>1</v>
      </c>
      <c r="D12" s="32">
        <v>3</v>
      </c>
      <c r="E12" s="245">
        <v>4</v>
      </c>
      <c r="F12" s="32"/>
      <c r="G12" s="241">
        <v>3</v>
      </c>
      <c r="H12">
        <f t="shared" si="1"/>
        <v>9</v>
      </c>
      <c r="I12" s="98" t="e">
        <f ca="1"/>
        <v>#NAME?</v>
      </c>
      <c r="P12" s="83" t="e">
        <f t="array" aca="1" ref="P12" ca="1">SUM(ABS(TRANSPOSE($B12:$E12)-L$4:L$7)^$L$11)</f>
        <v>#DIV/0!</v>
      </c>
      <c r="Q12" t="e">
        <f t="array" aca="1" ref="Q12" ca="1">SUM(ABS(TRANSPOSE($B12:$E12)-M$4:M$7)^$L$11)</f>
        <v>#DIV/0!</v>
      </c>
      <c r="R12" s="84" t="e">
        <f t="array" aca="1" ref="R12" ca="1">SUM(ABS(TRANSPOSE($B12:$E12)-N$4:N$7)^$L$11)</f>
        <v>#DIV/0!</v>
      </c>
      <c r="S12" s="98" t="e">
        <f t="shared" ca="1" si="0"/>
        <v>#DIV/0!</v>
      </c>
    </row>
    <row r="13" spans="2:19" x14ac:dyDescent="0.35">
      <c r="B13" s="44">
        <v>4</v>
      </c>
      <c r="C13" s="32">
        <v>5</v>
      </c>
      <c r="D13" s="32">
        <v>4</v>
      </c>
      <c r="E13" s="245">
        <v>2</v>
      </c>
      <c r="F13" s="32"/>
      <c r="G13" s="241">
        <v>1</v>
      </c>
      <c r="H13">
        <f t="shared" si="1"/>
        <v>10</v>
      </c>
      <c r="I13" s="98" t="e">
        <f ca="1"/>
        <v>#NAME?</v>
      </c>
      <c r="K13" t="s">
        <v>860</v>
      </c>
      <c r="L13" s="412" t="s">
        <v>861</v>
      </c>
      <c r="P13" s="83" t="e">
        <f t="array" aca="1" ref="P13" ca="1">SUM(ABS(TRANSPOSE($B13:$E13)-L$4:L$7)^$L$11)</f>
        <v>#DIV/0!</v>
      </c>
      <c r="Q13" t="e">
        <f t="array" aca="1" ref="Q13" ca="1">SUM(ABS(TRANSPOSE($B13:$E13)-M$4:M$7)^$L$11)</f>
        <v>#DIV/0!</v>
      </c>
      <c r="R13" s="84" t="e">
        <f t="array" aca="1" ref="R13" ca="1">SUM(ABS(TRANSPOSE($B13:$E13)-N$4:N$7)^$L$11)</f>
        <v>#DIV/0!</v>
      </c>
      <c r="S13" s="98" t="e">
        <f t="shared" ca="1" si="0"/>
        <v>#DIV/0!</v>
      </c>
    </row>
    <row r="14" spans="2:19" x14ac:dyDescent="0.35">
      <c r="B14" s="44">
        <v>3</v>
      </c>
      <c r="C14" s="32">
        <v>3</v>
      </c>
      <c r="D14" s="32">
        <v>2</v>
      </c>
      <c r="E14" s="245">
        <v>4</v>
      </c>
      <c r="F14" s="32"/>
      <c r="G14" s="241">
        <v>2</v>
      </c>
      <c r="H14">
        <f t="shared" si="1"/>
        <v>11</v>
      </c>
      <c r="I14" s="98" t="e">
        <f ca="1"/>
        <v>#NAME?</v>
      </c>
      <c r="P14" s="83" t="e">
        <f t="array" aca="1" ref="P14" ca="1">SUM(ABS(TRANSPOSE($B14:$E14)-L$4:L$7)^$L$11)</f>
        <v>#DIV/0!</v>
      </c>
      <c r="Q14" t="e">
        <f t="array" aca="1" ref="Q14" ca="1">SUM(ABS(TRANSPOSE($B14:$E14)-M$4:M$7)^$L$11)</f>
        <v>#DIV/0!</v>
      </c>
      <c r="R14" s="84" t="e">
        <f t="array" aca="1" ref="R14" ca="1">SUM(ABS(TRANSPOSE($B14:$E14)-N$4:N$7)^$L$11)</f>
        <v>#DIV/0!</v>
      </c>
      <c r="S14" s="98" t="e">
        <f t="shared" ca="1" si="0"/>
        <v>#DIV/0!</v>
      </c>
    </row>
    <row r="15" spans="2:19" x14ac:dyDescent="0.35">
      <c r="B15" s="44">
        <v>3</v>
      </c>
      <c r="C15" s="32">
        <v>3</v>
      </c>
      <c r="D15" s="32">
        <v>5</v>
      </c>
      <c r="E15" s="245">
        <v>4</v>
      </c>
      <c r="F15" s="32"/>
      <c r="G15" s="241">
        <v>3</v>
      </c>
      <c r="H15">
        <f t="shared" si="1"/>
        <v>12</v>
      </c>
      <c r="I15" s="98" t="e">
        <f ca="1"/>
        <v>#NAME?</v>
      </c>
      <c r="K15" t="s">
        <v>862</v>
      </c>
      <c r="L15" s="137">
        <v>200</v>
      </c>
      <c r="P15" s="83" t="e">
        <f t="array" aca="1" ref="P15" ca="1">SUM(ABS(TRANSPOSE($B15:$E15)-L$4:L$7)^$L$11)</f>
        <v>#DIV/0!</v>
      </c>
      <c r="Q15" t="e">
        <f t="array" aca="1" ref="Q15" ca="1">SUM(ABS(TRANSPOSE($B15:$E15)-M$4:M$7)^$L$11)</f>
        <v>#DIV/0!</v>
      </c>
      <c r="R15" s="84" t="e">
        <f t="array" aca="1" ref="R15" ca="1">SUM(ABS(TRANSPOSE($B15:$E15)-N$4:N$7)^$L$11)</f>
        <v>#DIV/0!</v>
      </c>
      <c r="S15" s="98" t="e">
        <f t="shared" ca="1" si="0"/>
        <v>#DIV/0!</v>
      </c>
    </row>
    <row r="16" spans="2:19" x14ac:dyDescent="0.35">
      <c r="B16" s="44">
        <v>4</v>
      </c>
      <c r="C16" s="32">
        <v>1</v>
      </c>
      <c r="D16" s="32">
        <v>2</v>
      </c>
      <c r="E16" s="245">
        <v>3</v>
      </c>
      <c r="F16" s="32"/>
      <c r="G16" s="241">
        <v>1</v>
      </c>
      <c r="H16">
        <f t="shared" si="1"/>
        <v>13</v>
      </c>
      <c r="I16" s="98" t="e">
        <f ca="1"/>
        <v>#NAME?</v>
      </c>
      <c r="P16" s="83" t="e">
        <f t="array" aca="1" ref="P16" ca="1">SUM(ABS(TRANSPOSE($B16:$E16)-L$4:L$7)^$L$11)</f>
        <v>#DIV/0!</v>
      </c>
      <c r="Q16" t="e">
        <f t="array" aca="1" ref="Q16" ca="1">SUM(ABS(TRANSPOSE($B16:$E16)-M$4:M$7)^$L$11)</f>
        <v>#DIV/0!</v>
      </c>
      <c r="R16" s="84" t="e">
        <f t="array" aca="1" ref="R16" ca="1">SUM(ABS(TRANSPOSE($B16:$E16)-N$4:N$7)^$L$11)</f>
        <v>#DIV/0!</v>
      </c>
      <c r="S16" s="98" t="e">
        <f t="shared" ca="1" si="0"/>
        <v>#DIV/0!</v>
      </c>
    </row>
    <row r="17" spans="2:19" x14ac:dyDescent="0.35">
      <c r="B17" s="44">
        <v>0</v>
      </c>
      <c r="C17" s="32">
        <v>5</v>
      </c>
      <c r="D17" s="32">
        <v>5</v>
      </c>
      <c r="E17" s="245">
        <v>4</v>
      </c>
      <c r="F17" s="32"/>
      <c r="G17" s="241">
        <v>2</v>
      </c>
      <c r="H17">
        <f t="shared" si="1"/>
        <v>14</v>
      </c>
      <c r="I17" s="98" t="e">
        <f ca="1"/>
        <v>#NAME?</v>
      </c>
      <c r="K17" t="s">
        <v>588</v>
      </c>
      <c r="L17" s="137" t="e">
        <f ca="1">CLUST_Converge(B4:E18,I4:I18)</f>
        <v>#NAME?</v>
      </c>
      <c r="P17" s="83" t="e">
        <f t="array" aca="1" ref="P17" ca="1">SUM(ABS(TRANSPOSE($B17:$E17)-L$4:L$7)^$L$11)</f>
        <v>#DIV/0!</v>
      </c>
      <c r="Q17" t="e">
        <f t="array" aca="1" ref="Q17" ca="1">SUM(ABS(TRANSPOSE($B17:$E17)-M$4:M$7)^$L$11)</f>
        <v>#DIV/0!</v>
      </c>
      <c r="R17" s="84" t="e">
        <f t="array" aca="1" ref="R17" ca="1">SUM(ABS(TRANSPOSE($B17:$E17)-N$4:N$7)^$L$11)</f>
        <v>#DIV/0!</v>
      </c>
      <c r="S17" s="98" t="e">
        <f t="shared" ca="1" si="0"/>
        <v>#DIV/0!</v>
      </c>
    </row>
    <row r="18" spans="2:19" x14ac:dyDescent="0.35">
      <c r="B18" s="243">
        <v>5</v>
      </c>
      <c r="C18" s="267">
        <v>2</v>
      </c>
      <c r="D18" s="267">
        <v>4</v>
      </c>
      <c r="E18" s="218">
        <v>5</v>
      </c>
      <c r="F18" s="32"/>
      <c r="G18" s="244">
        <v>3</v>
      </c>
      <c r="H18">
        <f t="shared" si="1"/>
        <v>15</v>
      </c>
      <c r="I18" s="99" t="e">
        <f ca="1"/>
        <v>#NAME?</v>
      </c>
      <c r="P18" s="85" t="e">
        <f t="array" aca="1" ref="P18" ca="1">SUM(ABS(TRANSPOSE($B18:$E18)-L$4:L$7)^$L$11)</f>
        <v>#DIV/0!</v>
      </c>
      <c r="Q18" s="86" t="e">
        <f t="array" aca="1" ref="Q18" ca="1">SUM(ABS(TRANSPOSE($B18:$E18)-M$4:M$7)^$L$11)</f>
        <v>#DIV/0!</v>
      </c>
      <c r="R18" s="87" t="e">
        <f t="array" aca="1" ref="R18" ca="1">SUM(ABS(TRANSPOSE($B18:$E18)-N$4:N$7)^$L$11)</f>
        <v>#DIV/0!</v>
      </c>
      <c r="S18" s="99" t="e">
        <f t="shared" ca="1" si="0"/>
        <v>#DIV/0!</v>
      </c>
    </row>
    <row r="19" spans="2:19" x14ac:dyDescent="0.35">
      <c r="K19" t="s">
        <v>542</v>
      </c>
      <c r="L19" s="137" t="e">
        <f ca="1">SUM(S4:S18)</f>
        <v>#DIV/0!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1B93-861D-4913-9662-BC926F21BE5F}">
  <sheetPr codeName="Sheet89"/>
  <dimension ref="B1:Q19"/>
  <sheetViews>
    <sheetView workbookViewId="0"/>
  </sheetViews>
  <sheetFormatPr defaultRowHeight="14.5" x14ac:dyDescent="0.35"/>
  <cols>
    <col min="1" max="1" width="1.453125" customWidth="1"/>
    <col min="2" max="5" width="7.26953125" customWidth="1"/>
    <col min="9" max="9" width="11.54296875" customWidth="1"/>
  </cols>
  <sheetData>
    <row r="1" spans="2:17" x14ac:dyDescent="0.35">
      <c r="B1" s="42" t="s">
        <v>589</v>
      </c>
    </row>
    <row r="3" spans="2:17" x14ac:dyDescent="0.35">
      <c r="B3" s="32" t="s">
        <v>278</v>
      </c>
      <c r="C3" s="32" t="s">
        <v>390</v>
      </c>
      <c r="D3" s="32" t="s">
        <v>392</v>
      </c>
      <c r="E3" s="32" t="s">
        <v>591</v>
      </c>
      <c r="G3" s="32" t="s">
        <v>584</v>
      </c>
      <c r="I3" t="s">
        <v>585</v>
      </c>
      <c r="J3">
        <v>1</v>
      </c>
      <c r="K3">
        <f>J3+1</f>
        <v>2</v>
      </c>
      <c r="L3">
        <f>K3+1</f>
        <v>3</v>
      </c>
      <c r="N3">
        <v>1</v>
      </c>
      <c r="O3">
        <f>N3+1</f>
        <v>2</v>
      </c>
      <c r="P3">
        <f>O3+1</f>
        <v>3</v>
      </c>
      <c r="Q3" s="47" t="s">
        <v>853</v>
      </c>
    </row>
    <row r="4" spans="2:17" x14ac:dyDescent="0.35">
      <c r="B4" s="236">
        <v>1</v>
      </c>
      <c r="C4" s="145">
        <v>4</v>
      </c>
      <c r="D4" s="145">
        <v>0</v>
      </c>
      <c r="E4" s="237">
        <v>3</v>
      </c>
      <c r="F4">
        <v>1</v>
      </c>
      <c r="G4" s="132" t="e">
        <f t="array" aca="1" ref="G4:G18" ca="1">ClustAnal(B4:E18,J9,J13,J11,,J15)</f>
        <v>#NAME?</v>
      </c>
      <c r="I4" t="s">
        <v>854</v>
      </c>
      <c r="J4" s="149" t="e">
        <f ca="1">AVERAGEIF($G$4:$G$18,J$3,$B$4:$B$18)</f>
        <v>#DIV/0!</v>
      </c>
      <c r="K4" s="141" t="e">
        <f ca="1">AVERAGEIF($G$4:$G$18,K$3,$B$4:$B$18)</f>
        <v>#DIV/0!</v>
      </c>
      <c r="L4" s="150" t="e">
        <f ca="1">AVERAGEIF($G$4:$G$18,L$3,$B$4:$B$18)</f>
        <v>#DIV/0!</v>
      </c>
      <c r="N4" s="149" t="e">
        <f t="array" aca="1" ref="N4" ca="1">SUM(ABS(TRANSPOSE($B4:$E4)-J$4:J$7)^$J$11)</f>
        <v>#DIV/0!</v>
      </c>
      <c r="O4" s="141" t="e">
        <f t="array" aca="1" ref="O4" ca="1">SUM(ABS(TRANSPOSE($B4:$E4)-K$4:K$7)^$J$11)</f>
        <v>#DIV/0!</v>
      </c>
      <c r="P4" s="150" t="e">
        <f t="array" aca="1" ref="P4" ca="1">SUM(ABS(TRANSPOSE($B4:$E4)-L$4:L$7)^$J$11)</f>
        <v>#DIV/0!</v>
      </c>
      <c r="Q4" s="132" t="e">
        <f ca="1">MIN(N4:P4)</f>
        <v>#DIV/0!</v>
      </c>
    </row>
    <row r="5" spans="2:17" x14ac:dyDescent="0.35">
      <c r="B5" s="44">
        <v>2</v>
      </c>
      <c r="C5" s="32">
        <v>5</v>
      </c>
      <c r="D5" s="32">
        <v>3</v>
      </c>
      <c r="E5" s="245">
        <v>4</v>
      </c>
      <c r="F5">
        <f>F4+1</f>
        <v>2</v>
      </c>
      <c r="G5" s="98" t="e">
        <f ca="1"/>
        <v>#NAME?</v>
      </c>
      <c r="I5" t="s">
        <v>855</v>
      </c>
      <c r="J5" s="83" t="e">
        <f ca="1">AVERAGEIF($G$4:$G$18,J$3,$C$4:$C$18)</f>
        <v>#DIV/0!</v>
      </c>
      <c r="K5" t="e">
        <f ca="1">AVERAGEIF($G$4:$G$18,K$3,$C$4:$C$18)</f>
        <v>#DIV/0!</v>
      </c>
      <c r="L5" s="84" t="e">
        <f ca="1">AVERAGEIF($G$4:$G$18,L$3,$C$4:$C$18)</f>
        <v>#DIV/0!</v>
      </c>
      <c r="N5" s="83" t="e">
        <f t="array" aca="1" ref="N5" ca="1">SUM(ABS(TRANSPOSE($B5:$E5)-J$4:J$7)^$J$11)</f>
        <v>#DIV/0!</v>
      </c>
      <c r="O5" t="e">
        <f t="array" aca="1" ref="O5" ca="1">SUM(ABS(TRANSPOSE($B5:$E5)-K$4:K$7)^$J$11)</f>
        <v>#DIV/0!</v>
      </c>
      <c r="P5" s="84" t="e">
        <f t="array" aca="1" ref="P5" ca="1">SUM(ABS(TRANSPOSE($B5:$E5)-L$4:L$7)^$J$11)</f>
        <v>#DIV/0!</v>
      </c>
      <c r="Q5" s="98" t="e">
        <f t="shared" ref="Q5:Q18" ca="1" si="0">MIN(N5:P5)</f>
        <v>#DIV/0!</v>
      </c>
    </row>
    <row r="6" spans="2:17" x14ac:dyDescent="0.35">
      <c r="B6" s="44">
        <v>4</v>
      </c>
      <c r="C6" s="32">
        <v>2</v>
      </c>
      <c r="D6" s="32">
        <v>1</v>
      </c>
      <c r="E6" s="245">
        <v>2</v>
      </c>
      <c r="F6">
        <f t="shared" ref="F6:F18" si="1">F5+1</f>
        <v>3</v>
      </c>
      <c r="G6" s="98" t="e">
        <f ca="1"/>
        <v>#NAME?</v>
      </c>
      <c r="I6" t="s">
        <v>856</v>
      </c>
      <c r="J6" s="83" t="e">
        <f ca="1">AVERAGEIF($G$4:$G$18,J$3,$D$4:$D$18)</f>
        <v>#DIV/0!</v>
      </c>
      <c r="K6" t="e">
        <f ca="1">AVERAGEIF($G$4:$G$18,K$3,$D$4:$D$18)</f>
        <v>#DIV/0!</v>
      </c>
      <c r="L6" s="84" t="e">
        <f ca="1">AVERAGEIF($G$4:$G$18,L$3,$D$4:$D$18)</f>
        <v>#DIV/0!</v>
      </c>
      <c r="N6" s="83" t="e">
        <f t="array" aca="1" ref="N6" ca="1">SUM(ABS(TRANSPOSE($B6:$E6)-J$4:J$7)^$J$11)</f>
        <v>#DIV/0!</v>
      </c>
      <c r="O6" t="e">
        <f t="array" aca="1" ref="O6" ca="1">SUM(ABS(TRANSPOSE($B6:$E6)-K$4:K$7)^$J$11)</f>
        <v>#DIV/0!</v>
      </c>
      <c r="P6" s="84" t="e">
        <f t="array" aca="1" ref="P6" ca="1">SUM(ABS(TRANSPOSE($B6:$E6)-L$4:L$7)^$J$11)</f>
        <v>#DIV/0!</v>
      </c>
      <c r="Q6" s="98" t="e">
        <f t="shared" ca="1" si="0"/>
        <v>#DIV/0!</v>
      </c>
    </row>
    <row r="7" spans="2:17" x14ac:dyDescent="0.35">
      <c r="B7" s="44">
        <v>1</v>
      </c>
      <c r="C7" s="32">
        <v>0</v>
      </c>
      <c r="D7" s="32">
        <v>5</v>
      </c>
      <c r="E7" s="245">
        <v>3</v>
      </c>
      <c r="F7" s="47">
        <f t="shared" si="1"/>
        <v>4</v>
      </c>
      <c r="G7" s="98" t="e">
        <f ca="1"/>
        <v>#NAME?</v>
      </c>
      <c r="I7" t="s">
        <v>857</v>
      </c>
      <c r="J7" s="85" t="e">
        <f ca="1">AVERAGEIF($G$4:$G$18,J$3,$E$4:$E$18)</f>
        <v>#DIV/0!</v>
      </c>
      <c r="K7" s="86" t="e">
        <f ca="1">AVERAGEIF($G$4:$G$18,K$3,$E$4:$E$18)</f>
        <v>#DIV/0!</v>
      </c>
      <c r="L7" s="87" t="e">
        <f ca="1">AVERAGEIF($G$4:$G$18,L$3,$E$4:$E$18)</f>
        <v>#DIV/0!</v>
      </c>
      <c r="N7" s="83" t="e">
        <f t="array" aca="1" ref="N7" ca="1">SUM(ABS(TRANSPOSE($B7:$E7)-J$4:J$7)^$J$11)</f>
        <v>#DIV/0!</v>
      </c>
      <c r="O7" t="e">
        <f t="array" aca="1" ref="O7" ca="1">SUM(ABS(TRANSPOSE($B7:$E7)-K$4:K$7)^$J$11)</f>
        <v>#DIV/0!</v>
      </c>
      <c r="P7" s="84" t="e">
        <f t="array" aca="1" ref="P7" ca="1">SUM(ABS(TRANSPOSE($B7:$E7)-L$4:L$7)^$J$11)</f>
        <v>#DIV/0!</v>
      </c>
      <c r="Q7" s="98" t="e">
        <f t="shared" ca="1" si="0"/>
        <v>#DIV/0!</v>
      </c>
    </row>
    <row r="8" spans="2:17" x14ac:dyDescent="0.35">
      <c r="B8" s="44">
        <v>2</v>
      </c>
      <c r="C8" s="32">
        <v>1</v>
      </c>
      <c r="D8" s="32">
        <v>1</v>
      </c>
      <c r="E8" s="245">
        <v>4</v>
      </c>
      <c r="F8">
        <f t="shared" si="1"/>
        <v>5</v>
      </c>
      <c r="G8" s="98" t="e">
        <f ca="1"/>
        <v>#NAME?</v>
      </c>
      <c r="N8" s="83" t="e">
        <f t="array" aca="1" ref="N8" ca="1">SUM(ABS(TRANSPOSE($B8:$E8)-J$4:J$7)^$J$11)</f>
        <v>#DIV/0!</v>
      </c>
      <c r="O8" t="e">
        <f t="array" aca="1" ref="O8" ca="1">SUM(ABS(TRANSPOSE($B8:$E8)-K$4:K$7)^$J$11)</f>
        <v>#DIV/0!</v>
      </c>
      <c r="P8" s="84" t="e">
        <f t="array" aca="1" ref="P8" ca="1">SUM(ABS(TRANSPOSE($B8:$E8)-L$4:L$7)^$J$11)</f>
        <v>#DIV/0!</v>
      </c>
      <c r="Q8" s="98" t="e">
        <f t="shared" ca="1" si="0"/>
        <v>#DIV/0!</v>
      </c>
    </row>
    <row r="9" spans="2:17" x14ac:dyDescent="0.35">
      <c r="B9" s="44">
        <v>4</v>
      </c>
      <c r="C9" s="32">
        <v>3</v>
      </c>
      <c r="D9" s="32">
        <v>3</v>
      </c>
      <c r="E9" s="245">
        <v>0</v>
      </c>
      <c r="F9">
        <f t="shared" si="1"/>
        <v>6</v>
      </c>
      <c r="G9" s="98" t="e">
        <f ca="1"/>
        <v>#NAME?</v>
      </c>
      <c r="I9" t="s">
        <v>858</v>
      </c>
      <c r="J9" s="137">
        <v>3</v>
      </c>
      <c r="N9" s="83" t="e">
        <f t="array" aca="1" ref="N9" ca="1">SUM(ABS(TRANSPOSE($B9:$E9)-J$4:J$7)^$J$11)</f>
        <v>#DIV/0!</v>
      </c>
      <c r="O9" t="e">
        <f t="array" aca="1" ref="O9" ca="1">SUM(ABS(TRANSPOSE($B9:$E9)-K$4:K$7)^$J$11)</f>
        <v>#DIV/0!</v>
      </c>
      <c r="P9" s="84" t="e">
        <f t="array" aca="1" ref="P9" ca="1">SUM(ABS(TRANSPOSE($B9:$E9)-L$4:L$7)^$J$11)</f>
        <v>#DIV/0!</v>
      </c>
      <c r="Q9" s="98" t="e">
        <f t="shared" ca="1" si="0"/>
        <v>#DIV/0!</v>
      </c>
    </row>
    <row r="10" spans="2:17" x14ac:dyDescent="0.35">
      <c r="B10" s="44">
        <v>5</v>
      </c>
      <c r="C10" s="32">
        <v>2</v>
      </c>
      <c r="D10" s="32">
        <v>2</v>
      </c>
      <c r="E10" s="245">
        <v>1</v>
      </c>
      <c r="F10">
        <f t="shared" si="1"/>
        <v>7</v>
      </c>
      <c r="G10" s="98" t="e">
        <f ca="1"/>
        <v>#NAME?</v>
      </c>
      <c r="N10" s="83" t="e">
        <f t="array" aca="1" ref="N10" ca="1">SUM(ABS(TRANSPOSE($B10:$E10)-J$4:J$7)^$J$11)</f>
        <v>#DIV/0!</v>
      </c>
      <c r="O10" t="e">
        <f t="array" aca="1" ref="O10" ca="1">SUM(ABS(TRANSPOSE($B10:$E10)-K$4:K$7)^$J$11)</f>
        <v>#DIV/0!</v>
      </c>
      <c r="P10" s="84" t="e">
        <f t="array" aca="1" ref="P10" ca="1">SUM(ABS(TRANSPOSE($B10:$E10)-L$4:L$7)^$J$11)</f>
        <v>#DIV/0!</v>
      </c>
      <c r="Q10" s="98" t="e">
        <f t="shared" ca="1" si="0"/>
        <v>#DIV/0!</v>
      </c>
    </row>
    <row r="11" spans="2:17" x14ac:dyDescent="0.35">
      <c r="B11" s="44">
        <v>1</v>
      </c>
      <c r="C11" s="32">
        <v>2</v>
      </c>
      <c r="D11" s="32">
        <v>4</v>
      </c>
      <c r="E11" s="245">
        <v>5</v>
      </c>
      <c r="F11">
        <f t="shared" si="1"/>
        <v>8</v>
      </c>
      <c r="G11" s="98" t="e">
        <f ca="1"/>
        <v>#NAME?</v>
      </c>
      <c r="I11" t="s">
        <v>859</v>
      </c>
      <c r="J11" s="137">
        <v>2</v>
      </c>
      <c r="N11" s="83" t="e">
        <f t="array" aca="1" ref="N11" ca="1">SUM(ABS(TRANSPOSE($B11:$E11)-J$4:J$7)^$J$11)</f>
        <v>#DIV/0!</v>
      </c>
      <c r="O11" t="e">
        <f t="array" aca="1" ref="O11" ca="1">SUM(ABS(TRANSPOSE($B11:$E11)-K$4:K$7)^$J$11)</f>
        <v>#DIV/0!</v>
      </c>
      <c r="P11" s="84" t="e">
        <f t="array" aca="1" ref="P11" ca="1">SUM(ABS(TRANSPOSE($B11:$E11)-L$4:L$7)^$J$11)</f>
        <v>#DIV/0!</v>
      </c>
      <c r="Q11" s="98" t="e">
        <f t="shared" ca="1" si="0"/>
        <v>#DIV/0!</v>
      </c>
    </row>
    <row r="12" spans="2:17" x14ac:dyDescent="0.35">
      <c r="B12" s="44">
        <v>2</v>
      </c>
      <c r="C12" s="32">
        <v>1</v>
      </c>
      <c r="D12" s="32">
        <v>3</v>
      </c>
      <c r="E12" s="245">
        <v>4</v>
      </c>
      <c r="F12">
        <f t="shared" si="1"/>
        <v>9</v>
      </c>
      <c r="G12" s="98" t="e">
        <f ca="1"/>
        <v>#NAME?</v>
      </c>
      <c r="N12" s="83" t="e">
        <f t="array" aca="1" ref="N12" ca="1">SUM(ABS(TRANSPOSE($B12:$E12)-J$4:J$7)^$J$11)</f>
        <v>#DIV/0!</v>
      </c>
      <c r="O12" t="e">
        <f t="array" aca="1" ref="O12" ca="1">SUM(ABS(TRANSPOSE($B12:$E12)-K$4:K$7)^$J$11)</f>
        <v>#DIV/0!</v>
      </c>
      <c r="P12" s="84" t="e">
        <f t="array" aca="1" ref="P12" ca="1">SUM(ABS(TRANSPOSE($B12:$E12)-L$4:L$7)^$J$11)</f>
        <v>#DIV/0!</v>
      </c>
      <c r="Q12" s="98" t="e">
        <f t="shared" ca="1" si="0"/>
        <v>#DIV/0!</v>
      </c>
    </row>
    <row r="13" spans="2:17" x14ac:dyDescent="0.35">
      <c r="B13" s="44">
        <v>4</v>
      </c>
      <c r="C13" s="32">
        <v>5</v>
      </c>
      <c r="D13" s="32">
        <v>4</v>
      </c>
      <c r="E13" s="245">
        <v>2</v>
      </c>
      <c r="F13">
        <f t="shared" si="1"/>
        <v>10</v>
      </c>
      <c r="G13" s="98" t="e">
        <f ca="1"/>
        <v>#NAME?</v>
      </c>
      <c r="I13" t="s">
        <v>860</v>
      </c>
      <c r="J13" s="137">
        <v>40</v>
      </c>
      <c r="N13" s="83" t="e">
        <f t="array" aca="1" ref="N13" ca="1">SUM(ABS(TRANSPOSE($B13:$E13)-J$4:J$7)^$J$11)</f>
        <v>#DIV/0!</v>
      </c>
      <c r="O13" t="e">
        <f t="array" aca="1" ref="O13" ca="1">SUM(ABS(TRANSPOSE($B13:$E13)-K$4:K$7)^$J$11)</f>
        <v>#DIV/0!</v>
      </c>
      <c r="P13" s="84" t="e">
        <f t="array" aca="1" ref="P13" ca="1">SUM(ABS(TRANSPOSE($B13:$E13)-L$4:L$7)^$J$11)</f>
        <v>#DIV/0!</v>
      </c>
      <c r="Q13" s="98" t="e">
        <f t="shared" ca="1" si="0"/>
        <v>#DIV/0!</v>
      </c>
    </row>
    <row r="14" spans="2:17" x14ac:dyDescent="0.35">
      <c r="B14" s="44">
        <v>3</v>
      </c>
      <c r="C14" s="32">
        <v>3</v>
      </c>
      <c r="D14" s="32">
        <v>2</v>
      </c>
      <c r="E14" s="245">
        <v>4</v>
      </c>
      <c r="F14">
        <f t="shared" si="1"/>
        <v>11</v>
      </c>
      <c r="G14" s="98" t="e">
        <f ca="1"/>
        <v>#NAME?</v>
      </c>
      <c r="N14" s="83" t="e">
        <f t="array" aca="1" ref="N14" ca="1">SUM(ABS(TRANSPOSE($B14:$E14)-J$4:J$7)^$J$11)</f>
        <v>#DIV/0!</v>
      </c>
      <c r="O14" t="e">
        <f t="array" aca="1" ref="O14" ca="1">SUM(ABS(TRANSPOSE($B14:$E14)-K$4:K$7)^$J$11)</f>
        <v>#DIV/0!</v>
      </c>
      <c r="P14" s="84" t="e">
        <f t="array" aca="1" ref="P14" ca="1">SUM(ABS(TRANSPOSE($B14:$E14)-L$4:L$7)^$J$11)</f>
        <v>#DIV/0!</v>
      </c>
      <c r="Q14" s="98" t="e">
        <f t="shared" ca="1" si="0"/>
        <v>#DIV/0!</v>
      </c>
    </row>
    <row r="15" spans="2:17" x14ac:dyDescent="0.35">
      <c r="B15" s="44">
        <v>3</v>
      </c>
      <c r="C15" s="32">
        <v>3</v>
      </c>
      <c r="D15" s="32">
        <v>5</v>
      </c>
      <c r="E15" s="245">
        <v>4</v>
      </c>
      <c r="F15">
        <f t="shared" si="1"/>
        <v>12</v>
      </c>
      <c r="G15" s="98" t="e">
        <f ca="1"/>
        <v>#NAME?</v>
      </c>
      <c r="I15" t="s">
        <v>862</v>
      </c>
      <c r="J15" s="137">
        <v>200</v>
      </c>
      <c r="N15" s="83" t="e">
        <f t="array" aca="1" ref="N15" ca="1">SUM(ABS(TRANSPOSE($B15:$E15)-J$4:J$7)^$J$11)</f>
        <v>#DIV/0!</v>
      </c>
      <c r="O15" t="e">
        <f t="array" aca="1" ref="O15" ca="1">SUM(ABS(TRANSPOSE($B15:$E15)-K$4:K$7)^$J$11)</f>
        <v>#DIV/0!</v>
      </c>
      <c r="P15" s="84" t="e">
        <f t="array" aca="1" ref="P15" ca="1">SUM(ABS(TRANSPOSE($B15:$E15)-L$4:L$7)^$J$11)</f>
        <v>#DIV/0!</v>
      </c>
      <c r="Q15" s="98" t="e">
        <f t="shared" ca="1" si="0"/>
        <v>#DIV/0!</v>
      </c>
    </row>
    <row r="16" spans="2:17" x14ac:dyDescent="0.35">
      <c r="B16" s="44">
        <v>4</v>
      </c>
      <c r="C16" s="32">
        <v>1</v>
      </c>
      <c r="D16" s="32">
        <v>2</v>
      </c>
      <c r="E16" s="245">
        <v>3</v>
      </c>
      <c r="F16">
        <f t="shared" si="1"/>
        <v>13</v>
      </c>
      <c r="G16" s="98" t="e">
        <f ca="1"/>
        <v>#NAME?</v>
      </c>
      <c r="N16" s="83" t="e">
        <f t="array" aca="1" ref="N16" ca="1">SUM(ABS(TRANSPOSE($B16:$E16)-J$4:J$7)^$J$11)</f>
        <v>#DIV/0!</v>
      </c>
      <c r="O16" t="e">
        <f t="array" aca="1" ref="O16" ca="1">SUM(ABS(TRANSPOSE($B16:$E16)-K$4:K$7)^$J$11)</f>
        <v>#DIV/0!</v>
      </c>
      <c r="P16" s="84" t="e">
        <f t="array" aca="1" ref="P16" ca="1">SUM(ABS(TRANSPOSE($B16:$E16)-L$4:L$7)^$J$11)</f>
        <v>#DIV/0!</v>
      </c>
      <c r="Q16" s="98" t="e">
        <f t="shared" ca="1" si="0"/>
        <v>#DIV/0!</v>
      </c>
    </row>
    <row r="17" spans="2:17" x14ac:dyDescent="0.35">
      <c r="B17" s="44">
        <v>0</v>
      </c>
      <c r="C17" s="32">
        <v>5</v>
      </c>
      <c r="D17" s="32">
        <v>5</v>
      </c>
      <c r="E17" s="245">
        <v>4</v>
      </c>
      <c r="F17">
        <f t="shared" si="1"/>
        <v>14</v>
      </c>
      <c r="G17" s="98" t="e">
        <f ca="1"/>
        <v>#NAME?</v>
      </c>
      <c r="I17" t="s">
        <v>588</v>
      </c>
      <c r="J17" s="137" t="e">
        <f ca="1">CLUST_Converge(B4:E18,G4:G18)</f>
        <v>#NAME?</v>
      </c>
      <c r="N17" s="83" t="e">
        <f t="array" aca="1" ref="N17" ca="1">SUM(ABS(TRANSPOSE($B17:$E17)-J$4:J$7)^$J$11)</f>
        <v>#DIV/0!</v>
      </c>
      <c r="O17" t="e">
        <f t="array" aca="1" ref="O17" ca="1">SUM(ABS(TRANSPOSE($B17:$E17)-K$4:K$7)^$J$11)</f>
        <v>#DIV/0!</v>
      </c>
      <c r="P17" s="84" t="e">
        <f t="array" aca="1" ref="P17" ca="1">SUM(ABS(TRANSPOSE($B17:$E17)-L$4:L$7)^$J$11)</f>
        <v>#DIV/0!</v>
      </c>
      <c r="Q17" s="98" t="e">
        <f t="shared" ca="1" si="0"/>
        <v>#DIV/0!</v>
      </c>
    </row>
    <row r="18" spans="2:17" x14ac:dyDescent="0.35">
      <c r="B18" s="243">
        <v>5</v>
      </c>
      <c r="C18" s="267">
        <v>2</v>
      </c>
      <c r="D18" s="267">
        <v>4</v>
      </c>
      <c r="E18" s="218">
        <v>5</v>
      </c>
      <c r="F18">
        <f t="shared" si="1"/>
        <v>15</v>
      </c>
      <c r="G18" s="99" t="e">
        <f ca="1"/>
        <v>#NAME?</v>
      </c>
      <c r="N18" s="85" t="e">
        <f t="array" aca="1" ref="N18" ca="1">SUM(ABS(TRANSPOSE($B18:$E18)-J$4:J$7)^$J$11)</f>
        <v>#DIV/0!</v>
      </c>
      <c r="O18" s="86" t="e">
        <f t="array" aca="1" ref="O18" ca="1">SUM(ABS(TRANSPOSE($B18:$E18)-K$4:K$7)^$J$11)</f>
        <v>#DIV/0!</v>
      </c>
      <c r="P18" s="87" t="e">
        <f t="array" aca="1" ref="P18" ca="1">SUM(ABS(TRANSPOSE($B18:$E18)-L$4:L$7)^$J$11)</f>
        <v>#DIV/0!</v>
      </c>
      <c r="Q18" s="99" t="e">
        <f t="shared" ca="1" si="0"/>
        <v>#DIV/0!</v>
      </c>
    </row>
    <row r="19" spans="2:17" x14ac:dyDescent="0.35">
      <c r="I19" t="s">
        <v>542</v>
      </c>
      <c r="J19" s="137" t="e">
        <f ca="1">SUM(Q4:Q18)</f>
        <v>#DIV/0!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4C03-5004-419A-A36F-89D0E318181E}">
  <sheetPr codeName="Sheet90"/>
  <dimension ref="B1:U20"/>
  <sheetViews>
    <sheetView workbookViewId="0">
      <selection activeCell="L19" sqref="L19"/>
    </sheetView>
  </sheetViews>
  <sheetFormatPr defaultRowHeight="14.5" x14ac:dyDescent="0.35"/>
  <cols>
    <col min="1" max="1" width="1.453125" customWidth="1"/>
    <col min="2" max="5" width="7.26953125" customWidth="1"/>
    <col min="6" max="6" width="5.1796875" customWidth="1"/>
    <col min="7" max="7" width="6" customWidth="1"/>
    <col min="13" max="13" width="12" customWidth="1"/>
  </cols>
  <sheetData>
    <row r="1" spans="2:21" x14ac:dyDescent="0.35">
      <c r="B1" s="42" t="s">
        <v>589</v>
      </c>
    </row>
    <row r="3" spans="2:21" x14ac:dyDescent="0.35">
      <c r="B3" s="32" t="s">
        <v>278</v>
      </c>
      <c r="C3" s="32" t="s">
        <v>390</v>
      </c>
      <c r="D3" s="32" t="s">
        <v>392</v>
      </c>
      <c r="E3" s="32" t="s">
        <v>591</v>
      </c>
      <c r="H3" s="32" t="s">
        <v>863</v>
      </c>
      <c r="K3" s="32" t="s">
        <v>584</v>
      </c>
      <c r="M3" t="s">
        <v>585</v>
      </c>
      <c r="N3">
        <v>1</v>
      </c>
      <c r="O3">
        <f>N3+1</f>
        <v>2</v>
      </c>
      <c r="P3">
        <f>O3+1</f>
        <v>3</v>
      </c>
      <c r="R3">
        <v>1</v>
      </c>
      <c r="S3">
        <f>R3+1</f>
        <v>2</v>
      </c>
      <c r="T3">
        <f>S3+1</f>
        <v>3</v>
      </c>
      <c r="U3" s="47" t="s">
        <v>853</v>
      </c>
    </row>
    <row r="4" spans="2:21" x14ac:dyDescent="0.35">
      <c r="B4" s="236">
        <v>1</v>
      </c>
      <c r="C4" s="145">
        <v>4</v>
      </c>
      <c r="D4" s="145">
        <v>0</v>
      </c>
      <c r="E4" s="237">
        <v>3</v>
      </c>
      <c r="G4" s="32" t="str">
        <f t="array" ref="G4:G7">TRANSPOSE(B3:E3)</f>
        <v>W</v>
      </c>
      <c r="H4" s="238">
        <f t="array" ref="H4:H7">TRANSPOSE(B20:E20)</f>
        <v>1</v>
      </c>
      <c r="J4">
        <v>1</v>
      </c>
      <c r="K4" s="132" t="e">
        <f t="array" aca="1" ref="K4:K18" ca="1">ClustAnal(B4:E18,N9,N13,N11,H4:H7,N15)</f>
        <v>#NAME?</v>
      </c>
      <c r="M4" t="s">
        <v>854</v>
      </c>
      <c r="N4" s="149" t="e">
        <f ca="1">AVERAGEIF($K$4:$K$18,N$3,$B$4:$B$18)</f>
        <v>#DIV/0!</v>
      </c>
      <c r="O4" s="141" t="e">
        <f t="shared" ref="O4:P4" ca="1" si="0">AVERAGEIF($K$4:$K$18,O$3,$B$4:$B$18)</f>
        <v>#DIV/0!</v>
      </c>
      <c r="P4" s="150" t="e">
        <f t="shared" ca="1" si="0"/>
        <v>#DIV/0!</v>
      </c>
      <c r="R4" s="149" t="e">
        <f t="array" aca="1" ref="R4" ca="1">SUM($H$4:$H$7*ABS(TRANSPOSE($B4:$E4)-N$4:N$7)^$N$11)</f>
        <v>#DIV/0!</v>
      </c>
      <c r="S4" s="141" t="e">
        <f t="array" aca="1" ref="S4" ca="1">SUM($H$4:$H$7*ABS(TRANSPOSE($B4:$E4)-O$4:O$7)^$N$11)</f>
        <v>#DIV/0!</v>
      </c>
      <c r="T4" s="150" t="e">
        <f t="array" aca="1" ref="T4" ca="1">SUM($H$4:$H$7*ABS(TRANSPOSE($B4:$E4)-P$4:P$7)^$N$11)</f>
        <v>#DIV/0!</v>
      </c>
      <c r="U4" s="132" t="e">
        <f ca="1">MIN(R4:T4)</f>
        <v>#DIV/0!</v>
      </c>
    </row>
    <row r="5" spans="2:21" x14ac:dyDescent="0.35">
      <c r="B5" s="44">
        <v>2</v>
      </c>
      <c r="C5" s="32">
        <v>5</v>
      </c>
      <c r="D5" s="32">
        <v>3</v>
      </c>
      <c r="E5" s="245">
        <v>4</v>
      </c>
      <c r="G5" s="32" t="str">
        <v>X</v>
      </c>
      <c r="H5" s="241">
        <v>2</v>
      </c>
      <c r="J5">
        <f>J4+1</f>
        <v>2</v>
      </c>
      <c r="K5" s="98" t="e">
        <f ca="1"/>
        <v>#NAME?</v>
      </c>
      <c r="M5" t="s">
        <v>855</v>
      </c>
      <c r="N5" s="83" t="e">
        <f ca="1">AVERAGEIF($K$4:$K$18,N$3,$C$4:$C$18)</f>
        <v>#DIV/0!</v>
      </c>
      <c r="O5" t="e">
        <f t="shared" ref="O5:P5" ca="1" si="1">AVERAGEIF($K$4:$K$18,O$3,$C$4:$C$18)</f>
        <v>#DIV/0!</v>
      </c>
      <c r="P5" s="84" t="e">
        <f t="shared" ca="1" si="1"/>
        <v>#DIV/0!</v>
      </c>
      <c r="R5" s="83" t="e">
        <f t="array" aca="1" ref="R5" ca="1">SUM($H$4:$H$7*ABS(TRANSPOSE($B5:$E5)-N$4:N$7)^$N$11)</f>
        <v>#DIV/0!</v>
      </c>
      <c r="S5" t="e">
        <f t="array" aca="1" ref="S5" ca="1">SUM($H$4:$H$7*ABS(TRANSPOSE($B5:$E5)-O$4:O$7)^$N$11)</f>
        <v>#DIV/0!</v>
      </c>
      <c r="T5" s="84" t="e">
        <f t="array" aca="1" ref="T5" ca="1">SUM($H$4:$H$7*ABS(TRANSPOSE($B5:$E5)-P$4:P$7)^$N$11)</f>
        <v>#DIV/0!</v>
      </c>
      <c r="U5" s="98" t="e">
        <f t="shared" ref="U5:U18" ca="1" si="2">MIN(R5:T5)</f>
        <v>#DIV/0!</v>
      </c>
    </row>
    <row r="6" spans="2:21" x14ac:dyDescent="0.35">
      <c r="B6" s="44">
        <v>4</v>
      </c>
      <c r="C6" s="32">
        <v>2</v>
      </c>
      <c r="D6" s="32">
        <v>1</v>
      </c>
      <c r="E6" s="245">
        <v>2</v>
      </c>
      <c r="G6" s="32" t="str">
        <v>Y</v>
      </c>
      <c r="H6" s="241">
        <v>3</v>
      </c>
      <c r="J6">
        <f t="shared" ref="J6:J18" si="3">J5+1</f>
        <v>3</v>
      </c>
      <c r="K6" s="98" t="e">
        <f ca="1"/>
        <v>#NAME?</v>
      </c>
      <c r="M6" t="s">
        <v>856</v>
      </c>
      <c r="N6" s="83" t="e">
        <f ca="1">AVERAGEIF($K$4:$K$18,N$3,$D$4:$D$18)</f>
        <v>#DIV/0!</v>
      </c>
      <c r="O6" t="e">
        <f t="shared" ref="O6:P6" ca="1" si="4">AVERAGEIF($K$4:$K$18,O$3,$D$4:$D$18)</f>
        <v>#DIV/0!</v>
      </c>
      <c r="P6" s="84" t="e">
        <f t="shared" ca="1" si="4"/>
        <v>#DIV/0!</v>
      </c>
      <c r="R6" s="83" t="e">
        <f t="array" aca="1" ref="R6" ca="1">SUM($H$4:$H$7*ABS(TRANSPOSE($B6:$E6)-N$4:N$7)^$N$11)</f>
        <v>#DIV/0!</v>
      </c>
      <c r="S6" t="e">
        <f t="array" aca="1" ref="S6" ca="1">SUM($H$4:$H$7*ABS(TRANSPOSE($B6:$E6)-O$4:O$7)^$N$11)</f>
        <v>#DIV/0!</v>
      </c>
      <c r="T6" s="84" t="e">
        <f t="array" aca="1" ref="T6" ca="1">SUM($H$4:$H$7*ABS(TRANSPOSE($B6:$E6)-P$4:P$7)^$N$11)</f>
        <v>#DIV/0!</v>
      </c>
      <c r="U6" s="98" t="e">
        <f t="shared" ca="1" si="2"/>
        <v>#DIV/0!</v>
      </c>
    </row>
    <row r="7" spans="2:21" x14ac:dyDescent="0.35">
      <c r="B7" s="44">
        <v>1</v>
      </c>
      <c r="C7" s="32">
        <v>0</v>
      </c>
      <c r="D7" s="32">
        <v>5</v>
      </c>
      <c r="E7" s="245">
        <v>3</v>
      </c>
      <c r="G7" s="32" t="str">
        <v>Z</v>
      </c>
      <c r="H7" s="247">
        <v>4</v>
      </c>
      <c r="J7" s="47">
        <f t="shared" si="3"/>
        <v>4</v>
      </c>
      <c r="K7" s="98" t="e">
        <f ca="1"/>
        <v>#NAME?</v>
      </c>
      <c r="M7" t="s">
        <v>857</v>
      </c>
      <c r="N7" s="85" t="e">
        <f ca="1">AVERAGEIF($K$4:$K$18,N$3,$E$4:$E$18)</f>
        <v>#DIV/0!</v>
      </c>
      <c r="O7" s="86" t="e">
        <f t="shared" ref="O7:P7" ca="1" si="5">AVERAGEIF($K$4:$K$18,O$3,$E$4:$E$18)</f>
        <v>#DIV/0!</v>
      </c>
      <c r="P7" s="87" t="e">
        <f t="shared" ca="1" si="5"/>
        <v>#DIV/0!</v>
      </c>
      <c r="R7" s="83" t="e">
        <f t="array" aca="1" ref="R7" ca="1">SUM($H$4:$H$7*ABS(TRANSPOSE($B7:$E7)-N$4:N$7)^$N$11)</f>
        <v>#DIV/0!</v>
      </c>
      <c r="S7" t="e">
        <f t="array" aca="1" ref="S7" ca="1">SUM($H$4:$H$7*ABS(TRANSPOSE($B7:$E7)-O$4:O$7)^$N$11)</f>
        <v>#DIV/0!</v>
      </c>
      <c r="T7" s="84" t="e">
        <f t="array" aca="1" ref="T7" ca="1">SUM($H$4:$H$7*ABS(TRANSPOSE($B7:$E7)-P$4:P$7)^$N$11)</f>
        <v>#DIV/0!</v>
      </c>
      <c r="U7" s="98" t="e">
        <f t="shared" ca="1" si="2"/>
        <v>#DIV/0!</v>
      </c>
    </row>
    <row r="8" spans="2:21" x14ac:dyDescent="0.35">
      <c r="B8" s="44">
        <v>2</v>
      </c>
      <c r="C8" s="32">
        <v>1</v>
      </c>
      <c r="D8" s="32">
        <v>1</v>
      </c>
      <c r="E8" s="245">
        <v>4</v>
      </c>
      <c r="J8">
        <f t="shared" si="3"/>
        <v>5</v>
      </c>
      <c r="K8" s="98" t="e">
        <f ca="1"/>
        <v>#NAME?</v>
      </c>
      <c r="R8" s="83" t="e">
        <f t="array" aca="1" ref="R8" ca="1">SUM($H$4:$H$7*ABS(TRANSPOSE($B8:$E8)-N$4:N$7)^$N$11)</f>
        <v>#DIV/0!</v>
      </c>
      <c r="S8" t="e">
        <f t="array" aca="1" ref="S8" ca="1">SUM($H$4:$H$7*ABS(TRANSPOSE($B8:$E8)-O$4:O$7)^$N$11)</f>
        <v>#DIV/0!</v>
      </c>
      <c r="T8" s="84" t="e">
        <f t="array" aca="1" ref="T8" ca="1">SUM($H$4:$H$7*ABS(TRANSPOSE($B8:$E8)-P$4:P$7)^$N$11)</f>
        <v>#DIV/0!</v>
      </c>
      <c r="U8" s="98" t="e">
        <f t="shared" ca="1" si="2"/>
        <v>#DIV/0!</v>
      </c>
    </row>
    <row r="9" spans="2:21" x14ac:dyDescent="0.35">
      <c r="B9" s="44">
        <v>4</v>
      </c>
      <c r="C9" s="32">
        <v>3</v>
      </c>
      <c r="D9" s="32">
        <v>3</v>
      </c>
      <c r="E9" s="245">
        <v>0</v>
      </c>
      <c r="J9">
        <f t="shared" si="3"/>
        <v>6</v>
      </c>
      <c r="K9" s="98" t="e">
        <f ca="1"/>
        <v>#NAME?</v>
      </c>
      <c r="M9" t="s">
        <v>858</v>
      </c>
      <c r="N9" s="137">
        <v>3</v>
      </c>
      <c r="R9" s="83" t="e">
        <f t="array" aca="1" ref="R9" ca="1">SUM($H$4:$H$7*ABS(TRANSPOSE($B9:$E9)-N$4:N$7)^$N$11)</f>
        <v>#DIV/0!</v>
      </c>
      <c r="S9" t="e">
        <f t="array" aca="1" ref="S9" ca="1">SUM($H$4:$H$7*ABS(TRANSPOSE($B9:$E9)-O$4:O$7)^$N$11)</f>
        <v>#DIV/0!</v>
      </c>
      <c r="T9" s="84" t="e">
        <f t="array" aca="1" ref="T9" ca="1">SUM($H$4:$H$7*ABS(TRANSPOSE($B9:$E9)-P$4:P$7)^$N$11)</f>
        <v>#DIV/0!</v>
      </c>
      <c r="U9" s="98" t="e">
        <f t="shared" ca="1" si="2"/>
        <v>#DIV/0!</v>
      </c>
    </row>
    <row r="10" spans="2:21" x14ac:dyDescent="0.35">
      <c r="B10" s="44">
        <v>5</v>
      </c>
      <c r="C10" s="32">
        <v>2</v>
      </c>
      <c r="D10" s="32">
        <v>2</v>
      </c>
      <c r="E10" s="245">
        <v>1</v>
      </c>
      <c r="J10">
        <f t="shared" si="3"/>
        <v>7</v>
      </c>
      <c r="K10" s="98" t="e">
        <f ca="1"/>
        <v>#NAME?</v>
      </c>
      <c r="R10" s="83" t="e">
        <f t="array" aca="1" ref="R10" ca="1">SUM($H$4:$H$7*ABS(TRANSPOSE($B10:$E10)-N$4:N$7)^$N$11)</f>
        <v>#DIV/0!</v>
      </c>
      <c r="S10" t="e">
        <f t="array" aca="1" ref="S10" ca="1">SUM($H$4:$H$7*ABS(TRANSPOSE($B10:$E10)-O$4:O$7)^$N$11)</f>
        <v>#DIV/0!</v>
      </c>
      <c r="T10" s="84" t="e">
        <f t="array" aca="1" ref="T10" ca="1">SUM($H$4:$H$7*ABS(TRANSPOSE($B10:$E10)-P$4:P$7)^$N$11)</f>
        <v>#DIV/0!</v>
      </c>
      <c r="U10" s="98" t="e">
        <f t="shared" ca="1" si="2"/>
        <v>#DIV/0!</v>
      </c>
    </row>
    <row r="11" spans="2:21" x14ac:dyDescent="0.35">
      <c r="B11" s="44">
        <v>1</v>
      </c>
      <c r="C11" s="32">
        <v>2</v>
      </c>
      <c r="D11" s="32">
        <v>4</v>
      </c>
      <c r="E11" s="245">
        <v>5</v>
      </c>
      <c r="J11">
        <f t="shared" si="3"/>
        <v>8</v>
      </c>
      <c r="K11" s="98" t="e">
        <f ca="1"/>
        <v>#NAME?</v>
      </c>
      <c r="M11" t="s">
        <v>859</v>
      </c>
      <c r="N11" s="137">
        <v>2</v>
      </c>
      <c r="R11" s="83" t="e">
        <f t="array" aca="1" ref="R11" ca="1">SUM($H$4:$H$7*ABS(TRANSPOSE($B11:$E11)-N$4:N$7)^$N$11)</f>
        <v>#DIV/0!</v>
      </c>
      <c r="S11" t="e">
        <f t="array" aca="1" ref="S11" ca="1">SUM($H$4:$H$7*ABS(TRANSPOSE($B11:$E11)-O$4:O$7)^$N$11)</f>
        <v>#DIV/0!</v>
      </c>
      <c r="T11" s="84" t="e">
        <f t="array" aca="1" ref="T11" ca="1">SUM($H$4:$H$7*ABS(TRANSPOSE($B11:$E11)-P$4:P$7)^$N$11)</f>
        <v>#DIV/0!</v>
      </c>
      <c r="U11" s="98" t="e">
        <f t="shared" ca="1" si="2"/>
        <v>#DIV/0!</v>
      </c>
    </row>
    <row r="12" spans="2:21" x14ac:dyDescent="0.35">
      <c r="B12" s="44">
        <v>2</v>
      </c>
      <c r="C12" s="32">
        <v>1</v>
      </c>
      <c r="D12" s="32">
        <v>3</v>
      </c>
      <c r="E12" s="245">
        <v>4</v>
      </c>
      <c r="J12">
        <f t="shared" si="3"/>
        <v>9</v>
      </c>
      <c r="K12" s="98" t="e">
        <f ca="1"/>
        <v>#NAME?</v>
      </c>
      <c r="R12" s="83" t="e">
        <f t="array" aca="1" ref="R12" ca="1">SUM($H$4:$H$7*ABS(TRANSPOSE($B12:$E12)-N$4:N$7)^$N$11)</f>
        <v>#DIV/0!</v>
      </c>
      <c r="S12" t="e">
        <f t="array" aca="1" ref="S12" ca="1">SUM($H$4:$H$7*ABS(TRANSPOSE($B12:$E12)-O$4:O$7)^$N$11)</f>
        <v>#DIV/0!</v>
      </c>
      <c r="T12" s="84" t="e">
        <f t="array" aca="1" ref="T12" ca="1">SUM($H$4:$H$7*ABS(TRANSPOSE($B12:$E12)-P$4:P$7)^$N$11)</f>
        <v>#DIV/0!</v>
      </c>
      <c r="U12" s="98" t="e">
        <f t="shared" ca="1" si="2"/>
        <v>#DIV/0!</v>
      </c>
    </row>
    <row r="13" spans="2:21" x14ac:dyDescent="0.35">
      <c r="B13" s="44">
        <v>4</v>
      </c>
      <c r="C13" s="32">
        <v>5</v>
      </c>
      <c r="D13" s="32">
        <v>4</v>
      </c>
      <c r="E13" s="245">
        <v>2</v>
      </c>
      <c r="J13">
        <f t="shared" si="3"/>
        <v>10</v>
      </c>
      <c r="K13" s="98" t="e">
        <f ca="1"/>
        <v>#NAME?</v>
      </c>
      <c r="M13" t="s">
        <v>860</v>
      </c>
      <c r="N13" s="137">
        <v>40</v>
      </c>
      <c r="R13" s="83" t="e">
        <f t="array" aca="1" ref="R13" ca="1">SUM($H$4:$H$7*ABS(TRANSPOSE($B13:$E13)-N$4:N$7)^$N$11)</f>
        <v>#DIV/0!</v>
      </c>
      <c r="S13" t="e">
        <f t="array" aca="1" ref="S13" ca="1">SUM($H$4:$H$7*ABS(TRANSPOSE($B13:$E13)-O$4:O$7)^$N$11)</f>
        <v>#DIV/0!</v>
      </c>
      <c r="T13" s="84" t="e">
        <f t="array" aca="1" ref="T13" ca="1">SUM($H$4:$H$7*ABS(TRANSPOSE($B13:$E13)-P$4:P$7)^$N$11)</f>
        <v>#DIV/0!</v>
      </c>
      <c r="U13" s="98" t="e">
        <f t="shared" ca="1" si="2"/>
        <v>#DIV/0!</v>
      </c>
    </row>
    <row r="14" spans="2:21" x14ac:dyDescent="0.35">
      <c r="B14" s="44">
        <v>3</v>
      </c>
      <c r="C14" s="32">
        <v>3</v>
      </c>
      <c r="D14" s="32">
        <v>2</v>
      </c>
      <c r="E14" s="245">
        <v>4</v>
      </c>
      <c r="J14">
        <f t="shared" si="3"/>
        <v>11</v>
      </c>
      <c r="K14" s="98" t="e">
        <f ca="1"/>
        <v>#NAME?</v>
      </c>
      <c r="R14" s="83" t="e">
        <f t="array" aca="1" ref="R14" ca="1">SUM($H$4:$H$7*ABS(TRANSPOSE($B14:$E14)-N$4:N$7)^$N$11)</f>
        <v>#DIV/0!</v>
      </c>
      <c r="S14" t="e">
        <f t="array" aca="1" ref="S14" ca="1">SUM($H$4:$H$7*ABS(TRANSPOSE($B14:$E14)-O$4:O$7)^$N$11)</f>
        <v>#DIV/0!</v>
      </c>
      <c r="T14" s="84" t="e">
        <f t="array" aca="1" ref="T14" ca="1">SUM($H$4:$H$7*ABS(TRANSPOSE($B14:$E14)-P$4:P$7)^$N$11)</f>
        <v>#DIV/0!</v>
      </c>
      <c r="U14" s="98" t="e">
        <f t="shared" ca="1" si="2"/>
        <v>#DIV/0!</v>
      </c>
    </row>
    <row r="15" spans="2:21" x14ac:dyDescent="0.35">
      <c r="B15" s="44">
        <v>3</v>
      </c>
      <c r="C15" s="32">
        <v>3</v>
      </c>
      <c r="D15" s="32">
        <v>5</v>
      </c>
      <c r="E15" s="245">
        <v>4</v>
      </c>
      <c r="J15">
        <f t="shared" si="3"/>
        <v>12</v>
      </c>
      <c r="K15" s="98" t="e">
        <f ca="1"/>
        <v>#NAME?</v>
      </c>
      <c r="M15" t="s">
        <v>862</v>
      </c>
      <c r="N15" s="137">
        <v>200</v>
      </c>
      <c r="R15" s="83" t="e">
        <f t="array" aca="1" ref="R15" ca="1">SUM($H$4:$H$7*ABS(TRANSPOSE($B15:$E15)-N$4:N$7)^$N$11)</f>
        <v>#DIV/0!</v>
      </c>
      <c r="S15" t="e">
        <f t="array" aca="1" ref="S15" ca="1">SUM($H$4:$H$7*ABS(TRANSPOSE($B15:$E15)-O$4:O$7)^$N$11)</f>
        <v>#DIV/0!</v>
      </c>
      <c r="T15" s="84" t="e">
        <f t="array" aca="1" ref="T15" ca="1">SUM($H$4:$H$7*ABS(TRANSPOSE($B15:$E15)-P$4:P$7)^$N$11)</f>
        <v>#DIV/0!</v>
      </c>
      <c r="U15" s="98" t="e">
        <f t="shared" ca="1" si="2"/>
        <v>#DIV/0!</v>
      </c>
    </row>
    <row r="16" spans="2:21" x14ac:dyDescent="0.35">
      <c r="B16" s="44">
        <v>4</v>
      </c>
      <c r="C16" s="32">
        <v>1</v>
      </c>
      <c r="D16" s="32">
        <v>2</v>
      </c>
      <c r="E16" s="245">
        <v>3</v>
      </c>
      <c r="J16">
        <f t="shared" si="3"/>
        <v>13</v>
      </c>
      <c r="K16" s="98" t="e">
        <f ca="1"/>
        <v>#NAME?</v>
      </c>
      <c r="R16" s="83" t="e">
        <f t="array" aca="1" ref="R16" ca="1">SUM($H$4:$H$7*ABS(TRANSPOSE($B16:$E16)-N$4:N$7)^$N$11)</f>
        <v>#DIV/0!</v>
      </c>
      <c r="S16" t="e">
        <f t="array" aca="1" ref="S16" ca="1">SUM($H$4:$H$7*ABS(TRANSPOSE($B16:$E16)-O$4:O$7)^$N$11)</f>
        <v>#DIV/0!</v>
      </c>
      <c r="T16" s="84" t="e">
        <f t="array" aca="1" ref="T16" ca="1">SUM($H$4:$H$7*ABS(TRANSPOSE($B16:$E16)-P$4:P$7)^$N$11)</f>
        <v>#DIV/0!</v>
      </c>
      <c r="U16" s="98" t="e">
        <f t="shared" ca="1" si="2"/>
        <v>#DIV/0!</v>
      </c>
    </row>
    <row r="17" spans="2:21" x14ac:dyDescent="0.35">
      <c r="B17" s="44">
        <v>0</v>
      </c>
      <c r="C17" s="32">
        <v>5</v>
      </c>
      <c r="D17" s="32">
        <v>5</v>
      </c>
      <c r="E17" s="245">
        <v>4</v>
      </c>
      <c r="J17">
        <f t="shared" si="3"/>
        <v>14</v>
      </c>
      <c r="K17" s="98" t="e">
        <f ca="1"/>
        <v>#NAME?</v>
      </c>
      <c r="M17" t="s">
        <v>588</v>
      </c>
      <c r="N17" s="137" t="e">
        <f ca="1">CLUST_Converge(B4:E18,K4:K18)</f>
        <v>#NAME?</v>
      </c>
      <c r="R17" s="83" t="e">
        <f t="array" aca="1" ref="R17" ca="1">SUM($H$4:$H$7*ABS(TRANSPOSE($B17:$E17)-N$4:N$7)^$N$11)</f>
        <v>#DIV/0!</v>
      </c>
      <c r="S17" t="e">
        <f t="array" aca="1" ref="S17" ca="1">SUM($H$4:$H$7*ABS(TRANSPOSE($B17:$E17)-O$4:O$7)^$N$11)</f>
        <v>#DIV/0!</v>
      </c>
      <c r="T17" s="84" t="e">
        <f t="array" aca="1" ref="T17" ca="1">SUM($H$4:$H$7*ABS(TRANSPOSE($B17:$E17)-P$4:P$7)^$N$11)</f>
        <v>#DIV/0!</v>
      </c>
      <c r="U17" s="98" t="e">
        <f t="shared" ca="1" si="2"/>
        <v>#DIV/0!</v>
      </c>
    </row>
    <row r="18" spans="2:21" x14ac:dyDescent="0.35">
      <c r="B18" s="243">
        <v>5</v>
      </c>
      <c r="C18" s="267">
        <v>2</v>
      </c>
      <c r="D18" s="267">
        <v>4</v>
      </c>
      <c r="E18" s="218">
        <v>5</v>
      </c>
      <c r="J18">
        <f t="shared" si="3"/>
        <v>15</v>
      </c>
      <c r="K18" s="99" t="e">
        <f ca="1"/>
        <v>#NAME?</v>
      </c>
      <c r="R18" s="85" t="e">
        <f t="array" aca="1" ref="R18" ca="1">SUM($H$4:$H$7*ABS(TRANSPOSE($B18:$E18)-N$4:N$7)^$N$11)</f>
        <v>#DIV/0!</v>
      </c>
      <c r="S18" s="86" t="e">
        <f t="array" aca="1" ref="S18" ca="1">SUM($H$4:$H$7*ABS(TRANSPOSE($B18:$E18)-O$4:O$7)^$N$11)</f>
        <v>#DIV/0!</v>
      </c>
      <c r="T18" s="87" t="e">
        <f t="array" aca="1" ref="T18" ca="1">SUM($H$4:$H$7*ABS(TRANSPOSE($B18:$E18)-P$4:P$7)^$N$11)</f>
        <v>#DIV/0!</v>
      </c>
      <c r="U18" s="99" t="e">
        <f t="shared" ca="1" si="2"/>
        <v>#DIV/0!</v>
      </c>
    </row>
    <row r="19" spans="2:21" x14ac:dyDescent="0.35">
      <c r="M19" t="s">
        <v>542</v>
      </c>
      <c r="N19" s="137" t="e">
        <f ca="1">SUM(U4:U18)</f>
        <v>#DIV/0!</v>
      </c>
    </row>
    <row r="20" spans="2:21" x14ac:dyDescent="0.35">
      <c r="B20" s="32">
        <v>1</v>
      </c>
      <c r="C20" s="32">
        <v>2</v>
      </c>
      <c r="D20" s="32">
        <v>3</v>
      </c>
      <c r="E20" s="32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4E44-8E2A-46F7-8C9E-7C59119C1889}">
  <sheetPr codeName="Sheet91"/>
  <dimension ref="B1:V19"/>
  <sheetViews>
    <sheetView workbookViewId="0"/>
  </sheetViews>
  <sheetFormatPr defaultRowHeight="14.5" x14ac:dyDescent="0.35"/>
  <cols>
    <col min="1" max="1" width="1.453125" customWidth="1"/>
    <col min="2" max="5" width="7.26953125" customWidth="1"/>
    <col min="6" max="6" width="4.81640625" customWidth="1"/>
    <col min="7" max="7" width="7.26953125" customWidth="1"/>
    <col min="8" max="8" width="5.26953125" customWidth="1"/>
    <col min="14" max="14" width="11.6328125" customWidth="1"/>
  </cols>
  <sheetData>
    <row r="1" spans="2:22" x14ac:dyDescent="0.35">
      <c r="B1" s="42" t="s">
        <v>589</v>
      </c>
    </row>
    <row r="2" spans="2:22" x14ac:dyDescent="0.35">
      <c r="G2" s="32" t="s">
        <v>852</v>
      </c>
    </row>
    <row r="3" spans="2:22" x14ac:dyDescent="0.35">
      <c r="B3" s="32" t="s">
        <v>278</v>
      </c>
      <c r="C3" s="32" t="s">
        <v>390</v>
      </c>
      <c r="D3" s="32" t="s">
        <v>392</v>
      </c>
      <c r="E3" s="32" t="s">
        <v>591</v>
      </c>
      <c r="F3" s="32"/>
      <c r="G3" s="32" t="s">
        <v>584</v>
      </c>
      <c r="I3" s="32" t="s">
        <v>863</v>
      </c>
      <c r="L3" s="32" t="s">
        <v>584</v>
      </c>
      <c r="N3" t="s">
        <v>585</v>
      </c>
      <c r="O3">
        <v>1</v>
      </c>
      <c r="P3">
        <f>O3+1</f>
        <v>2</v>
      </c>
      <c r="Q3">
        <f>P3+1</f>
        <v>3</v>
      </c>
      <c r="S3">
        <v>1</v>
      </c>
      <c r="T3">
        <f>S3+1</f>
        <v>2</v>
      </c>
      <c r="U3">
        <f>T3+1</f>
        <v>3</v>
      </c>
      <c r="V3" s="47" t="s">
        <v>853</v>
      </c>
    </row>
    <row r="4" spans="2:22" x14ac:dyDescent="0.35">
      <c r="B4" s="236">
        <v>1</v>
      </c>
      <c r="C4" s="145">
        <v>4</v>
      </c>
      <c r="D4" s="145">
        <v>0</v>
      </c>
      <c r="E4" s="237">
        <v>3</v>
      </c>
      <c r="F4" s="32"/>
      <c r="G4" s="238">
        <v>1</v>
      </c>
      <c r="I4" s="394">
        <v>1</v>
      </c>
      <c r="K4">
        <v>1</v>
      </c>
      <c r="L4" s="132" t="e">
        <f t="array" aca="1" ref="L4:L18" ca="1">CLUST(B4:E18,O9,G4:G18,O11,I4:I7,O15)</f>
        <v>#NAME?</v>
      </c>
      <c r="N4" t="s">
        <v>854</v>
      </c>
      <c r="O4" s="149" t="e">
        <f ca="1">AVERAGEIF($L$4:$L$18,O$3,$B$4:$B$18)</f>
        <v>#DIV/0!</v>
      </c>
      <c r="P4" s="141" t="e">
        <f t="shared" ref="P4:Q4" ca="1" si="0">AVERAGEIF($L$4:$L$18,P$3,$B$4:$B$18)</f>
        <v>#DIV/0!</v>
      </c>
      <c r="Q4" s="150" t="e">
        <f t="shared" ca="1" si="0"/>
        <v>#DIV/0!</v>
      </c>
      <c r="S4" s="149" t="e">
        <f t="array" aca="1" ref="S4" ca="1">SUM($I$4:$I$7*ABS(TRANSPOSE($B4:$E4)-O$4:O$7)^$O$11)</f>
        <v>#DIV/0!</v>
      </c>
      <c r="T4" s="141" t="e">
        <f t="array" aca="1" ref="T4" ca="1">SUM($I$4:$I$7*ABS(TRANSPOSE($B4:$E4)-P$4:P$7)^$O$11)</f>
        <v>#DIV/0!</v>
      </c>
      <c r="U4" s="150" t="e">
        <f t="array" aca="1" ref="U4" ca="1">SUM($I$4:$I$7*ABS(TRANSPOSE($B4:$E4)-Q$4:Q$7)^$O$11)</f>
        <v>#DIV/0!</v>
      </c>
      <c r="V4" s="132" t="e">
        <f ca="1">MIN(S4:U4)</f>
        <v>#DIV/0!</v>
      </c>
    </row>
    <row r="5" spans="2:22" x14ac:dyDescent="0.35">
      <c r="B5" s="44">
        <v>2</v>
      </c>
      <c r="C5" s="32">
        <v>5</v>
      </c>
      <c r="D5" s="32">
        <v>3</v>
      </c>
      <c r="E5" s="245">
        <v>4</v>
      </c>
      <c r="F5" s="32"/>
      <c r="G5" s="241">
        <v>2</v>
      </c>
      <c r="I5" s="396">
        <v>1.2</v>
      </c>
      <c r="K5">
        <f>K4+1</f>
        <v>2</v>
      </c>
      <c r="L5" s="98" t="e">
        <f ca="1"/>
        <v>#NAME?</v>
      </c>
      <c r="N5" t="s">
        <v>855</v>
      </c>
      <c r="O5" s="83" t="e">
        <f ca="1">AVERAGEIF($L$4:$L$18,O$3,$C$4:$C$18)</f>
        <v>#DIV/0!</v>
      </c>
      <c r="P5" t="e">
        <f t="shared" ref="P5:Q5" ca="1" si="1">AVERAGEIF($L$4:$L$18,P$3,$C$4:$C$18)</f>
        <v>#DIV/0!</v>
      </c>
      <c r="Q5" s="84" t="e">
        <f t="shared" ca="1" si="1"/>
        <v>#DIV/0!</v>
      </c>
      <c r="S5" s="83" t="e">
        <f t="array" aca="1" ref="S5" ca="1">SUM($I$4:$I$7*ABS(TRANSPOSE($B5:$E5)-O$4:O$7)^$O$11)</f>
        <v>#DIV/0!</v>
      </c>
      <c r="T5" t="e">
        <f t="array" aca="1" ref="T5" ca="1">SUM($I$4:$I$7*ABS(TRANSPOSE($B5:$E5)-P$4:P$7)^$O$11)</f>
        <v>#DIV/0!</v>
      </c>
      <c r="U5" s="84" t="e">
        <f t="array" aca="1" ref="U5" ca="1">SUM($I$4:$I$7*ABS(TRANSPOSE($B5:$E5)-Q$4:Q$7)^$O$11)</f>
        <v>#DIV/0!</v>
      </c>
      <c r="V5" s="98" t="e">
        <f t="shared" ref="V5:V18" ca="1" si="2">MIN(S5:U5)</f>
        <v>#DIV/0!</v>
      </c>
    </row>
    <row r="6" spans="2:22" x14ac:dyDescent="0.35">
      <c r="B6" s="44">
        <v>4</v>
      </c>
      <c r="C6" s="32">
        <v>2</v>
      </c>
      <c r="D6" s="32">
        <v>1</v>
      </c>
      <c r="E6" s="245">
        <v>2</v>
      </c>
      <c r="F6" s="32"/>
      <c r="G6" s="241">
        <v>3</v>
      </c>
      <c r="I6" s="396">
        <v>1.5</v>
      </c>
      <c r="K6">
        <f t="shared" ref="K6:K18" si="3">K5+1</f>
        <v>3</v>
      </c>
      <c r="L6" s="98" t="e">
        <f ca="1"/>
        <v>#NAME?</v>
      </c>
      <c r="N6" t="s">
        <v>856</v>
      </c>
      <c r="O6" s="83" t="e">
        <f ca="1">AVERAGEIF($L$4:$L$18,O$3,$D$4:$D$18)</f>
        <v>#DIV/0!</v>
      </c>
      <c r="P6" t="e">
        <f t="shared" ref="P6:Q6" ca="1" si="4">AVERAGEIF($L$4:$L$18,P$3,$D$4:$D$18)</f>
        <v>#DIV/0!</v>
      </c>
      <c r="Q6" s="84" t="e">
        <f t="shared" ca="1" si="4"/>
        <v>#DIV/0!</v>
      </c>
      <c r="S6" s="83" t="e">
        <f t="array" aca="1" ref="S6" ca="1">SUM($I$4:$I$7*ABS(TRANSPOSE($B6:$E6)-O$4:O$7)^$O$11)</f>
        <v>#DIV/0!</v>
      </c>
      <c r="T6" t="e">
        <f t="array" aca="1" ref="T6" ca="1">SUM($I$4:$I$7*ABS(TRANSPOSE($B6:$E6)-P$4:P$7)^$O$11)</f>
        <v>#DIV/0!</v>
      </c>
      <c r="U6" s="84" t="e">
        <f t="array" aca="1" ref="U6" ca="1">SUM($I$4:$I$7*ABS(TRANSPOSE($B6:$E6)-Q$4:Q$7)^$O$11)</f>
        <v>#DIV/0!</v>
      </c>
      <c r="V6" s="98" t="e">
        <f t="shared" ca="1" si="2"/>
        <v>#DIV/0!</v>
      </c>
    </row>
    <row r="7" spans="2:22" x14ac:dyDescent="0.35">
      <c r="B7" s="44">
        <v>1</v>
      </c>
      <c r="C7" s="32">
        <v>0</v>
      </c>
      <c r="D7" s="32">
        <v>5</v>
      </c>
      <c r="E7" s="245">
        <v>3</v>
      </c>
      <c r="F7" s="32"/>
      <c r="G7" s="241">
        <v>1</v>
      </c>
      <c r="I7" s="397">
        <v>2</v>
      </c>
      <c r="K7" s="47">
        <f t="shared" si="3"/>
        <v>4</v>
      </c>
      <c r="L7" s="98" t="e">
        <f ca="1"/>
        <v>#NAME?</v>
      </c>
      <c r="N7" t="s">
        <v>857</v>
      </c>
      <c r="O7" s="85" t="e">
        <f ca="1">AVERAGEIF($L$4:$L$18,O$3,$E$4:$E$18)</f>
        <v>#DIV/0!</v>
      </c>
      <c r="P7" s="86" t="e">
        <f t="shared" ref="P7:Q7" ca="1" si="5">AVERAGEIF($L$4:$L$18,P$3,$E$4:$E$18)</f>
        <v>#DIV/0!</v>
      </c>
      <c r="Q7" s="87" t="e">
        <f t="shared" ca="1" si="5"/>
        <v>#DIV/0!</v>
      </c>
      <c r="S7" s="83" t="e">
        <f t="array" aca="1" ref="S7" ca="1">SUM($I$4:$I$7*ABS(TRANSPOSE($B7:$E7)-O$4:O$7)^$O$11)</f>
        <v>#DIV/0!</v>
      </c>
      <c r="T7" t="e">
        <f t="array" aca="1" ref="T7" ca="1">SUM($I$4:$I$7*ABS(TRANSPOSE($B7:$E7)-P$4:P$7)^$O$11)</f>
        <v>#DIV/0!</v>
      </c>
      <c r="U7" s="84" t="e">
        <f t="array" aca="1" ref="U7" ca="1">SUM($I$4:$I$7*ABS(TRANSPOSE($B7:$E7)-Q$4:Q$7)^$O$11)</f>
        <v>#DIV/0!</v>
      </c>
      <c r="V7" s="98" t="e">
        <f t="shared" ca="1" si="2"/>
        <v>#DIV/0!</v>
      </c>
    </row>
    <row r="8" spans="2:22" x14ac:dyDescent="0.35">
      <c r="B8" s="44">
        <v>2</v>
      </c>
      <c r="C8" s="32">
        <v>1</v>
      </c>
      <c r="D8" s="32">
        <v>1</v>
      </c>
      <c r="E8" s="245">
        <v>4</v>
      </c>
      <c r="F8" s="32"/>
      <c r="G8" s="241">
        <v>2</v>
      </c>
      <c r="K8">
        <f t="shared" si="3"/>
        <v>5</v>
      </c>
      <c r="L8" s="98" t="e">
        <f ca="1"/>
        <v>#NAME?</v>
      </c>
      <c r="S8" s="83" t="e">
        <f t="array" aca="1" ref="S8" ca="1">SUM($I$4:$I$7*ABS(TRANSPOSE($B8:$E8)-O$4:O$7)^$O$11)</f>
        <v>#DIV/0!</v>
      </c>
      <c r="T8" t="e">
        <f t="array" aca="1" ref="T8" ca="1">SUM($I$4:$I$7*ABS(TRANSPOSE($B8:$E8)-P$4:P$7)^$O$11)</f>
        <v>#DIV/0!</v>
      </c>
      <c r="U8" s="84" t="e">
        <f t="array" aca="1" ref="U8" ca="1">SUM($I$4:$I$7*ABS(TRANSPOSE($B8:$E8)-Q$4:Q$7)^$O$11)</f>
        <v>#DIV/0!</v>
      </c>
      <c r="V8" s="98" t="e">
        <f t="shared" ca="1" si="2"/>
        <v>#DIV/0!</v>
      </c>
    </row>
    <row r="9" spans="2:22" x14ac:dyDescent="0.35">
      <c r="B9" s="44">
        <v>4</v>
      </c>
      <c r="C9" s="32">
        <v>3</v>
      </c>
      <c r="D9" s="32">
        <v>3</v>
      </c>
      <c r="E9" s="245">
        <v>0</v>
      </c>
      <c r="F9" s="32"/>
      <c r="G9" s="241">
        <v>3</v>
      </c>
      <c r="K9">
        <f t="shared" si="3"/>
        <v>6</v>
      </c>
      <c r="L9" s="98" t="e">
        <f ca="1"/>
        <v>#NAME?</v>
      </c>
      <c r="N9" t="s">
        <v>858</v>
      </c>
      <c r="O9" s="137">
        <v>3</v>
      </c>
      <c r="S9" s="83" t="e">
        <f t="array" aca="1" ref="S9" ca="1">SUM($I$4:$I$7*ABS(TRANSPOSE($B9:$E9)-O$4:O$7)^$O$11)</f>
        <v>#DIV/0!</v>
      </c>
      <c r="T9" t="e">
        <f t="array" aca="1" ref="T9" ca="1">SUM($I$4:$I$7*ABS(TRANSPOSE($B9:$E9)-P$4:P$7)^$O$11)</f>
        <v>#DIV/0!</v>
      </c>
      <c r="U9" s="84" t="e">
        <f t="array" aca="1" ref="U9" ca="1">SUM($I$4:$I$7*ABS(TRANSPOSE($B9:$E9)-Q$4:Q$7)^$O$11)</f>
        <v>#DIV/0!</v>
      </c>
      <c r="V9" s="98" t="e">
        <f t="shared" ca="1" si="2"/>
        <v>#DIV/0!</v>
      </c>
    </row>
    <row r="10" spans="2:22" x14ac:dyDescent="0.35">
      <c r="B10" s="44">
        <v>5</v>
      </c>
      <c r="C10" s="32">
        <v>2</v>
      </c>
      <c r="D10" s="32">
        <v>2</v>
      </c>
      <c r="E10" s="245">
        <v>1</v>
      </c>
      <c r="F10" s="32"/>
      <c r="G10" s="241">
        <v>1</v>
      </c>
      <c r="K10">
        <f t="shared" si="3"/>
        <v>7</v>
      </c>
      <c r="L10" s="98" t="e">
        <f ca="1"/>
        <v>#NAME?</v>
      </c>
      <c r="S10" s="83" t="e">
        <f t="array" aca="1" ref="S10" ca="1">SUM($I$4:$I$7*ABS(TRANSPOSE($B10:$E10)-O$4:O$7)^$O$11)</f>
        <v>#DIV/0!</v>
      </c>
      <c r="T10" t="e">
        <f t="array" aca="1" ref="T10" ca="1">SUM($I$4:$I$7*ABS(TRANSPOSE($B10:$E10)-P$4:P$7)^$O$11)</f>
        <v>#DIV/0!</v>
      </c>
      <c r="U10" s="84" t="e">
        <f t="array" aca="1" ref="U10" ca="1">SUM($I$4:$I$7*ABS(TRANSPOSE($B10:$E10)-Q$4:Q$7)^$O$11)</f>
        <v>#DIV/0!</v>
      </c>
      <c r="V10" s="98" t="e">
        <f t="shared" ca="1" si="2"/>
        <v>#DIV/0!</v>
      </c>
    </row>
    <row r="11" spans="2:22" x14ac:dyDescent="0.35">
      <c r="B11" s="44">
        <v>1</v>
      </c>
      <c r="C11" s="32">
        <v>2</v>
      </c>
      <c r="D11" s="32">
        <v>4</v>
      </c>
      <c r="E11" s="245">
        <v>5</v>
      </c>
      <c r="F11" s="32"/>
      <c r="G11" s="241">
        <v>2</v>
      </c>
      <c r="K11">
        <f t="shared" si="3"/>
        <v>8</v>
      </c>
      <c r="L11" s="98" t="e">
        <f ca="1"/>
        <v>#NAME?</v>
      </c>
      <c r="N11" t="s">
        <v>859</v>
      </c>
      <c r="O11" s="137">
        <v>2</v>
      </c>
      <c r="S11" s="83" t="e">
        <f t="array" aca="1" ref="S11" ca="1">SUM($I$4:$I$7*ABS(TRANSPOSE($B11:$E11)-O$4:O$7)^$O$11)</f>
        <v>#DIV/0!</v>
      </c>
      <c r="T11" t="e">
        <f t="array" aca="1" ref="T11" ca="1">SUM($I$4:$I$7*ABS(TRANSPOSE($B11:$E11)-P$4:P$7)^$O$11)</f>
        <v>#DIV/0!</v>
      </c>
      <c r="U11" s="84" t="e">
        <f t="array" aca="1" ref="U11" ca="1">SUM($I$4:$I$7*ABS(TRANSPOSE($B11:$E11)-Q$4:Q$7)^$O$11)</f>
        <v>#DIV/0!</v>
      </c>
      <c r="V11" s="98" t="e">
        <f t="shared" ca="1" si="2"/>
        <v>#DIV/0!</v>
      </c>
    </row>
    <row r="12" spans="2:22" x14ac:dyDescent="0.35">
      <c r="B12" s="44">
        <v>2</v>
      </c>
      <c r="C12" s="32">
        <v>1</v>
      </c>
      <c r="D12" s="32">
        <v>3</v>
      </c>
      <c r="E12" s="245">
        <v>4</v>
      </c>
      <c r="F12" s="32"/>
      <c r="G12" s="241">
        <v>3</v>
      </c>
      <c r="K12">
        <f t="shared" si="3"/>
        <v>9</v>
      </c>
      <c r="L12" s="98" t="e">
        <f ca="1"/>
        <v>#NAME?</v>
      </c>
      <c r="S12" s="83" t="e">
        <f t="array" aca="1" ref="S12" ca="1">SUM($I$4:$I$7*ABS(TRANSPOSE($B12:$E12)-O$4:O$7)^$O$11)</f>
        <v>#DIV/0!</v>
      </c>
      <c r="T12" t="e">
        <f t="array" aca="1" ref="T12" ca="1">SUM($I$4:$I$7*ABS(TRANSPOSE($B12:$E12)-P$4:P$7)^$O$11)</f>
        <v>#DIV/0!</v>
      </c>
      <c r="U12" s="84" t="e">
        <f t="array" aca="1" ref="U12" ca="1">SUM($I$4:$I$7*ABS(TRANSPOSE($B12:$E12)-Q$4:Q$7)^$O$11)</f>
        <v>#DIV/0!</v>
      </c>
      <c r="V12" s="98" t="e">
        <f t="shared" ca="1" si="2"/>
        <v>#DIV/0!</v>
      </c>
    </row>
    <row r="13" spans="2:22" x14ac:dyDescent="0.35">
      <c r="B13" s="44">
        <v>4</v>
      </c>
      <c r="C13" s="32">
        <v>5</v>
      </c>
      <c r="D13" s="32">
        <v>4</v>
      </c>
      <c r="E13" s="245">
        <v>2</v>
      </c>
      <c r="F13" s="32"/>
      <c r="G13" s="241">
        <v>1</v>
      </c>
      <c r="K13">
        <f t="shared" si="3"/>
        <v>10</v>
      </c>
      <c r="L13" s="98" t="e">
        <f ca="1"/>
        <v>#NAME?</v>
      </c>
      <c r="N13" t="s">
        <v>860</v>
      </c>
      <c r="O13" s="412" t="s">
        <v>861</v>
      </c>
      <c r="S13" s="83" t="e">
        <f t="array" aca="1" ref="S13" ca="1">SUM($I$4:$I$7*ABS(TRANSPOSE($B13:$E13)-O$4:O$7)^$O$11)</f>
        <v>#DIV/0!</v>
      </c>
      <c r="T13" t="e">
        <f t="array" aca="1" ref="T13" ca="1">SUM($I$4:$I$7*ABS(TRANSPOSE($B13:$E13)-P$4:P$7)^$O$11)</f>
        <v>#DIV/0!</v>
      </c>
      <c r="U13" s="84" t="e">
        <f t="array" aca="1" ref="U13" ca="1">SUM($I$4:$I$7*ABS(TRANSPOSE($B13:$E13)-Q$4:Q$7)^$O$11)</f>
        <v>#DIV/0!</v>
      </c>
      <c r="V13" s="98" t="e">
        <f t="shared" ca="1" si="2"/>
        <v>#DIV/0!</v>
      </c>
    </row>
    <row r="14" spans="2:22" x14ac:dyDescent="0.35">
      <c r="B14" s="44">
        <v>3</v>
      </c>
      <c r="C14" s="32">
        <v>3</v>
      </c>
      <c r="D14" s="32">
        <v>2</v>
      </c>
      <c r="E14" s="245">
        <v>4</v>
      </c>
      <c r="F14" s="32"/>
      <c r="G14" s="241">
        <v>2</v>
      </c>
      <c r="K14">
        <f t="shared" si="3"/>
        <v>11</v>
      </c>
      <c r="L14" s="98" t="e">
        <f ca="1"/>
        <v>#NAME?</v>
      </c>
      <c r="S14" s="83" t="e">
        <f t="array" aca="1" ref="S14" ca="1">SUM($I$4:$I$7*ABS(TRANSPOSE($B14:$E14)-O$4:O$7)^$O$11)</f>
        <v>#DIV/0!</v>
      </c>
      <c r="T14" t="e">
        <f t="array" aca="1" ref="T14" ca="1">SUM($I$4:$I$7*ABS(TRANSPOSE($B14:$E14)-P$4:P$7)^$O$11)</f>
        <v>#DIV/0!</v>
      </c>
      <c r="U14" s="84" t="e">
        <f t="array" aca="1" ref="U14" ca="1">SUM($I$4:$I$7*ABS(TRANSPOSE($B14:$E14)-Q$4:Q$7)^$O$11)</f>
        <v>#DIV/0!</v>
      </c>
      <c r="V14" s="98" t="e">
        <f t="shared" ca="1" si="2"/>
        <v>#DIV/0!</v>
      </c>
    </row>
    <row r="15" spans="2:22" x14ac:dyDescent="0.35">
      <c r="B15" s="44">
        <v>3</v>
      </c>
      <c r="C15" s="32">
        <v>3</v>
      </c>
      <c r="D15" s="32">
        <v>5</v>
      </c>
      <c r="E15" s="245">
        <v>4</v>
      </c>
      <c r="F15" s="32"/>
      <c r="G15" s="241">
        <v>3</v>
      </c>
      <c r="K15">
        <f t="shared" si="3"/>
        <v>12</v>
      </c>
      <c r="L15" s="98" t="e">
        <f ca="1"/>
        <v>#NAME?</v>
      </c>
      <c r="N15" t="s">
        <v>862</v>
      </c>
      <c r="O15" s="137">
        <v>200</v>
      </c>
      <c r="S15" s="83" t="e">
        <f t="array" aca="1" ref="S15" ca="1">SUM($I$4:$I$7*ABS(TRANSPOSE($B15:$E15)-O$4:O$7)^$O$11)</f>
        <v>#DIV/0!</v>
      </c>
      <c r="T15" t="e">
        <f t="array" aca="1" ref="T15" ca="1">SUM($I$4:$I$7*ABS(TRANSPOSE($B15:$E15)-P$4:P$7)^$O$11)</f>
        <v>#DIV/0!</v>
      </c>
      <c r="U15" s="84" t="e">
        <f t="array" aca="1" ref="U15" ca="1">SUM($I$4:$I$7*ABS(TRANSPOSE($B15:$E15)-Q$4:Q$7)^$O$11)</f>
        <v>#DIV/0!</v>
      </c>
      <c r="V15" s="98" t="e">
        <f t="shared" ca="1" si="2"/>
        <v>#DIV/0!</v>
      </c>
    </row>
    <row r="16" spans="2:22" x14ac:dyDescent="0.35">
      <c r="B16" s="44">
        <v>4</v>
      </c>
      <c r="C16" s="32">
        <v>1</v>
      </c>
      <c r="D16" s="32">
        <v>2</v>
      </c>
      <c r="E16" s="245">
        <v>3</v>
      </c>
      <c r="F16" s="32"/>
      <c r="G16" s="241">
        <v>1</v>
      </c>
      <c r="K16">
        <f t="shared" si="3"/>
        <v>13</v>
      </c>
      <c r="L16" s="98" t="e">
        <f ca="1"/>
        <v>#NAME?</v>
      </c>
      <c r="S16" s="83" t="e">
        <f t="array" aca="1" ref="S16" ca="1">SUM($I$4:$I$7*ABS(TRANSPOSE($B16:$E16)-O$4:O$7)^$O$11)</f>
        <v>#DIV/0!</v>
      </c>
      <c r="T16" t="e">
        <f t="array" aca="1" ref="T16" ca="1">SUM($I$4:$I$7*ABS(TRANSPOSE($B16:$E16)-P$4:P$7)^$O$11)</f>
        <v>#DIV/0!</v>
      </c>
      <c r="U16" s="84" t="e">
        <f t="array" aca="1" ref="U16" ca="1">SUM($I$4:$I$7*ABS(TRANSPOSE($B16:$E16)-Q$4:Q$7)^$O$11)</f>
        <v>#DIV/0!</v>
      </c>
      <c r="V16" s="98" t="e">
        <f t="shared" ca="1" si="2"/>
        <v>#DIV/0!</v>
      </c>
    </row>
    <row r="17" spans="2:22" x14ac:dyDescent="0.35">
      <c r="B17" s="44">
        <v>0</v>
      </c>
      <c r="C17" s="32">
        <v>5</v>
      </c>
      <c r="D17" s="32">
        <v>5</v>
      </c>
      <c r="E17" s="245">
        <v>4</v>
      </c>
      <c r="F17" s="32"/>
      <c r="G17" s="241">
        <v>2</v>
      </c>
      <c r="K17">
        <f t="shared" si="3"/>
        <v>14</v>
      </c>
      <c r="L17" s="98" t="e">
        <f ca="1"/>
        <v>#NAME?</v>
      </c>
      <c r="N17" t="s">
        <v>588</v>
      </c>
      <c r="O17" s="137" t="e">
        <f ca="1">CLUST_Converge(B4:E18,L4:L18)</f>
        <v>#NAME?</v>
      </c>
      <c r="S17" s="83" t="e">
        <f t="array" aca="1" ref="S17" ca="1">SUM($I$4:$I$7*ABS(TRANSPOSE($B17:$E17)-O$4:O$7)^$O$11)</f>
        <v>#DIV/0!</v>
      </c>
      <c r="T17" t="e">
        <f t="array" aca="1" ref="T17" ca="1">SUM($I$4:$I$7*ABS(TRANSPOSE($B17:$E17)-P$4:P$7)^$O$11)</f>
        <v>#DIV/0!</v>
      </c>
      <c r="U17" s="84" t="e">
        <f t="array" aca="1" ref="U17" ca="1">SUM($I$4:$I$7*ABS(TRANSPOSE($B17:$E17)-Q$4:Q$7)^$O$11)</f>
        <v>#DIV/0!</v>
      </c>
      <c r="V17" s="98" t="e">
        <f t="shared" ca="1" si="2"/>
        <v>#DIV/0!</v>
      </c>
    </row>
    <row r="18" spans="2:22" x14ac:dyDescent="0.35">
      <c r="B18" s="243">
        <v>5</v>
      </c>
      <c r="C18" s="267">
        <v>2</v>
      </c>
      <c r="D18" s="267">
        <v>4</v>
      </c>
      <c r="E18" s="218">
        <v>5</v>
      </c>
      <c r="F18" s="32"/>
      <c r="G18" s="244">
        <v>3</v>
      </c>
      <c r="K18">
        <f t="shared" si="3"/>
        <v>15</v>
      </c>
      <c r="L18" s="99" t="e">
        <f ca="1"/>
        <v>#NAME?</v>
      </c>
      <c r="S18" s="85" t="e">
        <f t="array" aca="1" ref="S18" ca="1">SUM($I$4:$I$7*ABS(TRANSPOSE($B18:$E18)-O$4:O$7)^$O$11)</f>
        <v>#DIV/0!</v>
      </c>
      <c r="T18" s="86" t="e">
        <f t="array" aca="1" ref="T18" ca="1">SUM($I$4:$I$7*ABS(TRANSPOSE($B18:$E18)-P$4:P$7)^$O$11)</f>
        <v>#DIV/0!</v>
      </c>
      <c r="U18" s="87" t="e">
        <f t="array" aca="1" ref="U18" ca="1">SUM($I$4:$I$7*ABS(TRANSPOSE($B18:$E18)-Q$4:Q$7)^$O$11)</f>
        <v>#DIV/0!</v>
      </c>
      <c r="V18" s="99" t="e">
        <f t="shared" ca="1" si="2"/>
        <v>#DIV/0!</v>
      </c>
    </row>
    <row r="19" spans="2:22" x14ac:dyDescent="0.35">
      <c r="N19" t="s">
        <v>542</v>
      </c>
      <c r="O19" s="137" t="e">
        <f ca="1">SUM(V4:V18)</f>
        <v>#DIV/0!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F-2BD0-4591-B5ED-67226B3B63FC}">
  <sheetPr codeName="Sheet92"/>
  <dimension ref="B1:T19"/>
  <sheetViews>
    <sheetView workbookViewId="0">
      <selection activeCell="L19" sqref="L19"/>
    </sheetView>
  </sheetViews>
  <sheetFormatPr defaultRowHeight="14.5" x14ac:dyDescent="0.35"/>
  <cols>
    <col min="1" max="1" width="1.453125" customWidth="1"/>
    <col min="2" max="5" width="7.26953125" customWidth="1"/>
    <col min="6" max="6" width="4.81640625" customWidth="1"/>
    <col min="7" max="7" width="7.26953125" customWidth="1"/>
    <col min="12" max="12" width="11" customWidth="1"/>
  </cols>
  <sheetData>
    <row r="1" spans="2:20" x14ac:dyDescent="0.35">
      <c r="B1" s="42" t="s">
        <v>589</v>
      </c>
    </row>
    <row r="2" spans="2:20" x14ac:dyDescent="0.35">
      <c r="G2" s="32" t="s">
        <v>852</v>
      </c>
    </row>
    <row r="3" spans="2:20" x14ac:dyDescent="0.35">
      <c r="B3" s="32" t="s">
        <v>278</v>
      </c>
      <c r="C3" s="32" t="s">
        <v>390</v>
      </c>
      <c r="D3" s="32" t="s">
        <v>392</v>
      </c>
      <c r="E3" s="32" t="s">
        <v>591</v>
      </c>
      <c r="F3" s="32"/>
      <c r="G3" s="32" t="s">
        <v>584</v>
      </c>
      <c r="J3" s="32" t="s">
        <v>584</v>
      </c>
      <c r="L3" t="s">
        <v>585</v>
      </c>
      <c r="M3">
        <v>1</v>
      </c>
      <c r="N3">
        <f>M3+1</f>
        <v>2</v>
      </c>
      <c r="O3">
        <f>N3+1</f>
        <v>3</v>
      </c>
      <c r="Q3">
        <v>1</v>
      </c>
      <c r="R3">
        <f>Q3+1</f>
        <v>2</v>
      </c>
      <c r="S3">
        <f>R3+1</f>
        <v>3</v>
      </c>
      <c r="T3" s="47" t="s">
        <v>853</v>
      </c>
    </row>
    <row r="4" spans="2:20" x14ac:dyDescent="0.35">
      <c r="B4" s="236">
        <v>1</v>
      </c>
      <c r="C4" s="145">
        <v>4</v>
      </c>
      <c r="D4" s="145">
        <v>0</v>
      </c>
      <c r="E4" s="237">
        <v>3</v>
      </c>
      <c r="F4" s="32"/>
      <c r="G4" s="238">
        <v>1</v>
      </c>
      <c r="I4">
        <v>1</v>
      </c>
      <c r="J4" s="132" t="e">
        <f t="array" aca="1" ref="J4:J18" ca="1">CLUST(B4:E18,M9,G4:G18,M11,,M15)</f>
        <v>#NAME?</v>
      </c>
      <c r="L4" t="s">
        <v>854</v>
      </c>
      <c r="M4" s="149" t="e">
        <f ca="1">AVERAGEIF($J$4:$J$18,M$3,$B$4:$B$18)</f>
        <v>#DIV/0!</v>
      </c>
      <c r="N4" s="141" t="e">
        <f t="shared" ref="N4:O4" ca="1" si="0">AVERAGEIF($J$4:$J$18,N$3,$B$4:$B$18)</f>
        <v>#DIV/0!</v>
      </c>
      <c r="O4" s="150" t="e">
        <f t="shared" ca="1" si="0"/>
        <v>#DIV/0!</v>
      </c>
      <c r="Q4" s="149" t="e">
        <f t="array" aca="1" ref="Q4" ca="1">SUM(ABS(TRANSPOSE($B4:$E4)-M$4:M$7)^$M$11)</f>
        <v>#DIV/0!</v>
      </c>
      <c r="R4" s="141" t="e">
        <f t="array" aca="1" ref="R4" ca="1">SUM(ABS(TRANSPOSE($B4:$E4)-N$4:N$7)^$M$11)</f>
        <v>#DIV/0!</v>
      </c>
      <c r="S4" s="150" t="e">
        <f t="array" aca="1" ref="S4" ca="1">SUM(ABS(TRANSPOSE($B4:$E4)-O$4:O$7)^$M$11)</f>
        <v>#DIV/0!</v>
      </c>
      <c r="T4" s="132" t="e">
        <f ca="1">MIN(Q4:S4)</f>
        <v>#DIV/0!</v>
      </c>
    </row>
    <row r="5" spans="2:20" x14ac:dyDescent="0.35">
      <c r="B5" s="44">
        <v>2</v>
      </c>
      <c r="C5" s="32">
        <v>5</v>
      </c>
      <c r="D5" s="32">
        <v>3</v>
      </c>
      <c r="E5" s="245">
        <v>4</v>
      </c>
      <c r="F5" s="32"/>
      <c r="G5" s="241">
        <v>2</v>
      </c>
      <c r="I5">
        <f>I4+1</f>
        <v>2</v>
      </c>
      <c r="J5" s="98" t="e">
        <f ca="1"/>
        <v>#NAME?</v>
      </c>
      <c r="L5" t="s">
        <v>855</v>
      </c>
      <c r="M5" s="83" t="e">
        <f ca="1">AVERAGEIF($J$4:$J$18,M$3,$C$4:$C$18)</f>
        <v>#DIV/0!</v>
      </c>
      <c r="N5" t="e">
        <f t="shared" ref="N5:O5" ca="1" si="1">AVERAGEIF($J$4:$J$18,N$3,$C$4:$C$18)</f>
        <v>#DIV/0!</v>
      </c>
      <c r="O5" s="84" t="e">
        <f t="shared" ca="1" si="1"/>
        <v>#DIV/0!</v>
      </c>
      <c r="Q5" s="83" t="e">
        <f t="array" aca="1" ref="Q5" ca="1">SUM(ABS(TRANSPOSE($B5:$E5)-M$4:M$7)^$M$11)</f>
        <v>#DIV/0!</v>
      </c>
      <c r="R5" t="e">
        <f t="array" aca="1" ref="R5" ca="1">SUM(ABS(TRANSPOSE($B5:$E5)-N$4:N$7)^$M$11)</f>
        <v>#DIV/0!</v>
      </c>
      <c r="S5" s="84" t="e">
        <f t="array" aca="1" ref="S5" ca="1">SUM(ABS(TRANSPOSE($B5:$E5)-O$4:O$7)^$M$11)</f>
        <v>#DIV/0!</v>
      </c>
      <c r="T5" s="98" t="e">
        <f t="shared" ref="T5:T18" ca="1" si="2">MIN(Q5:S5)</f>
        <v>#DIV/0!</v>
      </c>
    </row>
    <row r="6" spans="2:20" x14ac:dyDescent="0.35">
      <c r="B6" s="44">
        <v>4</v>
      </c>
      <c r="C6" s="32">
        <v>2</v>
      </c>
      <c r="D6" s="32">
        <v>1</v>
      </c>
      <c r="E6" s="245">
        <v>2</v>
      </c>
      <c r="F6" s="32"/>
      <c r="G6" s="241">
        <v>3</v>
      </c>
      <c r="I6">
        <f t="shared" ref="I6:I18" si="3">I5+1</f>
        <v>3</v>
      </c>
      <c r="J6" s="98" t="e">
        <f ca="1"/>
        <v>#NAME?</v>
      </c>
      <c r="L6" t="s">
        <v>856</v>
      </c>
      <c r="M6" s="83" t="e">
        <f ca="1">AVERAGEIF($J$4:$J$18,M$3,$D$4:$D$18)</f>
        <v>#DIV/0!</v>
      </c>
      <c r="N6" t="e">
        <f t="shared" ref="N6:O6" ca="1" si="4">AVERAGEIF($J$4:$J$18,N$3,$D$4:$D$18)</f>
        <v>#DIV/0!</v>
      </c>
      <c r="O6" s="84" t="e">
        <f t="shared" ca="1" si="4"/>
        <v>#DIV/0!</v>
      </c>
      <c r="Q6" s="83" t="e">
        <f t="array" aca="1" ref="Q6" ca="1">SUM(ABS(TRANSPOSE($B6:$E6)-M$4:M$7)^$M$11)</f>
        <v>#DIV/0!</v>
      </c>
      <c r="R6" t="e">
        <f t="array" aca="1" ref="R6" ca="1">SUM(ABS(TRANSPOSE($B6:$E6)-N$4:N$7)^$M$11)</f>
        <v>#DIV/0!</v>
      </c>
      <c r="S6" s="84" t="e">
        <f t="array" aca="1" ref="S6" ca="1">SUM(ABS(TRANSPOSE($B6:$E6)-O$4:O$7)^$M$11)</f>
        <v>#DIV/0!</v>
      </c>
      <c r="T6" s="98" t="e">
        <f t="shared" ca="1" si="2"/>
        <v>#DIV/0!</v>
      </c>
    </row>
    <row r="7" spans="2:20" x14ac:dyDescent="0.35">
      <c r="B7" s="44">
        <v>1</v>
      </c>
      <c r="C7" s="32">
        <v>0</v>
      </c>
      <c r="D7" s="32">
        <v>5</v>
      </c>
      <c r="E7" s="245">
        <v>3</v>
      </c>
      <c r="F7" s="32"/>
      <c r="G7" s="241">
        <v>1</v>
      </c>
      <c r="I7" s="47">
        <f t="shared" si="3"/>
        <v>4</v>
      </c>
      <c r="J7" s="98" t="e">
        <f ca="1"/>
        <v>#NAME?</v>
      </c>
      <c r="L7" t="s">
        <v>857</v>
      </c>
      <c r="M7" s="85" t="e">
        <f ca="1">AVERAGEIF($J$4:$J$18,M$3,$E$4:$E$18)</f>
        <v>#DIV/0!</v>
      </c>
      <c r="N7" s="86" t="e">
        <f t="shared" ref="N7:O7" ca="1" si="5">AVERAGEIF($J$4:$J$18,N$3,$E$4:$E$18)</f>
        <v>#DIV/0!</v>
      </c>
      <c r="O7" s="87" t="e">
        <f t="shared" ca="1" si="5"/>
        <v>#DIV/0!</v>
      </c>
      <c r="Q7" s="83" t="e">
        <f t="array" aca="1" ref="Q7" ca="1">SUM(ABS(TRANSPOSE($B7:$E7)-M$4:M$7)^$M$11)</f>
        <v>#DIV/0!</v>
      </c>
      <c r="R7" t="e">
        <f t="array" aca="1" ref="R7" ca="1">SUM(ABS(TRANSPOSE($B7:$E7)-N$4:N$7)^$M$11)</f>
        <v>#DIV/0!</v>
      </c>
      <c r="S7" s="84" t="e">
        <f t="array" aca="1" ref="S7" ca="1">SUM(ABS(TRANSPOSE($B7:$E7)-O$4:O$7)^$M$11)</f>
        <v>#DIV/0!</v>
      </c>
      <c r="T7" s="98" t="e">
        <f t="shared" ca="1" si="2"/>
        <v>#DIV/0!</v>
      </c>
    </row>
    <row r="8" spans="2:20" x14ac:dyDescent="0.35">
      <c r="B8" s="44">
        <v>2</v>
      </c>
      <c r="C8" s="32">
        <v>1</v>
      </c>
      <c r="D8" s="32">
        <v>1</v>
      </c>
      <c r="E8" s="245">
        <v>4</v>
      </c>
      <c r="F8" s="32"/>
      <c r="G8" s="241">
        <v>2</v>
      </c>
      <c r="I8">
        <f t="shared" si="3"/>
        <v>5</v>
      </c>
      <c r="J8" s="98" t="e">
        <f ca="1"/>
        <v>#NAME?</v>
      </c>
      <c r="Q8" s="83" t="e">
        <f t="array" aca="1" ref="Q8" ca="1">SUM(ABS(TRANSPOSE($B8:$E8)-M$4:M$7)^$M$11)</f>
        <v>#DIV/0!</v>
      </c>
      <c r="R8" t="e">
        <f t="array" aca="1" ref="R8" ca="1">SUM(ABS(TRANSPOSE($B8:$E8)-N$4:N$7)^$M$11)</f>
        <v>#DIV/0!</v>
      </c>
      <c r="S8" s="84" t="e">
        <f t="array" aca="1" ref="S8" ca="1">SUM(ABS(TRANSPOSE($B8:$E8)-O$4:O$7)^$M$11)</f>
        <v>#DIV/0!</v>
      </c>
      <c r="T8" s="98" t="e">
        <f t="shared" ca="1" si="2"/>
        <v>#DIV/0!</v>
      </c>
    </row>
    <row r="9" spans="2:20" x14ac:dyDescent="0.35">
      <c r="B9" s="44">
        <v>4</v>
      </c>
      <c r="C9" s="32">
        <v>3</v>
      </c>
      <c r="D9" s="32">
        <v>3</v>
      </c>
      <c r="E9" s="245">
        <v>0</v>
      </c>
      <c r="F9" s="32"/>
      <c r="G9" s="241">
        <v>3</v>
      </c>
      <c r="I9">
        <f t="shared" si="3"/>
        <v>6</v>
      </c>
      <c r="J9" s="98" t="e">
        <f ca="1"/>
        <v>#NAME?</v>
      </c>
      <c r="L9" t="s">
        <v>858</v>
      </c>
      <c r="M9" s="137">
        <v>3</v>
      </c>
      <c r="Q9" s="83" t="e">
        <f t="array" aca="1" ref="Q9" ca="1">SUM(ABS(TRANSPOSE($B9:$E9)-M$4:M$7)^$M$11)</f>
        <v>#DIV/0!</v>
      </c>
      <c r="R9" t="e">
        <f t="array" aca="1" ref="R9" ca="1">SUM(ABS(TRANSPOSE($B9:$E9)-N$4:N$7)^$M$11)</f>
        <v>#DIV/0!</v>
      </c>
      <c r="S9" s="84" t="e">
        <f t="array" aca="1" ref="S9" ca="1">SUM(ABS(TRANSPOSE($B9:$E9)-O$4:O$7)^$M$11)</f>
        <v>#DIV/0!</v>
      </c>
      <c r="T9" s="98" t="e">
        <f t="shared" ca="1" si="2"/>
        <v>#DIV/0!</v>
      </c>
    </row>
    <row r="10" spans="2:20" x14ac:dyDescent="0.35">
      <c r="B10" s="44">
        <v>5</v>
      </c>
      <c r="C10" s="32">
        <v>2</v>
      </c>
      <c r="D10" s="32">
        <v>2</v>
      </c>
      <c r="E10" s="245">
        <v>1</v>
      </c>
      <c r="F10" s="32"/>
      <c r="G10" s="241">
        <v>1</v>
      </c>
      <c r="I10">
        <f t="shared" si="3"/>
        <v>7</v>
      </c>
      <c r="J10" s="98" t="e">
        <f ca="1"/>
        <v>#NAME?</v>
      </c>
      <c r="Q10" s="83" t="e">
        <f t="array" aca="1" ref="Q10" ca="1">SUM(ABS(TRANSPOSE($B10:$E10)-M$4:M$7)^$M$11)</f>
        <v>#DIV/0!</v>
      </c>
      <c r="R10" t="e">
        <f t="array" aca="1" ref="R10" ca="1">SUM(ABS(TRANSPOSE($B10:$E10)-N$4:N$7)^$M$11)</f>
        <v>#DIV/0!</v>
      </c>
      <c r="S10" s="84" t="e">
        <f t="array" aca="1" ref="S10" ca="1">SUM(ABS(TRANSPOSE($B10:$E10)-O$4:O$7)^$M$11)</f>
        <v>#DIV/0!</v>
      </c>
      <c r="T10" s="98" t="e">
        <f t="shared" ca="1" si="2"/>
        <v>#DIV/0!</v>
      </c>
    </row>
    <row r="11" spans="2:20" x14ac:dyDescent="0.35">
      <c r="B11" s="44">
        <v>1</v>
      </c>
      <c r="C11" s="32">
        <v>2</v>
      </c>
      <c r="D11" s="32">
        <v>4</v>
      </c>
      <c r="E11" s="245">
        <v>5</v>
      </c>
      <c r="F11" s="32"/>
      <c r="G11" s="241">
        <v>2</v>
      </c>
      <c r="I11">
        <f t="shared" si="3"/>
        <v>8</v>
      </c>
      <c r="J11" s="98" t="e">
        <f ca="1"/>
        <v>#NAME?</v>
      </c>
      <c r="L11" t="s">
        <v>859</v>
      </c>
      <c r="M11" s="137">
        <v>1</v>
      </c>
      <c r="Q11" s="83" t="e">
        <f t="array" aca="1" ref="Q11" ca="1">SUM(ABS(TRANSPOSE($B11:$E11)-M$4:M$7)^$M$11)</f>
        <v>#DIV/0!</v>
      </c>
      <c r="R11" t="e">
        <f t="array" aca="1" ref="R11" ca="1">SUM(ABS(TRANSPOSE($B11:$E11)-N$4:N$7)^$M$11)</f>
        <v>#DIV/0!</v>
      </c>
      <c r="S11" s="84" t="e">
        <f t="array" aca="1" ref="S11" ca="1">SUM(ABS(TRANSPOSE($B11:$E11)-O$4:O$7)^$M$11)</f>
        <v>#DIV/0!</v>
      </c>
      <c r="T11" s="98" t="e">
        <f t="shared" ca="1" si="2"/>
        <v>#DIV/0!</v>
      </c>
    </row>
    <row r="12" spans="2:20" x14ac:dyDescent="0.35">
      <c r="B12" s="44">
        <v>2</v>
      </c>
      <c r="C12" s="32">
        <v>1</v>
      </c>
      <c r="D12" s="32">
        <v>3</v>
      </c>
      <c r="E12" s="245">
        <v>4</v>
      </c>
      <c r="F12" s="32"/>
      <c r="G12" s="241">
        <v>3</v>
      </c>
      <c r="I12">
        <f t="shared" si="3"/>
        <v>9</v>
      </c>
      <c r="J12" s="98" t="e">
        <f ca="1"/>
        <v>#NAME?</v>
      </c>
      <c r="Q12" s="83" t="e">
        <f t="array" aca="1" ref="Q12" ca="1">SUM(ABS(TRANSPOSE($B12:$E12)-M$4:M$7)^$M$11)</f>
        <v>#DIV/0!</v>
      </c>
      <c r="R12" t="e">
        <f t="array" aca="1" ref="R12" ca="1">SUM(ABS(TRANSPOSE($B12:$E12)-N$4:N$7)^$M$11)</f>
        <v>#DIV/0!</v>
      </c>
      <c r="S12" s="84" t="e">
        <f t="array" aca="1" ref="S12" ca="1">SUM(ABS(TRANSPOSE($B12:$E12)-O$4:O$7)^$M$11)</f>
        <v>#DIV/0!</v>
      </c>
      <c r="T12" s="98" t="e">
        <f t="shared" ca="1" si="2"/>
        <v>#DIV/0!</v>
      </c>
    </row>
    <row r="13" spans="2:20" x14ac:dyDescent="0.35">
      <c r="B13" s="44">
        <v>4</v>
      </c>
      <c r="C13" s="32">
        <v>5</v>
      </c>
      <c r="D13" s="32">
        <v>4</v>
      </c>
      <c r="E13" s="245">
        <v>2</v>
      </c>
      <c r="F13" s="32"/>
      <c r="G13" s="241">
        <v>1</v>
      </c>
      <c r="I13">
        <f t="shared" si="3"/>
        <v>10</v>
      </c>
      <c r="J13" s="98" t="e">
        <f ca="1"/>
        <v>#NAME?</v>
      </c>
      <c r="L13" t="s">
        <v>860</v>
      </c>
      <c r="M13" s="412" t="s">
        <v>861</v>
      </c>
      <c r="Q13" s="83" t="e">
        <f t="array" aca="1" ref="Q13" ca="1">SUM(ABS(TRANSPOSE($B13:$E13)-M$4:M$7)^$M$11)</f>
        <v>#DIV/0!</v>
      </c>
      <c r="R13" t="e">
        <f t="array" aca="1" ref="R13" ca="1">SUM(ABS(TRANSPOSE($B13:$E13)-N$4:N$7)^$M$11)</f>
        <v>#DIV/0!</v>
      </c>
      <c r="S13" s="84" t="e">
        <f t="array" aca="1" ref="S13" ca="1">SUM(ABS(TRANSPOSE($B13:$E13)-O$4:O$7)^$M$11)</f>
        <v>#DIV/0!</v>
      </c>
      <c r="T13" s="98" t="e">
        <f t="shared" ca="1" si="2"/>
        <v>#DIV/0!</v>
      </c>
    </row>
    <row r="14" spans="2:20" x14ac:dyDescent="0.35">
      <c r="B14" s="44">
        <v>3</v>
      </c>
      <c r="C14" s="32">
        <v>3</v>
      </c>
      <c r="D14" s="32">
        <v>2</v>
      </c>
      <c r="E14" s="245">
        <v>4</v>
      </c>
      <c r="F14" s="32"/>
      <c r="G14" s="241">
        <v>2</v>
      </c>
      <c r="I14">
        <f t="shared" si="3"/>
        <v>11</v>
      </c>
      <c r="J14" s="98" t="e">
        <f ca="1"/>
        <v>#NAME?</v>
      </c>
      <c r="Q14" s="83" t="e">
        <f t="array" aca="1" ref="Q14" ca="1">SUM(ABS(TRANSPOSE($B14:$E14)-M$4:M$7)^$M$11)</f>
        <v>#DIV/0!</v>
      </c>
      <c r="R14" t="e">
        <f t="array" aca="1" ref="R14" ca="1">SUM(ABS(TRANSPOSE($B14:$E14)-N$4:N$7)^$M$11)</f>
        <v>#DIV/0!</v>
      </c>
      <c r="S14" s="84" t="e">
        <f t="array" aca="1" ref="S14" ca="1">SUM(ABS(TRANSPOSE($B14:$E14)-O$4:O$7)^$M$11)</f>
        <v>#DIV/0!</v>
      </c>
      <c r="T14" s="98" t="e">
        <f t="shared" ca="1" si="2"/>
        <v>#DIV/0!</v>
      </c>
    </row>
    <row r="15" spans="2:20" x14ac:dyDescent="0.35">
      <c r="B15" s="44">
        <v>3</v>
      </c>
      <c r="C15" s="32">
        <v>3</v>
      </c>
      <c r="D15" s="32">
        <v>5</v>
      </c>
      <c r="E15" s="245">
        <v>4</v>
      </c>
      <c r="F15" s="32"/>
      <c r="G15" s="241">
        <v>3</v>
      </c>
      <c r="I15">
        <f t="shared" si="3"/>
        <v>12</v>
      </c>
      <c r="J15" s="98" t="e">
        <f ca="1"/>
        <v>#NAME?</v>
      </c>
      <c r="L15" t="s">
        <v>862</v>
      </c>
      <c r="M15" s="137">
        <v>200</v>
      </c>
      <c r="Q15" s="83" t="e">
        <f t="array" aca="1" ref="Q15" ca="1">SUM(ABS(TRANSPOSE($B15:$E15)-M$4:M$7)^$M$11)</f>
        <v>#DIV/0!</v>
      </c>
      <c r="R15" t="e">
        <f t="array" aca="1" ref="R15" ca="1">SUM(ABS(TRANSPOSE($B15:$E15)-N$4:N$7)^$M$11)</f>
        <v>#DIV/0!</v>
      </c>
      <c r="S15" s="84" t="e">
        <f t="array" aca="1" ref="S15" ca="1">SUM(ABS(TRANSPOSE($B15:$E15)-O$4:O$7)^$M$11)</f>
        <v>#DIV/0!</v>
      </c>
      <c r="T15" s="98" t="e">
        <f t="shared" ca="1" si="2"/>
        <v>#DIV/0!</v>
      </c>
    </row>
    <row r="16" spans="2:20" x14ac:dyDescent="0.35">
      <c r="B16" s="44">
        <v>4</v>
      </c>
      <c r="C16" s="32">
        <v>1</v>
      </c>
      <c r="D16" s="32">
        <v>2</v>
      </c>
      <c r="E16" s="245">
        <v>3</v>
      </c>
      <c r="F16" s="32"/>
      <c r="G16" s="241">
        <v>1</v>
      </c>
      <c r="I16">
        <f t="shared" si="3"/>
        <v>13</v>
      </c>
      <c r="J16" s="98" t="e">
        <f ca="1"/>
        <v>#NAME?</v>
      </c>
      <c r="Q16" s="83" t="e">
        <f t="array" aca="1" ref="Q16" ca="1">SUM(ABS(TRANSPOSE($B16:$E16)-M$4:M$7)^$M$11)</f>
        <v>#DIV/0!</v>
      </c>
      <c r="R16" t="e">
        <f t="array" aca="1" ref="R16" ca="1">SUM(ABS(TRANSPOSE($B16:$E16)-N$4:N$7)^$M$11)</f>
        <v>#DIV/0!</v>
      </c>
      <c r="S16" s="84" t="e">
        <f t="array" aca="1" ref="S16" ca="1">SUM(ABS(TRANSPOSE($B16:$E16)-O$4:O$7)^$M$11)</f>
        <v>#DIV/0!</v>
      </c>
      <c r="T16" s="98" t="e">
        <f t="shared" ca="1" si="2"/>
        <v>#DIV/0!</v>
      </c>
    </row>
    <row r="17" spans="2:20" x14ac:dyDescent="0.35">
      <c r="B17" s="44">
        <v>0</v>
      </c>
      <c r="C17" s="32">
        <v>5</v>
      </c>
      <c r="D17" s="32">
        <v>5</v>
      </c>
      <c r="E17" s="245">
        <v>4</v>
      </c>
      <c r="F17" s="32"/>
      <c r="G17" s="241">
        <v>2</v>
      </c>
      <c r="I17">
        <f t="shared" si="3"/>
        <v>14</v>
      </c>
      <c r="J17" s="98" t="e">
        <f ca="1"/>
        <v>#NAME?</v>
      </c>
      <c r="L17" t="s">
        <v>588</v>
      </c>
      <c r="M17" s="137" t="e">
        <f ca="1">CLUST_Converge(B4:E18,J4:J18)</f>
        <v>#NAME?</v>
      </c>
      <c r="Q17" s="83" t="e">
        <f t="array" aca="1" ref="Q17" ca="1">SUM(ABS(TRANSPOSE($B17:$E17)-M$4:M$7)^$M$11)</f>
        <v>#DIV/0!</v>
      </c>
      <c r="R17" t="e">
        <f t="array" aca="1" ref="R17" ca="1">SUM(ABS(TRANSPOSE($B17:$E17)-N$4:N$7)^$M$11)</f>
        <v>#DIV/0!</v>
      </c>
      <c r="S17" s="84" t="e">
        <f t="array" aca="1" ref="S17" ca="1">SUM(ABS(TRANSPOSE($B17:$E17)-O$4:O$7)^$M$11)</f>
        <v>#DIV/0!</v>
      </c>
      <c r="T17" s="98" t="e">
        <f t="shared" ca="1" si="2"/>
        <v>#DIV/0!</v>
      </c>
    </row>
    <row r="18" spans="2:20" x14ac:dyDescent="0.35">
      <c r="B18" s="243">
        <v>5</v>
      </c>
      <c r="C18" s="267">
        <v>2</v>
      </c>
      <c r="D18" s="267">
        <v>4</v>
      </c>
      <c r="E18" s="218">
        <v>5</v>
      </c>
      <c r="F18" s="32"/>
      <c r="G18" s="244">
        <v>3</v>
      </c>
      <c r="I18">
        <f t="shared" si="3"/>
        <v>15</v>
      </c>
      <c r="J18" s="99" t="e">
        <f ca="1"/>
        <v>#NAME?</v>
      </c>
      <c r="Q18" s="85" t="e">
        <f t="array" aca="1" ref="Q18" ca="1">SUM(ABS(TRANSPOSE($B18:$E18)-M$4:M$7)^$M$11)</f>
        <v>#DIV/0!</v>
      </c>
      <c r="R18" s="86" t="e">
        <f t="array" aca="1" ref="R18" ca="1">SUM(ABS(TRANSPOSE($B18:$E18)-N$4:N$7)^$M$11)</f>
        <v>#DIV/0!</v>
      </c>
      <c r="S18" s="87" t="e">
        <f t="array" aca="1" ref="S18" ca="1">SUM(ABS(TRANSPOSE($B18:$E18)-O$4:O$7)^$M$11)</f>
        <v>#DIV/0!</v>
      </c>
      <c r="T18" s="99" t="e">
        <f t="shared" ca="1" si="2"/>
        <v>#DIV/0!</v>
      </c>
    </row>
    <row r="19" spans="2:20" x14ac:dyDescent="0.35">
      <c r="L19" t="s">
        <v>542</v>
      </c>
      <c r="M19" s="137" t="e">
        <f ca="1">SUM(T4:T18)</f>
        <v>#DIV/0!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22AC-84CE-4933-B706-4A2FDDFBAEC4}">
  <sheetPr codeName="Sheet93"/>
  <dimension ref="B1:T19"/>
  <sheetViews>
    <sheetView workbookViewId="0"/>
  </sheetViews>
  <sheetFormatPr defaultRowHeight="14.5" x14ac:dyDescent="0.35"/>
  <cols>
    <col min="1" max="1" width="1.453125" customWidth="1"/>
    <col min="2" max="5" width="7.26953125" customWidth="1"/>
    <col min="6" max="6" width="4.81640625" customWidth="1"/>
    <col min="7" max="7" width="7.26953125" customWidth="1"/>
    <col min="12" max="12" width="11" customWidth="1"/>
  </cols>
  <sheetData>
    <row r="1" spans="2:20" x14ac:dyDescent="0.35">
      <c r="B1" s="42" t="s">
        <v>589</v>
      </c>
    </row>
    <row r="2" spans="2:20" x14ac:dyDescent="0.35">
      <c r="G2" s="32" t="s">
        <v>852</v>
      </c>
    </row>
    <row r="3" spans="2:20" x14ac:dyDescent="0.35">
      <c r="B3" s="32" t="s">
        <v>278</v>
      </c>
      <c r="C3" s="32" t="s">
        <v>390</v>
      </c>
      <c r="D3" s="32" t="s">
        <v>392</v>
      </c>
      <c r="E3" s="32" t="s">
        <v>591</v>
      </c>
      <c r="F3" s="32"/>
      <c r="G3" s="32" t="s">
        <v>584</v>
      </c>
      <c r="J3" s="32" t="s">
        <v>584</v>
      </c>
      <c r="L3" t="s">
        <v>585</v>
      </c>
      <c r="M3">
        <v>1</v>
      </c>
      <c r="N3">
        <f>M3+1</f>
        <v>2</v>
      </c>
      <c r="O3">
        <f>N3+1</f>
        <v>3</v>
      </c>
      <c r="Q3">
        <v>1</v>
      </c>
      <c r="R3">
        <f>Q3+1</f>
        <v>2</v>
      </c>
      <c r="S3">
        <f>R3+1</f>
        <v>3</v>
      </c>
      <c r="T3" s="47" t="s">
        <v>853</v>
      </c>
    </row>
    <row r="4" spans="2:20" x14ac:dyDescent="0.35">
      <c r="B4" s="236">
        <v>1</v>
      </c>
      <c r="C4" s="145">
        <v>4</v>
      </c>
      <c r="D4" s="145">
        <v>0</v>
      </c>
      <c r="E4" s="237">
        <v>3</v>
      </c>
      <c r="F4" s="32"/>
      <c r="G4" s="238">
        <v>1</v>
      </c>
      <c r="I4">
        <v>1</v>
      </c>
      <c r="J4" s="132" t="e">
        <f t="array" aca="1" ref="J4:J18" ca="1">CLUST(B4:E18,M9,G4:G18,M11,,M15)</f>
        <v>#NAME?</v>
      </c>
      <c r="L4" t="s">
        <v>854</v>
      </c>
      <c r="M4" s="149" t="e">
        <f ca="1">AVERAGEIF($J$4:$J$18,M$3,$B$4:$B$18)</f>
        <v>#DIV/0!</v>
      </c>
      <c r="N4" s="141" t="e">
        <f t="shared" ref="N4:O4" ca="1" si="0">AVERAGEIF($J$4:$J$18,N$3,$B$4:$B$18)</f>
        <v>#DIV/0!</v>
      </c>
      <c r="O4" s="150" t="e">
        <f t="shared" ca="1" si="0"/>
        <v>#DIV/0!</v>
      </c>
      <c r="Q4" s="149" t="e">
        <f t="array" aca="1" ref="Q4" ca="1">SUM(ABS(TRANSPOSE($B4:$E4)-M$4:M$7)^$M$11)</f>
        <v>#DIV/0!</v>
      </c>
      <c r="R4" s="141" t="e">
        <f t="array" aca="1" ref="R4" ca="1">SUM(ABS(TRANSPOSE($B4:$E4)-N$4:N$7)^$M$11)</f>
        <v>#DIV/0!</v>
      </c>
      <c r="S4" s="150" t="e">
        <f t="array" aca="1" ref="S4" ca="1">SUM(ABS(TRANSPOSE($B4:$E4)-O$4:O$7)^$M$11)</f>
        <v>#DIV/0!</v>
      </c>
      <c r="T4" s="132" t="e">
        <f ca="1">MIN(Q4:S4)</f>
        <v>#DIV/0!</v>
      </c>
    </row>
    <row r="5" spans="2:20" x14ac:dyDescent="0.35">
      <c r="B5" s="44">
        <v>2</v>
      </c>
      <c r="C5" s="32">
        <v>5</v>
      </c>
      <c r="D5" s="32">
        <v>3</v>
      </c>
      <c r="E5" s="245">
        <v>4</v>
      </c>
      <c r="F5" s="32"/>
      <c r="G5" s="241">
        <v>2</v>
      </c>
      <c r="I5">
        <f>I4+1</f>
        <v>2</v>
      </c>
      <c r="J5" s="98" t="e">
        <f ca="1"/>
        <v>#NAME?</v>
      </c>
      <c r="L5" t="s">
        <v>855</v>
      </c>
      <c r="M5" s="83" t="e">
        <f ca="1">AVERAGEIF($J$4:$J$18,M$3,$C$4:$C$18)</f>
        <v>#DIV/0!</v>
      </c>
      <c r="N5" t="e">
        <f t="shared" ref="N5:O5" ca="1" si="1">AVERAGEIF($J$4:$J$18,N$3,$C$4:$C$18)</f>
        <v>#DIV/0!</v>
      </c>
      <c r="O5" s="84" t="e">
        <f t="shared" ca="1" si="1"/>
        <v>#DIV/0!</v>
      </c>
      <c r="Q5" s="83" t="e">
        <f t="array" aca="1" ref="Q5" ca="1">SUM(ABS(TRANSPOSE($B5:$E5)-M$4:M$7)^$M$11)</f>
        <v>#DIV/0!</v>
      </c>
      <c r="R5" t="e">
        <f t="array" aca="1" ref="R5" ca="1">SUM(ABS(TRANSPOSE($B5:$E5)-N$4:N$7)^$M$11)</f>
        <v>#DIV/0!</v>
      </c>
      <c r="S5" s="84" t="e">
        <f t="array" aca="1" ref="S5" ca="1">SUM(ABS(TRANSPOSE($B5:$E5)-O$4:O$7)^$M$11)</f>
        <v>#DIV/0!</v>
      </c>
      <c r="T5" s="98" t="e">
        <f t="shared" ref="T5:T18" ca="1" si="2">MIN(Q5:S5)</f>
        <v>#DIV/0!</v>
      </c>
    </row>
    <row r="6" spans="2:20" x14ac:dyDescent="0.35">
      <c r="B6" s="44">
        <v>4</v>
      </c>
      <c r="C6" s="32">
        <v>2</v>
      </c>
      <c r="D6" s="32">
        <v>1</v>
      </c>
      <c r="E6" s="245">
        <v>2</v>
      </c>
      <c r="F6" s="32"/>
      <c r="G6" s="241">
        <v>3</v>
      </c>
      <c r="I6">
        <f t="shared" ref="I6:I18" si="3">I5+1</f>
        <v>3</v>
      </c>
      <c r="J6" s="98" t="e">
        <f ca="1"/>
        <v>#NAME?</v>
      </c>
      <c r="L6" t="s">
        <v>856</v>
      </c>
      <c r="M6" s="83" t="e">
        <f ca="1">AVERAGEIF($J$4:$J$18,M$3,$D$4:$D$18)</f>
        <v>#DIV/0!</v>
      </c>
      <c r="N6" t="e">
        <f t="shared" ref="N6:O6" ca="1" si="4">AVERAGEIF($J$4:$J$18,N$3,$D$4:$D$18)</f>
        <v>#DIV/0!</v>
      </c>
      <c r="O6" s="84" t="e">
        <f t="shared" ca="1" si="4"/>
        <v>#DIV/0!</v>
      </c>
      <c r="Q6" s="83" t="e">
        <f t="array" aca="1" ref="Q6" ca="1">SUM(ABS(TRANSPOSE($B6:$E6)-M$4:M$7)^$M$11)</f>
        <v>#DIV/0!</v>
      </c>
      <c r="R6" t="e">
        <f t="array" aca="1" ref="R6" ca="1">SUM(ABS(TRANSPOSE($B6:$E6)-N$4:N$7)^$M$11)</f>
        <v>#DIV/0!</v>
      </c>
      <c r="S6" s="84" t="e">
        <f t="array" aca="1" ref="S6" ca="1">SUM(ABS(TRANSPOSE($B6:$E6)-O$4:O$7)^$M$11)</f>
        <v>#DIV/0!</v>
      </c>
      <c r="T6" s="98" t="e">
        <f t="shared" ca="1" si="2"/>
        <v>#DIV/0!</v>
      </c>
    </row>
    <row r="7" spans="2:20" x14ac:dyDescent="0.35">
      <c r="B7" s="44">
        <v>1</v>
      </c>
      <c r="C7" s="32">
        <v>0</v>
      </c>
      <c r="D7" s="32">
        <v>5</v>
      </c>
      <c r="E7" s="245">
        <v>3</v>
      </c>
      <c r="F7" s="32"/>
      <c r="G7" s="241">
        <v>1</v>
      </c>
      <c r="I7" s="47">
        <f t="shared" si="3"/>
        <v>4</v>
      </c>
      <c r="J7" s="98" t="e">
        <f ca="1"/>
        <v>#NAME?</v>
      </c>
      <c r="L7" t="s">
        <v>857</v>
      </c>
      <c r="M7" s="85" t="e">
        <f ca="1">AVERAGEIF($J$4:$J$18,M$3,$E$4:$E$18)</f>
        <v>#DIV/0!</v>
      </c>
      <c r="N7" s="86" t="e">
        <f t="shared" ref="N7:O7" ca="1" si="5">AVERAGEIF($J$4:$J$18,N$3,$E$4:$E$18)</f>
        <v>#DIV/0!</v>
      </c>
      <c r="O7" s="87" t="e">
        <f t="shared" ca="1" si="5"/>
        <v>#DIV/0!</v>
      </c>
      <c r="Q7" s="83" t="e">
        <f t="array" aca="1" ref="Q7" ca="1">SUM(ABS(TRANSPOSE($B7:$E7)-M$4:M$7)^$M$11)</f>
        <v>#DIV/0!</v>
      </c>
      <c r="R7" t="e">
        <f t="array" aca="1" ref="R7" ca="1">SUM(ABS(TRANSPOSE($B7:$E7)-N$4:N$7)^$M$11)</f>
        <v>#DIV/0!</v>
      </c>
      <c r="S7" s="84" t="e">
        <f t="array" aca="1" ref="S7" ca="1">SUM(ABS(TRANSPOSE($B7:$E7)-O$4:O$7)^$M$11)</f>
        <v>#DIV/0!</v>
      </c>
      <c r="T7" s="98" t="e">
        <f t="shared" ca="1" si="2"/>
        <v>#DIV/0!</v>
      </c>
    </row>
    <row r="8" spans="2:20" x14ac:dyDescent="0.35">
      <c r="B8" s="44">
        <v>2</v>
      </c>
      <c r="C8" s="32">
        <v>1</v>
      </c>
      <c r="D8" s="32">
        <v>1</v>
      </c>
      <c r="E8" s="245">
        <v>4</v>
      </c>
      <c r="F8" s="32"/>
      <c r="G8" s="241">
        <v>2</v>
      </c>
      <c r="I8">
        <f t="shared" si="3"/>
        <v>5</v>
      </c>
      <c r="J8" s="98" t="e">
        <f ca="1"/>
        <v>#NAME?</v>
      </c>
      <c r="Q8" s="83" t="e">
        <f t="array" aca="1" ref="Q8" ca="1">SUM(ABS(TRANSPOSE($B8:$E8)-M$4:M$7)^$M$11)</f>
        <v>#DIV/0!</v>
      </c>
      <c r="R8" t="e">
        <f t="array" aca="1" ref="R8" ca="1">SUM(ABS(TRANSPOSE($B8:$E8)-N$4:N$7)^$M$11)</f>
        <v>#DIV/0!</v>
      </c>
      <c r="S8" s="84" t="e">
        <f t="array" aca="1" ref="S8" ca="1">SUM(ABS(TRANSPOSE($B8:$E8)-O$4:O$7)^$M$11)</f>
        <v>#DIV/0!</v>
      </c>
      <c r="T8" s="98" t="e">
        <f t="shared" ca="1" si="2"/>
        <v>#DIV/0!</v>
      </c>
    </row>
    <row r="9" spans="2:20" x14ac:dyDescent="0.35">
      <c r="B9" s="44">
        <v>4</v>
      </c>
      <c r="C9" s="32">
        <v>3</v>
      </c>
      <c r="D9" s="32">
        <v>3</v>
      </c>
      <c r="E9" s="245">
        <v>0</v>
      </c>
      <c r="F9" s="32"/>
      <c r="G9" s="241">
        <v>3</v>
      </c>
      <c r="I9">
        <f t="shared" si="3"/>
        <v>6</v>
      </c>
      <c r="J9" s="98" t="e">
        <f ca="1"/>
        <v>#NAME?</v>
      </c>
      <c r="L9" t="s">
        <v>858</v>
      </c>
      <c r="M9" s="137">
        <v>3</v>
      </c>
      <c r="Q9" s="83" t="e">
        <f t="array" aca="1" ref="Q9" ca="1">SUM(ABS(TRANSPOSE($B9:$E9)-M$4:M$7)^$M$11)</f>
        <v>#DIV/0!</v>
      </c>
      <c r="R9" t="e">
        <f t="array" aca="1" ref="R9" ca="1">SUM(ABS(TRANSPOSE($B9:$E9)-N$4:N$7)^$M$11)</f>
        <v>#DIV/0!</v>
      </c>
      <c r="S9" s="84" t="e">
        <f t="array" aca="1" ref="S9" ca="1">SUM(ABS(TRANSPOSE($B9:$E9)-O$4:O$7)^$M$11)</f>
        <v>#DIV/0!</v>
      </c>
      <c r="T9" s="98" t="e">
        <f t="shared" ca="1" si="2"/>
        <v>#DIV/0!</v>
      </c>
    </row>
    <row r="10" spans="2:20" x14ac:dyDescent="0.35">
      <c r="B10" s="44">
        <v>5</v>
      </c>
      <c r="C10" s="32">
        <v>2</v>
      </c>
      <c r="D10" s="32">
        <v>2</v>
      </c>
      <c r="E10" s="245">
        <v>1</v>
      </c>
      <c r="F10" s="32"/>
      <c r="G10" s="241">
        <v>1</v>
      </c>
      <c r="I10">
        <f t="shared" si="3"/>
        <v>7</v>
      </c>
      <c r="J10" s="98" t="e">
        <f ca="1"/>
        <v>#NAME?</v>
      </c>
      <c r="Q10" s="83" t="e">
        <f t="array" aca="1" ref="Q10" ca="1">SUM(ABS(TRANSPOSE($B10:$E10)-M$4:M$7)^$M$11)</f>
        <v>#DIV/0!</v>
      </c>
      <c r="R10" t="e">
        <f t="array" aca="1" ref="R10" ca="1">SUM(ABS(TRANSPOSE($B10:$E10)-N$4:N$7)^$M$11)</f>
        <v>#DIV/0!</v>
      </c>
      <c r="S10" s="84" t="e">
        <f t="array" aca="1" ref="S10" ca="1">SUM(ABS(TRANSPOSE($B10:$E10)-O$4:O$7)^$M$11)</f>
        <v>#DIV/0!</v>
      </c>
      <c r="T10" s="98" t="e">
        <f t="shared" ca="1" si="2"/>
        <v>#DIV/0!</v>
      </c>
    </row>
    <row r="11" spans="2:20" x14ac:dyDescent="0.35">
      <c r="B11" s="44">
        <v>1</v>
      </c>
      <c r="C11" s="32">
        <v>2</v>
      </c>
      <c r="D11" s="32">
        <v>4</v>
      </c>
      <c r="E11" s="245">
        <v>5</v>
      </c>
      <c r="F11" s="32"/>
      <c r="G11" s="241">
        <v>2</v>
      </c>
      <c r="I11">
        <f t="shared" si="3"/>
        <v>8</v>
      </c>
      <c r="J11" s="98" t="e">
        <f ca="1"/>
        <v>#NAME?</v>
      </c>
      <c r="L11" t="s">
        <v>859</v>
      </c>
      <c r="M11" s="137">
        <v>1</v>
      </c>
      <c r="Q11" s="83" t="e">
        <f t="array" aca="1" ref="Q11" ca="1">SUM(ABS(TRANSPOSE($B11:$E11)-M$4:M$7)^$M$11)</f>
        <v>#DIV/0!</v>
      </c>
      <c r="R11" t="e">
        <f t="array" aca="1" ref="R11" ca="1">SUM(ABS(TRANSPOSE($B11:$E11)-N$4:N$7)^$M$11)</f>
        <v>#DIV/0!</v>
      </c>
      <c r="S11" s="84" t="e">
        <f t="array" aca="1" ref="S11" ca="1">SUM(ABS(TRANSPOSE($B11:$E11)-O$4:O$7)^$M$11)</f>
        <v>#DIV/0!</v>
      </c>
      <c r="T11" s="98" t="e">
        <f t="shared" ca="1" si="2"/>
        <v>#DIV/0!</v>
      </c>
    </row>
    <row r="12" spans="2:20" x14ac:dyDescent="0.35">
      <c r="B12" s="44">
        <v>2</v>
      </c>
      <c r="C12" s="32">
        <v>1</v>
      </c>
      <c r="D12" s="32">
        <v>3</v>
      </c>
      <c r="E12" s="245">
        <v>4</v>
      </c>
      <c r="F12" s="32"/>
      <c r="G12" s="241">
        <v>3</v>
      </c>
      <c r="I12">
        <f t="shared" si="3"/>
        <v>9</v>
      </c>
      <c r="J12" s="98" t="e">
        <f ca="1"/>
        <v>#NAME?</v>
      </c>
      <c r="Q12" s="83" t="e">
        <f t="array" aca="1" ref="Q12" ca="1">SUM(ABS(TRANSPOSE($B12:$E12)-M$4:M$7)^$M$11)</f>
        <v>#DIV/0!</v>
      </c>
      <c r="R12" t="e">
        <f t="array" aca="1" ref="R12" ca="1">SUM(ABS(TRANSPOSE($B12:$E12)-N$4:N$7)^$M$11)</f>
        <v>#DIV/0!</v>
      </c>
      <c r="S12" s="84" t="e">
        <f t="array" aca="1" ref="S12" ca="1">SUM(ABS(TRANSPOSE($B12:$E12)-O$4:O$7)^$M$11)</f>
        <v>#DIV/0!</v>
      </c>
      <c r="T12" s="98" t="e">
        <f t="shared" ca="1" si="2"/>
        <v>#DIV/0!</v>
      </c>
    </row>
    <row r="13" spans="2:20" x14ac:dyDescent="0.35">
      <c r="B13" s="44">
        <v>4</v>
      </c>
      <c r="C13" s="32">
        <v>5</v>
      </c>
      <c r="D13" s="32">
        <v>4</v>
      </c>
      <c r="E13" s="245">
        <v>2</v>
      </c>
      <c r="F13" s="32"/>
      <c r="G13" s="241">
        <v>1</v>
      </c>
      <c r="I13">
        <f t="shared" si="3"/>
        <v>10</v>
      </c>
      <c r="J13" s="98" t="e">
        <f ca="1"/>
        <v>#NAME?</v>
      </c>
      <c r="L13" t="s">
        <v>860</v>
      </c>
      <c r="M13" s="412" t="s">
        <v>861</v>
      </c>
      <c r="Q13" s="83" t="e">
        <f t="array" aca="1" ref="Q13" ca="1">SUM(ABS(TRANSPOSE($B13:$E13)-M$4:M$7)^$M$11)</f>
        <v>#DIV/0!</v>
      </c>
      <c r="R13" t="e">
        <f t="array" aca="1" ref="R13" ca="1">SUM(ABS(TRANSPOSE($B13:$E13)-N$4:N$7)^$M$11)</f>
        <v>#DIV/0!</v>
      </c>
      <c r="S13" s="84" t="e">
        <f t="array" aca="1" ref="S13" ca="1">SUM(ABS(TRANSPOSE($B13:$E13)-O$4:O$7)^$M$11)</f>
        <v>#DIV/0!</v>
      </c>
      <c r="T13" s="98" t="e">
        <f t="shared" ca="1" si="2"/>
        <v>#DIV/0!</v>
      </c>
    </row>
    <row r="14" spans="2:20" x14ac:dyDescent="0.35">
      <c r="B14" s="44">
        <v>3</v>
      </c>
      <c r="C14" s="32">
        <v>3</v>
      </c>
      <c r="D14" s="32">
        <v>2</v>
      </c>
      <c r="E14" s="245">
        <v>4</v>
      </c>
      <c r="F14" s="32"/>
      <c r="G14" s="241">
        <v>2</v>
      </c>
      <c r="I14">
        <f t="shared" si="3"/>
        <v>11</v>
      </c>
      <c r="J14" s="98" t="e">
        <f ca="1"/>
        <v>#NAME?</v>
      </c>
      <c r="Q14" s="83" t="e">
        <f t="array" aca="1" ref="Q14" ca="1">SUM(ABS(TRANSPOSE($B14:$E14)-M$4:M$7)^$M$11)</f>
        <v>#DIV/0!</v>
      </c>
      <c r="R14" t="e">
        <f t="array" aca="1" ref="R14" ca="1">SUM(ABS(TRANSPOSE($B14:$E14)-N$4:N$7)^$M$11)</f>
        <v>#DIV/0!</v>
      </c>
      <c r="S14" s="84" t="e">
        <f t="array" aca="1" ref="S14" ca="1">SUM(ABS(TRANSPOSE($B14:$E14)-O$4:O$7)^$M$11)</f>
        <v>#DIV/0!</v>
      </c>
      <c r="T14" s="98" t="e">
        <f t="shared" ca="1" si="2"/>
        <v>#DIV/0!</v>
      </c>
    </row>
    <row r="15" spans="2:20" x14ac:dyDescent="0.35">
      <c r="B15" s="44">
        <v>3</v>
      </c>
      <c r="C15" s="32">
        <v>3</v>
      </c>
      <c r="D15" s="32">
        <v>5</v>
      </c>
      <c r="E15" s="245">
        <v>4</v>
      </c>
      <c r="F15" s="32"/>
      <c r="G15" s="241">
        <v>3</v>
      </c>
      <c r="I15">
        <f t="shared" si="3"/>
        <v>12</v>
      </c>
      <c r="J15" s="98" t="e">
        <f ca="1"/>
        <v>#NAME?</v>
      </c>
      <c r="L15" t="s">
        <v>862</v>
      </c>
      <c r="M15" s="137">
        <v>500</v>
      </c>
      <c r="Q15" s="83" t="e">
        <f t="array" aca="1" ref="Q15" ca="1">SUM(ABS(TRANSPOSE($B15:$E15)-M$4:M$7)^$M$11)</f>
        <v>#DIV/0!</v>
      </c>
      <c r="R15" t="e">
        <f t="array" aca="1" ref="R15" ca="1">SUM(ABS(TRANSPOSE($B15:$E15)-N$4:N$7)^$M$11)</f>
        <v>#DIV/0!</v>
      </c>
      <c r="S15" s="84" t="e">
        <f t="array" aca="1" ref="S15" ca="1">SUM(ABS(TRANSPOSE($B15:$E15)-O$4:O$7)^$M$11)</f>
        <v>#DIV/0!</v>
      </c>
      <c r="T15" s="98" t="e">
        <f t="shared" ca="1" si="2"/>
        <v>#DIV/0!</v>
      </c>
    </row>
    <row r="16" spans="2:20" x14ac:dyDescent="0.35">
      <c r="B16" s="44">
        <v>4</v>
      </c>
      <c r="C16" s="32">
        <v>1</v>
      </c>
      <c r="D16" s="32">
        <v>2</v>
      </c>
      <c r="E16" s="245">
        <v>3</v>
      </c>
      <c r="F16" s="32"/>
      <c r="G16" s="241">
        <v>1</v>
      </c>
      <c r="I16">
        <f t="shared" si="3"/>
        <v>13</v>
      </c>
      <c r="J16" s="98" t="e">
        <f ca="1"/>
        <v>#NAME?</v>
      </c>
      <c r="Q16" s="83" t="e">
        <f t="array" aca="1" ref="Q16" ca="1">SUM(ABS(TRANSPOSE($B16:$E16)-M$4:M$7)^$M$11)</f>
        <v>#DIV/0!</v>
      </c>
      <c r="R16" t="e">
        <f t="array" aca="1" ref="R16" ca="1">SUM(ABS(TRANSPOSE($B16:$E16)-N$4:N$7)^$M$11)</f>
        <v>#DIV/0!</v>
      </c>
      <c r="S16" s="84" t="e">
        <f t="array" aca="1" ref="S16" ca="1">SUM(ABS(TRANSPOSE($B16:$E16)-O$4:O$7)^$M$11)</f>
        <v>#DIV/0!</v>
      </c>
      <c r="T16" s="98" t="e">
        <f t="shared" ca="1" si="2"/>
        <v>#DIV/0!</v>
      </c>
    </row>
    <row r="17" spans="2:20" x14ac:dyDescent="0.35">
      <c r="B17" s="44">
        <v>0</v>
      </c>
      <c r="C17" s="32">
        <v>5</v>
      </c>
      <c r="D17" s="32">
        <v>5</v>
      </c>
      <c r="E17" s="245">
        <v>4</v>
      </c>
      <c r="F17" s="32"/>
      <c r="G17" s="241">
        <v>2</v>
      </c>
      <c r="I17">
        <f t="shared" si="3"/>
        <v>14</v>
      </c>
      <c r="J17" s="98" t="e">
        <f ca="1"/>
        <v>#NAME?</v>
      </c>
      <c r="L17" t="s">
        <v>588</v>
      </c>
      <c r="M17" s="137" t="e">
        <f ca="1">CLUST_Converge(B4:E18,J4:J18)</f>
        <v>#NAME?</v>
      </c>
      <c r="Q17" s="83" t="e">
        <f t="array" aca="1" ref="Q17" ca="1">SUM(ABS(TRANSPOSE($B17:$E17)-M$4:M$7)^$M$11)</f>
        <v>#DIV/0!</v>
      </c>
      <c r="R17" t="e">
        <f t="array" aca="1" ref="R17" ca="1">SUM(ABS(TRANSPOSE($B17:$E17)-N$4:N$7)^$M$11)</f>
        <v>#DIV/0!</v>
      </c>
      <c r="S17" s="84" t="e">
        <f t="array" aca="1" ref="S17" ca="1">SUM(ABS(TRANSPOSE($B17:$E17)-O$4:O$7)^$M$11)</f>
        <v>#DIV/0!</v>
      </c>
      <c r="T17" s="98" t="e">
        <f t="shared" ca="1" si="2"/>
        <v>#DIV/0!</v>
      </c>
    </row>
    <row r="18" spans="2:20" x14ac:dyDescent="0.35">
      <c r="B18" s="243">
        <v>5</v>
      </c>
      <c r="C18" s="267">
        <v>2</v>
      </c>
      <c r="D18" s="267">
        <v>4</v>
      </c>
      <c r="E18" s="218">
        <v>5</v>
      </c>
      <c r="F18" s="32"/>
      <c r="G18" s="244">
        <v>3</v>
      </c>
      <c r="I18">
        <f t="shared" si="3"/>
        <v>15</v>
      </c>
      <c r="J18" s="99" t="e">
        <f ca="1"/>
        <v>#NAME?</v>
      </c>
      <c r="Q18" s="85" t="e">
        <f t="array" aca="1" ref="Q18" ca="1">SUM(ABS(TRANSPOSE($B18:$E18)-M$4:M$7)^$M$11)</f>
        <v>#DIV/0!</v>
      </c>
      <c r="R18" s="86" t="e">
        <f t="array" aca="1" ref="R18" ca="1">SUM(ABS(TRANSPOSE($B18:$E18)-N$4:N$7)^$M$11)</f>
        <v>#DIV/0!</v>
      </c>
      <c r="S18" s="87" t="e">
        <f t="array" aca="1" ref="S18" ca="1">SUM(ABS(TRANSPOSE($B18:$E18)-O$4:O$7)^$M$11)</f>
        <v>#DIV/0!</v>
      </c>
      <c r="T18" s="99" t="e">
        <f t="shared" ca="1" si="2"/>
        <v>#DIV/0!</v>
      </c>
    </row>
    <row r="19" spans="2:20" x14ac:dyDescent="0.35">
      <c r="L19" t="s">
        <v>542</v>
      </c>
      <c r="M19" s="137" t="e">
        <f ca="1">SUM(T4:T18)</f>
        <v>#DIV/0!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E842-A6E2-40BD-82D0-56E14D412B28}">
  <sheetPr codeName="Sheet94"/>
  <dimension ref="B1:W37"/>
  <sheetViews>
    <sheetView workbookViewId="0">
      <selection activeCell="L19" sqref="L19"/>
    </sheetView>
  </sheetViews>
  <sheetFormatPr defaultRowHeight="14.5" x14ac:dyDescent="0.35"/>
  <cols>
    <col min="1" max="1" width="1.453125" customWidth="1"/>
    <col min="2" max="5" width="7.26953125" customWidth="1"/>
    <col min="6" max="6" width="5.1796875" customWidth="1"/>
    <col min="7" max="7" width="6" customWidth="1"/>
    <col min="13" max="13" width="12" customWidth="1"/>
  </cols>
  <sheetData>
    <row r="1" spans="2:21" x14ac:dyDescent="0.35">
      <c r="B1" s="42" t="s">
        <v>589</v>
      </c>
    </row>
    <row r="3" spans="2:21" x14ac:dyDescent="0.35">
      <c r="B3" s="32" t="s">
        <v>278</v>
      </c>
      <c r="C3" s="32" t="s">
        <v>390</v>
      </c>
      <c r="D3" s="32" t="s">
        <v>392</v>
      </c>
      <c r="E3" s="32" t="s">
        <v>591</v>
      </c>
      <c r="H3" s="32" t="s">
        <v>863</v>
      </c>
      <c r="K3" s="32" t="s">
        <v>584</v>
      </c>
      <c r="M3" t="s">
        <v>585</v>
      </c>
      <c r="N3">
        <v>1</v>
      </c>
      <c r="O3">
        <f>N3+1</f>
        <v>2</v>
      </c>
      <c r="P3">
        <f>O3+1</f>
        <v>3</v>
      </c>
      <c r="R3">
        <v>1</v>
      </c>
      <c r="S3">
        <f>R3+1</f>
        <v>2</v>
      </c>
      <c r="T3">
        <f>S3+1</f>
        <v>3</v>
      </c>
      <c r="U3" s="47" t="s">
        <v>853</v>
      </c>
    </row>
    <row r="4" spans="2:21" x14ac:dyDescent="0.35">
      <c r="B4" s="236">
        <v>1</v>
      </c>
      <c r="C4" s="145">
        <v>4</v>
      </c>
      <c r="D4" s="145">
        <v>0</v>
      </c>
      <c r="E4" s="237">
        <v>3</v>
      </c>
      <c r="G4" s="32" t="str">
        <f t="array" ref="G4:G7">TRANSPOSE(B3:E3)</f>
        <v>W</v>
      </c>
      <c r="H4" s="238">
        <f t="array" ref="H4:H7">TRANSPOSE(B20:E20)</f>
        <v>1</v>
      </c>
      <c r="J4">
        <v>1</v>
      </c>
      <c r="K4" s="132" t="e">
        <f t="array" aca="1" ref="K4:K18" ca="1">ClustAnal(B4:E18,N9,N13,N11,H4:H7,N15)</f>
        <v>#NAME?</v>
      </c>
      <c r="M4" t="s">
        <v>854</v>
      </c>
      <c r="N4" s="149" t="e">
        <f ca="1">AVERAGEIF($K$4:$K$18,N$3,$B$4:$B$18)</f>
        <v>#DIV/0!</v>
      </c>
      <c r="O4" s="141" t="e">
        <f t="shared" ref="O4:P4" ca="1" si="0">AVERAGEIF($K$4:$K$18,O$3,$B$4:$B$18)</f>
        <v>#DIV/0!</v>
      </c>
      <c r="P4" s="150" t="e">
        <f t="shared" ca="1" si="0"/>
        <v>#DIV/0!</v>
      </c>
      <c r="R4" s="149" t="e">
        <f t="array" aca="1" ref="R4" ca="1">SUM($H$4:$H$7*ABS(TRANSPOSE($B4:$E4)-N$4:N$7)^$N$11)</f>
        <v>#DIV/0!</v>
      </c>
      <c r="S4" s="141" t="e">
        <f t="array" aca="1" ref="S4" ca="1">SUM($H$4:$H$7*ABS(TRANSPOSE($B4:$E4)-O$4:O$7)^$N$11)</f>
        <v>#DIV/0!</v>
      </c>
      <c r="T4" s="150" t="e">
        <f t="array" aca="1" ref="T4" ca="1">SUM($H$4:$H$7*ABS(TRANSPOSE($B4:$E4)-P$4:P$7)^$N$11)</f>
        <v>#DIV/0!</v>
      </c>
      <c r="U4" s="132" t="e">
        <f ca="1">MIN(R4:T4)</f>
        <v>#DIV/0!</v>
      </c>
    </row>
    <row r="5" spans="2:21" x14ac:dyDescent="0.35">
      <c r="B5" s="44">
        <v>2</v>
      </c>
      <c r="C5" s="32">
        <v>5</v>
      </c>
      <c r="D5" s="32">
        <v>3</v>
      </c>
      <c r="E5" s="245">
        <v>4</v>
      </c>
      <c r="G5" s="32" t="str">
        <v>X</v>
      </c>
      <c r="H5" s="241">
        <v>2</v>
      </c>
      <c r="J5">
        <f>J4+1</f>
        <v>2</v>
      </c>
      <c r="K5" s="98" t="e">
        <f ca="1"/>
        <v>#NAME?</v>
      </c>
      <c r="M5" t="s">
        <v>855</v>
      </c>
      <c r="N5" s="83" t="e">
        <f ca="1">AVERAGEIF($K$4:$K$18,N$3,$C$4:$C$18)</f>
        <v>#DIV/0!</v>
      </c>
      <c r="O5" t="e">
        <f t="shared" ref="O5:P5" ca="1" si="1">AVERAGEIF($K$4:$K$18,O$3,$C$4:$C$18)</f>
        <v>#DIV/0!</v>
      </c>
      <c r="P5" s="84" t="e">
        <f t="shared" ca="1" si="1"/>
        <v>#DIV/0!</v>
      </c>
      <c r="R5" s="83" t="e">
        <f t="array" aca="1" ref="R5" ca="1">SUM($H$4:$H$7*ABS(TRANSPOSE($B5:$E5)-N$4:N$7)^$N$11)</f>
        <v>#DIV/0!</v>
      </c>
      <c r="S5" t="e">
        <f t="array" aca="1" ref="S5" ca="1">SUM($H$4:$H$7*ABS(TRANSPOSE($B5:$E5)-O$4:O$7)^$N$11)</f>
        <v>#DIV/0!</v>
      </c>
      <c r="T5" s="84" t="e">
        <f t="array" aca="1" ref="T5" ca="1">SUM($H$4:$H$7*ABS(TRANSPOSE($B5:$E5)-P$4:P$7)^$N$11)</f>
        <v>#DIV/0!</v>
      </c>
      <c r="U5" s="98" t="e">
        <f t="shared" ref="U5:U18" ca="1" si="2">MIN(R5:T5)</f>
        <v>#DIV/0!</v>
      </c>
    </row>
    <row r="6" spans="2:21" x14ac:dyDescent="0.35">
      <c r="B6" s="44">
        <v>4</v>
      </c>
      <c r="C6" s="32">
        <v>2</v>
      </c>
      <c r="D6" s="32">
        <v>1</v>
      </c>
      <c r="E6" s="245">
        <v>2</v>
      </c>
      <c r="G6" s="32" t="str">
        <v>Y</v>
      </c>
      <c r="H6" s="241">
        <v>3</v>
      </c>
      <c r="J6">
        <f t="shared" ref="J6:J18" si="3">J5+1</f>
        <v>3</v>
      </c>
      <c r="K6" s="98" t="e">
        <f ca="1"/>
        <v>#NAME?</v>
      </c>
      <c r="M6" t="s">
        <v>856</v>
      </c>
      <c r="N6" s="83" t="e">
        <f ca="1">AVERAGEIF($K$4:$K$18,N$3,$D$4:$D$18)</f>
        <v>#DIV/0!</v>
      </c>
      <c r="O6" t="e">
        <f t="shared" ref="O6:P6" ca="1" si="4">AVERAGEIF($K$4:$K$18,O$3,$D$4:$D$18)</f>
        <v>#DIV/0!</v>
      </c>
      <c r="P6" s="84" t="e">
        <f t="shared" ca="1" si="4"/>
        <v>#DIV/0!</v>
      </c>
      <c r="R6" s="83" t="e">
        <f t="array" aca="1" ref="R6" ca="1">SUM($H$4:$H$7*ABS(TRANSPOSE($B6:$E6)-N$4:N$7)^$N$11)</f>
        <v>#DIV/0!</v>
      </c>
      <c r="S6" t="e">
        <f t="array" aca="1" ref="S6" ca="1">SUM($H$4:$H$7*ABS(TRANSPOSE($B6:$E6)-O$4:O$7)^$N$11)</f>
        <v>#DIV/0!</v>
      </c>
      <c r="T6" s="84" t="e">
        <f t="array" aca="1" ref="T6" ca="1">SUM($H$4:$H$7*ABS(TRANSPOSE($B6:$E6)-P$4:P$7)^$N$11)</f>
        <v>#DIV/0!</v>
      </c>
      <c r="U6" s="98" t="e">
        <f t="shared" ca="1" si="2"/>
        <v>#DIV/0!</v>
      </c>
    </row>
    <row r="7" spans="2:21" x14ac:dyDescent="0.35">
      <c r="B7" s="44">
        <v>1</v>
      </c>
      <c r="C7" s="32">
        <v>0</v>
      </c>
      <c r="D7" s="32">
        <v>5</v>
      </c>
      <c r="E7" s="245">
        <v>3</v>
      </c>
      <c r="G7" s="32" t="str">
        <v>Z</v>
      </c>
      <c r="H7" s="247">
        <v>4</v>
      </c>
      <c r="J7" s="47">
        <f t="shared" si="3"/>
        <v>4</v>
      </c>
      <c r="K7" s="98" t="e">
        <f ca="1"/>
        <v>#NAME?</v>
      </c>
      <c r="M7" t="s">
        <v>857</v>
      </c>
      <c r="N7" s="85" t="e">
        <f ca="1">AVERAGEIF($K$4:$K$18,N$3,$E$4:$E$18)</f>
        <v>#DIV/0!</v>
      </c>
      <c r="O7" s="86" t="e">
        <f t="shared" ref="O7:P7" ca="1" si="5">AVERAGEIF($K$4:$K$18,O$3,$E$4:$E$18)</f>
        <v>#DIV/0!</v>
      </c>
      <c r="P7" s="87" t="e">
        <f t="shared" ca="1" si="5"/>
        <v>#DIV/0!</v>
      </c>
      <c r="R7" s="83" t="e">
        <f t="array" aca="1" ref="R7" ca="1">SUM($H$4:$H$7*ABS(TRANSPOSE($B7:$E7)-N$4:N$7)^$N$11)</f>
        <v>#DIV/0!</v>
      </c>
      <c r="S7" t="e">
        <f t="array" aca="1" ref="S7" ca="1">SUM($H$4:$H$7*ABS(TRANSPOSE($B7:$E7)-O$4:O$7)^$N$11)</f>
        <v>#DIV/0!</v>
      </c>
      <c r="T7" s="84" t="e">
        <f t="array" aca="1" ref="T7" ca="1">SUM($H$4:$H$7*ABS(TRANSPOSE($B7:$E7)-P$4:P$7)^$N$11)</f>
        <v>#DIV/0!</v>
      </c>
      <c r="U7" s="98" t="e">
        <f t="shared" ca="1" si="2"/>
        <v>#DIV/0!</v>
      </c>
    </row>
    <row r="8" spans="2:21" x14ac:dyDescent="0.35">
      <c r="B8" s="44">
        <v>2</v>
      </c>
      <c r="C8" s="32">
        <v>1</v>
      </c>
      <c r="D8" s="32">
        <v>1</v>
      </c>
      <c r="E8" s="245">
        <v>4</v>
      </c>
      <c r="J8">
        <f t="shared" si="3"/>
        <v>5</v>
      </c>
      <c r="K8" s="98" t="e">
        <f ca="1"/>
        <v>#NAME?</v>
      </c>
      <c r="R8" s="83" t="e">
        <f t="array" aca="1" ref="R8" ca="1">SUM($H$4:$H$7*ABS(TRANSPOSE($B8:$E8)-N$4:N$7)^$N$11)</f>
        <v>#DIV/0!</v>
      </c>
      <c r="S8" t="e">
        <f t="array" aca="1" ref="S8" ca="1">SUM($H$4:$H$7*ABS(TRANSPOSE($B8:$E8)-O$4:O$7)^$N$11)</f>
        <v>#DIV/0!</v>
      </c>
      <c r="T8" s="84" t="e">
        <f t="array" aca="1" ref="T8" ca="1">SUM($H$4:$H$7*ABS(TRANSPOSE($B8:$E8)-P$4:P$7)^$N$11)</f>
        <v>#DIV/0!</v>
      </c>
      <c r="U8" s="98" t="e">
        <f t="shared" ca="1" si="2"/>
        <v>#DIV/0!</v>
      </c>
    </row>
    <row r="9" spans="2:21" x14ac:dyDescent="0.35">
      <c r="B9" s="44">
        <v>4</v>
      </c>
      <c r="C9" s="32">
        <v>3</v>
      </c>
      <c r="D9" s="32">
        <v>3</v>
      </c>
      <c r="E9" s="245">
        <v>0</v>
      </c>
      <c r="J9">
        <f t="shared" si="3"/>
        <v>6</v>
      </c>
      <c r="K9" s="98" t="e">
        <f ca="1"/>
        <v>#NAME?</v>
      </c>
      <c r="M9" t="s">
        <v>858</v>
      </c>
      <c r="N9" s="137">
        <v>3</v>
      </c>
      <c r="R9" s="83" t="e">
        <f t="array" aca="1" ref="R9" ca="1">SUM($H$4:$H$7*ABS(TRANSPOSE($B9:$E9)-N$4:N$7)^$N$11)</f>
        <v>#DIV/0!</v>
      </c>
      <c r="S9" t="e">
        <f t="array" aca="1" ref="S9" ca="1">SUM($H$4:$H$7*ABS(TRANSPOSE($B9:$E9)-O$4:O$7)^$N$11)</f>
        <v>#DIV/0!</v>
      </c>
      <c r="T9" s="84" t="e">
        <f t="array" aca="1" ref="T9" ca="1">SUM($H$4:$H$7*ABS(TRANSPOSE($B9:$E9)-P$4:P$7)^$N$11)</f>
        <v>#DIV/0!</v>
      </c>
      <c r="U9" s="98" t="e">
        <f t="shared" ca="1" si="2"/>
        <v>#DIV/0!</v>
      </c>
    </row>
    <row r="10" spans="2:21" x14ac:dyDescent="0.35">
      <c r="B10" s="44">
        <v>5</v>
      </c>
      <c r="C10" s="32">
        <v>2</v>
      </c>
      <c r="D10" s="32">
        <v>2</v>
      </c>
      <c r="E10" s="245">
        <v>1</v>
      </c>
      <c r="J10">
        <f t="shared" si="3"/>
        <v>7</v>
      </c>
      <c r="K10" s="98" t="e">
        <f ca="1"/>
        <v>#NAME?</v>
      </c>
      <c r="R10" s="83" t="e">
        <f t="array" aca="1" ref="R10" ca="1">SUM($H$4:$H$7*ABS(TRANSPOSE($B10:$E10)-N$4:N$7)^$N$11)</f>
        <v>#DIV/0!</v>
      </c>
      <c r="S10" t="e">
        <f t="array" aca="1" ref="S10" ca="1">SUM($H$4:$H$7*ABS(TRANSPOSE($B10:$E10)-O$4:O$7)^$N$11)</f>
        <v>#DIV/0!</v>
      </c>
      <c r="T10" s="84" t="e">
        <f t="array" aca="1" ref="T10" ca="1">SUM($H$4:$H$7*ABS(TRANSPOSE($B10:$E10)-P$4:P$7)^$N$11)</f>
        <v>#DIV/0!</v>
      </c>
      <c r="U10" s="98" t="e">
        <f t="shared" ca="1" si="2"/>
        <v>#DIV/0!</v>
      </c>
    </row>
    <row r="11" spans="2:21" x14ac:dyDescent="0.35">
      <c r="B11" s="44">
        <v>1</v>
      </c>
      <c r="C11" s="32">
        <v>2</v>
      </c>
      <c r="D11" s="32">
        <v>4</v>
      </c>
      <c r="E11" s="245">
        <v>5</v>
      </c>
      <c r="J11">
        <f t="shared" si="3"/>
        <v>8</v>
      </c>
      <c r="K11" s="98" t="e">
        <f ca="1"/>
        <v>#NAME?</v>
      </c>
      <c r="M11" t="s">
        <v>859</v>
      </c>
      <c r="N11" s="137">
        <v>1.5</v>
      </c>
      <c r="R11" s="83" t="e">
        <f t="array" aca="1" ref="R11" ca="1">SUM($H$4:$H$7*ABS(TRANSPOSE($B11:$E11)-N$4:N$7)^$N$11)</f>
        <v>#DIV/0!</v>
      </c>
      <c r="S11" t="e">
        <f t="array" aca="1" ref="S11" ca="1">SUM($H$4:$H$7*ABS(TRANSPOSE($B11:$E11)-O$4:O$7)^$N$11)</f>
        <v>#DIV/0!</v>
      </c>
      <c r="T11" s="84" t="e">
        <f t="array" aca="1" ref="T11" ca="1">SUM($H$4:$H$7*ABS(TRANSPOSE($B11:$E11)-P$4:P$7)^$N$11)</f>
        <v>#DIV/0!</v>
      </c>
      <c r="U11" s="98" t="e">
        <f t="shared" ca="1" si="2"/>
        <v>#DIV/0!</v>
      </c>
    </row>
    <row r="12" spans="2:21" x14ac:dyDescent="0.35">
      <c r="B12" s="44">
        <v>2</v>
      </c>
      <c r="C12" s="32">
        <v>1</v>
      </c>
      <c r="D12" s="32">
        <v>3</v>
      </c>
      <c r="E12" s="245">
        <v>4</v>
      </c>
      <c r="J12">
        <f t="shared" si="3"/>
        <v>9</v>
      </c>
      <c r="K12" s="98" t="e">
        <f ca="1"/>
        <v>#NAME?</v>
      </c>
      <c r="R12" s="83" t="e">
        <f t="array" aca="1" ref="R12" ca="1">SUM($H$4:$H$7*ABS(TRANSPOSE($B12:$E12)-N$4:N$7)^$N$11)</f>
        <v>#DIV/0!</v>
      </c>
      <c r="S12" t="e">
        <f t="array" aca="1" ref="S12" ca="1">SUM($H$4:$H$7*ABS(TRANSPOSE($B12:$E12)-O$4:O$7)^$N$11)</f>
        <v>#DIV/0!</v>
      </c>
      <c r="T12" s="84" t="e">
        <f t="array" aca="1" ref="T12" ca="1">SUM($H$4:$H$7*ABS(TRANSPOSE($B12:$E12)-P$4:P$7)^$N$11)</f>
        <v>#DIV/0!</v>
      </c>
      <c r="U12" s="98" t="e">
        <f t="shared" ca="1" si="2"/>
        <v>#DIV/0!</v>
      </c>
    </row>
    <row r="13" spans="2:21" x14ac:dyDescent="0.35">
      <c r="B13" s="44">
        <v>4</v>
      </c>
      <c r="C13" s="32">
        <v>5</v>
      </c>
      <c r="D13" s="32">
        <v>4</v>
      </c>
      <c r="E13" s="245">
        <v>2</v>
      </c>
      <c r="J13">
        <f t="shared" si="3"/>
        <v>10</v>
      </c>
      <c r="K13" s="98" t="e">
        <f ca="1"/>
        <v>#NAME?</v>
      </c>
      <c r="M13" t="s">
        <v>860</v>
      </c>
      <c r="N13" s="137">
        <v>40</v>
      </c>
      <c r="R13" s="83" t="e">
        <f t="array" aca="1" ref="R13" ca="1">SUM($H$4:$H$7*ABS(TRANSPOSE($B13:$E13)-N$4:N$7)^$N$11)</f>
        <v>#DIV/0!</v>
      </c>
      <c r="S13" t="e">
        <f t="array" aca="1" ref="S13" ca="1">SUM($H$4:$H$7*ABS(TRANSPOSE($B13:$E13)-O$4:O$7)^$N$11)</f>
        <v>#DIV/0!</v>
      </c>
      <c r="T13" s="84" t="e">
        <f t="array" aca="1" ref="T13" ca="1">SUM($H$4:$H$7*ABS(TRANSPOSE($B13:$E13)-P$4:P$7)^$N$11)</f>
        <v>#DIV/0!</v>
      </c>
      <c r="U13" s="98" t="e">
        <f t="shared" ca="1" si="2"/>
        <v>#DIV/0!</v>
      </c>
    </row>
    <row r="14" spans="2:21" x14ac:dyDescent="0.35">
      <c r="B14" s="44">
        <v>3</v>
      </c>
      <c r="C14" s="32">
        <v>3</v>
      </c>
      <c r="D14" s="32">
        <v>2</v>
      </c>
      <c r="E14" s="245">
        <v>4</v>
      </c>
      <c r="J14">
        <f t="shared" si="3"/>
        <v>11</v>
      </c>
      <c r="K14" s="98" t="e">
        <f ca="1"/>
        <v>#NAME?</v>
      </c>
      <c r="R14" s="83" t="e">
        <f t="array" aca="1" ref="R14" ca="1">SUM($H$4:$H$7*ABS(TRANSPOSE($B14:$E14)-N$4:N$7)^$N$11)</f>
        <v>#DIV/0!</v>
      </c>
      <c r="S14" t="e">
        <f t="array" aca="1" ref="S14" ca="1">SUM($H$4:$H$7*ABS(TRANSPOSE($B14:$E14)-O$4:O$7)^$N$11)</f>
        <v>#DIV/0!</v>
      </c>
      <c r="T14" s="84" t="e">
        <f t="array" aca="1" ref="T14" ca="1">SUM($H$4:$H$7*ABS(TRANSPOSE($B14:$E14)-P$4:P$7)^$N$11)</f>
        <v>#DIV/0!</v>
      </c>
      <c r="U14" s="98" t="e">
        <f t="shared" ca="1" si="2"/>
        <v>#DIV/0!</v>
      </c>
    </row>
    <row r="15" spans="2:21" x14ac:dyDescent="0.35">
      <c r="B15" s="44">
        <v>3</v>
      </c>
      <c r="C15" s="32">
        <v>3</v>
      </c>
      <c r="D15" s="32">
        <v>5</v>
      </c>
      <c r="E15" s="245">
        <v>4</v>
      </c>
      <c r="J15">
        <f t="shared" si="3"/>
        <v>12</v>
      </c>
      <c r="K15" s="98" t="e">
        <f ca="1"/>
        <v>#NAME?</v>
      </c>
      <c r="M15" t="s">
        <v>862</v>
      </c>
      <c r="N15" s="137">
        <v>200</v>
      </c>
      <c r="R15" s="83" t="e">
        <f t="array" aca="1" ref="R15" ca="1">SUM($H$4:$H$7*ABS(TRANSPOSE($B15:$E15)-N$4:N$7)^$N$11)</f>
        <v>#DIV/0!</v>
      </c>
      <c r="S15" t="e">
        <f t="array" aca="1" ref="S15" ca="1">SUM($H$4:$H$7*ABS(TRANSPOSE($B15:$E15)-O$4:O$7)^$N$11)</f>
        <v>#DIV/0!</v>
      </c>
      <c r="T15" s="84" t="e">
        <f t="array" aca="1" ref="T15" ca="1">SUM($H$4:$H$7*ABS(TRANSPOSE($B15:$E15)-P$4:P$7)^$N$11)</f>
        <v>#DIV/0!</v>
      </c>
      <c r="U15" s="98" t="e">
        <f t="shared" ca="1" si="2"/>
        <v>#DIV/0!</v>
      </c>
    </row>
    <row r="16" spans="2:21" x14ac:dyDescent="0.35">
      <c r="B16" s="44">
        <v>4</v>
      </c>
      <c r="C16" s="32">
        <v>1</v>
      </c>
      <c r="D16" s="32">
        <v>2</v>
      </c>
      <c r="E16" s="245">
        <v>3</v>
      </c>
      <c r="J16">
        <f t="shared" si="3"/>
        <v>13</v>
      </c>
      <c r="K16" s="98" t="e">
        <f ca="1"/>
        <v>#NAME?</v>
      </c>
      <c r="R16" s="83" t="e">
        <f t="array" aca="1" ref="R16" ca="1">SUM($H$4:$H$7*ABS(TRANSPOSE($B16:$E16)-N$4:N$7)^$N$11)</f>
        <v>#DIV/0!</v>
      </c>
      <c r="S16" t="e">
        <f t="array" aca="1" ref="S16" ca="1">SUM($H$4:$H$7*ABS(TRANSPOSE($B16:$E16)-O$4:O$7)^$N$11)</f>
        <v>#DIV/0!</v>
      </c>
      <c r="T16" s="84" t="e">
        <f t="array" aca="1" ref="T16" ca="1">SUM($H$4:$H$7*ABS(TRANSPOSE($B16:$E16)-P$4:P$7)^$N$11)</f>
        <v>#DIV/0!</v>
      </c>
      <c r="U16" s="98" t="e">
        <f t="shared" ca="1" si="2"/>
        <v>#DIV/0!</v>
      </c>
    </row>
    <row r="17" spans="2:23" x14ac:dyDescent="0.35">
      <c r="B17" s="44">
        <v>0</v>
      </c>
      <c r="C17" s="32">
        <v>5</v>
      </c>
      <c r="D17" s="32">
        <v>5</v>
      </c>
      <c r="E17" s="245">
        <v>4</v>
      </c>
      <c r="J17">
        <f t="shared" si="3"/>
        <v>14</v>
      </c>
      <c r="K17" s="98" t="e">
        <f ca="1"/>
        <v>#NAME?</v>
      </c>
      <c r="M17" t="s">
        <v>588</v>
      </c>
      <c r="N17" s="137" t="e">
        <f ca="1">CLUST_Converge(B4:E18,K4:K18)</f>
        <v>#NAME?</v>
      </c>
      <c r="R17" s="83" t="e">
        <f t="array" aca="1" ref="R17" ca="1">SUM($H$4:$H$7*ABS(TRANSPOSE($B17:$E17)-N$4:N$7)^$N$11)</f>
        <v>#DIV/0!</v>
      </c>
      <c r="S17" t="e">
        <f t="array" aca="1" ref="S17" ca="1">SUM($H$4:$H$7*ABS(TRANSPOSE($B17:$E17)-O$4:O$7)^$N$11)</f>
        <v>#DIV/0!</v>
      </c>
      <c r="T17" s="84" t="e">
        <f t="array" aca="1" ref="T17" ca="1">SUM($H$4:$H$7*ABS(TRANSPOSE($B17:$E17)-P$4:P$7)^$N$11)</f>
        <v>#DIV/0!</v>
      </c>
      <c r="U17" s="98" t="e">
        <f t="shared" ca="1" si="2"/>
        <v>#DIV/0!</v>
      </c>
    </row>
    <row r="18" spans="2:23" x14ac:dyDescent="0.35">
      <c r="B18" s="243">
        <v>5</v>
      </c>
      <c r="C18" s="267">
        <v>2</v>
      </c>
      <c r="D18" s="267">
        <v>4</v>
      </c>
      <c r="E18" s="218">
        <v>5</v>
      </c>
      <c r="J18">
        <f t="shared" si="3"/>
        <v>15</v>
      </c>
      <c r="K18" s="99" t="e">
        <f ca="1"/>
        <v>#NAME?</v>
      </c>
      <c r="R18" s="85" t="e">
        <f t="array" aca="1" ref="R18" ca="1">SUM($H$4:$H$7*ABS(TRANSPOSE($B18:$E18)-N$4:N$7)^$N$11)</f>
        <v>#DIV/0!</v>
      </c>
      <c r="S18" s="86" t="e">
        <f t="array" aca="1" ref="S18" ca="1">SUM($H$4:$H$7*ABS(TRANSPOSE($B18:$E18)-O$4:O$7)^$N$11)</f>
        <v>#DIV/0!</v>
      </c>
      <c r="T18" s="87" t="e">
        <f t="array" aca="1" ref="T18" ca="1">SUM($H$4:$H$7*ABS(TRANSPOSE($B18:$E18)-P$4:P$7)^$N$11)</f>
        <v>#DIV/0!</v>
      </c>
      <c r="U18" s="99" t="e">
        <f t="shared" ca="1" si="2"/>
        <v>#DIV/0!</v>
      </c>
    </row>
    <row r="19" spans="2:23" x14ac:dyDescent="0.35">
      <c r="M19" t="s">
        <v>542</v>
      </c>
      <c r="N19" s="137" t="e">
        <f ca="1">SUM(U4:U18)</f>
        <v>#DIV/0!</v>
      </c>
    </row>
    <row r="20" spans="2:23" x14ac:dyDescent="0.35">
      <c r="B20" s="32">
        <v>1</v>
      </c>
      <c r="C20" s="32">
        <v>2</v>
      </c>
      <c r="D20" s="32">
        <v>3</v>
      </c>
      <c r="E20" s="32">
        <v>4</v>
      </c>
    </row>
    <row r="23" spans="2:23" x14ac:dyDescent="0.35">
      <c r="M23" t="s">
        <v>542</v>
      </c>
      <c r="N23" s="413" t="e" cm="1">
        <f t="array" aca="1" ref="N23" ca="1">CLUSTErr(B4:E18,K4:K18,N9,N11,H4:H7)</f>
        <v>#NAME?</v>
      </c>
      <c r="P23" t="e" cm="1">
        <f t="array" aca="1" ref="P23" ca="1">FTEXT(N23)</f>
        <v>#NAME?</v>
      </c>
      <c r="U23" s="146" t="e" cm="1">
        <f t="array" aca="1" ref="U23" ca="1">CLUSTERS(B4:E18,_xlfn.ANCHORARRAY(N25),N11,H4:H7)</f>
        <v>#NAME?</v>
      </c>
      <c r="W23" t="e" cm="1">
        <f t="array" aca="1" ref="W23" ca="1">FTEXT(U23)</f>
        <v>#NAME?</v>
      </c>
    </row>
    <row r="24" spans="2:23" x14ac:dyDescent="0.35">
      <c r="U24" s="49"/>
    </row>
    <row r="25" spans="2:23" x14ac:dyDescent="0.35">
      <c r="M25" t="s">
        <v>864</v>
      </c>
      <c r="N25" s="138" t="e" cm="1">
        <f t="array" aca="1" ref="N25" ca="1">CENTROIDS(B4:E18,K4:K18)</f>
        <v>#NAME?</v>
      </c>
      <c r="O25" s="139"/>
      <c r="P25" s="140"/>
      <c r="R25" t="e" cm="1">
        <f t="array" aca="1" ref="R25" ca="1">FTEXT(N25)</f>
        <v>#NAME?</v>
      </c>
      <c r="U25" s="49"/>
    </row>
    <row r="26" spans="2:23" x14ac:dyDescent="0.35">
      <c r="N26" s="36"/>
      <c r="P26" s="38"/>
      <c r="U26" s="49"/>
    </row>
    <row r="27" spans="2:23" x14ac:dyDescent="0.35">
      <c r="N27" s="36"/>
      <c r="P27" s="38"/>
      <c r="U27" s="49"/>
    </row>
    <row r="28" spans="2:23" x14ac:dyDescent="0.35">
      <c r="N28" s="39"/>
      <c r="O28" s="40"/>
      <c r="P28" s="41"/>
      <c r="U28" s="49"/>
    </row>
    <row r="29" spans="2:23" x14ac:dyDescent="0.35">
      <c r="U29" s="49"/>
    </row>
    <row r="30" spans="2:23" x14ac:dyDescent="0.35">
      <c r="M30" t="s">
        <v>542</v>
      </c>
      <c r="N30" s="413" t="e" cm="1">
        <f t="array" aca="1" ref="N30" ca="1">CENTROIDErr(B4:E18,N4:P7,N11,H4:H7)</f>
        <v>#NAME?</v>
      </c>
      <c r="P30" t="e" cm="1">
        <f t="array" aca="1" ref="P30" ca="1">FTEXT(N30)</f>
        <v>#NAME?</v>
      </c>
      <c r="U30" s="49"/>
    </row>
    <row r="31" spans="2:23" x14ac:dyDescent="0.35">
      <c r="U31" s="49"/>
    </row>
    <row r="32" spans="2:23" x14ac:dyDescent="0.35">
      <c r="U32" s="49"/>
    </row>
    <row r="33" spans="21:21" x14ac:dyDescent="0.35">
      <c r="U33" s="49"/>
    </row>
    <row r="34" spans="21:21" x14ac:dyDescent="0.35">
      <c r="U34" s="49"/>
    </row>
    <row r="35" spans="21:21" x14ac:dyDescent="0.35">
      <c r="U35" s="49"/>
    </row>
    <row r="36" spans="21:21" x14ac:dyDescent="0.35">
      <c r="U36" s="49"/>
    </row>
    <row r="37" spans="21:21" x14ac:dyDescent="0.35">
      <c r="U37" s="5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2"/>
  <dimension ref="B1:AA7"/>
  <sheetViews>
    <sheetView workbookViewId="0"/>
  </sheetViews>
  <sheetFormatPr defaultRowHeight="14.5" x14ac:dyDescent="0.35"/>
  <cols>
    <col min="1" max="1" width="2.26953125" customWidth="1"/>
    <col min="2" max="24" width="5" customWidth="1"/>
    <col min="25" max="25" width="5.54296875" customWidth="1"/>
    <col min="26" max="26" width="6.54296875" customWidth="1"/>
    <col min="27" max="27" width="6.26953125" customWidth="1"/>
  </cols>
  <sheetData>
    <row r="1" spans="2:27" x14ac:dyDescent="0.35">
      <c r="B1" s="42" t="s">
        <v>612</v>
      </c>
    </row>
    <row r="3" spans="2:27" x14ac:dyDescent="0.35">
      <c r="B3" s="138">
        <v>5</v>
      </c>
      <c r="C3" s="139">
        <v>8</v>
      </c>
      <c r="D3" s="140">
        <v>9</v>
      </c>
      <c r="F3" s="138">
        <v>5</v>
      </c>
      <c r="G3" s="139">
        <v>8</v>
      </c>
      <c r="H3" s="140">
        <v>12</v>
      </c>
      <c r="J3" s="138">
        <v>5</v>
      </c>
      <c r="K3" s="139">
        <v>8</v>
      </c>
      <c r="L3" s="140">
        <v>15</v>
      </c>
      <c r="N3" s="138">
        <v>5</v>
      </c>
      <c r="O3" s="139">
        <v>9</v>
      </c>
      <c r="P3" s="140">
        <v>12</v>
      </c>
      <c r="R3" s="138">
        <v>5</v>
      </c>
      <c r="S3" s="139">
        <v>9</v>
      </c>
      <c r="T3" s="140">
        <v>15</v>
      </c>
      <c r="V3" s="138">
        <v>5</v>
      </c>
      <c r="W3" s="139">
        <v>12</v>
      </c>
      <c r="X3" s="140">
        <v>15</v>
      </c>
      <c r="Z3" t="s">
        <v>460</v>
      </c>
      <c r="AA3" s="146">
        <f>DEVSQ(B3:D5)</f>
        <v>58.8</v>
      </c>
    </row>
    <row r="4" spans="2:27" ht="15" x14ac:dyDescent="0.35">
      <c r="B4" s="123"/>
      <c r="C4" s="37"/>
      <c r="D4" s="90">
        <v>12</v>
      </c>
      <c r="F4" s="123"/>
      <c r="G4" s="37">
        <v>9</v>
      </c>
      <c r="H4" s="90">
        <v>15</v>
      </c>
      <c r="J4" s="123"/>
      <c r="K4" s="37">
        <v>9</v>
      </c>
      <c r="L4" s="90"/>
      <c r="N4" s="123">
        <v>8</v>
      </c>
      <c r="O4" s="250"/>
      <c r="P4" s="90">
        <v>15</v>
      </c>
      <c r="R4" s="123">
        <v>8</v>
      </c>
      <c r="S4" s="37">
        <v>12</v>
      </c>
      <c r="T4" s="90"/>
      <c r="V4" s="123">
        <v>8</v>
      </c>
      <c r="W4" s="37"/>
      <c r="X4" s="90"/>
      <c r="Z4" t="s">
        <v>617</v>
      </c>
      <c r="AA4" s="173">
        <f>MIN(D7,H7,L7,P7,T7,X7)</f>
        <v>5</v>
      </c>
    </row>
    <row r="5" spans="2:27" x14ac:dyDescent="0.35">
      <c r="B5" s="91"/>
      <c r="C5" s="92"/>
      <c r="D5" s="93">
        <v>15</v>
      </c>
      <c r="F5" s="91"/>
      <c r="G5" s="92"/>
      <c r="H5" s="93"/>
      <c r="J5" s="91"/>
      <c r="K5" s="92">
        <v>12</v>
      </c>
      <c r="L5" s="93"/>
      <c r="N5" s="91"/>
      <c r="O5" s="92"/>
      <c r="P5" s="93"/>
      <c r="R5" s="91"/>
      <c r="S5" s="92"/>
      <c r="T5" s="93"/>
      <c r="V5" s="91">
        <v>9</v>
      </c>
      <c r="W5" s="92"/>
      <c r="X5" s="93"/>
      <c r="Z5" t="s">
        <v>618</v>
      </c>
      <c r="AA5" s="174">
        <f>1-AA4/AA3</f>
        <v>0.91496598639455784</v>
      </c>
    </row>
    <row r="6" spans="2:27" x14ac:dyDescent="0.35">
      <c r="B6">
        <f>DEVSQ(B3:B5)</f>
        <v>0</v>
      </c>
      <c r="C6">
        <f>DEVSQ(C3:C5)</f>
        <v>0</v>
      </c>
      <c r="D6">
        <f>DEVSQ(D3:D5)</f>
        <v>18</v>
      </c>
      <c r="F6">
        <f>DEVSQ(F3:F5)</f>
        <v>0</v>
      </c>
      <c r="G6">
        <f>DEVSQ(G3:G5)</f>
        <v>0.5</v>
      </c>
      <c r="H6">
        <f>DEVSQ(H3:H5)</f>
        <v>4.5</v>
      </c>
      <c r="J6">
        <f>DEVSQ(J3:J5)</f>
        <v>0</v>
      </c>
      <c r="K6">
        <f>DEVSQ(K3:K5)</f>
        <v>8.6666666666666679</v>
      </c>
      <c r="L6">
        <f>DEVSQ(L3:L5)</f>
        <v>0</v>
      </c>
      <c r="N6">
        <f>DEVSQ(N3:N5)</f>
        <v>4.5</v>
      </c>
      <c r="O6">
        <f>DEVSQ(O3:O5)</f>
        <v>0</v>
      </c>
      <c r="P6">
        <f>DEVSQ(P3:P5)</f>
        <v>4.5</v>
      </c>
      <c r="R6">
        <f>DEVSQ(R3:R5)</f>
        <v>4.5</v>
      </c>
      <c r="S6">
        <f>DEVSQ(S3:S5)</f>
        <v>4.5</v>
      </c>
      <c r="T6">
        <f>DEVSQ(T3:T5)</f>
        <v>0</v>
      </c>
      <c r="V6">
        <f>DEVSQ(V3:V5)</f>
        <v>8.6666666666666661</v>
      </c>
      <c r="W6">
        <f>DEVSQ(W3:W5)</f>
        <v>0</v>
      </c>
      <c r="X6">
        <f>DEVSQ(X3:X5)</f>
        <v>0</v>
      </c>
    </row>
    <row r="7" spans="2:27" x14ac:dyDescent="0.35">
      <c r="D7" s="251">
        <f>SUM(B6:D6)</f>
        <v>18</v>
      </c>
      <c r="H7" s="251">
        <f>SUM(F6:H6)</f>
        <v>5</v>
      </c>
      <c r="L7" s="251">
        <f>SUM(J6:L6)</f>
        <v>8.6666666666666679</v>
      </c>
      <c r="P7" s="251">
        <f>SUM(N6:P6)</f>
        <v>9</v>
      </c>
      <c r="T7" s="251">
        <f>SUM(R6:T6)</f>
        <v>9</v>
      </c>
      <c r="X7" s="251">
        <f>SUM(V6:X6)</f>
        <v>8.6666666666666661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B1:W28"/>
  <sheetViews>
    <sheetView workbookViewId="0">
      <selection activeCell="N18" sqref="N18"/>
    </sheetView>
  </sheetViews>
  <sheetFormatPr defaultRowHeight="14.5" x14ac:dyDescent="0.35"/>
  <cols>
    <col min="1" max="1" width="3" customWidth="1"/>
    <col min="11" max="11" width="6.81640625" customWidth="1"/>
    <col min="16" max="16" width="5.81640625" customWidth="1"/>
  </cols>
  <sheetData>
    <row r="1" spans="2:23" x14ac:dyDescent="0.35">
      <c r="B1" s="42" t="s">
        <v>612</v>
      </c>
    </row>
    <row r="2" spans="2:23" x14ac:dyDescent="0.35">
      <c r="L2" s="47" t="s">
        <v>619</v>
      </c>
      <c r="M2" s="47" t="s">
        <v>620</v>
      </c>
      <c r="N2" s="47" t="s">
        <v>167</v>
      </c>
      <c r="Q2" s="47" t="s">
        <v>619</v>
      </c>
      <c r="R2" s="47" t="s">
        <v>620</v>
      </c>
      <c r="S2" s="47" t="s">
        <v>167</v>
      </c>
    </row>
    <row r="3" spans="2:23" x14ac:dyDescent="0.35">
      <c r="B3" s="252">
        <v>87.7</v>
      </c>
      <c r="C3" s="253">
        <v>56.8</v>
      </c>
      <c r="D3" s="253">
        <v>67.2</v>
      </c>
      <c r="E3" s="253">
        <v>74.400000000000006</v>
      </c>
      <c r="F3" s="253">
        <v>43.6</v>
      </c>
      <c r="G3" s="253">
        <v>87.8</v>
      </c>
      <c r="H3" s="253">
        <v>83.8</v>
      </c>
      <c r="I3" s="254">
        <v>61.900000000000006</v>
      </c>
      <c r="K3" t="e">
        <f t="array" aca="1" ref="K3:N7" ca="1">JENKS(B3:I22,,TRUE)</f>
        <v>#NAME?</v>
      </c>
      <c r="L3" s="138" t="e">
        <f ca="1"/>
        <v>#NAME?</v>
      </c>
      <c r="M3" s="139" t="e">
        <f ca="1"/>
        <v>#NAME?</v>
      </c>
      <c r="N3" s="140" t="e">
        <f ca="1"/>
        <v>#NAME?</v>
      </c>
      <c r="P3" t="e">
        <f t="array" aca="1" ref="P3:S7" ca="1">JENKS(B3:I22,,TRUE,-1)</f>
        <v>#NAME?</v>
      </c>
      <c r="Q3" s="138" t="e">
        <f ca="1"/>
        <v>#NAME?</v>
      </c>
      <c r="R3" s="139" t="e">
        <f ca="1"/>
        <v>#NAME?</v>
      </c>
      <c r="S3" s="140" t="e">
        <f ca="1"/>
        <v>#NAME?</v>
      </c>
    </row>
    <row r="4" spans="2:23" x14ac:dyDescent="0.3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t="e">
        <f ca="1"/>
        <v>#NAME?</v>
      </c>
      <c r="L4" s="123" t="e">
        <f ca="1"/>
        <v>#NAME?</v>
      </c>
      <c r="M4" s="37" t="e">
        <f ca="1"/>
        <v>#NAME?</v>
      </c>
      <c r="N4" s="90" t="e">
        <f ca="1"/>
        <v>#NAME?</v>
      </c>
      <c r="P4" t="e">
        <f ca="1"/>
        <v>#NAME?</v>
      </c>
      <c r="Q4" s="123" t="e">
        <f ca="1"/>
        <v>#NAME?</v>
      </c>
      <c r="R4" s="37" t="e">
        <f ca="1"/>
        <v>#NAME?</v>
      </c>
      <c r="S4" s="90" t="e">
        <f ca="1"/>
        <v>#NAME?</v>
      </c>
    </row>
    <row r="5" spans="2:23" x14ac:dyDescent="0.3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t="e">
        <f ca="1"/>
        <v>#NAME?</v>
      </c>
      <c r="L5" s="123" t="e">
        <f ca="1"/>
        <v>#NAME?</v>
      </c>
      <c r="M5" s="37" t="e">
        <f ca="1"/>
        <v>#NAME?</v>
      </c>
      <c r="N5" s="90" t="e">
        <f ca="1"/>
        <v>#NAME?</v>
      </c>
      <c r="P5" t="e">
        <f ca="1"/>
        <v>#NAME?</v>
      </c>
      <c r="Q5" s="123" t="e">
        <f ca="1"/>
        <v>#NAME?</v>
      </c>
      <c r="R5" s="37" t="e">
        <f ca="1"/>
        <v>#NAME?</v>
      </c>
      <c r="S5" s="90" t="e">
        <f ca="1"/>
        <v>#NAME?</v>
      </c>
    </row>
    <row r="6" spans="2:23" x14ac:dyDescent="0.3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t="e">
        <f ca="1"/>
        <v>#NAME?</v>
      </c>
      <c r="L6" s="91" t="e">
        <f ca="1"/>
        <v>#NAME?</v>
      </c>
      <c r="M6" s="92" t="e">
        <f ca="1"/>
        <v>#NAME?</v>
      </c>
      <c r="N6" s="93" t="e">
        <f ca="1"/>
        <v>#NAME?</v>
      </c>
      <c r="P6" t="e">
        <f ca="1"/>
        <v>#NAME?</v>
      </c>
      <c r="Q6" s="91" t="e">
        <f ca="1"/>
        <v>#NAME?</v>
      </c>
      <c r="R6" s="92" t="e">
        <f ca="1"/>
        <v>#NAME?</v>
      </c>
      <c r="S6" s="93" t="e">
        <f ca="1"/>
        <v>#NAME?</v>
      </c>
    </row>
    <row r="7" spans="2:23" x14ac:dyDescent="0.3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4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P7" s="4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</row>
    <row r="8" spans="2:23" x14ac:dyDescent="0.3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</row>
    <row r="9" spans="2:23" x14ac:dyDescent="0.3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  <c r="Q9" s="47" t="s">
        <v>619</v>
      </c>
      <c r="R9" s="47" t="s">
        <v>620</v>
      </c>
      <c r="S9" s="47" t="s">
        <v>167</v>
      </c>
    </row>
    <row r="10" spans="2:23" x14ac:dyDescent="0.3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  <c r="P10" t="e">
        <f t="array" aca="1" ref="P10:S14" ca="1">JENKS(B3:I22,,TRUE,100000)</f>
        <v>#NAME?</v>
      </c>
      <c r="Q10" s="138" t="e">
        <f ca="1"/>
        <v>#NAME?</v>
      </c>
      <c r="R10" s="139" t="e">
        <f ca="1"/>
        <v>#NAME?</v>
      </c>
      <c r="S10" s="140" t="e">
        <f ca="1"/>
        <v>#NAME?</v>
      </c>
      <c r="U10" s="146" t="e">
        <f ca="1">R10</f>
        <v>#NAME?</v>
      </c>
      <c r="W10" s="146" t="e">
        <f t="array" aca="1" ref="W10:W13" ca="1">JENKS(B3:I22,4,,100000)</f>
        <v>#NAME?</v>
      </c>
    </row>
    <row r="11" spans="2:23" x14ac:dyDescent="0.3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  <c r="P11" t="e">
        <f ca="1"/>
        <v>#NAME?</v>
      </c>
      <c r="Q11" s="123" t="e">
        <f ca="1"/>
        <v>#NAME?</v>
      </c>
      <c r="R11" s="37" t="e">
        <f ca="1"/>
        <v>#NAME?</v>
      </c>
      <c r="S11" s="90" t="e">
        <f ca="1"/>
        <v>#NAME?</v>
      </c>
      <c r="U11" s="173" t="e">
        <f ca="1">R11</f>
        <v>#NAME?</v>
      </c>
      <c r="W11" s="173" t="e">
        <f ca="1"/>
        <v>#NAME?</v>
      </c>
    </row>
    <row r="12" spans="2:23" x14ac:dyDescent="0.35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  <c r="P12" t="e">
        <f ca="1"/>
        <v>#NAME?</v>
      </c>
      <c r="Q12" s="123" t="e">
        <f ca="1"/>
        <v>#NAME?</v>
      </c>
      <c r="R12" s="37" t="e">
        <f ca="1"/>
        <v>#NAME?</v>
      </c>
      <c r="S12" s="90" t="e">
        <f ca="1"/>
        <v>#NAME?</v>
      </c>
      <c r="U12" s="174" t="e">
        <f ca="1">R12</f>
        <v>#NAME?</v>
      </c>
      <c r="W12" s="52" t="e">
        <f ca="1"/>
        <v>#NAME?</v>
      </c>
    </row>
    <row r="13" spans="2:23" x14ac:dyDescent="0.3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  <c r="P13" t="e">
        <f ca="1"/>
        <v>#NAME?</v>
      </c>
      <c r="Q13" s="91" t="e">
        <f ca="1"/>
        <v>#NAME?</v>
      </c>
      <c r="R13" s="92" t="e">
        <f ca="1"/>
        <v>#NAME?</v>
      </c>
      <c r="S13" s="93" t="e">
        <f ca="1"/>
        <v>#NAME?</v>
      </c>
      <c r="U13" t="e">
        <f ca="1">GVF(B3:I22,U10:U12)</f>
        <v>#NAME?</v>
      </c>
      <c r="W13" t="e">
        <f ca="1"/>
        <v>#NAME?</v>
      </c>
    </row>
    <row r="14" spans="2:23" x14ac:dyDescent="0.3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  <c r="P14" s="47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</row>
    <row r="15" spans="2:23" x14ac:dyDescent="0.3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</row>
    <row r="16" spans="2:23" x14ac:dyDescent="0.3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  <c r="Q16" s="47" t="s">
        <v>619</v>
      </c>
      <c r="R16" s="47" t="s">
        <v>620</v>
      </c>
      <c r="S16" s="47" t="s">
        <v>167</v>
      </c>
      <c r="T16" s="47" t="s">
        <v>621</v>
      </c>
    </row>
    <row r="17" spans="2:20" x14ac:dyDescent="0.3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  <c r="P17">
        <v>1</v>
      </c>
      <c r="Q17" s="138">
        <f>SMALL($B$3:$I$22,40*(P17-1)+1)</f>
        <v>28.9</v>
      </c>
      <c r="R17" s="233">
        <f>SMALL($B$3:$I$22,40*P17)</f>
        <v>64.2</v>
      </c>
      <c r="S17" s="234">
        <f>COUNTIFS($B$3:$I$22,"&gt;="&amp;Q17,$B$3:$I$22,"&lt;="&amp;R17)</f>
        <v>40</v>
      </c>
      <c r="T17" s="146">
        <f t="array" ref="T17">DEVSQ(IF($B$3:$I$22&gt;=Q17,IF($B$3:$I$22&lt;=R17,$B$3:$I$22,""),""))</f>
        <v>3071.2137500000003</v>
      </c>
    </row>
    <row r="18" spans="2:20" x14ac:dyDescent="0.3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  <c r="P18">
        <v>2</v>
      </c>
      <c r="Q18" s="123">
        <f>SMALL($B$3:$I$22,40*(P18-1)+1)</f>
        <v>64.3</v>
      </c>
      <c r="R18" s="37">
        <f>SMALL($B$3:$I$22,40*P18)</f>
        <v>72.5</v>
      </c>
      <c r="S18" s="90">
        <f>COUNTIFS($B$3:$I$22,"&gt;="&amp;Q18,$B$3:$I$22,"&lt;="&amp;R18)</f>
        <v>40</v>
      </c>
      <c r="T18" s="49">
        <f t="array" ref="T18">DEVSQ(IF($B$3:$I$22&gt;=Q18,IF($B$3:$I$22&lt;=R18,$B$3:$I$22,""),""))</f>
        <v>280.07899999999995</v>
      </c>
    </row>
    <row r="19" spans="2:20" x14ac:dyDescent="0.3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  <c r="P19">
        <v>3</v>
      </c>
      <c r="Q19" s="123">
        <f>SMALL($B$3:$I$22,40*(P19-1)+1)</f>
        <v>72.599999999999994</v>
      </c>
      <c r="R19" s="37">
        <f>SMALL($B$3:$I$22,40*P19-1)</f>
        <v>79.900000000000006</v>
      </c>
      <c r="S19" s="90">
        <f>COUNTIFS($B$3:$I$22,"&gt;="&amp;Q19,$B$3:$I$22,"&lt;="&amp;R19)</f>
        <v>39</v>
      </c>
      <c r="T19" s="49">
        <f t="array" ref="T19">DEVSQ(IF($B$3:$I$22&gt;=Q19,IF($B$3:$I$22&lt;=R19,$B$3:$I$22,""),""))</f>
        <v>213.81589743589723</v>
      </c>
    </row>
    <row r="20" spans="2:20" x14ac:dyDescent="0.3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  <c r="P20">
        <v>4</v>
      </c>
      <c r="Q20" s="91">
        <f>SMALL($B$3:$I$22,40*(P20-1))</f>
        <v>80.7</v>
      </c>
      <c r="R20" s="92">
        <f>SMALL($B$3:$I$22,40*P20)</f>
        <v>99.2</v>
      </c>
      <c r="S20" s="93">
        <f>COUNTIFS($B$3:$I$22,"&gt;="&amp;Q20,$B$3:$I$22,"&lt;="&amp;R20)</f>
        <v>41</v>
      </c>
      <c r="T20" s="174">
        <f t="array" ref="T20">DEVSQ(IF($B$3:$I$22&gt;=Q20,IF($B$3:$I$22&lt;=R20,$B$3:$I$22,""),""))</f>
        <v>931.84878048780502</v>
      </c>
    </row>
    <row r="21" spans="2:20" x14ac:dyDescent="0.3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  <c r="P21" s="47"/>
      <c r="T21" s="60">
        <f>SUM(T17:T20)</f>
        <v>4496.9574279237022</v>
      </c>
    </row>
    <row r="22" spans="2:20" x14ac:dyDescent="0.3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  <row r="23" spans="2:20" x14ac:dyDescent="0.35">
      <c r="Q23" s="47" t="s">
        <v>619</v>
      </c>
      <c r="R23" s="47" t="s">
        <v>620</v>
      </c>
      <c r="S23" s="47" t="s">
        <v>167</v>
      </c>
      <c r="T23" s="47" t="s">
        <v>621</v>
      </c>
    </row>
    <row r="24" spans="2:20" x14ac:dyDescent="0.35">
      <c r="P24">
        <v>1</v>
      </c>
      <c r="Q24" s="138" t="e">
        <f t="shared" ref="Q24:S27" ca="1" si="0">L3</f>
        <v>#NAME?</v>
      </c>
      <c r="R24" s="233" t="e">
        <f t="shared" ca="1" si="0"/>
        <v>#NAME?</v>
      </c>
      <c r="S24" s="234" t="e">
        <f t="shared" ca="1" si="0"/>
        <v>#NAME?</v>
      </c>
      <c r="T24" s="146" t="e">
        <f t="array" aca="1" ref="T24" ca="1">DEVSQ(IF($B$3:$I$22&gt;=Q24,IF($B$3:$I$22&lt;=R24,$B$3:$I$22,""),""))</f>
        <v>#NAME?</v>
      </c>
    </row>
    <row r="25" spans="2:20" x14ac:dyDescent="0.35">
      <c r="P25">
        <v>2</v>
      </c>
      <c r="Q25" s="36" t="e">
        <f t="shared" ca="1" si="0"/>
        <v>#NAME?</v>
      </c>
      <c r="R25" s="37" t="e">
        <f t="shared" ca="1" si="0"/>
        <v>#NAME?</v>
      </c>
      <c r="S25" s="90" t="e">
        <f t="shared" ca="1" si="0"/>
        <v>#NAME?</v>
      </c>
      <c r="T25" s="49" t="e">
        <f t="array" aca="1" ref="T25" ca="1">DEVSQ(IF($B$3:$I$22&gt;=Q25,IF($B$3:$I$22&lt;=R25,$B$3:$I$22,""),""))</f>
        <v>#NAME?</v>
      </c>
    </row>
    <row r="26" spans="2:20" x14ac:dyDescent="0.35">
      <c r="P26">
        <v>3</v>
      </c>
      <c r="Q26" s="36" t="e">
        <f t="shared" ca="1" si="0"/>
        <v>#NAME?</v>
      </c>
      <c r="R26" s="37" t="e">
        <f t="shared" ca="1" si="0"/>
        <v>#NAME?</v>
      </c>
      <c r="S26" s="90" t="e">
        <f t="shared" ca="1" si="0"/>
        <v>#NAME?</v>
      </c>
      <c r="T26" s="49" t="e">
        <f t="array" aca="1" ref="T26" ca="1">DEVSQ(IF($B$3:$I$22&gt;=Q26,IF($B$3:$I$22&lt;=R26,$B$3:$I$22,""),""))</f>
        <v>#NAME?</v>
      </c>
    </row>
    <row r="27" spans="2:20" x14ac:dyDescent="0.35">
      <c r="P27">
        <v>4</v>
      </c>
      <c r="Q27" s="91" t="e">
        <f t="shared" ca="1" si="0"/>
        <v>#NAME?</v>
      </c>
      <c r="R27" s="92" t="e">
        <f t="shared" ca="1" si="0"/>
        <v>#NAME?</v>
      </c>
      <c r="S27" s="93" t="e">
        <f t="shared" ca="1" si="0"/>
        <v>#NAME?</v>
      </c>
      <c r="T27" s="174" t="e">
        <f t="array" aca="1" ref="T27" ca="1">DEVSQ(IF($B$3:$I$22&gt;=Q27,IF($B$3:$I$22&lt;=R27,$B$3:$I$22,""),""))</f>
        <v>#NAME?</v>
      </c>
    </row>
    <row r="28" spans="2:20" x14ac:dyDescent="0.35">
      <c r="P28" s="47"/>
      <c r="T28" s="60" t="e">
        <f ca="1">SUM(T24:T27)</f>
        <v>#NAME?</v>
      </c>
    </row>
  </sheetData>
  <pageMargins left="0.7" right="0.7" top="0.75" bottom="0.75" header="0.3" footer="0.3"/>
  <ignoredErrors>
    <ignoredError sqref="R19" formula="1"/>
  </ignoredError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0"/>
  <dimension ref="B1:N22"/>
  <sheetViews>
    <sheetView workbookViewId="0">
      <selection activeCell="B1" sqref="B1"/>
    </sheetView>
  </sheetViews>
  <sheetFormatPr defaultRowHeight="14.5" x14ac:dyDescent="0.35"/>
  <cols>
    <col min="1" max="1" width="3.1796875" customWidth="1"/>
  </cols>
  <sheetData>
    <row r="1" spans="2:14" x14ac:dyDescent="0.35">
      <c r="B1" s="42" t="s">
        <v>612</v>
      </c>
    </row>
    <row r="2" spans="2:14" x14ac:dyDescent="0.35">
      <c r="L2" s="47" t="s">
        <v>619</v>
      </c>
      <c r="M2" s="47" t="s">
        <v>620</v>
      </c>
      <c r="N2" s="47" t="s">
        <v>167</v>
      </c>
    </row>
    <row r="3" spans="2:14" x14ac:dyDescent="0.35">
      <c r="B3" s="252">
        <v>87.7</v>
      </c>
      <c r="C3" s="253">
        <v>56.8</v>
      </c>
      <c r="D3" s="253">
        <v>67.2</v>
      </c>
      <c r="E3" s="253">
        <v>74.400000000000006</v>
      </c>
      <c r="F3" s="253">
        <v>43.6</v>
      </c>
      <c r="G3" s="253">
        <v>87.8</v>
      </c>
      <c r="H3" s="253">
        <v>83.8</v>
      </c>
      <c r="I3" s="254">
        <v>61.900000000000006</v>
      </c>
      <c r="K3" t="e">
        <f t="array" aca="1" ref="K3:N7" ca="1">JENKS(B3:I22,,TRUE)</f>
        <v>#NAME?</v>
      </c>
      <c r="L3" s="255" t="e">
        <f ca="1"/>
        <v>#NAME?</v>
      </c>
      <c r="M3" s="256" t="e">
        <f ca="1"/>
        <v>#NAME?</v>
      </c>
      <c r="N3" s="257" t="e">
        <f ca="1"/>
        <v>#NAME?</v>
      </c>
    </row>
    <row r="4" spans="2:14" x14ac:dyDescent="0.3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t="e">
        <f ca="1"/>
        <v>#NAME?</v>
      </c>
      <c r="L4" s="258" t="e">
        <f ca="1"/>
        <v>#NAME?</v>
      </c>
      <c r="M4" s="259" t="e">
        <f ca="1"/>
        <v>#NAME?</v>
      </c>
      <c r="N4" s="260" t="e">
        <f ca="1"/>
        <v>#NAME?</v>
      </c>
    </row>
    <row r="5" spans="2:14" x14ac:dyDescent="0.3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t="e">
        <f ca="1"/>
        <v>#NAME?</v>
      </c>
      <c r="L5" s="261" t="e">
        <f ca="1"/>
        <v>#NAME?</v>
      </c>
      <c r="M5" s="262" t="e">
        <f ca="1"/>
        <v>#NAME?</v>
      </c>
      <c r="N5" s="263" t="e">
        <f ca="1"/>
        <v>#NAME?</v>
      </c>
    </row>
    <row r="6" spans="2:14" x14ac:dyDescent="0.3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t="e">
        <f ca="1"/>
        <v>#NAME?</v>
      </c>
      <c r="L6" s="264" t="e">
        <f ca="1"/>
        <v>#NAME?</v>
      </c>
      <c r="M6" s="265" t="e">
        <f ca="1"/>
        <v>#NAME?</v>
      </c>
      <c r="N6" s="266" t="e">
        <f ca="1"/>
        <v>#NAME?</v>
      </c>
    </row>
    <row r="7" spans="2:14" x14ac:dyDescent="0.3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4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</row>
    <row r="8" spans="2:14" x14ac:dyDescent="0.3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</row>
    <row r="9" spans="2:14" x14ac:dyDescent="0.3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</row>
    <row r="10" spans="2:14" x14ac:dyDescent="0.3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</row>
    <row r="11" spans="2:14" x14ac:dyDescent="0.3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</row>
    <row r="12" spans="2:14" x14ac:dyDescent="0.35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</row>
    <row r="13" spans="2:14" x14ac:dyDescent="0.3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</row>
    <row r="14" spans="2:14" x14ac:dyDescent="0.3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</row>
    <row r="15" spans="2:14" x14ac:dyDescent="0.3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</row>
    <row r="16" spans="2:14" x14ac:dyDescent="0.3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</row>
    <row r="17" spans="2:9" x14ac:dyDescent="0.3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</row>
    <row r="18" spans="2:9" x14ac:dyDescent="0.3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</row>
    <row r="19" spans="2:9" x14ac:dyDescent="0.3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</row>
    <row r="20" spans="2:9" x14ac:dyDescent="0.3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</row>
    <row r="21" spans="2:9" x14ac:dyDescent="0.3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</row>
    <row r="22" spans="2:9" x14ac:dyDescent="0.3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</sheetData>
  <conditionalFormatting sqref="B3:I22">
    <cfRule type="expression" dxfId="3" priority="1">
      <formula>AND(B3&gt;=$L$6,B3&lt;=$M$6)</formula>
    </cfRule>
    <cfRule type="expression" dxfId="2" priority="2">
      <formula>AND(B3&gt;=$L$5,B3&lt;=$M$5)</formula>
    </cfRule>
    <cfRule type="expression" dxfId="1" priority="3">
      <formula>AND(B3&gt;=$L$4,B3&lt;=$M$4)</formula>
    </cfRule>
    <cfRule type="expression" dxfId="0" priority="4">
      <formula>AND(B3&gt;=$L$3,B3&lt;=$M$3)</formula>
    </cfRule>
  </conditionalFormatting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3"/>
  <dimension ref="B1:N22"/>
  <sheetViews>
    <sheetView workbookViewId="0"/>
  </sheetViews>
  <sheetFormatPr defaultRowHeight="14.5" x14ac:dyDescent="0.35"/>
  <cols>
    <col min="1" max="1" width="3" customWidth="1"/>
  </cols>
  <sheetData>
    <row r="1" spans="2:14" x14ac:dyDescent="0.35">
      <c r="B1" s="42" t="s">
        <v>612</v>
      </c>
      <c r="K1" t="s">
        <v>612</v>
      </c>
    </row>
    <row r="2" spans="2:14" ht="15" thickBot="1" x14ac:dyDescent="0.4"/>
    <row r="3" spans="2:14" ht="15" thickTop="1" x14ac:dyDescent="0.35">
      <c r="B3" s="252">
        <v>87.7</v>
      </c>
      <c r="C3" s="253">
        <v>56.8</v>
      </c>
      <c r="D3" s="253">
        <v>67.2</v>
      </c>
      <c r="E3" s="253">
        <v>74.400000000000006</v>
      </c>
      <c r="F3" s="253">
        <v>43.6</v>
      </c>
      <c r="G3" s="253">
        <v>87.8</v>
      </c>
      <c r="H3" s="253">
        <v>83.8</v>
      </c>
      <c r="I3" s="254">
        <v>61.900000000000006</v>
      </c>
      <c r="K3" s="94" t="s">
        <v>622</v>
      </c>
      <c r="L3" s="94" t="s">
        <v>66</v>
      </c>
      <c r="M3" s="94" t="s">
        <v>67</v>
      </c>
      <c r="N3" s="94" t="s">
        <v>167</v>
      </c>
    </row>
    <row r="4" spans="2:14" x14ac:dyDescent="0.35">
      <c r="B4" s="102">
        <v>85.4</v>
      </c>
      <c r="C4" s="103">
        <v>73.400000000000006</v>
      </c>
      <c r="D4" s="103">
        <v>68.3</v>
      </c>
      <c r="E4" s="103">
        <v>70.3</v>
      </c>
      <c r="F4" s="103">
        <v>81.2</v>
      </c>
      <c r="G4" s="103">
        <v>94.7</v>
      </c>
      <c r="H4" s="103">
        <v>76.7</v>
      </c>
      <c r="I4" s="104">
        <v>61.400000000000006</v>
      </c>
      <c r="K4" s="32" t="e">
        <f t="array" aca="1" ref="K4:N8" ca="1">JENKS(B3:I22,4,TRUE)</f>
        <v>#NAME?</v>
      </c>
      <c r="L4" t="e">
        <f ca="1"/>
        <v>#NAME?</v>
      </c>
      <c r="M4" t="e">
        <f ca="1"/>
        <v>#NAME?</v>
      </c>
      <c r="N4" t="e">
        <f ca="1"/>
        <v>#NAME?</v>
      </c>
    </row>
    <row r="5" spans="2:14" x14ac:dyDescent="0.35">
      <c r="B5" s="102">
        <v>78.5</v>
      </c>
      <c r="C5" s="103">
        <v>69.400000000000006</v>
      </c>
      <c r="D5" s="103">
        <v>61.099999999999994</v>
      </c>
      <c r="E5" s="103">
        <v>52.099999999999994</v>
      </c>
      <c r="F5" s="103">
        <v>66.8</v>
      </c>
      <c r="G5" s="103">
        <v>87.1</v>
      </c>
      <c r="H5" s="103">
        <v>83.4</v>
      </c>
      <c r="I5" s="104">
        <v>64.599999999999994</v>
      </c>
      <c r="K5" s="32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</row>
    <row r="6" spans="2:14" x14ac:dyDescent="0.35">
      <c r="B6" s="102">
        <v>73.400000000000006</v>
      </c>
      <c r="C6" s="103">
        <v>71.2</v>
      </c>
      <c r="D6" s="103">
        <v>69.8</v>
      </c>
      <c r="E6" s="103">
        <v>85.8</v>
      </c>
      <c r="F6" s="103">
        <v>65.400000000000006</v>
      </c>
      <c r="G6" s="103">
        <v>42.7</v>
      </c>
      <c r="H6" s="103">
        <v>67.400000000000006</v>
      </c>
      <c r="I6" s="104">
        <v>65.900000000000006</v>
      </c>
      <c r="K6" s="32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</row>
    <row r="7" spans="2:14" x14ac:dyDescent="0.35">
      <c r="B7" s="102">
        <v>82.8</v>
      </c>
      <c r="C7" s="103">
        <v>97.8</v>
      </c>
      <c r="D7" s="103">
        <v>45.8</v>
      </c>
      <c r="E7" s="103">
        <v>65.8</v>
      </c>
      <c r="F7" s="103">
        <v>64.2</v>
      </c>
      <c r="G7" s="103">
        <v>48.599999999999994</v>
      </c>
      <c r="H7" s="103">
        <v>75.599999999999994</v>
      </c>
      <c r="I7" s="104">
        <v>78.599999999999994</v>
      </c>
      <c r="K7" s="267" t="e">
        <f ca="1"/>
        <v>#NAME?</v>
      </c>
      <c r="L7" s="92" t="e">
        <f ca="1"/>
        <v>#NAME?</v>
      </c>
      <c r="M7" s="92" t="e">
        <f ca="1"/>
        <v>#NAME?</v>
      </c>
      <c r="N7" s="92" t="e">
        <f ca="1"/>
        <v>#NAME?</v>
      </c>
    </row>
    <row r="8" spans="2:14" x14ac:dyDescent="0.35">
      <c r="B8" s="102">
        <v>79.8</v>
      </c>
      <c r="C8" s="103">
        <v>51</v>
      </c>
      <c r="D8" s="103">
        <v>49</v>
      </c>
      <c r="E8" s="103">
        <v>63.599999999999994</v>
      </c>
      <c r="F8" s="103">
        <v>88.9</v>
      </c>
      <c r="G8" s="103">
        <v>82.1</v>
      </c>
      <c r="H8" s="103">
        <v>72.5</v>
      </c>
      <c r="I8" s="104">
        <v>71.2</v>
      </c>
      <c r="K8" s="268" t="e">
        <f ca="1"/>
        <v>#NAME?</v>
      </c>
      <c r="L8" s="147" t="e">
        <f ca="1"/>
        <v>#NAME?</v>
      </c>
      <c r="M8" s="147" t="e">
        <f ca="1"/>
        <v>#NAME?</v>
      </c>
      <c r="N8" s="147" t="e">
        <f ca="1"/>
        <v>#NAME?</v>
      </c>
    </row>
    <row r="9" spans="2:14" x14ac:dyDescent="0.35">
      <c r="B9" s="102">
        <v>57.7</v>
      </c>
      <c r="C9" s="103">
        <v>52.400000000000006</v>
      </c>
      <c r="D9" s="103">
        <v>38.6</v>
      </c>
      <c r="E9" s="103">
        <v>75.400000000000006</v>
      </c>
      <c r="F9" s="103">
        <v>79.2</v>
      </c>
      <c r="G9" s="103">
        <v>83.6</v>
      </c>
      <c r="H9" s="103">
        <v>70.599999999999994</v>
      </c>
      <c r="I9" s="104">
        <v>76.400000000000006</v>
      </c>
    </row>
    <row r="10" spans="2:14" x14ac:dyDescent="0.35">
      <c r="B10" s="102">
        <v>64.7</v>
      </c>
      <c r="C10" s="103">
        <v>40.700000000000003</v>
      </c>
      <c r="D10" s="103">
        <v>85.2</v>
      </c>
      <c r="E10" s="103">
        <v>81.400000000000006</v>
      </c>
      <c r="F10" s="103">
        <v>78.5</v>
      </c>
      <c r="G10" s="103">
        <v>33.5</v>
      </c>
      <c r="H10" s="103">
        <v>57.9</v>
      </c>
      <c r="I10" s="104">
        <v>56.4</v>
      </c>
    </row>
    <row r="11" spans="2:14" x14ac:dyDescent="0.35">
      <c r="B11" s="102">
        <v>73</v>
      </c>
      <c r="C11" s="103">
        <v>79.8</v>
      </c>
      <c r="D11" s="103">
        <v>87.7</v>
      </c>
      <c r="E11" s="103">
        <v>72</v>
      </c>
      <c r="F11" s="103">
        <v>78.3</v>
      </c>
      <c r="G11" s="103">
        <v>80.7</v>
      </c>
      <c r="H11" s="103">
        <v>90.3</v>
      </c>
      <c r="I11" s="104">
        <v>58.3</v>
      </c>
      <c r="K11" t="s">
        <v>612</v>
      </c>
    </row>
    <row r="12" spans="2:14" ht="15" thickBot="1" x14ac:dyDescent="0.4">
      <c r="B12" s="102">
        <v>82.3</v>
      </c>
      <c r="C12" s="103">
        <v>84</v>
      </c>
      <c r="D12" s="103">
        <v>83</v>
      </c>
      <c r="E12" s="103">
        <v>66.2</v>
      </c>
      <c r="F12" s="103">
        <v>93.1</v>
      </c>
      <c r="G12" s="103">
        <v>68.2</v>
      </c>
      <c r="H12" s="103">
        <v>95.7</v>
      </c>
      <c r="I12" s="104">
        <v>60.099999999999994</v>
      </c>
    </row>
    <row r="13" spans="2:14" ht="15" thickTop="1" x14ac:dyDescent="0.35">
      <c r="B13" s="102">
        <v>63.099999999999994</v>
      </c>
      <c r="C13" s="103">
        <v>62.7</v>
      </c>
      <c r="D13" s="103">
        <v>89.3</v>
      </c>
      <c r="E13" s="103">
        <v>52.2</v>
      </c>
      <c r="F13" s="103">
        <v>62.5</v>
      </c>
      <c r="G13" s="103">
        <v>73</v>
      </c>
      <c r="H13" s="103">
        <v>81.5</v>
      </c>
      <c r="I13" s="104">
        <v>67.2</v>
      </c>
      <c r="K13" s="94" t="s">
        <v>622</v>
      </c>
      <c r="L13" s="94" t="s">
        <v>66</v>
      </c>
      <c r="M13" s="94" t="s">
        <v>67</v>
      </c>
      <c r="N13" s="94" t="s">
        <v>167</v>
      </c>
    </row>
    <row r="14" spans="2:14" x14ac:dyDescent="0.35">
      <c r="B14" s="102">
        <v>99.2</v>
      </c>
      <c r="C14" s="103">
        <v>66.400000000000006</v>
      </c>
      <c r="D14" s="103">
        <v>79.2</v>
      </c>
      <c r="E14" s="103">
        <v>73</v>
      </c>
      <c r="F14" s="103">
        <v>74.2</v>
      </c>
      <c r="G14" s="103">
        <v>28.9</v>
      </c>
      <c r="H14" s="103">
        <v>80.7</v>
      </c>
      <c r="I14" s="104">
        <v>71.2</v>
      </c>
      <c r="K14" s="32" t="e">
        <f t="array" aca="1" ref="K14:N18" ca="1">JENKS(B3:I22,4,TRUE,10000)</f>
        <v>#NAME?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2:14" x14ac:dyDescent="0.35">
      <c r="B15" s="102">
        <v>71.8</v>
      </c>
      <c r="C15" s="103">
        <v>64.7</v>
      </c>
      <c r="D15" s="103">
        <v>73.2</v>
      </c>
      <c r="E15" s="103">
        <v>71.900000000000006</v>
      </c>
      <c r="F15" s="103">
        <v>83.3</v>
      </c>
      <c r="G15" s="103">
        <v>67</v>
      </c>
      <c r="H15" s="103">
        <v>79.900000000000006</v>
      </c>
      <c r="I15" s="104">
        <v>79.2</v>
      </c>
      <c r="K15" s="32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2:14" x14ac:dyDescent="0.35">
      <c r="B16" s="102">
        <v>77.599999999999994</v>
      </c>
      <c r="C16" s="103">
        <v>88.3</v>
      </c>
      <c r="D16" s="103">
        <v>69.5</v>
      </c>
      <c r="E16" s="103">
        <v>72.3</v>
      </c>
      <c r="F16" s="103">
        <v>72</v>
      </c>
      <c r="G16" s="103">
        <v>74.400000000000006</v>
      </c>
      <c r="H16" s="103">
        <v>86.3</v>
      </c>
      <c r="I16" s="104">
        <v>70.2</v>
      </c>
      <c r="K16" s="32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</row>
    <row r="17" spans="2:14" x14ac:dyDescent="0.35">
      <c r="B17" s="102">
        <v>78.7</v>
      </c>
      <c r="C17" s="103">
        <v>82.2</v>
      </c>
      <c r="D17" s="103">
        <v>78.900000000000006</v>
      </c>
      <c r="E17" s="103">
        <v>87.5</v>
      </c>
      <c r="F17" s="103">
        <v>55.8</v>
      </c>
      <c r="G17" s="103">
        <v>83.1</v>
      </c>
      <c r="H17" s="103">
        <v>77.3</v>
      </c>
      <c r="I17" s="104">
        <v>76</v>
      </c>
      <c r="K17" s="267" t="e">
        <f ca="1"/>
        <v>#NAME?</v>
      </c>
      <c r="L17" s="92" t="e">
        <f ca="1"/>
        <v>#NAME?</v>
      </c>
      <c r="M17" s="92" t="e">
        <f ca="1"/>
        <v>#NAME?</v>
      </c>
      <c r="N17" s="92" t="e">
        <f ca="1"/>
        <v>#NAME?</v>
      </c>
    </row>
    <row r="18" spans="2:14" x14ac:dyDescent="0.35">
      <c r="B18" s="102">
        <v>48.2</v>
      </c>
      <c r="C18" s="103">
        <v>82.4</v>
      </c>
      <c r="D18" s="103">
        <v>76.3</v>
      </c>
      <c r="E18" s="103">
        <v>36.1</v>
      </c>
      <c r="F18" s="103">
        <v>53.599999999999994</v>
      </c>
      <c r="G18" s="103">
        <v>67</v>
      </c>
      <c r="H18" s="103">
        <v>74.900000000000006</v>
      </c>
      <c r="I18" s="104">
        <v>76.3</v>
      </c>
      <c r="K18" s="268" t="e">
        <f ca="1"/>
        <v>#NAME?</v>
      </c>
      <c r="L18" s="147" t="e">
        <f ca="1"/>
        <v>#NAME?</v>
      </c>
      <c r="M18" s="147" t="e">
        <f ca="1"/>
        <v>#NAME?</v>
      </c>
      <c r="N18" s="147" t="e">
        <f ca="1"/>
        <v>#NAME?</v>
      </c>
    </row>
    <row r="19" spans="2:14" x14ac:dyDescent="0.35">
      <c r="B19" s="102">
        <v>54.2</v>
      </c>
      <c r="C19" s="103">
        <v>72</v>
      </c>
      <c r="D19" s="103">
        <v>83.8</v>
      </c>
      <c r="E19" s="103">
        <v>77.7</v>
      </c>
      <c r="F19" s="103">
        <v>52.2</v>
      </c>
      <c r="G19" s="103">
        <v>73</v>
      </c>
      <c r="H19" s="103">
        <v>68.2</v>
      </c>
      <c r="I19" s="104">
        <v>58.2</v>
      </c>
    </row>
    <row r="20" spans="2:14" x14ac:dyDescent="0.35">
      <c r="B20" s="102">
        <v>70.5</v>
      </c>
      <c r="C20" s="103">
        <v>73.400000000000006</v>
      </c>
      <c r="D20" s="103">
        <v>82</v>
      </c>
      <c r="E20" s="103">
        <v>84.2</v>
      </c>
      <c r="F20" s="103">
        <v>76.3</v>
      </c>
      <c r="G20" s="103">
        <v>64.8</v>
      </c>
      <c r="H20" s="103">
        <v>74.900000000000006</v>
      </c>
      <c r="I20" s="104">
        <v>58.400000000000006</v>
      </c>
    </row>
    <row r="21" spans="2:14" x14ac:dyDescent="0.35">
      <c r="B21" s="102">
        <v>67.099999999999994</v>
      </c>
      <c r="C21" s="103">
        <v>55.8</v>
      </c>
      <c r="D21" s="103">
        <v>64.400000000000006</v>
      </c>
      <c r="E21" s="103">
        <v>86.1</v>
      </c>
      <c r="F21" s="103">
        <v>56.8</v>
      </c>
      <c r="G21" s="103">
        <v>77.2</v>
      </c>
      <c r="H21" s="103">
        <v>64.3</v>
      </c>
      <c r="I21" s="104">
        <v>62.099999999999994</v>
      </c>
    </row>
    <row r="22" spans="2:14" x14ac:dyDescent="0.35">
      <c r="B22" s="105">
        <v>60.099999999999994</v>
      </c>
      <c r="C22" s="106">
        <v>66.599999999999994</v>
      </c>
      <c r="D22" s="106">
        <v>60.2</v>
      </c>
      <c r="E22" s="106">
        <v>94.2</v>
      </c>
      <c r="F22" s="106">
        <v>81.8</v>
      </c>
      <c r="G22" s="106">
        <v>71.2</v>
      </c>
      <c r="H22" s="106">
        <v>74</v>
      </c>
      <c r="I22" s="107">
        <v>72.599999999999994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5"/>
  <dimension ref="A1:AG39"/>
  <sheetViews>
    <sheetView workbookViewId="0"/>
  </sheetViews>
  <sheetFormatPr defaultRowHeight="14.5" x14ac:dyDescent="0.35"/>
  <cols>
    <col min="2" max="4" width="9.1796875" customWidth="1"/>
    <col min="5" max="5" width="2.81640625" customWidth="1"/>
    <col min="9" max="9" width="3.81640625" customWidth="1"/>
    <col min="18" max="18" width="9.1796875" customWidth="1"/>
    <col min="22" max="25" width="9.1796875" customWidth="1"/>
    <col min="27" max="27" width="3.81640625" customWidth="1"/>
    <col min="28" max="28" width="6.81640625" customWidth="1"/>
    <col min="33" max="33" width="6" customWidth="1"/>
  </cols>
  <sheetData>
    <row r="1" spans="1:33" x14ac:dyDescent="0.35">
      <c r="A1" s="42" t="s">
        <v>646</v>
      </c>
      <c r="R1" t="s">
        <v>647</v>
      </c>
      <c r="AB1" t="s">
        <v>648</v>
      </c>
    </row>
    <row r="3" spans="1:33" x14ac:dyDescent="0.35">
      <c r="B3" s="47" t="s">
        <v>144</v>
      </c>
      <c r="C3" s="47" t="s">
        <v>145</v>
      </c>
      <c r="D3" s="47" t="s">
        <v>146</v>
      </c>
      <c r="F3" s="70" t="s">
        <v>108</v>
      </c>
      <c r="J3" t="s">
        <v>125</v>
      </c>
      <c r="O3" t="s">
        <v>649</v>
      </c>
      <c r="S3" s="32" t="s">
        <v>144</v>
      </c>
      <c r="T3" s="32" t="s">
        <v>145</v>
      </c>
      <c r="U3" s="32" t="s">
        <v>146</v>
      </c>
      <c r="V3" s="32" t="str">
        <f t="array" ref="V3:Y3">TRANSPOSE(J14:J17)</f>
        <v>loam</v>
      </c>
      <c r="W3" s="32" t="str">
        <v>sandy</v>
      </c>
      <c r="X3" s="32" t="str">
        <v>salty</v>
      </c>
      <c r="Y3" s="32" t="str">
        <v>clay</v>
      </c>
      <c r="Z3" t="s">
        <v>650</v>
      </c>
      <c r="AC3" s="32" t="str">
        <f t="array" ref="AC3:AF3">TRANSPOSE(J14:J17)</f>
        <v>loam</v>
      </c>
      <c r="AD3" s="32" t="str">
        <v>sandy</v>
      </c>
      <c r="AE3" s="32" t="str">
        <v>salty</v>
      </c>
      <c r="AF3" s="32" t="str">
        <v>clay</v>
      </c>
    </row>
    <row r="4" spans="1:33" x14ac:dyDescent="0.35">
      <c r="A4" t="s">
        <v>158</v>
      </c>
      <c r="B4" s="252">
        <v>76.7</v>
      </c>
      <c r="C4" s="253">
        <v>29.5</v>
      </c>
      <c r="D4" s="254">
        <v>7.5</v>
      </c>
      <c r="R4" t="s">
        <v>158</v>
      </c>
      <c r="S4" s="252">
        <v>76.7</v>
      </c>
      <c r="T4" s="253">
        <v>29.5</v>
      </c>
      <c r="U4" s="254">
        <v>7.5</v>
      </c>
      <c r="V4" s="270" t="e">
        <f t="shared" ref="V4:V35" ca="1" si="0">$K$14+SUMPRODUCT(S4:U4,$L$14:$N$14)+$P$6</f>
        <v>#NAME?</v>
      </c>
      <c r="W4" s="271" t="e">
        <f t="shared" ref="W4:W35" ca="1" si="1">$K$15+SUMPRODUCT(S4:U4,$L$15:$N$15)+$P$7</f>
        <v>#NAME?</v>
      </c>
      <c r="X4" s="271" t="e">
        <f t="shared" ref="X4:X35" ca="1" si="2">$K$16+SUMPRODUCT(S4:U4,$L$16:$N$16)+$P$8</f>
        <v>#NAME?</v>
      </c>
      <c r="Y4" s="272" t="e">
        <f t="shared" ref="Y4:Y35" ca="1" si="3">$K$17+SUMPRODUCT(S4:U4,$L$17:$N$17)+$P$9</f>
        <v>#NAME?</v>
      </c>
      <c r="Z4" s="238" t="e">
        <f ca="1">INDEX($V$3:$Y$3,,MATCH(MAX(V4:Y4),V4:Y4,0))</f>
        <v>#NAME?</v>
      </c>
      <c r="AB4" t="str">
        <f>J6</f>
        <v>loam</v>
      </c>
      <c r="AC4" s="138">
        <f ca="1">COUNTIFS($R$4:$R$35,$AB4,$Z$4:$Z$35,AC$3)</f>
        <v>0</v>
      </c>
      <c r="AD4" s="139">
        <f t="shared" ref="AD4:AF7" ca="1" si="4">COUNTIFS($R$4:$R$35,$AB4,$Z$4:$Z$35,AD$3)</f>
        <v>0</v>
      </c>
      <c r="AE4" s="139">
        <f t="shared" ca="1" si="4"/>
        <v>0</v>
      </c>
      <c r="AF4" s="140">
        <f t="shared" ca="1" si="4"/>
        <v>0</v>
      </c>
      <c r="AG4">
        <f ca="1">SUM(AC4:AF4)</f>
        <v>0</v>
      </c>
    </row>
    <row r="5" spans="1:33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65</v>
      </c>
      <c r="G5" s="273" t="e">
        <f ca="1">BOXTEST(A4:D35)</f>
        <v>#NAME?</v>
      </c>
      <c r="K5" s="32" t="s">
        <v>144</v>
      </c>
      <c r="L5" s="32" t="s">
        <v>145</v>
      </c>
      <c r="M5" s="32" t="s">
        <v>146</v>
      </c>
      <c r="O5" s="209" t="s">
        <v>651</v>
      </c>
      <c r="P5" s="32" t="s">
        <v>652</v>
      </c>
      <c r="R5" t="s">
        <v>158</v>
      </c>
      <c r="S5" s="102">
        <v>60.5</v>
      </c>
      <c r="T5" s="103">
        <v>32.1</v>
      </c>
      <c r="U5" s="104">
        <v>6.3</v>
      </c>
      <c r="V5" s="274" t="e">
        <f t="shared" ca="1" si="0"/>
        <v>#NAME?</v>
      </c>
      <c r="W5" s="275" t="e">
        <f t="shared" ca="1" si="1"/>
        <v>#NAME?</v>
      </c>
      <c r="X5" s="275" t="e">
        <f t="shared" ca="1" si="2"/>
        <v>#NAME?</v>
      </c>
      <c r="Y5" s="276" t="e">
        <f t="shared" ca="1" si="3"/>
        <v>#NAME?</v>
      </c>
      <c r="Z5" s="240" t="e">
        <f t="shared" ref="Z5:Z35" ca="1" si="5">INDEX($V$3:$Y$3,,MATCH(MAX(V5:Y5),V5:Y5,0))</f>
        <v>#NAME?</v>
      </c>
      <c r="AB5" t="str">
        <f>J7</f>
        <v>sandy</v>
      </c>
      <c r="AC5" s="123">
        <f t="shared" ref="AC5:AC7" ca="1" si="6">COUNTIFS($R$4:$R$35,$AB5,$Z$4:$Z$35,AC$3)</f>
        <v>0</v>
      </c>
      <c r="AD5" s="37">
        <f t="shared" ca="1" si="4"/>
        <v>0</v>
      </c>
      <c r="AE5" s="37">
        <f t="shared" ca="1" si="4"/>
        <v>0</v>
      </c>
      <c r="AF5" s="90">
        <f t="shared" ca="1" si="4"/>
        <v>0</v>
      </c>
      <c r="AG5">
        <f t="shared" ref="AG5:AG7" ca="1" si="7">SUM(AC5:AF5)</f>
        <v>0</v>
      </c>
    </row>
    <row r="6" spans="1:33" x14ac:dyDescent="0.35">
      <c r="A6" t="s">
        <v>158</v>
      </c>
      <c r="B6" s="102">
        <v>96.1</v>
      </c>
      <c r="C6" s="103">
        <v>40.700000000000003</v>
      </c>
      <c r="D6" s="104">
        <v>4.2</v>
      </c>
      <c r="J6" t="s">
        <v>158</v>
      </c>
      <c r="K6" s="138">
        <f t="shared" ref="K6:M9" si="8">AVERAGEIF($A$4:$A$35,$J6,B$4:B$35)</f>
        <v>69.712500000000006</v>
      </c>
      <c r="L6" s="139">
        <f t="shared" si="8"/>
        <v>32.737499999999997</v>
      </c>
      <c r="M6" s="140">
        <f t="shared" si="8"/>
        <v>6.3874999999999984</v>
      </c>
      <c r="O6" s="138">
        <v>0.25</v>
      </c>
      <c r="P6" s="140">
        <f>LN(O6)</f>
        <v>-1.3862943611198906</v>
      </c>
      <c r="R6" t="s">
        <v>158</v>
      </c>
      <c r="S6" s="102">
        <v>96.1</v>
      </c>
      <c r="T6" s="103">
        <v>40.700000000000003</v>
      </c>
      <c r="U6" s="104">
        <v>4.2</v>
      </c>
      <c r="V6" s="274" t="e">
        <f t="shared" ca="1" si="0"/>
        <v>#NAME?</v>
      </c>
      <c r="W6" s="275" t="e">
        <f t="shared" ca="1" si="1"/>
        <v>#NAME?</v>
      </c>
      <c r="X6" s="275" t="e">
        <f t="shared" ca="1" si="2"/>
        <v>#NAME?</v>
      </c>
      <c r="Y6" s="276" t="e">
        <f t="shared" ca="1" si="3"/>
        <v>#NAME?</v>
      </c>
      <c r="Z6" s="240" t="e">
        <f t="shared" ca="1" si="5"/>
        <v>#NAME?</v>
      </c>
      <c r="AB6" t="str">
        <f>J8</f>
        <v>salty</v>
      </c>
      <c r="AC6" s="123">
        <f t="shared" ca="1" si="6"/>
        <v>0</v>
      </c>
      <c r="AD6" s="37">
        <f t="shared" ca="1" si="4"/>
        <v>0</v>
      </c>
      <c r="AE6" s="37">
        <f t="shared" ca="1" si="4"/>
        <v>0</v>
      </c>
      <c r="AF6" s="90">
        <f t="shared" ca="1" si="4"/>
        <v>0</v>
      </c>
      <c r="AG6">
        <f t="shared" ca="1" si="7"/>
        <v>0</v>
      </c>
    </row>
    <row r="7" spans="1:33" x14ac:dyDescent="0.35">
      <c r="A7" t="s">
        <v>158</v>
      </c>
      <c r="B7" s="102">
        <v>88.1</v>
      </c>
      <c r="C7" s="103">
        <v>45.1</v>
      </c>
      <c r="D7" s="104">
        <v>4.9000000000000004</v>
      </c>
      <c r="F7" t="s">
        <v>653</v>
      </c>
      <c r="J7" t="s">
        <v>159</v>
      </c>
      <c r="K7" s="123">
        <f t="shared" si="8"/>
        <v>62.575000000000003</v>
      </c>
      <c r="L7" s="37">
        <f t="shared" si="8"/>
        <v>28.2</v>
      </c>
      <c r="M7" s="90">
        <f t="shared" si="8"/>
        <v>4.3500000000000005</v>
      </c>
      <c r="O7" s="123">
        <v>0.25</v>
      </c>
      <c r="P7" s="90">
        <f t="shared" ref="P7:P9" si="9">LN(O7)</f>
        <v>-1.3862943611198906</v>
      </c>
      <c r="R7" t="s">
        <v>158</v>
      </c>
      <c r="S7" s="102">
        <v>88.1</v>
      </c>
      <c r="T7" s="103">
        <v>45.1</v>
      </c>
      <c r="U7" s="104">
        <v>4.9000000000000004</v>
      </c>
      <c r="V7" s="274" t="e">
        <f t="shared" ca="1" si="0"/>
        <v>#NAME?</v>
      </c>
      <c r="W7" s="275" t="e">
        <f t="shared" ca="1" si="1"/>
        <v>#NAME?</v>
      </c>
      <c r="X7" s="275" t="e">
        <f t="shared" ca="1" si="2"/>
        <v>#NAME?</v>
      </c>
      <c r="Y7" s="276" t="e">
        <f t="shared" ca="1" si="3"/>
        <v>#NAME?</v>
      </c>
      <c r="Z7" s="240" t="e">
        <f t="shared" ca="1" si="5"/>
        <v>#NAME?</v>
      </c>
      <c r="AB7" t="str">
        <f>J9</f>
        <v>clay</v>
      </c>
      <c r="AC7" s="91">
        <f t="shared" ca="1" si="6"/>
        <v>0</v>
      </c>
      <c r="AD7" s="92">
        <f t="shared" ca="1" si="4"/>
        <v>0</v>
      </c>
      <c r="AE7" s="92">
        <f t="shared" ca="1" si="4"/>
        <v>0</v>
      </c>
      <c r="AF7" s="93">
        <f t="shared" ca="1" si="4"/>
        <v>0</v>
      </c>
      <c r="AG7">
        <f t="shared" ca="1" si="7"/>
        <v>0</v>
      </c>
    </row>
    <row r="8" spans="1:33" x14ac:dyDescent="0.35">
      <c r="A8" t="s">
        <v>158</v>
      </c>
      <c r="B8" s="102">
        <v>50.2</v>
      </c>
      <c r="C8" s="103">
        <v>34.1</v>
      </c>
      <c r="D8" s="104">
        <v>11.7</v>
      </c>
      <c r="J8" t="s">
        <v>161</v>
      </c>
      <c r="K8" s="123">
        <f t="shared" si="8"/>
        <v>55.3125</v>
      </c>
      <c r="L8" s="37">
        <f t="shared" si="8"/>
        <v>30.637499999999996</v>
      </c>
      <c r="M8" s="90">
        <f t="shared" si="8"/>
        <v>3.8624999999999998</v>
      </c>
      <c r="O8" s="123">
        <v>0.25</v>
      </c>
      <c r="P8" s="90">
        <f t="shared" si="9"/>
        <v>-1.3862943611198906</v>
      </c>
      <c r="R8" t="s">
        <v>158</v>
      </c>
      <c r="S8" s="102">
        <v>50.2</v>
      </c>
      <c r="T8" s="103">
        <v>34.1</v>
      </c>
      <c r="U8" s="104">
        <v>11.7</v>
      </c>
      <c r="V8" s="274" t="e">
        <f t="shared" ca="1" si="0"/>
        <v>#NAME?</v>
      </c>
      <c r="W8" s="275" t="e">
        <f t="shared" ca="1" si="1"/>
        <v>#NAME?</v>
      </c>
      <c r="X8" s="275" t="e">
        <f t="shared" ca="1" si="2"/>
        <v>#NAME?</v>
      </c>
      <c r="Y8" s="276" t="e">
        <f t="shared" ca="1" si="3"/>
        <v>#NAME?</v>
      </c>
      <c r="Z8" s="240" t="e">
        <f t="shared" ca="1" si="5"/>
        <v>#NAME?</v>
      </c>
      <c r="AC8">
        <f ca="1">SUM(AC4:AC7)</f>
        <v>0</v>
      </c>
      <c r="AD8">
        <f t="shared" ref="AD8:AG8" ca="1" si="10">SUM(AD4:AD7)</f>
        <v>0</v>
      </c>
      <c r="AE8">
        <f t="shared" ca="1" si="10"/>
        <v>0</v>
      </c>
      <c r="AF8">
        <f t="shared" ca="1" si="10"/>
        <v>0</v>
      </c>
      <c r="AG8">
        <f t="shared" ca="1" si="10"/>
        <v>0</v>
      </c>
    </row>
    <row r="9" spans="1:33" x14ac:dyDescent="0.35">
      <c r="A9" t="s">
        <v>158</v>
      </c>
      <c r="B9" s="102">
        <v>55</v>
      </c>
      <c r="C9" s="103">
        <v>31.1</v>
      </c>
      <c r="D9" s="104">
        <v>6.9</v>
      </c>
      <c r="F9" s="138" t="e">
        <f t="array" aca="1" ref="F9:H11" ca="1">COVPooled(A4:D35)</f>
        <v>#NAME?</v>
      </c>
      <c r="G9" s="139" t="e">
        <f ca="1"/>
        <v>#NAME?</v>
      </c>
      <c r="H9" s="140" t="e">
        <f ca="1"/>
        <v>#NAME?</v>
      </c>
      <c r="J9" t="s">
        <v>160</v>
      </c>
      <c r="K9" s="91">
        <f t="shared" si="8"/>
        <v>58.837499999999999</v>
      </c>
      <c r="L9" s="92">
        <f t="shared" si="8"/>
        <v>33.087500000000006</v>
      </c>
      <c r="M9" s="93">
        <f t="shared" si="8"/>
        <v>4.0875000000000004</v>
      </c>
      <c r="O9" s="91">
        <v>0.25</v>
      </c>
      <c r="P9" s="93">
        <f t="shared" si="9"/>
        <v>-1.3862943611198906</v>
      </c>
      <c r="R9" t="s">
        <v>158</v>
      </c>
      <c r="S9" s="102">
        <v>55</v>
      </c>
      <c r="T9" s="103">
        <v>31.1</v>
      </c>
      <c r="U9" s="104">
        <v>6.9</v>
      </c>
      <c r="V9" s="274" t="e">
        <f t="shared" ca="1" si="0"/>
        <v>#NAME?</v>
      </c>
      <c r="W9" s="275" t="e">
        <f t="shared" ca="1" si="1"/>
        <v>#NAME?</v>
      </c>
      <c r="X9" s="275" t="e">
        <f t="shared" ca="1" si="2"/>
        <v>#NAME?</v>
      </c>
      <c r="Y9" s="276" t="e">
        <f t="shared" ca="1" si="3"/>
        <v>#NAME?</v>
      </c>
      <c r="Z9" s="240" t="e">
        <f t="shared" ca="1" si="5"/>
        <v>#NAME?</v>
      </c>
    </row>
    <row r="10" spans="1:33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s="123" t="e">
        <f ca="1"/>
        <v>#NAME?</v>
      </c>
      <c r="G10" s="37" t="e">
        <f ca="1"/>
        <v>#NAME?</v>
      </c>
      <c r="H10" s="90" t="e">
        <f ca="1"/>
        <v>#NAME?</v>
      </c>
      <c r="O10">
        <f>SUM(O6:O9)</f>
        <v>1</v>
      </c>
      <c r="R10" t="s">
        <v>158</v>
      </c>
      <c r="S10" s="102">
        <v>65.400000000000006</v>
      </c>
      <c r="T10" s="103">
        <v>21.6</v>
      </c>
      <c r="U10" s="104">
        <v>4.3</v>
      </c>
      <c r="V10" s="274" t="e">
        <f t="shared" ca="1" si="0"/>
        <v>#NAME?</v>
      </c>
      <c r="W10" s="275" t="e">
        <f t="shared" ca="1" si="1"/>
        <v>#NAME?</v>
      </c>
      <c r="X10" s="275" t="e">
        <f t="shared" ca="1" si="2"/>
        <v>#NAME?</v>
      </c>
      <c r="Y10" s="276" t="e">
        <f t="shared" ca="1" si="3"/>
        <v>#NAME?</v>
      </c>
      <c r="Z10" s="240" t="e">
        <f t="shared" ca="1" si="5"/>
        <v>#NAME?</v>
      </c>
      <c r="AB10" t="s">
        <v>654</v>
      </c>
    </row>
    <row r="11" spans="1:33" x14ac:dyDescent="0.35">
      <c r="A11" t="s">
        <v>158</v>
      </c>
      <c r="B11" s="102">
        <v>65.7</v>
      </c>
      <c r="C11" s="103">
        <v>27.7</v>
      </c>
      <c r="D11" s="104">
        <v>5.3</v>
      </c>
      <c r="F11" s="91" t="e">
        <f ca="1"/>
        <v>#NAME?</v>
      </c>
      <c r="G11" s="92" t="e">
        <f ca="1"/>
        <v>#NAME?</v>
      </c>
      <c r="H11" s="93" t="e">
        <f ca="1"/>
        <v>#NAME?</v>
      </c>
      <c r="J11" t="s">
        <v>655</v>
      </c>
      <c r="R11" t="s">
        <v>158</v>
      </c>
      <c r="S11" s="102">
        <v>65.7</v>
      </c>
      <c r="T11" s="103">
        <v>27.7</v>
      </c>
      <c r="U11" s="104">
        <v>5.3</v>
      </c>
      <c r="V11" s="274" t="e">
        <f t="shared" ca="1" si="0"/>
        <v>#NAME?</v>
      </c>
      <c r="W11" s="275" t="e">
        <f t="shared" ca="1" si="1"/>
        <v>#NAME?</v>
      </c>
      <c r="X11" s="275" t="e">
        <f t="shared" ca="1" si="2"/>
        <v>#NAME?</v>
      </c>
      <c r="Y11" s="276" t="e">
        <f t="shared" ca="1" si="3"/>
        <v>#NAME?</v>
      </c>
      <c r="Z11" s="240" t="e">
        <f t="shared" ca="1" si="5"/>
        <v>#NAME?</v>
      </c>
    </row>
    <row r="12" spans="1:33" x14ac:dyDescent="0.35">
      <c r="A12" t="s">
        <v>159</v>
      </c>
      <c r="B12" s="102">
        <v>67.3</v>
      </c>
      <c r="C12" s="103">
        <v>48.3</v>
      </c>
      <c r="D12" s="104">
        <v>5.5</v>
      </c>
      <c r="R12" t="s">
        <v>159</v>
      </c>
      <c r="S12" s="102">
        <v>67.3</v>
      </c>
      <c r="T12" s="103">
        <v>48.3</v>
      </c>
      <c r="U12" s="104">
        <v>5.5</v>
      </c>
      <c r="V12" s="274" t="e">
        <f t="shared" ca="1" si="0"/>
        <v>#NAME?</v>
      </c>
      <c r="W12" s="275" t="e">
        <f t="shared" ca="1" si="1"/>
        <v>#NAME?</v>
      </c>
      <c r="X12" s="275" t="e">
        <f t="shared" ca="1" si="2"/>
        <v>#NAME?</v>
      </c>
      <c r="Y12" s="276" t="e">
        <f t="shared" ca="1" si="3"/>
        <v>#NAME?</v>
      </c>
      <c r="Z12" s="240" t="e">
        <f t="shared" ca="1" si="5"/>
        <v>#NAME?</v>
      </c>
      <c r="AC12" s="32" t="s">
        <v>656</v>
      </c>
      <c r="AD12" s="32" t="s">
        <v>216</v>
      </c>
      <c r="AE12" s="32" t="s">
        <v>657</v>
      </c>
      <c r="AF12" s="32" t="s">
        <v>658</v>
      </c>
    </row>
    <row r="13" spans="1:33" x14ac:dyDescent="0.35">
      <c r="A13" t="s">
        <v>159</v>
      </c>
      <c r="B13" s="102">
        <v>61.3</v>
      </c>
      <c r="C13" s="103">
        <v>28.9</v>
      </c>
      <c r="D13" s="104">
        <v>6.9</v>
      </c>
      <c r="F13" t="s">
        <v>659</v>
      </c>
      <c r="K13" s="32" t="s">
        <v>660</v>
      </c>
      <c r="L13" s="32" t="s">
        <v>144</v>
      </c>
      <c r="M13" s="32" t="s">
        <v>145</v>
      </c>
      <c r="N13" s="32" t="s">
        <v>146</v>
      </c>
      <c r="R13" t="s">
        <v>159</v>
      </c>
      <c r="S13" s="102">
        <v>61.3</v>
      </c>
      <c r="T13" s="103">
        <v>28.9</v>
      </c>
      <c r="U13" s="104">
        <v>6.9</v>
      </c>
      <c r="V13" s="274" t="e">
        <f t="shared" ca="1" si="0"/>
        <v>#NAME?</v>
      </c>
      <c r="W13" s="275" t="e">
        <f t="shared" ca="1" si="1"/>
        <v>#NAME?</v>
      </c>
      <c r="X13" s="275" t="e">
        <f t="shared" ca="1" si="2"/>
        <v>#NAME?</v>
      </c>
      <c r="Y13" s="276" t="e">
        <f t="shared" ca="1" si="3"/>
        <v>#NAME?</v>
      </c>
      <c r="Z13" s="240" t="e">
        <f t="shared" ca="1" si="5"/>
        <v>#NAME?</v>
      </c>
      <c r="AB13" t="str">
        <f>AB4</f>
        <v>loam</v>
      </c>
      <c r="AC13" s="138" t="e">
        <f t="array" aca="1" ref="AC13:AC16" ca="1">DIAG(AC4:AF7)</f>
        <v>#NAME?</v>
      </c>
      <c r="AD13" s="139">
        <f ca="1">AG4</f>
        <v>0</v>
      </c>
      <c r="AE13" s="277" t="e">
        <f ca="1">AC13/AD13</f>
        <v>#NAME?</v>
      </c>
      <c r="AF13" s="278" t="e">
        <f ca="1">1-AE13</f>
        <v>#NAME?</v>
      </c>
    </row>
    <row r="14" spans="1:33" x14ac:dyDescent="0.35">
      <c r="A14" t="s">
        <v>159</v>
      </c>
      <c r="B14" s="102">
        <v>58.2</v>
      </c>
      <c r="C14" s="103">
        <v>42.5</v>
      </c>
      <c r="D14" s="104">
        <v>4.8</v>
      </c>
      <c r="J14" t="s">
        <v>158</v>
      </c>
      <c r="K14" s="138" t="e">
        <f t="array" aca="1" ref="K14" ca="1">-0.5*MMULT(K6:M6,MMULT($F$15:$H$17,TRANSPOSE(K6:M6)))</f>
        <v>#NAME?</v>
      </c>
      <c r="L14" s="139" t="e">
        <f t="array" aca="1" ref="L14:N14" ca="1">MMULT(K6:M6,$F$15:$H$17)</f>
        <v>#NAME?</v>
      </c>
      <c r="M14" s="139" t="e">
        <f ca="1"/>
        <v>#NAME?</v>
      </c>
      <c r="N14" s="140" t="e">
        <f ca="1"/>
        <v>#NAME?</v>
      </c>
      <c r="R14" t="s">
        <v>159</v>
      </c>
      <c r="S14" s="102">
        <v>58.2</v>
      </c>
      <c r="T14" s="103">
        <v>42.5</v>
      </c>
      <c r="U14" s="104">
        <v>4.8</v>
      </c>
      <c r="V14" s="274" t="e">
        <f t="shared" ca="1" si="0"/>
        <v>#NAME?</v>
      </c>
      <c r="W14" s="275" t="e">
        <f t="shared" ca="1" si="1"/>
        <v>#NAME?</v>
      </c>
      <c r="X14" s="275" t="e">
        <f t="shared" ca="1" si="2"/>
        <v>#NAME?</v>
      </c>
      <c r="Y14" s="276" t="e">
        <f t="shared" ca="1" si="3"/>
        <v>#NAME?</v>
      </c>
      <c r="Z14" s="240" t="e">
        <f t="shared" ca="1" si="5"/>
        <v>#NAME?</v>
      </c>
      <c r="AB14" t="str">
        <f t="shared" ref="AB14:AB16" si="11">AB5</f>
        <v>sandy</v>
      </c>
      <c r="AC14" s="123" t="e">
        <f ca="1"/>
        <v>#NAME?</v>
      </c>
      <c r="AD14" s="37">
        <f t="shared" ref="AD14:AD16" ca="1" si="12">AG5</f>
        <v>0</v>
      </c>
      <c r="AE14" s="167" t="e">
        <f t="shared" ref="AE14:AE17" ca="1" si="13">AC14/AD14</f>
        <v>#NAME?</v>
      </c>
      <c r="AF14" s="279" t="e">
        <f t="shared" ref="AF14:AF17" ca="1" si="14">1-AE14</f>
        <v>#NAME?</v>
      </c>
    </row>
    <row r="15" spans="1:33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F15" s="138" t="e">
        <f t="array" aca="1" ref="F15:H17" ca="1">MINVERSE(F9:H11)</f>
        <v>#NAME?</v>
      </c>
      <c r="G15" s="139" t="e">
        <f ca="1"/>
        <v>#NAME?</v>
      </c>
      <c r="H15" s="140" t="e">
        <f ca="1"/>
        <v>#NAME?</v>
      </c>
      <c r="J15" t="s">
        <v>159</v>
      </c>
      <c r="K15" s="123" t="e">
        <f t="array" aca="1" ref="K15" ca="1">-0.5*MMULT(K7:M7,MMULT($F$15:$H$17,TRANSPOSE(K7:M7)))</f>
        <v>#NAME?</v>
      </c>
      <c r="L15" s="37" t="e">
        <f t="array" aca="1" ref="L15:N15" ca="1">MMULT(K7:M7,$F$15:$H$17)</f>
        <v>#NAME?</v>
      </c>
      <c r="M15" s="37" t="e">
        <f ca="1"/>
        <v>#NAME?</v>
      </c>
      <c r="N15" s="90" t="e">
        <f ca="1"/>
        <v>#NAME?</v>
      </c>
      <c r="R15" t="s">
        <v>159</v>
      </c>
      <c r="S15" s="102">
        <v>76.900000000000006</v>
      </c>
      <c r="T15" s="103">
        <v>20.399999999999999</v>
      </c>
      <c r="U15" s="104">
        <v>3</v>
      </c>
      <c r="V15" s="274" t="e">
        <f t="shared" ca="1" si="0"/>
        <v>#NAME?</v>
      </c>
      <c r="W15" s="275" t="e">
        <f t="shared" ca="1" si="1"/>
        <v>#NAME?</v>
      </c>
      <c r="X15" s="275" t="e">
        <f t="shared" ca="1" si="2"/>
        <v>#NAME?</v>
      </c>
      <c r="Y15" s="276" t="e">
        <f t="shared" ca="1" si="3"/>
        <v>#NAME?</v>
      </c>
      <c r="Z15" s="240" t="e">
        <f t="shared" ca="1" si="5"/>
        <v>#NAME?</v>
      </c>
      <c r="AB15" t="str">
        <f t="shared" si="11"/>
        <v>salty</v>
      </c>
      <c r="AC15" s="123" t="e">
        <f ca="1"/>
        <v>#NAME?</v>
      </c>
      <c r="AD15" s="37">
        <f t="shared" ca="1" si="12"/>
        <v>0</v>
      </c>
      <c r="AE15" s="167" t="e">
        <f t="shared" ca="1" si="13"/>
        <v>#NAME?</v>
      </c>
      <c r="AF15" s="279" t="e">
        <f t="shared" ca="1" si="14"/>
        <v>#NAME?</v>
      </c>
    </row>
    <row r="16" spans="1:33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123" t="e">
        <f ca="1"/>
        <v>#NAME?</v>
      </c>
      <c r="G16" s="37" t="e">
        <f ca="1"/>
        <v>#NAME?</v>
      </c>
      <c r="H16" s="90" t="e">
        <f ca="1"/>
        <v>#NAME?</v>
      </c>
      <c r="J16" t="s">
        <v>161</v>
      </c>
      <c r="K16" s="123" t="e">
        <f t="array" aca="1" ref="K16" ca="1">-0.5*MMULT(K8:M8,MMULT($F$15:$H$17,TRANSPOSE(K8:M8)))</f>
        <v>#NAME?</v>
      </c>
      <c r="L16" s="37" t="e">
        <f t="array" aca="1" ref="L16:N16" ca="1">MMULT(K8:M8,$F$15:$H$17)</f>
        <v>#NAME?</v>
      </c>
      <c r="M16" s="37" t="e">
        <f ca="1"/>
        <v>#NAME?</v>
      </c>
      <c r="N16" s="90" t="e">
        <f ca="1"/>
        <v>#NAME?</v>
      </c>
      <c r="R16" t="s">
        <v>159</v>
      </c>
      <c r="S16" s="102">
        <v>66.900000000000006</v>
      </c>
      <c r="T16" s="103">
        <v>23.9</v>
      </c>
      <c r="U16" s="104">
        <v>1.1000000000000001</v>
      </c>
      <c r="V16" s="274" t="e">
        <f t="shared" ca="1" si="0"/>
        <v>#NAME?</v>
      </c>
      <c r="W16" s="275" t="e">
        <f t="shared" ca="1" si="1"/>
        <v>#NAME?</v>
      </c>
      <c r="X16" s="275" t="e">
        <f t="shared" ca="1" si="2"/>
        <v>#NAME?</v>
      </c>
      <c r="Y16" s="276" t="e">
        <f t="shared" ca="1" si="3"/>
        <v>#NAME?</v>
      </c>
      <c r="Z16" s="240" t="e">
        <f t="shared" ca="1" si="5"/>
        <v>#NAME?</v>
      </c>
      <c r="AB16" t="str">
        <f t="shared" si="11"/>
        <v>clay</v>
      </c>
      <c r="AC16" s="91" t="e">
        <f ca="1"/>
        <v>#NAME?</v>
      </c>
      <c r="AD16" s="92">
        <f t="shared" ca="1" si="12"/>
        <v>0</v>
      </c>
      <c r="AE16" s="169" t="e">
        <f t="shared" ca="1" si="13"/>
        <v>#NAME?</v>
      </c>
      <c r="AF16" s="280" t="e">
        <f t="shared" ca="1" si="14"/>
        <v>#NAME?</v>
      </c>
    </row>
    <row r="17" spans="1:32" x14ac:dyDescent="0.35">
      <c r="A17" t="s">
        <v>159</v>
      </c>
      <c r="B17" s="102">
        <v>55.4</v>
      </c>
      <c r="C17" s="103">
        <v>29.1</v>
      </c>
      <c r="D17" s="104">
        <v>5</v>
      </c>
      <c r="F17" s="91" t="e">
        <f ca="1"/>
        <v>#NAME?</v>
      </c>
      <c r="G17" s="92" t="e">
        <f ca="1"/>
        <v>#NAME?</v>
      </c>
      <c r="H17" s="93" t="e">
        <f ca="1"/>
        <v>#NAME?</v>
      </c>
      <c r="J17" t="s">
        <v>160</v>
      </c>
      <c r="K17" s="91" t="e">
        <f t="array" aca="1" ref="K17" ca="1">-0.5*MMULT(K9:M9,MMULT($F$15:$H$17,TRANSPOSE(K9:M9)))</f>
        <v>#NAME?</v>
      </c>
      <c r="L17" s="92" t="e">
        <f t="array" aca="1" ref="L17:N17" ca="1">MMULT(K9:M9,$F$15:$H$17)</f>
        <v>#NAME?</v>
      </c>
      <c r="M17" s="92" t="e">
        <f ca="1"/>
        <v>#NAME?</v>
      </c>
      <c r="N17" s="93" t="e">
        <f ca="1"/>
        <v>#NAME?</v>
      </c>
      <c r="R17" t="s">
        <v>159</v>
      </c>
      <c r="S17" s="102">
        <v>55.4</v>
      </c>
      <c r="T17" s="103">
        <v>29.1</v>
      </c>
      <c r="U17" s="104">
        <v>5</v>
      </c>
      <c r="V17" s="274" t="e">
        <f t="shared" ca="1" si="0"/>
        <v>#NAME?</v>
      </c>
      <c r="W17" s="275" t="e">
        <f t="shared" ca="1" si="1"/>
        <v>#NAME?</v>
      </c>
      <c r="X17" s="275" t="e">
        <f t="shared" ca="1" si="2"/>
        <v>#NAME?</v>
      </c>
      <c r="Y17" s="276" t="e">
        <f t="shared" ca="1" si="3"/>
        <v>#NAME?</v>
      </c>
      <c r="Z17" s="240" t="e">
        <f t="shared" ca="1" si="5"/>
        <v>#NAME?</v>
      </c>
      <c r="AB17" t="s">
        <v>216</v>
      </c>
      <c r="AC17" t="e">
        <f ca="1">SUM(AC13:AC16)</f>
        <v>#NAME?</v>
      </c>
      <c r="AD17">
        <f ca="1">SUM(AD13:AD16)</f>
        <v>0</v>
      </c>
      <c r="AE17" s="281" t="e">
        <f t="shared" ca="1" si="13"/>
        <v>#NAME?</v>
      </c>
      <c r="AF17" s="281" t="e">
        <f t="shared" ca="1" si="14"/>
        <v>#NAME?</v>
      </c>
    </row>
    <row r="18" spans="1:32" x14ac:dyDescent="0.35">
      <c r="A18" t="s">
        <v>159</v>
      </c>
      <c r="B18" s="102">
        <v>50.5</v>
      </c>
      <c r="C18" s="103">
        <v>18</v>
      </c>
      <c r="D18" s="104">
        <v>4.8</v>
      </c>
      <c r="R18" t="s">
        <v>159</v>
      </c>
      <c r="S18" s="102">
        <v>50.5</v>
      </c>
      <c r="T18" s="103">
        <v>18</v>
      </c>
      <c r="U18" s="104">
        <v>4.8</v>
      </c>
      <c r="V18" s="274" t="e">
        <f t="shared" ca="1" si="0"/>
        <v>#NAME?</v>
      </c>
      <c r="W18" s="275" t="e">
        <f t="shared" ca="1" si="1"/>
        <v>#NAME?</v>
      </c>
      <c r="X18" s="275" t="e">
        <f t="shared" ca="1" si="2"/>
        <v>#NAME?</v>
      </c>
      <c r="Y18" s="276" t="e">
        <f t="shared" ca="1" si="3"/>
        <v>#NAME?</v>
      </c>
      <c r="Z18" s="240" t="e">
        <f t="shared" ca="1" si="5"/>
        <v>#NAME?</v>
      </c>
    </row>
    <row r="19" spans="1:32" x14ac:dyDescent="0.35">
      <c r="A19" t="s">
        <v>159</v>
      </c>
      <c r="B19" s="102">
        <v>64.099999999999994</v>
      </c>
      <c r="C19" s="103">
        <v>14.5</v>
      </c>
      <c r="D19" s="104">
        <v>3.7</v>
      </c>
      <c r="R19" t="s">
        <v>159</v>
      </c>
      <c r="S19" s="102">
        <v>64.099999999999994</v>
      </c>
      <c r="T19" s="103">
        <v>14.5</v>
      </c>
      <c r="U19" s="104">
        <v>3.7</v>
      </c>
      <c r="V19" s="274" t="e">
        <f t="shared" ca="1" si="0"/>
        <v>#NAME?</v>
      </c>
      <c r="W19" s="275" t="e">
        <f t="shared" ca="1" si="1"/>
        <v>#NAME?</v>
      </c>
      <c r="X19" s="275" t="e">
        <f t="shared" ca="1" si="2"/>
        <v>#NAME?</v>
      </c>
      <c r="Y19" s="276" t="e">
        <f t="shared" ca="1" si="3"/>
        <v>#NAME?</v>
      </c>
      <c r="Z19" s="240" t="e">
        <f t="shared" ca="1" si="5"/>
        <v>#NAME?</v>
      </c>
    </row>
    <row r="20" spans="1:32" x14ac:dyDescent="0.35">
      <c r="A20" t="s">
        <v>161</v>
      </c>
      <c r="B20" s="102">
        <v>62.8</v>
      </c>
      <c r="C20" s="103">
        <v>25.9</v>
      </c>
      <c r="D20" s="104">
        <v>2.9</v>
      </c>
      <c r="R20" t="s">
        <v>161</v>
      </c>
      <c r="S20" s="102">
        <v>62.8</v>
      </c>
      <c r="T20" s="103">
        <v>25.9</v>
      </c>
      <c r="U20" s="104">
        <v>2.9</v>
      </c>
      <c r="V20" s="274" t="e">
        <f t="shared" ca="1" si="0"/>
        <v>#NAME?</v>
      </c>
      <c r="W20" s="275" t="e">
        <f t="shared" ca="1" si="1"/>
        <v>#NAME?</v>
      </c>
      <c r="X20" s="275" t="e">
        <f t="shared" ca="1" si="2"/>
        <v>#NAME?</v>
      </c>
      <c r="Y20" s="276" t="e">
        <f t="shared" ca="1" si="3"/>
        <v>#NAME?</v>
      </c>
      <c r="Z20" s="240" t="e">
        <f t="shared" ca="1" si="5"/>
        <v>#NAME?</v>
      </c>
    </row>
    <row r="21" spans="1:32" x14ac:dyDescent="0.35">
      <c r="A21" t="s">
        <v>161</v>
      </c>
      <c r="B21" s="102">
        <v>45</v>
      </c>
      <c r="C21" s="103">
        <v>15.9</v>
      </c>
      <c r="D21" s="104">
        <v>1.2</v>
      </c>
      <c r="R21" t="s">
        <v>161</v>
      </c>
      <c r="S21" s="102">
        <v>45</v>
      </c>
      <c r="T21" s="103">
        <v>15.9</v>
      </c>
      <c r="U21" s="104">
        <v>1.2</v>
      </c>
      <c r="V21" s="274" t="e">
        <f t="shared" ca="1" si="0"/>
        <v>#NAME?</v>
      </c>
      <c r="W21" s="275" t="e">
        <f t="shared" ca="1" si="1"/>
        <v>#NAME?</v>
      </c>
      <c r="X21" s="275" t="e">
        <f t="shared" ca="1" si="2"/>
        <v>#NAME?</v>
      </c>
      <c r="Y21" s="276" t="e">
        <f t="shared" ca="1" si="3"/>
        <v>#NAME?</v>
      </c>
      <c r="Z21" s="240" t="e">
        <f t="shared" ca="1" si="5"/>
        <v>#NAME?</v>
      </c>
    </row>
    <row r="22" spans="1:32" x14ac:dyDescent="0.35">
      <c r="A22" t="s">
        <v>161</v>
      </c>
      <c r="B22" s="102">
        <v>47.8</v>
      </c>
      <c r="C22" s="103">
        <v>36.1</v>
      </c>
      <c r="D22" s="104">
        <v>4.0999999999999996</v>
      </c>
      <c r="R22" t="s">
        <v>161</v>
      </c>
      <c r="S22" s="102">
        <v>47.8</v>
      </c>
      <c r="T22" s="103">
        <v>36.1</v>
      </c>
      <c r="U22" s="104">
        <v>4.0999999999999996</v>
      </c>
      <c r="V22" s="274" t="e">
        <f t="shared" ca="1" si="0"/>
        <v>#NAME?</v>
      </c>
      <c r="W22" s="275" t="e">
        <f t="shared" ca="1" si="1"/>
        <v>#NAME?</v>
      </c>
      <c r="X22" s="275" t="e">
        <f t="shared" ca="1" si="2"/>
        <v>#NAME?</v>
      </c>
      <c r="Y22" s="276" t="e">
        <f t="shared" ca="1" si="3"/>
        <v>#NAME?</v>
      </c>
      <c r="Z22" s="240" t="e">
        <f t="shared" ca="1" si="5"/>
        <v>#NAME?</v>
      </c>
    </row>
    <row r="23" spans="1:32" x14ac:dyDescent="0.35">
      <c r="A23" t="s">
        <v>161</v>
      </c>
      <c r="B23" s="102">
        <v>75.599999999999994</v>
      </c>
      <c r="C23" s="103">
        <v>27.7</v>
      </c>
      <c r="D23" s="104">
        <v>6.3</v>
      </c>
      <c r="R23" t="s">
        <v>161</v>
      </c>
      <c r="S23" s="102">
        <v>75.599999999999994</v>
      </c>
      <c r="T23" s="103">
        <v>27.7</v>
      </c>
      <c r="U23" s="104">
        <v>6.3</v>
      </c>
      <c r="V23" s="274" t="e">
        <f t="shared" ca="1" si="0"/>
        <v>#NAME?</v>
      </c>
      <c r="W23" s="275" t="e">
        <f t="shared" ca="1" si="1"/>
        <v>#NAME?</v>
      </c>
      <c r="X23" s="275" t="e">
        <f t="shared" ca="1" si="2"/>
        <v>#NAME?</v>
      </c>
      <c r="Y23" s="276" t="e">
        <f t="shared" ca="1" si="3"/>
        <v>#NAME?</v>
      </c>
      <c r="Z23" s="240" t="e">
        <f t="shared" ca="1" si="5"/>
        <v>#NAME?</v>
      </c>
    </row>
    <row r="24" spans="1:32" x14ac:dyDescent="0.35">
      <c r="A24" t="s">
        <v>161</v>
      </c>
      <c r="B24" s="102">
        <v>46.6</v>
      </c>
      <c r="C24" s="103">
        <v>46.9</v>
      </c>
      <c r="D24" s="104">
        <v>3.6</v>
      </c>
      <c r="R24" t="s">
        <v>161</v>
      </c>
      <c r="S24" s="102">
        <v>46.6</v>
      </c>
      <c r="T24" s="103">
        <v>46.9</v>
      </c>
      <c r="U24" s="104">
        <v>3.6</v>
      </c>
      <c r="V24" s="274" t="e">
        <f t="shared" ca="1" si="0"/>
        <v>#NAME?</v>
      </c>
      <c r="W24" s="275" t="e">
        <f t="shared" ca="1" si="1"/>
        <v>#NAME?</v>
      </c>
      <c r="X24" s="275" t="e">
        <f t="shared" ca="1" si="2"/>
        <v>#NAME?</v>
      </c>
      <c r="Y24" s="276" t="e">
        <f t="shared" ca="1" si="3"/>
        <v>#NAME?</v>
      </c>
      <c r="Z24" s="240" t="e">
        <f t="shared" ca="1" si="5"/>
        <v>#NAME?</v>
      </c>
    </row>
    <row r="25" spans="1:32" x14ac:dyDescent="0.35">
      <c r="A25" t="s">
        <v>161</v>
      </c>
      <c r="B25" s="102">
        <v>50.6</v>
      </c>
      <c r="C25" s="103">
        <v>29.7</v>
      </c>
      <c r="D25" s="104">
        <v>4.7</v>
      </c>
      <c r="R25" t="s">
        <v>161</v>
      </c>
      <c r="S25" s="102">
        <v>50.6</v>
      </c>
      <c r="T25" s="103">
        <v>29.7</v>
      </c>
      <c r="U25" s="104">
        <v>4.7</v>
      </c>
      <c r="V25" s="274" t="e">
        <f t="shared" ca="1" si="0"/>
        <v>#NAME?</v>
      </c>
      <c r="W25" s="275" t="e">
        <f t="shared" ca="1" si="1"/>
        <v>#NAME?</v>
      </c>
      <c r="X25" s="275" t="e">
        <f t="shared" ca="1" si="2"/>
        <v>#NAME?</v>
      </c>
      <c r="Y25" s="276" t="e">
        <f t="shared" ca="1" si="3"/>
        <v>#NAME?</v>
      </c>
      <c r="Z25" s="240" t="e">
        <f t="shared" ca="1" si="5"/>
        <v>#NAME?</v>
      </c>
    </row>
    <row r="26" spans="1:32" x14ac:dyDescent="0.35">
      <c r="A26" t="s">
        <v>161</v>
      </c>
      <c r="B26" s="102">
        <v>45.7</v>
      </c>
      <c r="C26" s="103">
        <v>27.6</v>
      </c>
      <c r="D26" s="104">
        <v>6.2</v>
      </c>
      <c r="R26" t="s">
        <v>161</v>
      </c>
      <c r="S26" s="102">
        <v>45.7</v>
      </c>
      <c r="T26" s="103">
        <v>27.6</v>
      </c>
      <c r="U26" s="104">
        <v>6.2</v>
      </c>
      <c r="V26" s="274" t="e">
        <f t="shared" ca="1" si="0"/>
        <v>#NAME?</v>
      </c>
      <c r="W26" s="275" t="e">
        <f t="shared" ca="1" si="1"/>
        <v>#NAME?</v>
      </c>
      <c r="X26" s="275" t="e">
        <f t="shared" ca="1" si="2"/>
        <v>#NAME?</v>
      </c>
      <c r="Y26" s="276" t="e">
        <f t="shared" ca="1" si="3"/>
        <v>#NAME?</v>
      </c>
      <c r="Z26" s="240" t="e">
        <f t="shared" ca="1" si="5"/>
        <v>#NAME?</v>
      </c>
    </row>
    <row r="27" spans="1:32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R27" t="s">
        <v>161</v>
      </c>
      <c r="S27" s="102">
        <v>68.400000000000006</v>
      </c>
      <c r="T27" s="103">
        <v>35.299999999999997</v>
      </c>
      <c r="U27" s="104">
        <v>1.9</v>
      </c>
      <c r="V27" s="274" t="e">
        <f t="shared" ca="1" si="0"/>
        <v>#NAME?</v>
      </c>
      <c r="W27" s="275" t="e">
        <f t="shared" ca="1" si="1"/>
        <v>#NAME?</v>
      </c>
      <c r="X27" s="275" t="e">
        <f t="shared" ca="1" si="2"/>
        <v>#NAME?</v>
      </c>
      <c r="Y27" s="276" t="e">
        <f t="shared" ca="1" si="3"/>
        <v>#NAME?</v>
      </c>
      <c r="Z27" s="240" t="e">
        <f t="shared" ca="1" si="5"/>
        <v>#NAME?</v>
      </c>
    </row>
    <row r="28" spans="1:32" x14ac:dyDescent="0.35">
      <c r="A28" t="s">
        <v>160</v>
      </c>
      <c r="B28" s="102">
        <v>52.5</v>
      </c>
      <c r="C28" s="103">
        <v>39</v>
      </c>
      <c r="D28" s="104">
        <v>3.1</v>
      </c>
      <c r="R28" t="s">
        <v>160</v>
      </c>
      <c r="S28" s="102">
        <v>52.5</v>
      </c>
      <c r="T28" s="103">
        <v>39</v>
      </c>
      <c r="U28" s="104">
        <v>3.1</v>
      </c>
      <c r="V28" s="274" t="e">
        <f t="shared" ca="1" si="0"/>
        <v>#NAME?</v>
      </c>
      <c r="W28" s="275" t="e">
        <f t="shared" ca="1" si="1"/>
        <v>#NAME?</v>
      </c>
      <c r="X28" s="275" t="e">
        <f t="shared" ca="1" si="2"/>
        <v>#NAME?</v>
      </c>
      <c r="Y28" s="276" t="e">
        <f t="shared" ca="1" si="3"/>
        <v>#NAME?</v>
      </c>
      <c r="Z28" s="240" t="e">
        <f t="shared" ca="1" si="5"/>
        <v>#NAME?</v>
      </c>
    </row>
    <row r="29" spans="1:32" x14ac:dyDescent="0.35">
      <c r="A29" t="s">
        <v>160</v>
      </c>
      <c r="B29" s="102">
        <v>80</v>
      </c>
      <c r="C29" s="103">
        <v>54.2</v>
      </c>
      <c r="D29" s="104">
        <v>4</v>
      </c>
      <c r="R29" t="s">
        <v>160</v>
      </c>
      <c r="S29" s="102">
        <v>80</v>
      </c>
      <c r="T29" s="103">
        <v>54.2</v>
      </c>
      <c r="U29" s="104">
        <v>4</v>
      </c>
      <c r="V29" s="274" t="e">
        <f t="shared" ca="1" si="0"/>
        <v>#NAME?</v>
      </c>
      <c r="W29" s="275" t="e">
        <f t="shared" ca="1" si="1"/>
        <v>#NAME?</v>
      </c>
      <c r="X29" s="275" t="e">
        <f t="shared" ca="1" si="2"/>
        <v>#NAME?</v>
      </c>
      <c r="Y29" s="276" t="e">
        <f t="shared" ca="1" si="3"/>
        <v>#NAME?</v>
      </c>
      <c r="Z29" s="240" t="e">
        <f t="shared" ca="1" si="5"/>
        <v>#NAME?</v>
      </c>
    </row>
    <row r="30" spans="1:32" x14ac:dyDescent="0.35">
      <c r="A30" t="s">
        <v>160</v>
      </c>
      <c r="B30" s="102">
        <v>54.7</v>
      </c>
      <c r="C30" s="103">
        <v>32.1</v>
      </c>
      <c r="D30" s="104">
        <v>5.7</v>
      </c>
      <c r="R30" t="s">
        <v>160</v>
      </c>
      <c r="S30" s="102">
        <v>54.7</v>
      </c>
      <c r="T30" s="103">
        <v>32.1</v>
      </c>
      <c r="U30" s="104">
        <v>5.7</v>
      </c>
      <c r="V30" s="274" t="e">
        <f t="shared" ca="1" si="0"/>
        <v>#NAME?</v>
      </c>
      <c r="W30" s="275" t="e">
        <f t="shared" ca="1" si="1"/>
        <v>#NAME?</v>
      </c>
      <c r="X30" s="275" t="e">
        <f t="shared" ca="1" si="2"/>
        <v>#NAME?</v>
      </c>
      <c r="Y30" s="276" t="e">
        <f t="shared" ca="1" si="3"/>
        <v>#NAME?</v>
      </c>
      <c r="Z30" s="240" t="e">
        <f t="shared" ca="1" si="5"/>
        <v>#NAME?</v>
      </c>
    </row>
    <row r="31" spans="1:32" x14ac:dyDescent="0.35">
      <c r="A31" t="s">
        <v>160</v>
      </c>
      <c r="B31" s="102">
        <v>63.5</v>
      </c>
      <c r="C31" s="103">
        <v>25.6</v>
      </c>
      <c r="D31" s="104">
        <v>3</v>
      </c>
      <c r="R31" t="s">
        <v>160</v>
      </c>
      <c r="S31" s="102">
        <v>63.5</v>
      </c>
      <c r="T31" s="103">
        <v>25.6</v>
      </c>
      <c r="U31" s="104">
        <v>3</v>
      </c>
      <c r="V31" s="274" t="e">
        <f t="shared" ca="1" si="0"/>
        <v>#NAME?</v>
      </c>
      <c r="W31" s="275" t="e">
        <f t="shared" ca="1" si="1"/>
        <v>#NAME?</v>
      </c>
      <c r="X31" s="275" t="e">
        <f t="shared" ca="1" si="2"/>
        <v>#NAME?</v>
      </c>
      <c r="Y31" s="276" t="e">
        <f t="shared" ca="1" si="3"/>
        <v>#NAME?</v>
      </c>
      <c r="Z31" s="240" t="e">
        <f t="shared" ca="1" si="5"/>
        <v>#NAME?</v>
      </c>
    </row>
    <row r="32" spans="1:32" x14ac:dyDescent="0.35">
      <c r="A32" t="s">
        <v>160</v>
      </c>
      <c r="B32" s="102">
        <v>46.3</v>
      </c>
      <c r="C32" s="103">
        <v>31.8</v>
      </c>
      <c r="D32" s="104">
        <v>7.4</v>
      </c>
      <c r="R32" t="s">
        <v>160</v>
      </c>
      <c r="S32" s="102">
        <v>46.3</v>
      </c>
      <c r="T32" s="103">
        <v>31.8</v>
      </c>
      <c r="U32" s="104">
        <v>7.4</v>
      </c>
      <c r="V32" s="274" t="e">
        <f t="shared" ca="1" si="0"/>
        <v>#NAME?</v>
      </c>
      <c r="W32" s="275" t="e">
        <f t="shared" ca="1" si="1"/>
        <v>#NAME?</v>
      </c>
      <c r="X32" s="275" t="e">
        <f t="shared" ca="1" si="2"/>
        <v>#NAME?</v>
      </c>
      <c r="Y32" s="276" t="e">
        <f t="shared" ca="1" si="3"/>
        <v>#NAME?</v>
      </c>
      <c r="Z32" s="240" t="e">
        <f t="shared" ca="1" si="5"/>
        <v>#NAME?</v>
      </c>
    </row>
    <row r="33" spans="1:26" x14ac:dyDescent="0.35">
      <c r="A33" t="s">
        <v>160</v>
      </c>
      <c r="B33" s="102">
        <v>61.5</v>
      </c>
      <c r="C33" s="103">
        <v>16.8</v>
      </c>
      <c r="D33" s="104">
        <v>1.9</v>
      </c>
      <c r="R33" t="s">
        <v>160</v>
      </c>
      <c r="S33" s="102">
        <v>61.5</v>
      </c>
      <c r="T33" s="103">
        <v>16.8</v>
      </c>
      <c r="U33" s="104">
        <v>1.9</v>
      </c>
      <c r="V33" s="274" t="e">
        <f t="shared" ca="1" si="0"/>
        <v>#NAME?</v>
      </c>
      <c r="W33" s="275" t="e">
        <f t="shared" ca="1" si="1"/>
        <v>#NAME?</v>
      </c>
      <c r="X33" s="275" t="e">
        <f t="shared" ca="1" si="2"/>
        <v>#NAME?</v>
      </c>
      <c r="Y33" s="276" t="e">
        <f t="shared" ca="1" si="3"/>
        <v>#NAME?</v>
      </c>
      <c r="Z33" s="240" t="e">
        <f t="shared" ca="1" si="5"/>
        <v>#NAME?</v>
      </c>
    </row>
    <row r="34" spans="1:26" x14ac:dyDescent="0.35">
      <c r="A34" t="s">
        <v>160</v>
      </c>
      <c r="B34" s="102">
        <v>62.9</v>
      </c>
      <c r="C34" s="103">
        <v>25.8</v>
      </c>
      <c r="D34" s="104">
        <v>2.4</v>
      </c>
      <c r="R34" t="s">
        <v>160</v>
      </c>
      <c r="S34" s="102">
        <v>62.9</v>
      </c>
      <c r="T34" s="103">
        <v>25.8</v>
      </c>
      <c r="U34" s="104">
        <v>2.4</v>
      </c>
      <c r="V34" s="274" t="e">
        <f t="shared" ca="1" si="0"/>
        <v>#NAME?</v>
      </c>
      <c r="W34" s="275" t="e">
        <f t="shared" ca="1" si="1"/>
        <v>#NAME?</v>
      </c>
      <c r="X34" s="275" t="e">
        <f t="shared" ca="1" si="2"/>
        <v>#NAME?</v>
      </c>
      <c r="Y34" s="276" t="e">
        <f t="shared" ca="1" si="3"/>
        <v>#NAME?</v>
      </c>
      <c r="Z34" s="240" t="e">
        <f t="shared" ca="1" si="5"/>
        <v>#NAME?</v>
      </c>
    </row>
    <row r="35" spans="1:26" x14ac:dyDescent="0.35">
      <c r="A35" t="s">
        <v>160</v>
      </c>
      <c r="B35" s="105">
        <v>49.3</v>
      </c>
      <c r="C35" s="106">
        <v>39.4</v>
      </c>
      <c r="D35" s="107">
        <v>5.2</v>
      </c>
      <c r="R35" t="s">
        <v>160</v>
      </c>
      <c r="S35" s="105">
        <v>49.3</v>
      </c>
      <c r="T35" s="106">
        <v>39.4</v>
      </c>
      <c r="U35" s="107">
        <v>5.2</v>
      </c>
      <c r="V35" s="282" t="e">
        <f t="shared" ca="1" si="0"/>
        <v>#NAME?</v>
      </c>
      <c r="W35" s="283" t="e">
        <f t="shared" ca="1" si="1"/>
        <v>#NAME?</v>
      </c>
      <c r="X35" s="283" t="e">
        <f t="shared" ca="1" si="2"/>
        <v>#NAME?</v>
      </c>
      <c r="Y35" s="284" t="e">
        <f t="shared" ca="1" si="3"/>
        <v>#NAME?</v>
      </c>
      <c r="Z35" s="244" t="e">
        <f t="shared" ca="1" si="5"/>
        <v>#NAME?</v>
      </c>
    </row>
    <row r="37" spans="1:26" x14ac:dyDescent="0.35">
      <c r="S37" s="32" t="s">
        <v>144</v>
      </c>
      <c r="T37" s="32" t="s">
        <v>145</v>
      </c>
      <c r="U37" s="32" t="s">
        <v>146</v>
      </c>
      <c r="V37" s="32" t="str">
        <f>V3</f>
        <v>loam</v>
      </c>
      <c r="W37" s="32" t="str">
        <f t="shared" ref="W37:Y37" si="15">W3</f>
        <v>sandy</v>
      </c>
      <c r="X37" s="32" t="str">
        <f t="shared" si="15"/>
        <v>salty</v>
      </c>
      <c r="Y37" s="32" t="str">
        <f t="shared" si="15"/>
        <v>clay</v>
      </c>
      <c r="Z37" t="s">
        <v>650</v>
      </c>
    </row>
    <row r="38" spans="1:26" x14ac:dyDescent="0.35">
      <c r="S38" s="114">
        <v>60</v>
      </c>
      <c r="T38" s="285">
        <v>25</v>
      </c>
      <c r="U38" s="285">
        <v>6</v>
      </c>
      <c r="V38" s="270" t="e">
        <f ca="1">$K$14+SUMPRODUCT(S38:U38,$L$14:$N$14)+$P$6</f>
        <v>#NAME?</v>
      </c>
      <c r="W38" s="271" t="e">
        <f ca="1">$K$15+SUMPRODUCT(S38:U38,$L$15:$N$15)+$P$7</f>
        <v>#NAME?</v>
      </c>
      <c r="X38" s="271" t="e">
        <f ca="1">$K$16+SUMPRODUCT(S38:U38,$L$16:$N$16)+$P$8</f>
        <v>#NAME?</v>
      </c>
      <c r="Y38" s="272" t="e">
        <f ca="1">$K$17+SUMPRODUCT(S38:U38,$L$17:$N$17)+$P$9</f>
        <v>#NAME?</v>
      </c>
      <c r="Z38" s="286" t="e">
        <f ca="1">INDEX($V$3:$Y$3,,MATCH(MAX(V38:Y38),V38:Y38,0))</f>
        <v>#NAME?</v>
      </c>
    </row>
    <row r="39" spans="1:26" x14ac:dyDescent="0.35">
      <c r="V39" s="287" t="e">
        <f ca="1">EXP(V$38)/SUMPRODUCT(EXP($V$38:$Y$38))</f>
        <v>#NAME?</v>
      </c>
      <c r="W39" s="169" t="e">
        <f t="shared" ref="W39:Y39" ca="1" si="16">EXP(W$38)/SUMPRODUCT(EXP($V$38:$Y$38))</f>
        <v>#NAME?</v>
      </c>
      <c r="X39" s="169" t="e">
        <f t="shared" ca="1" si="16"/>
        <v>#NAME?</v>
      </c>
      <c r="Y39" s="280" t="e">
        <f t="shared" ca="1" si="16"/>
        <v>#NAME?</v>
      </c>
      <c r="Z39" s="288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6"/>
  <dimension ref="A1:AR52"/>
  <sheetViews>
    <sheetView workbookViewId="0"/>
  </sheetViews>
  <sheetFormatPr defaultRowHeight="14.5" x14ac:dyDescent="0.35"/>
  <cols>
    <col min="2" max="5" width="5.81640625" style="32" customWidth="1"/>
    <col min="6" max="6" width="2.81640625" customWidth="1"/>
    <col min="11" max="11" width="3.7265625" customWidth="1"/>
    <col min="16" max="16" width="3.81640625" customWidth="1"/>
    <col min="18" max="18" width="9.1796875" customWidth="1"/>
    <col min="26" max="26" width="8" customWidth="1"/>
    <col min="27" max="30" width="5.81640625" style="32" customWidth="1"/>
    <col min="31" max="35" width="9.1796875" customWidth="1"/>
    <col min="36" max="36" width="8.453125" customWidth="1"/>
    <col min="37" max="37" width="3.81640625" customWidth="1"/>
    <col min="38" max="38" width="8.1796875" customWidth="1"/>
    <col min="39" max="43" width="9" customWidth="1"/>
    <col min="44" max="44" width="6" customWidth="1"/>
  </cols>
  <sheetData>
    <row r="1" spans="1:44" x14ac:dyDescent="0.35">
      <c r="A1" s="42" t="s">
        <v>662</v>
      </c>
      <c r="Z1" t="s">
        <v>647</v>
      </c>
      <c r="AL1" t="s">
        <v>648</v>
      </c>
    </row>
    <row r="3" spans="1:44" x14ac:dyDescent="0.35">
      <c r="B3" s="32" t="s">
        <v>458</v>
      </c>
      <c r="C3" s="32" t="s">
        <v>389</v>
      </c>
      <c r="D3" s="32" t="s">
        <v>461</v>
      </c>
      <c r="E3" s="32" t="s">
        <v>462</v>
      </c>
      <c r="G3" t="s">
        <v>233</v>
      </c>
      <c r="L3" t="s">
        <v>663</v>
      </c>
      <c r="Q3" t="s">
        <v>125</v>
      </c>
      <c r="AA3" s="32" t="s">
        <v>458</v>
      </c>
      <c r="AB3" s="32" t="s">
        <v>389</v>
      </c>
      <c r="AC3" s="32" t="s">
        <v>461</v>
      </c>
      <c r="AD3" s="32" t="s">
        <v>462</v>
      </c>
      <c r="AE3" s="32" t="str">
        <f t="array" ref="AE3:AI3">TRANSPOSE(Q6:Q10)</f>
        <v>Iron</v>
      </c>
      <c r="AF3" s="32" t="str">
        <v>Copper</v>
      </c>
      <c r="AG3" s="32" t="str">
        <v>Zinc</v>
      </c>
      <c r="AH3" s="32" t="str">
        <v>Nickel</v>
      </c>
      <c r="AI3" s="32" t="str">
        <v>Tin</v>
      </c>
      <c r="AJ3" s="32" t="s">
        <v>650</v>
      </c>
      <c r="AM3" s="32" t="str">
        <f>AE3</f>
        <v>Iron</v>
      </c>
      <c r="AN3" s="32" t="str">
        <f t="shared" ref="AN3:AQ3" si="0">AF3</f>
        <v>Copper</v>
      </c>
      <c r="AO3" s="32" t="str">
        <f t="shared" si="0"/>
        <v>Zinc</v>
      </c>
      <c r="AP3" s="32" t="str">
        <f t="shared" si="0"/>
        <v>Nickel</v>
      </c>
      <c r="AQ3" s="32" t="str">
        <f t="shared" si="0"/>
        <v>Tin</v>
      </c>
    </row>
    <row r="4" spans="1:44" x14ac:dyDescent="0.35">
      <c r="A4" t="s">
        <v>664</v>
      </c>
      <c r="B4" s="236">
        <v>31</v>
      </c>
      <c r="C4" s="145">
        <v>23</v>
      </c>
      <c r="D4" s="145">
        <v>38</v>
      </c>
      <c r="E4" s="237">
        <v>29</v>
      </c>
      <c r="Z4" t="str">
        <f>A4</f>
        <v>Iron</v>
      </c>
      <c r="AA4" s="236">
        <f t="shared" ref="AA4:AD19" si="1">B4</f>
        <v>31</v>
      </c>
      <c r="AB4" s="145">
        <f t="shared" si="1"/>
        <v>23</v>
      </c>
      <c r="AC4" s="145">
        <f t="shared" si="1"/>
        <v>38</v>
      </c>
      <c r="AD4" s="237">
        <f t="shared" si="1"/>
        <v>29</v>
      </c>
      <c r="AE4" s="270" t="e">
        <f t="array" aca="1" ref="AE4" ca="1">$W$15-$S$15/2-MMULT(AA4:AD4-$R$6:$U$6,MMULT($L$6:$O$9,TRANSPOSE(AA4:AD4-$R$6:$U$6)))/2</f>
        <v>#NAME?</v>
      </c>
      <c r="AF4" s="271" t="e">
        <f t="array" aca="1" ref="AF4" ca="1">$W$16-$S$16/2-MMULT(AA4:AD4-$R$7:$U$7,MMULT($L$12:$O$15,TRANSPOSE(AA4:AD4-$R$7:$U$7)))/2</f>
        <v>#NAME?</v>
      </c>
      <c r="AG4" s="271" t="e">
        <f t="array" aca="1" ref="AG4" ca="1">$W$17-$S$17/2-MMULT(AA4:AD4-$R$8:$U$8,MMULT($L$18:$O$21,TRANSPOSE(AA4:AD4-$R$8:$U$8)))/2</f>
        <v>#NAME?</v>
      </c>
      <c r="AH4" s="271" t="e">
        <f t="array" aca="1" ref="AH4" ca="1">$W$18-$S$18/2-MMULT(AA4:AD4-$R$9:$U$9,MMULT($L$24:$O$27,TRANSPOSE(AA4:AD4-$R$9:$U$9)))/2</f>
        <v>#NAME?</v>
      </c>
      <c r="AI4" s="271" t="e">
        <f t="array" aca="1" ref="AI4" ca="1">$W$19-$S$19/2-MMULT(AA4:AD4-$R$10:$U$10,MMULT($L$30:$O$33,TRANSPOSE(AA4:AD4-$R$10:$U$10)))/2</f>
        <v>#NAME?</v>
      </c>
      <c r="AJ4" s="238" t="e">
        <f ca="1">INDEX($AE$3:$AI$3,,MATCH(MAX(AE4:AI4),AE4:AI4,0))</f>
        <v>#NAME?</v>
      </c>
      <c r="AL4" t="str">
        <f>Q6</f>
        <v>Iron</v>
      </c>
      <c r="AM4" s="138">
        <f ca="1">COUNTIFS($Z$4:$Z$39,$AL4,$AJ$4:$AJ$39,AM$3)</f>
        <v>0</v>
      </c>
      <c r="AN4" s="139">
        <f t="shared" ref="AN4:AQ8" ca="1" si="2">COUNTIFS($Z$4:$Z$39,$AL4,$AJ$4:$AJ$39,AN$3)</f>
        <v>0</v>
      </c>
      <c r="AO4" s="139">
        <f t="shared" ca="1" si="2"/>
        <v>0</v>
      </c>
      <c r="AP4" s="139">
        <f t="shared" ca="1" si="2"/>
        <v>0</v>
      </c>
      <c r="AQ4" s="140">
        <f t="shared" ca="1" si="2"/>
        <v>0</v>
      </c>
      <c r="AR4">
        <f ca="1">SUM(AM4:AQ4)</f>
        <v>0</v>
      </c>
    </row>
    <row r="5" spans="1:44" x14ac:dyDescent="0.35">
      <c r="A5" t="s">
        <v>664</v>
      </c>
      <c r="B5" s="239">
        <v>29</v>
      </c>
      <c r="C5" s="73">
        <v>19</v>
      </c>
      <c r="D5" s="73">
        <v>37</v>
      </c>
      <c r="E5" s="215">
        <v>25</v>
      </c>
      <c r="G5" t="str">
        <f>A4</f>
        <v>Iron</v>
      </c>
      <c r="R5" s="32" t="s">
        <v>458</v>
      </c>
      <c r="S5" s="32" t="s">
        <v>389</v>
      </c>
      <c r="T5" s="32" t="s">
        <v>461</v>
      </c>
      <c r="U5" s="32" t="s">
        <v>462</v>
      </c>
      <c r="Z5" t="str">
        <f t="shared" ref="Z5:AD39" si="3">A5</f>
        <v>Iron</v>
      </c>
      <c r="AA5" s="239">
        <f t="shared" si="1"/>
        <v>29</v>
      </c>
      <c r="AB5" s="73">
        <f t="shared" si="1"/>
        <v>19</v>
      </c>
      <c r="AC5" s="73">
        <f t="shared" si="1"/>
        <v>37</v>
      </c>
      <c r="AD5" s="215">
        <f t="shared" si="1"/>
        <v>25</v>
      </c>
      <c r="AE5" s="274" t="e">
        <f t="array" aca="1" ref="AE5" ca="1">$W$15-$S$15/2-MMULT(AA5:AD5-$R$6:$U$6,MMULT($L$6:$O$9,TRANSPOSE(AA5:AD5-$R$6:$U$6)))/2</f>
        <v>#NAME?</v>
      </c>
      <c r="AF5" s="275" t="e">
        <f t="array" aca="1" ref="AF5" ca="1">$W$16-$S$16/2-MMULT(AA5:AD5-$R$7:$U$7,MMULT($L$12:$O$15,TRANSPOSE(AA5:AD5-$R$7:$U$7)))/2</f>
        <v>#NAME?</v>
      </c>
      <c r="AG5" s="275" t="e">
        <f t="array" aca="1" ref="AG5" ca="1">$W$17-$S$17/2-MMULT(AA5:AD5-$R$8:$U$8,MMULT($L$18:$O$21,TRANSPOSE(AA5:AD5-$R$8:$U$8)))/2</f>
        <v>#NAME?</v>
      </c>
      <c r="AH5" s="275" t="e">
        <f t="array" aca="1" ref="AH5" ca="1">$W$18-$S$18/2-MMULT(AA5:AD5-$R$9:$U$9,MMULT($L$24:$O$27,TRANSPOSE(AA5:AD5-$R$9:$U$9)))/2</f>
        <v>#NAME?</v>
      </c>
      <c r="AI5" s="275" t="e">
        <f t="array" aca="1" ref="AI5" ca="1">$W$19-$S$19/2-MMULT(AA5:AD5-$R$10:$U$10,MMULT($L$30:$O$33,TRANSPOSE(AA5:AD5-$R$10:$U$10)))/2</f>
        <v>#NAME?</v>
      </c>
      <c r="AJ5" s="240" t="e">
        <f t="shared" ref="AJ5:AJ39" ca="1" si="4">INDEX($AE$3:$AI$3,,MATCH(MAX(AE5:AI5),AE5:AI5,0))</f>
        <v>#NAME?</v>
      </c>
      <c r="AL5" t="str">
        <f t="shared" ref="AL5:AL8" si="5">Q7</f>
        <v>Copper</v>
      </c>
      <c r="AM5" s="123">
        <f t="shared" ref="AM5:AM8" ca="1" si="6">COUNTIFS($Z$4:$Z$39,$AL5,$AJ$4:$AJ$39,AM$3)</f>
        <v>0</v>
      </c>
      <c r="AN5" s="37">
        <f t="shared" ca="1" si="2"/>
        <v>0</v>
      </c>
      <c r="AO5" s="37">
        <f t="shared" ca="1" si="2"/>
        <v>0</v>
      </c>
      <c r="AP5" s="37">
        <f t="shared" ca="1" si="2"/>
        <v>0</v>
      </c>
      <c r="AQ5" s="90">
        <f t="shared" ca="1" si="2"/>
        <v>0</v>
      </c>
      <c r="AR5">
        <f t="shared" ref="AR5:AR8" ca="1" si="7">SUM(AM5:AQ5)</f>
        <v>0</v>
      </c>
    </row>
    <row r="6" spans="1:44" x14ac:dyDescent="0.35">
      <c r="A6" t="s">
        <v>664</v>
      </c>
      <c r="B6" s="239">
        <v>32</v>
      </c>
      <c r="C6" s="73">
        <v>22</v>
      </c>
      <c r="D6" s="73">
        <v>34</v>
      </c>
      <c r="E6" s="215">
        <v>23</v>
      </c>
      <c r="G6" s="138" t="e">
        <f t="array" aca="1" ref="G6:J9" ca="1">ExtractCov($A$4:$E$39,G5)</f>
        <v>#NAME?</v>
      </c>
      <c r="H6" s="139" t="e">
        <f ca="1"/>
        <v>#NAME?</v>
      </c>
      <c r="I6" s="139" t="e">
        <f ca="1"/>
        <v>#NAME?</v>
      </c>
      <c r="J6" s="140" t="e">
        <f ca="1"/>
        <v>#NAME?</v>
      </c>
      <c r="L6" s="138" t="e">
        <f t="array" aca="1" ref="L6:O9" ca="1">MINVERSE(G6:J9)</f>
        <v>#NAME?</v>
      </c>
      <c r="M6" s="139" t="e">
        <f ca="1"/>
        <v>#NAME?</v>
      </c>
      <c r="N6" s="139" t="e">
        <f ca="1"/>
        <v>#NAME?</v>
      </c>
      <c r="O6" s="140" t="e">
        <f ca="1"/>
        <v>#NAME?</v>
      </c>
      <c r="Q6" t="str">
        <f>G5</f>
        <v>Iron</v>
      </c>
      <c r="R6" s="138">
        <f>AVERAGEIF($A$4:$A$39,$Q6,B$4:B$39)</f>
        <v>29.714285714285715</v>
      </c>
      <c r="S6" s="139">
        <f t="shared" ref="S6:U10" si="8">AVERAGEIF($A$4:$A$39,$Q6,C$4:C$39)</f>
        <v>19</v>
      </c>
      <c r="T6" s="139">
        <f t="shared" si="8"/>
        <v>34.428571428571431</v>
      </c>
      <c r="U6" s="140">
        <f t="shared" si="8"/>
        <v>26.714285714285715</v>
      </c>
      <c r="Z6" t="str">
        <f t="shared" si="3"/>
        <v>Iron</v>
      </c>
      <c r="AA6" s="239">
        <f t="shared" si="1"/>
        <v>32</v>
      </c>
      <c r="AB6" s="73">
        <f t="shared" si="1"/>
        <v>22</v>
      </c>
      <c r="AC6" s="73">
        <f t="shared" si="1"/>
        <v>34</v>
      </c>
      <c r="AD6" s="215">
        <f t="shared" si="1"/>
        <v>23</v>
      </c>
      <c r="AE6" s="274" t="e">
        <f t="array" aca="1" ref="AE6" ca="1">$W$15-$S$15/2-MMULT(AA6:AD6-$R$6:$U$6,MMULT($L$6:$O$9,TRANSPOSE(AA6:AD6-$R$6:$U$6)))/2</f>
        <v>#NAME?</v>
      </c>
      <c r="AF6" s="275" t="e">
        <f t="array" aca="1" ref="AF6" ca="1">$W$16-$S$16/2-MMULT(AA6:AD6-$R$7:$U$7,MMULT($L$12:$O$15,TRANSPOSE(AA6:AD6-$R$7:$U$7)))/2</f>
        <v>#NAME?</v>
      </c>
      <c r="AG6" s="275" t="e">
        <f t="array" aca="1" ref="AG6" ca="1">$W$17-$S$17/2-MMULT(AA6:AD6-$R$8:$U$8,MMULT($L$18:$O$21,TRANSPOSE(AA6:AD6-$R$8:$U$8)))/2</f>
        <v>#NAME?</v>
      </c>
      <c r="AH6" s="275" t="e">
        <f t="array" aca="1" ref="AH6" ca="1">$W$18-$S$18/2-MMULT(AA6:AD6-$R$9:$U$9,MMULT($L$24:$O$27,TRANSPOSE(AA6:AD6-$R$9:$U$9)))/2</f>
        <v>#NAME?</v>
      </c>
      <c r="AI6" s="275" t="e">
        <f t="array" aca="1" ref="AI6" ca="1">$W$19-$S$19/2-MMULT(AA6:AD6-$R$10:$U$10,MMULT($L$30:$O$33,TRANSPOSE(AA6:AD6-$R$10:$U$10)))/2</f>
        <v>#NAME?</v>
      </c>
      <c r="AJ6" s="240" t="e">
        <f t="shared" ca="1" si="4"/>
        <v>#NAME?</v>
      </c>
      <c r="AL6" t="str">
        <f t="shared" si="5"/>
        <v>Zinc</v>
      </c>
      <c r="AM6" s="123">
        <f t="shared" ca="1" si="6"/>
        <v>0</v>
      </c>
      <c r="AN6" s="37">
        <f t="shared" ca="1" si="2"/>
        <v>0</v>
      </c>
      <c r="AO6" s="37">
        <f t="shared" ca="1" si="2"/>
        <v>0</v>
      </c>
      <c r="AP6" s="37">
        <f t="shared" ca="1" si="2"/>
        <v>0</v>
      </c>
      <c r="AQ6" s="90">
        <f t="shared" ca="1" si="2"/>
        <v>0</v>
      </c>
      <c r="AR6">
        <f t="shared" ca="1" si="7"/>
        <v>0</v>
      </c>
    </row>
    <row r="7" spans="1:44" x14ac:dyDescent="0.35">
      <c r="A7" t="s">
        <v>664</v>
      </c>
      <c r="B7" s="239">
        <v>35</v>
      </c>
      <c r="C7" s="73">
        <v>17</v>
      </c>
      <c r="D7" s="73">
        <v>32</v>
      </c>
      <c r="E7" s="215">
        <v>21</v>
      </c>
      <c r="G7" s="123" t="e">
        <f ca="1"/>
        <v>#NAME?</v>
      </c>
      <c r="H7" s="37" t="e">
        <f ca="1"/>
        <v>#NAME?</v>
      </c>
      <c r="I7" s="37" t="e">
        <f ca="1"/>
        <v>#NAME?</v>
      </c>
      <c r="J7" s="90" t="e">
        <f ca="1"/>
        <v>#NAME?</v>
      </c>
      <c r="L7" s="123" t="e">
        <f ca="1"/>
        <v>#NAME?</v>
      </c>
      <c r="M7" s="37" t="e">
        <f ca="1"/>
        <v>#NAME?</v>
      </c>
      <c r="N7" s="37" t="e">
        <f ca="1"/>
        <v>#NAME?</v>
      </c>
      <c r="O7" s="90" t="e">
        <f ca="1"/>
        <v>#NAME?</v>
      </c>
      <c r="Q7" t="str">
        <f>G11</f>
        <v>Copper</v>
      </c>
      <c r="R7" s="123">
        <f t="shared" ref="R7:R10" si="9">AVERAGEIF($A$4:$A$39,$Q7,B$4:B$39)</f>
        <v>41</v>
      </c>
      <c r="S7" s="37">
        <f t="shared" si="8"/>
        <v>23</v>
      </c>
      <c r="T7" s="37">
        <f t="shared" si="8"/>
        <v>30.5</v>
      </c>
      <c r="U7" s="90">
        <f t="shared" si="8"/>
        <v>24.666666666666668</v>
      </c>
      <c r="Z7" t="str">
        <f t="shared" si="3"/>
        <v>Iron</v>
      </c>
      <c r="AA7" s="239">
        <f t="shared" si="1"/>
        <v>35</v>
      </c>
      <c r="AB7" s="73">
        <f t="shared" si="1"/>
        <v>17</v>
      </c>
      <c r="AC7" s="73">
        <f t="shared" si="1"/>
        <v>32</v>
      </c>
      <c r="AD7" s="215">
        <f t="shared" si="1"/>
        <v>21</v>
      </c>
      <c r="AE7" s="274" t="e">
        <f t="array" aca="1" ref="AE7" ca="1">$W$15-$S$15/2-MMULT(AA7:AD7-$R$6:$U$6,MMULT($L$6:$O$9,TRANSPOSE(AA7:AD7-$R$6:$U$6)))/2</f>
        <v>#NAME?</v>
      </c>
      <c r="AF7" s="275" t="e">
        <f t="array" aca="1" ref="AF7" ca="1">$W$16-$S$16/2-MMULT(AA7:AD7-$R$7:$U$7,MMULT($L$12:$O$15,TRANSPOSE(AA7:AD7-$R$7:$U$7)))/2</f>
        <v>#NAME?</v>
      </c>
      <c r="AG7" s="275" t="e">
        <f t="array" aca="1" ref="AG7" ca="1">$W$17-$S$17/2-MMULT(AA7:AD7-$R$8:$U$8,MMULT($L$18:$O$21,TRANSPOSE(AA7:AD7-$R$8:$U$8)))/2</f>
        <v>#NAME?</v>
      </c>
      <c r="AH7" s="275" t="e">
        <f t="array" aca="1" ref="AH7" ca="1">$W$18-$S$18/2-MMULT(AA7:AD7-$R$9:$U$9,MMULT($L$24:$O$27,TRANSPOSE(AA7:AD7-$R$9:$U$9)))/2</f>
        <v>#NAME?</v>
      </c>
      <c r="AI7" s="275" t="e">
        <f t="array" aca="1" ref="AI7" ca="1">$W$19-$S$19/2-MMULT(AA7:AD7-$R$10:$U$10,MMULT($L$30:$O$33,TRANSPOSE(AA7:AD7-$R$10:$U$10)))/2</f>
        <v>#NAME?</v>
      </c>
      <c r="AJ7" s="240" t="e">
        <f t="shared" ca="1" si="4"/>
        <v>#NAME?</v>
      </c>
      <c r="AL7" t="str">
        <f t="shared" si="5"/>
        <v>Nickel</v>
      </c>
      <c r="AM7" s="123">
        <f t="shared" ca="1" si="6"/>
        <v>0</v>
      </c>
      <c r="AN7" s="37">
        <f t="shared" ca="1" si="2"/>
        <v>0</v>
      </c>
      <c r="AO7" s="37">
        <f t="shared" ca="1" si="2"/>
        <v>0</v>
      </c>
      <c r="AP7" s="37">
        <f t="shared" ca="1" si="2"/>
        <v>0</v>
      </c>
      <c r="AQ7" s="90">
        <f t="shared" ca="1" si="2"/>
        <v>0</v>
      </c>
      <c r="AR7">
        <f t="shared" ca="1" si="7"/>
        <v>0</v>
      </c>
    </row>
    <row r="8" spans="1:44" x14ac:dyDescent="0.35">
      <c r="A8" t="s">
        <v>664</v>
      </c>
      <c r="B8" s="239">
        <v>29</v>
      </c>
      <c r="C8" s="73">
        <v>13</v>
      </c>
      <c r="D8" s="73">
        <v>38</v>
      </c>
      <c r="E8" s="215">
        <v>26</v>
      </c>
      <c r="G8" s="123" t="e">
        <f ca="1"/>
        <v>#NAME?</v>
      </c>
      <c r="H8" s="37" t="e">
        <f ca="1"/>
        <v>#NAME?</v>
      </c>
      <c r="I8" s="37" t="e">
        <f ca="1"/>
        <v>#NAME?</v>
      </c>
      <c r="J8" s="90" t="e">
        <f ca="1"/>
        <v>#NAME?</v>
      </c>
      <c r="L8" s="123" t="e">
        <f ca="1"/>
        <v>#NAME?</v>
      </c>
      <c r="M8" s="37" t="e">
        <f ca="1"/>
        <v>#NAME?</v>
      </c>
      <c r="N8" s="37" t="e">
        <f ca="1"/>
        <v>#NAME?</v>
      </c>
      <c r="O8" s="90" t="e">
        <f ca="1"/>
        <v>#NAME?</v>
      </c>
      <c r="Q8" t="str">
        <f>G17</f>
        <v>Zinc</v>
      </c>
      <c r="R8" s="123">
        <f t="shared" si="9"/>
        <v>66.333333333333329</v>
      </c>
      <c r="S8" s="37">
        <f t="shared" si="8"/>
        <v>26.5</v>
      </c>
      <c r="T8" s="37">
        <f t="shared" si="8"/>
        <v>42</v>
      </c>
      <c r="U8" s="90">
        <f t="shared" si="8"/>
        <v>29.5</v>
      </c>
      <c r="Z8" t="str">
        <f t="shared" si="3"/>
        <v>Iron</v>
      </c>
      <c r="AA8" s="239">
        <f t="shared" si="1"/>
        <v>29</v>
      </c>
      <c r="AB8" s="73">
        <f t="shared" si="1"/>
        <v>13</v>
      </c>
      <c r="AC8" s="73">
        <f t="shared" si="1"/>
        <v>38</v>
      </c>
      <c r="AD8" s="215">
        <f t="shared" si="1"/>
        <v>26</v>
      </c>
      <c r="AE8" s="274" t="e">
        <f t="array" aca="1" ref="AE8" ca="1">$W$15-$S$15/2-MMULT(AA8:AD8-$R$6:$U$6,MMULT($L$6:$O$9,TRANSPOSE(AA8:AD8-$R$6:$U$6)))/2</f>
        <v>#NAME?</v>
      </c>
      <c r="AF8" s="275" t="e">
        <f t="array" aca="1" ref="AF8" ca="1">$W$16-$S$16/2-MMULT(AA8:AD8-$R$7:$U$7,MMULT($L$12:$O$15,TRANSPOSE(AA8:AD8-$R$7:$U$7)))/2</f>
        <v>#NAME?</v>
      </c>
      <c r="AG8" s="275" t="e">
        <f t="array" aca="1" ref="AG8" ca="1">$W$17-$S$17/2-MMULT(AA8:AD8-$R$8:$U$8,MMULT($L$18:$O$21,TRANSPOSE(AA8:AD8-$R$8:$U$8)))/2</f>
        <v>#NAME?</v>
      </c>
      <c r="AH8" s="275" t="e">
        <f t="array" aca="1" ref="AH8" ca="1">$W$18-$S$18/2-MMULT(AA8:AD8-$R$9:$U$9,MMULT($L$24:$O$27,TRANSPOSE(AA8:AD8-$R$9:$U$9)))/2</f>
        <v>#NAME?</v>
      </c>
      <c r="AI8" s="275" t="e">
        <f t="array" aca="1" ref="AI8" ca="1">$W$19-$S$19/2-MMULT(AA8:AD8-$R$10:$U$10,MMULT($L$30:$O$33,TRANSPOSE(AA8:AD8-$R$10:$U$10)))/2</f>
        <v>#NAME?</v>
      </c>
      <c r="AJ8" s="240" t="e">
        <f t="shared" ca="1" si="4"/>
        <v>#NAME?</v>
      </c>
      <c r="AL8" t="str">
        <f t="shared" si="5"/>
        <v>Tin</v>
      </c>
      <c r="AM8" s="91">
        <f t="shared" ca="1" si="6"/>
        <v>0</v>
      </c>
      <c r="AN8" s="92">
        <f t="shared" ca="1" si="2"/>
        <v>0</v>
      </c>
      <c r="AO8" s="92">
        <f t="shared" ca="1" si="2"/>
        <v>0</v>
      </c>
      <c r="AP8" s="92">
        <f t="shared" ca="1" si="2"/>
        <v>0</v>
      </c>
      <c r="AQ8" s="93">
        <f t="shared" ca="1" si="2"/>
        <v>0</v>
      </c>
      <c r="AR8">
        <f t="shared" ca="1" si="7"/>
        <v>0</v>
      </c>
    </row>
    <row r="9" spans="1:44" x14ac:dyDescent="0.35">
      <c r="A9" t="s">
        <v>664</v>
      </c>
      <c r="B9" s="239">
        <v>29</v>
      </c>
      <c r="C9" s="73">
        <v>26</v>
      </c>
      <c r="D9" s="73">
        <v>39</v>
      </c>
      <c r="E9" s="215">
        <v>17</v>
      </c>
      <c r="G9" s="91" t="e">
        <f ca="1"/>
        <v>#NAME?</v>
      </c>
      <c r="H9" s="92" t="e">
        <f ca="1"/>
        <v>#NAME?</v>
      </c>
      <c r="I9" s="92" t="e">
        <f ca="1"/>
        <v>#NAME?</v>
      </c>
      <c r="J9" s="93" t="e">
        <f ca="1"/>
        <v>#NAME?</v>
      </c>
      <c r="L9" s="91" t="e">
        <f ca="1"/>
        <v>#NAME?</v>
      </c>
      <c r="M9" s="92" t="e">
        <f ca="1"/>
        <v>#NAME?</v>
      </c>
      <c r="N9" s="92" t="e">
        <f ca="1"/>
        <v>#NAME?</v>
      </c>
      <c r="O9" s="93" t="e">
        <f ca="1"/>
        <v>#NAME?</v>
      </c>
      <c r="Q9" t="str">
        <f>G23</f>
        <v>Nickel</v>
      </c>
      <c r="R9" s="123">
        <f t="shared" si="9"/>
        <v>51.714285714285715</v>
      </c>
      <c r="S9" s="37">
        <f t="shared" si="8"/>
        <v>28</v>
      </c>
      <c r="T9" s="37">
        <f t="shared" si="8"/>
        <v>28.571428571428573</v>
      </c>
      <c r="U9" s="90">
        <f t="shared" si="8"/>
        <v>31.142857142857142</v>
      </c>
      <c r="Z9" t="str">
        <f t="shared" si="3"/>
        <v>Iron</v>
      </c>
      <c r="AA9" s="239">
        <f t="shared" si="1"/>
        <v>29</v>
      </c>
      <c r="AB9" s="73">
        <f t="shared" si="1"/>
        <v>26</v>
      </c>
      <c r="AC9" s="73">
        <f t="shared" si="1"/>
        <v>39</v>
      </c>
      <c r="AD9" s="215">
        <f t="shared" si="1"/>
        <v>17</v>
      </c>
      <c r="AE9" s="274" t="e">
        <f t="array" aca="1" ref="AE9" ca="1">$W$15-$S$15/2-MMULT(AA9:AD9-$R$6:$U$6,MMULT($L$6:$O$9,TRANSPOSE(AA9:AD9-$R$6:$U$6)))/2</f>
        <v>#NAME?</v>
      </c>
      <c r="AF9" s="275" t="e">
        <f t="array" aca="1" ref="AF9" ca="1">$W$16-$S$16/2-MMULT(AA9:AD9-$R$7:$U$7,MMULT($L$12:$O$15,TRANSPOSE(AA9:AD9-$R$7:$U$7)))/2</f>
        <v>#NAME?</v>
      </c>
      <c r="AG9" s="275" t="e">
        <f t="array" aca="1" ref="AG9" ca="1">$W$17-$S$17/2-MMULT(AA9:AD9-$R$8:$U$8,MMULT($L$18:$O$21,TRANSPOSE(AA9:AD9-$R$8:$U$8)))/2</f>
        <v>#NAME?</v>
      </c>
      <c r="AH9" s="275" t="e">
        <f t="array" aca="1" ref="AH9" ca="1">$W$18-$S$18/2-MMULT(AA9:AD9-$R$9:$U$9,MMULT($L$24:$O$27,TRANSPOSE(AA9:AD9-$R$9:$U$9)))/2</f>
        <v>#NAME?</v>
      </c>
      <c r="AI9" s="275" t="e">
        <f t="array" aca="1" ref="AI9" ca="1">$W$19-$S$19/2-MMULT(AA9:AD9-$R$10:$U$10,MMULT($L$30:$O$33,TRANSPOSE(AA9:AD9-$R$10:$U$10)))/2</f>
        <v>#NAME?</v>
      </c>
      <c r="AJ9" s="240" t="e">
        <f t="shared" ca="1" si="4"/>
        <v>#NAME?</v>
      </c>
      <c r="AM9">
        <f t="shared" ref="AM9:AR9" ca="1" si="10">SUM(AM4:AM8)</f>
        <v>0</v>
      </c>
      <c r="AN9">
        <f t="shared" ca="1" si="10"/>
        <v>0</v>
      </c>
      <c r="AO9">
        <f t="shared" ca="1" si="10"/>
        <v>0</v>
      </c>
      <c r="AP9">
        <f t="shared" ca="1" si="10"/>
        <v>0</v>
      </c>
      <c r="AQ9">
        <f t="shared" ca="1" si="10"/>
        <v>0</v>
      </c>
      <c r="AR9">
        <f t="shared" ca="1" si="10"/>
        <v>0</v>
      </c>
    </row>
    <row r="10" spans="1:44" x14ac:dyDescent="0.35">
      <c r="A10" t="s">
        <v>664</v>
      </c>
      <c r="B10" s="239">
        <v>23</v>
      </c>
      <c r="C10" s="73">
        <v>13</v>
      </c>
      <c r="D10" s="73">
        <v>23</v>
      </c>
      <c r="E10" s="215">
        <v>46</v>
      </c>
      <c r="Q10" t="str">
        <f>G29</f>
        <v>Tin</v>
      </c>
      <c r="R10" s="91">
        <f t="shared" si="9"/>
        <v>84.1</v>
      </c>
      <c r="S10" s="92">
        <f t="shared" si="8"/>
        <v>25.6</v>
      </c>
      <c r="T10" s="92">
        <f t="shared" si="8"/>
        <v>44.1</v>
      </c>
      <c r="U10" s="93">
        <f t="shared" si="8"/>
        <v>26.8</v>
      </c>
      <c r="Z10" t="str">
        <f t="shared" si="3"/>
        <v>Iron</v>
      </c>
      <c r="AA10" s="239">
        <f t="shared" si="1"/>
        <v>23</v>
      </c>
      <c r="AB10" s="73">
        <f t="shared" si="1"/>
        <v>13</v>
      </c>
      <c r="AC10" s="73">
        <f t="shared" si="1"/>
        <v>23</v>
      </c>
      <c r="AD10" s="215">
        <f t="shared" si="1"/>
        <v>46</v>
      </c>
      <c r="AE10" s="274" t="e">
        <f t="array" aca="1" ref="AE10" ca="1">$W$15-$S$15/2-MMULT(AA10:AD10-$R$6:$U$6,MMULT($L$6:$O$9,TRANSPOSE(AA10:AD10-$R$6:$U$6)))/2</f>
        <v>#NAME?</v>
      </c>
      <c r="AF10" s="275" t="e">
        <f t="array" aca="1" ref="AF10" ca="1">$W$16-$S$16/2-MMULT(AA10:AD10-$R$7:$U$7,MMULT($L$12:$O$15,TRANSPOSE(AA10:AD10-$R$7:$U$7)))/2</f>
        <v>#NAME?</v>
      </c>
      <c r="AG10" s="275" t="e">
        <f t="array" aca="1" ref="AG10" ca="1">$W$17-$S$17/2-MMULT(AA10:AD10-$R$8:$U$8,MMULT($L$18:$O$21,TRANSPOSE(AA10:AD10-$R$8:$U$8)))/2</f>
        <v>#NAME?</v>
      </c>
      <c r="AH10" s="275" t="e">
        <f t="array" aca="1" ref="AH10" ca="1">$W$18-$S$18/2-MMULT(AA10:AD10-$R$9:$U$9,MMULT($L$24:$O$27,TRANSPOSE(AA10:AD10-$R$9:$U$9)))/2</f>
        <v>#NAME?</v>
      </c>
      <c r="AI10" s="275" t="e">
        <f t="array" aca="1" ref="AI10" ca="1">$W$19-$S$19/2-MMULT(AA10:AD10-$R$10:$U$10,MMULT($L$30:$O$33,TRANSPOSE(AA10:AD10-$R$10:$U$10)))/2</f>
        <v>#NAME?</v>
      </c>
      <c r="AJ10" s="240" t="e">
        <f t="shared" ca="1" si="4"/>
        <v>#NAME?</v>
      </c>
    </row>
    <row r="11" spans="1:44" x14ac:dyDescent="0.35">
      <c r="A11" t="s">
        <v>665</v>
      </c>
      <c r="B11" s="239">
        <v>39</v>
      </c>
      <c r="C11" s="73">
        <v>19</v>
      </c>
      <c r="D11" s="73">
        <v>30</v>
      </c>
      <c r="E11" s="215">
        <v>22</v>
      </c>
      <c r="G11" t="str">
        <f>A11</f>
        <v>Copper</v>
      </c>
      <c r="Z11" t="str">
        <f t="shared" si="3"/>
        <v>Copper</v>
      </c>
      <c r="AA11" s="239">
        <f t="shared" si="1"/>
        <v>39</v>
      </c>
      <c r="AB11" s="73">
        <f t="shared" si="1"/>
        <v>19</v>
      </c>
      <c r="AC11" s="73">
        <f t="shared" si="1"/>
        <v>30</v>
      </c>
      <c r="AD11" s="215">
        <f t="shared" si="1"/>
        <v>22</v>
      </c>
      <c r="AE11" s="274" t="e">
        <f t="array" aca="1" ref="AE11" ca="1">$W$15-$S$15/2-MMULT(AA11:AD11-$R$6:$U$6,MMULT($L$6:$O$9,TRANSPOSE(AA11:AD11-$R$6:$U$6)))/2</f>
        <v>#NAME?</v>
      </c>
      <c r="AF11" s="275" t="e">
        <f t="array" aca="1" ref="AF11" ca="1">$W$16-$S$16/2-MMULT(AA11:AD11-$R$7:$U$7,MMULT($L$12:$O$15,TRANSPOSE(AA11:AD11-$R$7:$U$7)))/2</f>
        <v>#NAME?</v>
      </c>
      <c r="AG11" s="275" t="e">
        <f t="array" aca="1" ref="AG11" ca="1">$W$17-$S$17/2-MMULT(AA11:AD11-$R$8:$U$8,MMULT($L$18:$O$21,TRANSPOSE(AA11:AD11-$R$8:$U$8)))/2</f>
        <v>#NAME?</v>
      </c>
      <c r="AH11" s="275" t="e">
        <f t="array" aca="1" ref="AH11" ca="1">$W$18-$S$18/2-MMULT(AA11:AD11-$R$9:$U$9,MMULT($L$24:$O$27,TRANSPOSE(AA11:AD11-$R$9:$U$9)))/2</f>
        <v>#NAME?</v>
      </c>
      <c r="AI11" s="275" t="e">
        <f t="array" aca="1" ref="AI11" ca="1">$W$19-$S$19/2-MMULT(AA11:AD11-$R$10:$U$10,MMULT($L$30:$O$33,TRANSPOSE(AA11:AD11-$R$10:$U$10)))/2</f>
        <v>#NAME?</v>
      </c>
      <c r="AJ11" s="240" t="e">
        <f t="shared" ca="1" si="4"/>
        <v>#NAME?</v>
      </c>
      <c r="AL11" t="s">
        <v>654</v>
      </c>
    </row>
    <row r="12" spans="1:44" x14ac:dyDescent="0.35">
      <c r="A12" t="s">
        <v>665</v>
      </c>
      <c r="B12" s="239">
        <v>47</v>
      </c>
      <c r="C12" s="73">
        <v>20</v>
      </c>
      <c r="D12" s="73">
        <v>32</v>
      </c>
      <c r="E12" s="215">
        <v>26</v>
      </c>
      <c r="G12" s="138" t="e">
        <f t="array" aca="1" ref="G12:J15" ca="1">ExtractCov($A$4:$E$39,G11)</f>
        <v>#NAME?</v>
      </c>
      <c r="H12" s="139" t="e">
        <f ca="1"/>
        <v>#NAME?</v>
      </c>
      <c r="I12" s="139" t="e">
        <f ca="1"/>
        <v>#NAME?</v>
      </c>
      <c r="J12" s="140" t="e">
        <f ca="1"/>
        <v>#NAME?</v>
      </c>
      <c r="L12" s="138" t="e">
        <f t="array" aca="1" ref="L12:O15" ca="1">MINVERSE(G12:J15)</f>
        <v>#NAME?</v>
      </c>
      <c r="M12" s="139" t="e">
        <f ca="1"/>
        <v>#NAME?</v>
      </c>
      <c r="N12" s="139" t="e">
        <f ca="1"/>
        <v>#NAME?</v>
      </c>
      <c r="O12" s="140" t="e">
        <f ca="1"/>
        <v>#NAME?</v>
      </c>
      <c r="Q12" t="s">
        <v>666</v>
      </c>
      <c r="U12" t="s">
        <v>649</v>
      </c>
      <c r="Z12" t="str">
        <f t="shared" si="3"/>
        <v>Copper</v>
      </c>
      <c r="AA12" s="239">
        <f t="shared" si="1"/>
        <v>47</v>
      </c>
      <c r="AB12" s="73">
        <f t="shared" si="1"/>
        <v>20</v>
      </c>
      <c r="AC12" s="73">
        <f t="shared" si="1"/>
        <v>32</v>
      </c>
      <c r="AD12" s="215">
        <f t="shared" si="1"/>
        <v>26</v>
      </c>
      <c r="AE12" s="274" t="e">
        <f t="array" aca="1" ref="AE12" ca="1">$W$15-$S$15/2-MMULT(AA12:AD12-$R$6:$U$6,MMULT($L$6:$O$9,TRANSPOSE(AA12:AD12-$R$6:$U$6)))/2</f>
        <v>#NAME?</v>
      </c>
      <c r="AF12" s="275" t="e">
        <f t="array" aca="1" ref="AF12" ca="1">$W$16-$S$16/2-MMULT(AA12:AD12-$R$7:$U$7,MMULT($L$12:$O$15,TRANSPOSE(AA12:AD12-$R$7:$U$7)))/2</f>
        <v>#NAME?</v>
      </c>
      <c r="AG12" s="275" t="e">
        <f t="array" aca="1" ref="AG12" ca="1">$W$17-$S$17/2-MMULT(AA12:AD12-$R$8:$U$8,MMULT($L$18:$O$21,TRANSPOSE(AA12:AD12-$R$8:$U$8)))/2</f>
        <v>#NAME?</v>
      </c>
      <c r="AH12" s="275" t="e">
        <f t="array" aca="1" ref="AH12" ca="1">$W$18-$S$18/2-MMULT(AA12:AD12-$R$9:$U$9,MMULT($L$24:$O$27,TRANSPOSE(AA12:AD12-$R$9:$U$9)))/2</f>
        <v>#NAME?</v>
      </c>
      <c r="AI12" s="275" t="e">
        <f t="array" aca="1" ref="AI12" ca="1">$W$19-$S$19/2-MMULT(AA12:AD12-$R$10:$U$10,MMULT($L$30:$O$33,TRANSPOSE(AA12:AD12-$R$10:$U$10)))/2</f>
        <v>#NAME?</v>
      </c>
      <c r="AJ12" s="240" t="e">
        <f t="shared" ca="1" si="4"/>
        <v>#NAME?</v>
      </c>
    </row>
    <row r="13" spans="1:44" x14ac:dyDescent="0.35">
      <c r="A13" t="s">
        <v>665</v>
      </c>
      <c r="B13" s="239">
        <v>41</v>
      </c>
      <c r="C13" s="73">
        <v>23</v>
      </c>
      <c r="D13" s="73">
        <v>30</v>
      </c>
      <c r="E13" s="215">
        <v>22</v>
      </c>
      <c r="G13" s="123" t="e">
        <f ca="1"/>
        <v>#NAME?</v>
      </c>
      <c r="H13" s="37" t="e">
        <f ca="1"/>
        <v>#NAME?</v>
      </c>
      <c r="I13" s="37" t="e">
        <f ca="1"/>
        <v>#NAME?</v>
      </c>
      <c r="J13" s="90" t="e">
        <f ca="1"/>
        <v>#NAME?</v>
      </c>
      <c r="L13" s="123" t="e">
        <f ca="1"/>
        <v>#NAME?</v>
      </c>
      <c r="M13" s="37" t="e">
        <f ca="1"/>
        <v>#NAME?</v>
      </c>
      <c r="N13" s="37" t="e">
        <f ca="1"/>
        <v>#NAME?</v>
      </c>
      <c r="O13" s="90" t="e">
        <f ca="1"/>
        <v>#NAME?</v>
      </c>
      <c r="Z13" t="str">
        <f t="shared" si="3"/>
        <v>Copper</v>
      </c>
      <c r="AA13" s="239">
        <f t="shared" si="1"/>
        <v>41</v>
      </c>
      <c r="AB13" s="73">
        <f t="shared" si="1"/>
        <v>23</v>
      </c>
      <c r="AC13" s="73">
        <f t="shared" si="1"/>
        <v>30</v>
      </c>
      <c r="AD13" s="215">
        <f t="shared" si="1"/>
        <v>22</v>
      </c>
      <c r="AE13" s="274" t="e">
        <f t="array" aca="1" ref="AE13" ca="1">$W$15-$S$15/2-MMULT(AA13:AD13-$R$6:$U$6,MMULT($L$6:$O$9,TRANSPOSE(AA13:AD13-$R$6:$U$6)))/2</f>
        <v>#NAME?</v>
      </c>
      <c r="AF13" s="275" t="e">
        <f t="array" aca="1" ref="AF13" ca="1">$W$16-$S$16/2-MMULT(AA13:AD13-$R$7:$U$7,MMULT($L$12:$O$15,TRANSPOSE(AA13:AD13-$R$7:$U$7)))/2</f>
        <v>#NAME?</v>
      </c>
      <c r="AG13" s="275" t="e">
        <f t="array" aca="1" ref="AG13" ca="1">$W$17-$S$17/2-MMULT(AA13:AD13-$R$8:$U$8,MMULT($L$18:$O$21,TRANSPOSE(AA13:AD13-$R$8:$U$8)))/2</f>
        <v>#NAME?</v>
      </c>
      <c r="AH13" s="275" t="e">
        <f t="array" aca="1" ref="AH13" ca="1">$W$18-$S$18/2-MMULT(AA13:AD13-$R$9:$U$9,MMULT($L$24:$O$27,TRANSPOSE(AA13:AD13-$R$9:$U$9)))/2</f>
        <v>#NAME?</v>
      </c>
      <c r="AI13" s="275" t="e">
        <f t="array" aca="1" ref="AI13" ca="1">$W$19-$S$19/2-MMULT(AA13:AD13-$R$10:$U$10,MMULT($L$30:$O$33,TRANSPOSE(AA13:AD13-$R$10:$U$10)))/2</f>
        <v>#NAME?</v>
      </c>
      <c r="AJ13" s="240" t="e">
        <f t="shared" ca="1" si="4"/>
        <v>#NAME?</v>
      </c>
      <c r="AM13" s="32" t="s">
        <v>656</v>
      </c>
      <c r="AN13" s="32" t="s">
        <v>216</v>
      </c>
      <c r="AO13" s="32" t="s">
        <v>657</v>
      </c>
      <c r="AP13" s="32" t="s">
        <v>658</v>
      </c>
    </row>
    <row r="14" spans="1:44" x14ac:dyDescent="0.35">
      <c r="A14" t="s">
        <v>665</v>
      </c>
      <c r="B14" s="239">
        <v>53</v>
      </c>
      <c r="C14" s="73">
        <v>37</v>
      </c>
      <c r="D14" s="73">
        <v>31</v>
      </c>
      <c r="E14" s="215">
        <v>16</v>
      </c>
      <c r="G14" s="123" t="e">
        <f ca="1"/>
        <v>#NAME?</v>
      </c>
      <c r="H14" s="37" t="e">
        <f ca="1"/>
        <v>#NAME?</v>
      </c>
      <c r="I14" s="37" t="e">
        <f ca="1"/>
        <v>#NAME?</v>
      </c>
      <c r="J14" s="90" t="e">
        <f ca="1"/>
        <v>#NAME?</v>
      </c>
      <c r="L14" s="123" t="e">
        <f ca="1"/>
        <v>#NAME?</v>
      </c>
      <c r="M14" s="37" t="e">
        <f ca="1"/>
        <v>#NAME?</v>
      </c>
      <c r="N14" s="37" t="e">
        <f ca="1"/>
        <v>#NAME?</v>
      </c>
      <c r="O14" s="90" t="e">
        <f ca="1"/>
        <v>#NAME?</v>
      </c>
      <c r="R14" s="73" t="s">
        <v>109</v>
      </c>
      <c r="S14" s="73" t="s">
        <v>667</v>
      </c>
      <c r="U14" s="32" t="s">
        <v>52</v>
      </c>
      <c r="V14" s="209" t="s">
        <v>651</v>
      </c>
      <c r="W14" s="32" t="s">
        <v>652</v>
      </c>
      <c r="Z14" t="str">
        <f t="shared" si="3"/>
        <v>Copper</v>
      </c>
      <c r="AA14" s="239">
        <f t="shared" si="1"/>
        <v>53</v>
      </c>
      <c r="AB14" s="73">
        <f t="shared" si="1"/>
        <v>37</v>
      </c>
      <c r="AC14" s="73">
        <f t="shared" si="1"/>
        <v>31</v>
      </c>
      <c r="AD14" s="215">
        <f t="shared" si="1"/>
        <v>16</v>
      </c>
      <c r="AE14" s="274" t="e">
        <f t="array" aca="1" ref="AE14" ca="1">$W$15-$S$15/2-MMULT(AA14:AD14-$R$6:$U$6,MMULT($L$6:$O$9,TRANSPOSE(AA14:AD14-$R$6:$U$6)))/2</f>
        <v>#NAME?</v>
      </c>
      <c r="AF14" s="275" t="e">
        <f t="array" aca="1" ref="AF14" ca="1">$W$16-$S$16/2-MMULT(AA14:AD14-$R$7:$U$7,MMULT($L$12:$O$15,TRANSPOSE(AA14:AD14-$R$7:$U$7)))/2</f>
        <v>#NAME?</v>
      </c>
      <c r="AG14" s="275" t="e">
        <f t="array" aca="1" ref="AG14" ca="1">$W$17-$S$17/2-MMULT(AA14:AD14-$R$8:$U$8,MMULT($L$18:$O$21,TRANSPOSE(AA14:AD14-$R$8:$U$8)))/2</f>
        <v>#NAME?</v>
      </c>
      <c r="AH14" s="275" t="e">
        <f t="array" aca="1" ref="AH14" ca="1">$W$18-$S$18/2-MMULT(AA14:AD14-$R$9:$U$9,MMULT($L$24:$O$27,TRANSPOSE(AA14:AD14-$R$9:$U$9)))/2</f>
        <v>#NAME?</v>
      </c>
      <c r="AI14" s="275" t="e">
        <f t="array" aca="1" ref="AI14" ca="1">$W$19-$S$19/2-MMULT(AA14:AD14-$R$10:$U$10,MMULT($L$30:$O$33,TRANSPOSE(AA14:AD14-$R$10:$U$10)))/2</f>
        <v>#NAME?</v>
      </c>
      <c r="AJ14" s="240" t="e">
        <f t="shared" ca="1" si="4"/>
        <v>#NAME?</v>
      </c>
      <c r="AL14" t="str">
        <f>AL4</f>
        <v>Iron</v>
      </c>
      <c r="AM14" s="138" t="e">
        <f t="array" aca="1" ref="AM14:AM18" ca="1">DIAG(AM4:AQ8)</f>
        <v>#NAME?</v>
      </c>
      <c r="AN14" s="139">
        <f ca="1">AR4</f>
        <v>0</v>
      </c>
      <c r="AO14" s="277" t="e">
        <f t="shared" ref="AO14:AO19" ca="1" si="11">AM14/AN14</f>
        <v>#NAME?</v>
      </c>
      <c r="AP14" s="278" t="e">
        <f ca="1">1-AO14</f>
        <v>#NAME?</v>
      </c>
    </row>
    <row r="15" spans="1:44" x14ac:dyDescent="0.35">
      <c r="A15" t="s">
        <v>665</v>
      </c>
      <c r="B15" s="239">
        <v>23</v>
      </c>
      <c r="C15" s="73">
        <v>13</v>
      </c>
      <c r="D15" s="73">
        <v>22</v>
      </c>
      <c r="E15" s="215">
        <v>31</v>
      </c>
      <c r="G15" s="91" t="e">
        <f ca="1"/>
        <v>#NAME?</v>
      </c>
      <c r="H15" s="92" t="e">
        <f ca="1"/>
        <v>#NAME?</v>
      </c>
      <c r="I15" s="92" t="e">
        <f ca="1"/>
        <v>#NAME?</v>
      </c>
      <c r="J15" s="93" t="e">
        <f ca="1"/>
        <v>#NAME?</v>
      </c>
      <c r="L15" s="91" t="e">
        <f ca="1"/>
        <v>#NAME?</v>
      </c>
      <c r="M15" s="92" t="e">
        <f ca="1"/>
        <v>#NAME?</v>
      </c>
      <c r="N15" s="92" t="e">
        <f ca="1"/>
        <v>#NAME?</v>
      </c>
      <c r="O15" s="93" t="e">
        <f ca="1"/>
        <v>#NAME?</v>
      </c>
      <c r="Q15" t="str">
        <f>Q6</f>
        <v>Iron</v>
      </c>
      <c r="R15" s="138" t="e">
        <f ca="1">MDETERM(G6:J9)</f>
        <v>#NAME?</v>
      </c>
      <c r="S15" s="140" t="e">
        <f ca="1">LN(ABS(R15))</f>
        <v>#NAME?</v>
      </c>
      <c r="U15" s="236">
        <f>COUNTIF($A$4:$A$39,Q15)</f>
        <v>7</v>
      </c>
      <c r="V15" s="139">
        <f>U15/U$20</f>
        <v>0.19444444444444445</v>
      </c>
      <c r="W15" s="140">
        <f>LN(V15)</f>
        <v>-1.6376087894007967</v>
      </c>
      <c r="Z15" t="str">
        <f t="shared" si="3"/>
        <v>Copper</v>
      </c>
      <c r="AA15" s="239">
        <f t="shared" si="1"/>
        <v>23</v>
      </c>
      <c r="AB15" s="73">
        <f t="shared" si="1"/>
        <v>13</v>
      </c>
      <c r="AC15" s="73">
        <f t="shared" si="1"/>
        <v>22</v>
      </c>
      <c r="AD15" s="215">
        <f t="shared" si="1"/>
        <v>31</v>
      </c>
      <c r="AE15" s="274" t="e">
        <f t="array" aca="1" ref="AE15" ca="1">$W$15-$S$15/2-MMULT(AA15:AD15-$R$6:$U$6,MMULT($L$6:$O$9,TRANSPOSE(AA15:AD15-$R$6:$U$6)))/2</f>
        <v>#NAME?</v>
      </c>
      <c r="AF15" s="275" t="e">
        <f t="array" aca="1" ref="AF15" ca="1">$W$16-$S$16/2-MMULT(AA15:AD15-$R$7:$U$7,MMULT($L$12:$O$15,TRANSPOSE(AA15:AD15-$R$7:$U$7)))/2</f>
        <v>#NAME?</v>
      </c>
      <c r="AG15" s="275" t="e">
        <f t="array" aca="1" ref="AG15" ca="1">$W$17-$S$17/2-MMULT(AA15:AD15-$R$8:$U$8,MMULT($L$18:$O$21,TRANSPOSE(AA15:AD15-$R$8:$U$8)))/2</f>
        <v>#NAME?</v>
      </c>
      <c r="AH15" s="275" t="e">
        <f t="array" aca="1" ref="AH15" ca="1">$W$18-$S$18/2-MMULT(AA15:AD15-$R$9:$U$9,MMULT($L$24:$O$27,TRANSPOSE(AA15:AD15-$R$9:$U$9)))/2</f>
        <v>#NAME?</v>
      </c>
      <c r="AI15" s="275" t="e">
        <f t="array" aca="1" ref="AI15" ca="1">$W$19-$S$19/2-MMULT(AA15:AD15-$R$10:$U$10,MMULT($L$30:$O$33,TRANSPOSE(AA15:AD15-$R$10:$U$10)))/2</f>
        <v>#NAME?</v>
      </c>
      <c r="AJ15" s="240" t="e">
        <f t="shared" ca="1" si="4"/>
        <v>#NAME?</v>
      </c>
      <c r="AL15" t="str">
        <f>AL5</f>
        <v>Copper</v>
      </c>
      <c r="AM15" s="123" t="e">
        <f ca="1"/>
        <v>#NAME?</v>
      </c>
      <c r="AN15" s="37">
        <f t="shared" ref="AN15:AN18" ca="1" si="12">AR5</f>
        <v>0</v>
      </c>
      <c r="AO15" s="167" t="e">
        <f t="shared" ca="1" si="11"/>
        <v>#NAME?</v>
      </c>
      <c r="AP15" s="279" t="e">
        <f t="shared" ref="AP15:AP17" ca="1" si="13">1-AO15</f>
        <v>#NAME?</v>
      </c>
    </row>
    <row r="16" spans="1:44" x14ac:dyDescent="0.35">
      <c r="A16" t="s">
        <v>665</v>
      </c>
      <c r="B16" s="239">
        <v>43</v>
      </c>
      <c r="C16" s="73">
        <v>26</v>
      </c>
      <c r="D16" s="73">
        <v>38</v>
      </c>
      <c r="E16" s="215">
        <v>31</v>
      </c>
      <c r="Q16" t="str">
        <f t="shared" ref="Q16:Q19" si="14">Q7</f>
        <v>Copper</v>
      </c>
      <c r="R16" s="123" t="e">
        <f ca="1">MDETERM(G12:J15)</f>
        <v>#NAME?</v>
      </c>
      <c r="S16" s="90" t="e">
        <f t="shared" ref="S16:S19" ca="1" si="15">LN(ABS(R16))</f>
        <v>#NAME?</v>
      </c>
      <c r="U16" s="239">
        <f t="shared" ref="U16:U19" si="16">COUNTIF($A$4:$A$39,Q16)</f>
        <v>6</v>
      </c>
      <c r="V16" s="37">
        <f t="shared" ref="V16:V19" si="17">U16/U$20</f>
        <v>0.16666666666666666</v>
      </c>
      <c r="W16" s="90">
        <f t="shared" ref="W16:W18" si="18">LN(V16)</f>
        <v>-1.791759469228055</v>
      </c>
      <c r="Z16" t="str">
        <f t="shared" si="3"/>
        <v>Copper</v>
      </c>
      <c r="AA16" s="239">
        <f t="shared" si="1"/>
        <v>43</v>
      </c>
      <c r="AB16" s="73">
        <f t="shared" si="1"/>
        <v>26</v>
      </c>
      <c r="AC16" s="73">
        <f t="shared" si="1"/>
        <v>38</v>
      </c>
      <c r="AD16" s="215">
        <f t="shared" si="1"/>
        <v>31</v>
      </c>
      <c r="AE16" s="274" t="e">
        <f t="array" aca="1" ref="AE16" ca="1">$W$15-$S$15/2-MMULT(AA16:AD16-$R$6:$U$6,MMULT($L$6:$O$9,TRANSPOSE(AA16:AD16-$R$6:$U$6)))/2</f>
        <v>#NAME?</v>
      </c>
      <c r="AF16" s="275" t="e">
        <f t="array" aca="1" ref="AF16" ca="1">$W$16-$S$16/2-MMULT(AA16:AD16-$R$7:$U$7,MMULT($L$12:$O$15,TRANSPOSE(AA16:AD16-$R$7:$U$7)))/2</f>
        <v>#NAME?</v>
      </c>
      <c r="AG16" s="275" t="e">
        <f t="array" aca="1" ref="AG16" ca="1">$W$17-$S$17/2-MMULT(AA16:AD16-$R$8:$U$8,MMULT($L$18:$O$21,TRANSPOSE(AA16:AD16-$R$8:$U$8)))/2</f>
        <v>#NAME?</v>
      </c>
      <c r="AH16" s="275" t="e">
        <f t="array" aca="1" ref="AH16" ca="1">$W$18-$S$18/2-MMULT(AA16:AD16-$R$9:$U$9,MMULT($L$24:$O$27,TRANSPOSE(AA16:AD16-$R$9:$U$9)))/2</f>
        <v>#NAME?</v>
      </c>
      <c r="AI16" s="275" t="e">
        <f t="array" aca="1" ref="AI16" ca="1">$W$19-$S$19/2-MMULT(AA16:AD16-$R$10:$U$10,MMULT($L$30:$O$33,TRANSPOSE(AA16:AD16-$R$10:$U$10)))/2</f>
        <v>#NAME?</v>
      </c>
      <c r="AJ16" s="240" t="e">
        <f t="shared" ca="1" si="4"/>
        <v>#NAME?</v>
      </c>
      <c r="AL16" t="str">
        <f>AL6</f>
        <v>Zinc</v>
      </c>
      <c r="AM16" s="123" t="e">
        <f ca="1"/>
        <v>#NAME?</v>
      </c>
      <c r="AN16" s="37">
        <f t="shared" ca="1" si="12"/>
        <v>0</v>
      </c>
      <c r="AO16" s="167" t="e">
        <f t="shared" ca="1" si="11"/>
        <v>#NAME?</v>
      </c>
      <c r="AP16" s="279" t="e">
        <f t="shared" ca="1" si="13"/>
        <v>#NAME?</v>
      </c>
    </row>
    <row r="17" spans="1:42" x14ac:dyDescent="0.35">
      <c r="A17" t="s">
        <v>668</v>
      </c>
      <c r="B17" s="239">
        <v>61</v>
      </c>
      <c r="C17" s="73">
        <v>26</v>
      </c>
      <c r="D17" s="73">
        <v>40</v>
      </c>
      <c r="E17" s="215">
        <v>27</v>
      </c>
      <c r="G17" t="str">
        <f>A17</f>
        <v>Zinc</v>
      </c>
      <c r="Q17" t="str">
        <f t="shared" si="14"/>
        <v>Zinc</v>
      </c>
      <c r="R17" s="123" t="e">
        <f ca="1">MDETERM(G18:J21)</f>
        <v>#NAME?</v>
      </c>
      <c r="S17" s="90" t="e">
        <f t="shared" ca="1" si="15"/>
        <v>#NAME?</v>
      </c>
      <c r="U17" s="239">
        <f t="shared" si="16"/>
        <v>6</v>
      </c>
      <c r="V17" s="37">
        <f t="shared" si="17"/>
        <v>0.16666666666666666</v>
      </c>
      <c r="W17" s="90">
        <f t="shared" si="18"/>
        <v>-1.791759469228055</v>
      </c>
      <c r="Z17" t="str">
        <f t="shared" si="3"/>
        <v>Zinc</v>
      </c>
      <c r="AA17" s="239">
        <f t="shared" si="1"/>
        <v>61</v>
      </c>
      <c r="AB17" s="73">
        <f t="shared" si="1"/>
        <v>26</v>
      </c>
      <c r="AC17" s="73">
        <f t="shared" si="1"/>
        <v>40</v>
      </c>
      <c r="AD17" s="215">
        <f t="shared" si="1"/>
        <v>27</v>
      </c>
      <c r="AE17" s="274" t="e">
        <f t="array" aca="1" ref="AE17" ca="1">$W$15-$S$15/2-MMULT(AA17:AD17-$R$6:$U$6,MMULT($L$6:$O$9,TRANSPOSE(AA17:AD17-$R$6:$U$6)))/2</f>
        <v>#NAME?</v>
      </c>
      <c r="AF17" s="275" t="e">
        <f t="array" aca="1" ref="AF17" ca="1">$W$16-$S$16/2-MMULT(AA17:AD17-$R$7:$U$7,MMULT($L$12:$O$15,TRANSPOSE(AA17:AD17-$R$7:$U$7)))/2</f>
        <v>#NAME?</v>
      </c>
      <c r="AG17" s="275" t="e">
        <f t="array" aca="1" ref="AG17" ca="1">$W$17-$S$17/2-MMULT(AA17:AD17-$R$8:$U$8,MMULT($L$18:$O$21,TRANSPOSE(AA17:AD17-$R$8:$U$8)))/2</f>
        <v>#NAME?</v>
      </c>
      <c r="AH17" s="275" t="e">
        <f t="array" aca="1" ref="AH17" ca="1">$W$18-$S$18/2-MMULT(AA17:AD17-$R$9:$U$9,MMULT($L$24:$O$27,TRANSPOSE(AA17:AD17-$R$9:$U$9)))/2</f>
        <v>#NAME?</v>
      </c>
      <c r="AI17" s="275" t="e">
        <f t="array" aca="1" ref="AI17" ca="1">$W$19-$S$19/2-MMULT(AA17:AD17-$R$10:$U$10,MMULT($L$30:$O$33,TRANSPOSE(AA17:AD17-$R$10:$U$10)))/2</f>
        <v>#NAME?</v>
      </c>
      <c r="AJ17" s="240" t="e">
        <f t="shared" ca="1" si="4"/>
        <v>#NAME?</v>
      </c>
      <c r="AL17" t="str">
        <f t="shared" ref="AL17:AL18" si="19">AL7</f>
        <v>Nickel</v>
      </c>
      <c r="AM17" s="123" t="e">
        <f ca="1"/>
        <v>#NAME?</v>
      </c>
      <c r="AN17" s="37">
        <f t="shared" ca="1" si="12"/>
        <v>0</v>
      </c>
      <c r="AO17" s="167" t="e">
        <f t="shared" ca="1" si="11"/>
        <v>#NAME?</v>
      </c>
      <c r="AP17" s="279" t="e">
        <f t="shared" ca="1" si="13"/>
        <v>#NAME?</v>
      </c>
    </row>
    <row r="18" spans="1:42" x14ac:dyDescent="0.35">
      <c r="A18" t="s">
        <v>668</v>
      </c>
      <c r="B18" s="239">
        <v>57</v>
      </c>
      <c r="C18" s="73">
        <v>19</v>
      </c>
      <c r="D18" s="73">
        <v>33</v>
      </c>
      <c r="E18" s="215">
        <v>24</v>
      </c>
      <c r="G18" s="138" t="e">
        <f t="array" aca="1" ref="G18:J21" ca="1">ExtractCov($A$4:$E$39,G17)</f>
        <v>#NAME?</v>
      </c>
      <c r="H18" s="139" t="e">
        <f ca="1"/>
        <v>#NAME?</v>
      </c>
      <c r="I18" s="139" t="e">
        <f ca="1"/>
        <v>#NAME?</v>
      </c>
      <c r="J18" s="140" t="e">
        <f ca="1"/>
        <v>#NAME?</v>
      </c>
      <c r="L18" s="138" t="e">
        <f t="array" aca="1" ref="L18:O21" ca="1">MINVERSE(G18:J21)</f>
        <v>#NAME?</v>
      </c>
      <c r="M18" s="139" t="e">
        <f ca="1"/>
        <v>#NAME?</v>
      </c>
      <c r="N18" s="139" t="e">
        <f ca="1"/>
        <v>#NAME?</v>
      </c>
      <c r="O18" s="140" t="e">
        <f ca="1"/>
        <v>#NAME?</v>
      </c>
      <c r="Q18" t="str">
        <f t="shared" si="14"/>
        <v>Nickel</v>
      </c>
      <c r="R18" s="123" t="e">
        <f ca="1">MDETERM(G24:J27)</f>
        <v>#NAME?</v>
      </c>
      <c r="S18" s="90" t="e">
        <f t="shared" ca="1" si="15"/>
        <v>#NAME?</v>
      </c>
      <c r="U18" s="239">
        <f t="shared" si="16"/>
        <v>7</v>
      </c>
      <c r="V18" s="37">
        <f t="shared" si="17"/>
        <v>0.19444444444444445</v>
      </c>
      <c r="W18" s="90">
        <f t="shared" si="18"/>
        <v>-1.6376087894007967</v>
      </c>
      <c r="Z18" t="str">
        <f t="shared" si="3"/>
        <v>Zinc</v>
      </c>
      <c r="AA18" s="239">
        <f t="shared" si="1"/>
        <v>57</v>
      </c>
      <c r="AB18" s="73">
        <f t="shared" si="1"/>
        <v>19</v>
      </c>
      <c r="AC18" s="73">
        <f t="shared" si="1"/>
        <v>33</v>
      </c>
      <c r="AD18" s="215">
        <f t="shared" si="1"/>
        <v>24</v>
      </c>
      <c r="AE18" s="274" t="e">
        <f t="array" aca="1" ref="AE18" ca="1">$W$15-$S$15/2-MMULT(AA18:AD18-$R$6:$U$6,MMULT($L$6:$O$9,TRANSPOSE(AA18:AD18-$R$6:$U$6)))/2</f>
        <v>#NAME?</v>
      </c>
      <c r="AF18" s="275" t="e">
        <f t="array" aca="1" ref="AF18" ca="1">$W$16-$S$16/2-MMULT(AA18:AD18-$R$7:$U$7,MMULT($L$12:$O$15,TRANSPOSE(AA18:AD18-$R$7:$U$7)))/2</f>
        <v>#NAME?</v>
      </c>
      <c r="AG18" s="275" t="e">
        <f t="array" aca="1" ref="AG18" ca="1">$W$17-$S$17/2-MMULT(AA18:AD18-$R$8:$U$8,MMULT($L$18:$O$21,TRANSPOSE(AA18:AD18-$R$8:$U$8)))/2</f>
        <v>#NAME?</v>
      </c>
      <c r="AH18" s="275" t="e">
        <f t="array" aca="1" ref="AH18" ca="1">$W$18-$S$18/2-MMULT(AA18:AD18-$R$9:$U$9,MMULT($L$24:$O$27,TRANSPOSE(AA18:AD18-$R$9:$U$9)))/2</f>
        <v>#NAME?</v>
      </c>
      <c r="AI18" s="275" t="e">
        <f t="array" aca="1" ref="AI18" ca="1">$W$19-$S$19/2-MMULT(AA18:AD18-$R$10:$U$10,MMULT($L$30:$O$33,TRANSPOSE(AA18:AD18-$R$10:$U$10)))/2</f>
        <v>#NAME?</v>
      </c>
      <c r="AJ18" s="240" t="e">
        <f t="shared" ca="1" si="4"/>
        <v>#NAME?</v>
      </c>
      <c r="AL18" t="str">
        <f t="shared" si="19"/>
        <v>Tin</v>
      </c>
      <c r="AM18" s="91" t="e">
        <f ca="1"/>
        <v>#NAME?</v>
      </c>
      <c r="AN18" s="92">
        <f t="shared" ca="1" si="12"/>
        <v>0</v>
      </c>
      <c r="AO18" s="169" t="e">
        <f t="shared" ca="1" si="11"/>
        <v>#NAME?</v>
      </c>
      <c r="AP18" s="280" t="e">
        <f ca="1">1-AO18</f>
        <v>#NAME?</v>
      </c>
    </row>
    <row r="19" spans="1:42" x14ac:dyDescent="0.35">
      <c r="A19" t="s">
        <v>668</v>
      </c>
      <c r="B19" s="239">
        <v>67</v>
      </c>
      <c r="C19" s="73">
        <v>26</v>
      </c>
      <c r="D19" s="73">
        <v>35</v>
      </c>
      <c r="E19" s="215">
        <v>32</v>
      </c>
      <c r="G19" s="123" t="e">
        <f ca="1"/>
        <v>#NAME?</v>
      </c>
      <c r="H19" s="37" t="e">
        <f ca="1"/>
        <v>#NAME?</v>
      </c>
      <c r="I19" s="37" t="e">
        <f ca="1"/>
        <v>#NAME?</v>
      </c>
      <c r="J19" s="90" t="e">
        <f ca="1"/>
        <v>#NAME?</v>
      </c>
      <c r="L19" s="123" t="e">
        <f ca="1"/>
        <v>#NAME?</v>
      </c>
      <c r="M19" s="37" t="e">
        <f ca="1"/>
        <v>#NAME?</v>
      </c>
      <c r="N19" s="37" t="e">
        <f ca="1"/>
        <v>#NAME?</v>
      </c>
      <c r="O19" s="90" t="e">
        <f ca="1"/>
        <v>#NAME?</v>
      </c>
      <c r="Q19" t="str">
        <f t="shared" si="14"/>
        <v>Tin</v>
      </c>
      <c r="R19" s="91" t="e">
        <f ca="1">MDETERM(G30:J33)</f>
        <v>#NAME?</v>
      </c>
      <c r="S19" s="93" t="e">
        <f t="shared" ca="1" si="15"/>
        <v>#NAME?</v>
      </c>
      <c r="U19" s="243">
        <f t="shared" si="16"/>
        <v>10</v>
      </c>
      <c r="V19" s="92">
        <f t="shared" si="17"/>
        <v>0.27777777777777779</v>
      </c>
      <c r="W19" s="93">
        <f>LN(V19)</f>
        <v>-1.2809338454620642</v>
      </c>
      <c r="Z19" t="str">
        <f t="shared" si="3"/>
        <v>Zinc</v>
      </c>
      <c r="AA19" s="239">
        <f t="shared" si="1"/>
        <v>67</v>
      </c>
      <c r="AB19" s="73">
        <f t="shared" si="1"/>
        <v>26</v>
      </c>
      <c r="AC19" s="73">
        <f t="shared" si="1"/>
        <v>35</v>
      </c>
      <c r="AD19" s="215">
        <f t="shared" si="1"/>
        <v>32</v>
      </c>
      <c r="AE19" s="274" t="e">
        <f t="array" aca="1" ref="AE19" ca="1">$W$15-$S$15/2-MMULT(AA19:AD19-$R$6:$U$6,MMULT($L$6:$O$9,TRANSPOSE(AA19:AD19-$R$6:$U$6)))/2</f>
        <v>#NAME?</v>
      </c>
      <c r="AF19" s="275" t="e">
        <f t="array" aca="1" ref="AF19" ca="1">$W$16-$S$16/2-MMULT(AA19:AD19-$R$7:$U$7,MMULT($L$12:$O$15,TRANSPOSE(AA19:AD19-$R$7:$U$7)))/2</f>
        <v>#NAME?</v>
      </c>
      <c r="AG19" s="275" t="e">
        <f t="array" aca="1" ref="AG19" ca="1">$W$17-$S$17/2-MMULT(AA19:AD19-$R$8:$U$8,MMULT($L$18:$O$21,TRANSPOSE(AA19:AD19-$R$8:$U$8)))/2</f>
        <v>#NAME?</v>
      </c>
      <c r="AH19" s="275" t="e">
        <f t="array" aca="1" ref="AH19" ca="1">$W$18-$S$18/2-MMULT(AA19:AD19-$R$9:$U$9,MMULT($L$24:$O$27,TRANSPOSE(AA19:AD19-$R$9:$U$9)))/2</f>
        <v>#NAME?</v>
      </c>
      <c r="AI19" s="275" t="e">
        <f t="array" aca="1" ref="AI19" ca="1">$W$19-$S$19/2-MMULT(AA19:AD19-$R$10:$U$10,MMULT($L$30:$O$33,TRANSPOSE(AA19:AD19-$R$10:$U$10)))/2</f>
        <v>#NAME?</v>
      </c>
      <c r="AJ19" s="240" t="e">
        <f t="shared" ca="1" si="4"/>
        <v>#NAME?</v>
      </c>
      <c r="AL19" t="s">
        <v>216</v>
      </c>
      <c r="AM19" t="e">
        <f ca="1">SUM(AM14:AM18)</f>
        <v>#NAME?</v>
      </c>
      <c r="AN19">
        <f ca="1">SUM(AN14:AN18)</f>
        <v>0</v>
      </c>
      <c r="AO19" s="281" t="e">
        <f t="shared" ca="1" si="11"/>
        <v>#NAME?</v>
      </c>
      <c r="AP19" s="281" t="e">
        <f ca="1">1-AO19</f>
        <v>#NAME?</v>
      </c>
    </row>
    <row r="20" spans="1:42" x14ac:dyDescent="0.35">
      <c r="A20" t="s">
        <v>668</v>
      </c>
      <c r="B20" s="239">
        <v>51</v>
      </c>
      <c r="C20" s="73">
        <v>21</v>
      </c>
      <c r="D20" s="73">
        <v>30</v>
      </c>
      <c r="E20" s="215">
        <v>22</v>
      </c>
      <c r="G20" s="123" t="e">
        <f ca="1"/>
        <v>#NAME?</v>
      </c>
      <c r="H20" s="37" t="e">
        <f ca="1"/>
        <v>#NAME?</v>
      </c>
      <c r="I20" s="37" t="e">
        <f ca="1"/>
        <v>#NAME?</v>
      </c>
      <c r="J20" s="90" t="e">
        <f ca="1"/>
        <v>#NAME?</v>
      </c>
      <c r="L20" s="123" t="e">
        <f ca="1"/>
        <v>#NAME?</v>
      </c>
      <c r="M20" s="37" t="e">
        <f ca="1"/>
        <v>#NAME?</v>
      </c>
      <c r="N20" s="37" t="e">
        <f ca="1"/>
        <v>#NAME?</v>
      </c>
      <c r="O20" s="90" t="e">
        <f ca="1"/>
        <v>#NAME?</v>
      </c>
      <c r="U20" s="32">
        <f>SUM(U15:U19)</f>
        <v>36</v>
      </c>
      <c r="Z20" t="str">
        <f t="shared" si="3"/>
        <v>Zinc</v>
      </c>
      <c r="AA20" s="239">
        <f t="shared" si="3"/>
        <v>51</v>
      </c>
      <c r="AB20" s="73">
        <f t="shared" si="3"/>
        <v>21</v>
      </c>
      <c r="AC20" s="73">
        <f t="shared" si="3"/>
        <v>30</v>
      </c>
      <c r="AD20" s="215">
        <f t="shared" si="3"/>
        <v>22</v>
      </c>
      <c r="AE20" s="274" t="e">
        <f t="array" aca="1" ref="AE20" ca="1">$W$15-$S$15/2-MMULT(AA20:AD20-$R$6:$U$6,MMULT($L$6:$O$9,TRANSPOSE(AA20:AD20-$R$6:$U$6)))/2</f>
        <v>#NAME?</v>
      </c>
      <c r="AF20" s="275" t="e">
        <f t="array" aca="1" ref="AF20" ca="1">$W$16-$S$16/2-MMULT(AA20:AD20-$R$7:$U$7,MMULT($L$12:$O$15,TRANSPOSE(AA20:AD20-$R$7:$U$7)))/2</f>
        <v>#NAME?</v>
      </c>
      <c r="AG20" s="275" t="e">
        <f t="array" aca="1" ref="AG20" ca="1">$W$17-$S$17/2-MMULT(AA20:AD20-$R$8:$U$8,MMULT($L$18:$O$21,TRANSPOSE(AA20:AD20-$R$8:$U$8)))/2</f>
        <v>#NAME?</v>
      </c>
      <c r="AH20" s="275" t="e">
        <f t="array" aca="1" ref="AH20" ca="1">$W$18-$S$18/2-MMULT(AA20:AD20-$R$9:$U$9,MMULT($L$24:$O$27,TRANSPOSE(AA20:AD20-$R$9:$U$9)))/2</f>
        <v>#NAME?</v>
      </c>
      <c r="AI20" s="275" t="e">
        <f t="array" aca="1" ref="AI20" ca="1">$W$19-$S$19/2-MMULT(AA20:AD20-$R$10:$U$10,MMULT($L$30:$O$33,TRANSPOSE(AA20:AD20-$R$10:$U$10)))/2</f>
        <v>#NAME?</v>
      </c>
      <c r="AJ20" s="240" t="e">
        <f t="shared" ca="1" si="4"/>
        <v>#NAME?</v>
      </c>
    </row>
    <row r="21" spans="1:42" x14ac:dyDescent="0.35">
      <c r="A21" t="s">
        <v>668</v>
      </c>
      <c r="B21" s="239">
        <v>95</v>
      </c>
      <c r="C21" s="73">
        <v>38</v>
      </c>
      <c r="D21" s="73">
        <v>82</v>
      </c>
      <c r="E21" s="215">
        <v>23</v>
      </c>
      <c r="G21" s="91" t="e">
        <f ca="1"/>
        <v>#NAME?</v>
      </c>
      <c r="H21" s="92" t="e">
        <f ca="1"/>
        <v>#NAME?</v>
      </c>
      <c r="I21" s="92" t="e">
        <f ca="1"/>
        <v>#NAME?</v>
      </c>
      <c r="J21" s="93" t="e">
        <f ca="1"/>
        <v>#NAME?</v>
      </c>
      <c r="L21" s="91" t="e">
        <f ca="1"/>
        <v>#NAME?</v>
      </c>
      <c r="M21" s="92" t="e">
        <f ca="1"/>
        <v>#NAME?</v>
      </c>
      <c r="N21" s="92" t="e">
        <f ca="1"/>
        <v>#NAME?</v>
      </c>
      <c r="O21" s="93" t="e">
        <f ca="1"/>
        <v>#NAME?</v>
      </c>
      <c r="Z21" t="str">
        <f t="shared" si="3"/>
        <v>Zinc</v>
      </c>
      <c r="AA21" s="239">
        <f t="shared" si="3"/>
        <v>95</v>
      </c>
      <c r="AB21" s="73">
        <f t="shared" si="3"/>
        <v>38</v>
      </c>
      <c r="AC21" s="73">
        <f t="shared" si="3"/>
        <v>82</v>
      </c>
      <c r="AD21" s="215">
        <f t="shared" si="3"/>
        <v>23</v>
      </c>
      <c r="AE21" s="274" t="e">
        <f t="array" aca="1" ref="AE21" ca="1">$W$15-$S$15/2-MMULT(AA21:AD21-$R$6:$U$6,MMULT($L$6:$O$9,TRANSPOSE(AA21:AD21-$R$6:$U$6)))/2</f>
        <v>#NAME?</v>
      </c>
      <c r="AF21" s="275" t="e">
        <f t="array" aca="1" ref="AF21" ca="1">$W$16-$S$16/2-MMULT(AA21:AD21-$R$7:$U$7,MMULT($L$12:$O$15,TRANSPOSE(AA21:AD21-$R$7:$U$7)))/2</f>
        <v>#NAME?</v>
      </c>
      <c r="AG21" s="275" t="e">
        <f t="array" aca="1" ref="AG21" ca="1">$W$17-$S$17/2-MMULT(AA21:AD21-$R$8:$U$8,MMULT($L$18:$O$21,TRANSPOSE(AA21:AD21-$R$8:$U$8)))/2</f>
        <v>#NAME?</v>
      </c>
      <c r="AH21" s="275" t="e">
        <f t="array" aca="1" ref="AH21" ca="1">$W$18-$S$18/2-MMULT(AA21:AD21-$R$9:$U$9,MMULT($L$24:$O$27,TRANSPOSE(AA21:AD21-$R$9:$U$9)))/2</f>
        <v>#NAME?</v>
      </c>
      <c r="AI21" s="275" t="e">
        <f t="array" aca="1" ref="AI21" ca="1">$W$19-$S$19/2-MMULT(AA21:AD21-$R$10:$U$10,MMULT($L$30:$O$33,TRANSPOSE(AA21:AD21-$R$10:$U$10)))/2</f>
        <v>#NAME?</v>
      </c>
      <c r="AJ21" s="240" t="e">
        <f t="shared" ca="1" si="4"/>
        <v>#NAME?</v>
      </c>
    </row>
    <row r="22" spans="1:42" x14ac:dyDescent="0.35">
      <c r="A22" t="s">
        <v>668</v>
      </c>
      <c r="B22" s="239">
        <v>67</v>
      </c>
      <c r="C22" s="73">
        <v>29</v>
      </c>
      <c r="D22" s="73">
        <v>32</v>
      </c>
      <c r="E22" s="215">
        <v>49</v>
      </c>
      <c r="Q22" t="s">
        <v>669</v>
      </c>
      <c r="R22" s="273" t="e">
        <f ca="1">BOXTEST(A4:E39)</f>
        <v>#NAME?</v>
      </c>
      <c r="Z22" t="str">
        <f t="shared" si="3"/>
        <v>Zinc</v>
      </c>
      <c r="AA22" s="239">
        <f t="shared" si="3"/>
        <v>67</v>
      </c>
      <c r="AB22" s="73">
        <f t="shared" si="3"/>
        <v>29</v>
      </c>
      <c r="AC22" s="73">
        <f t="shared" si="3"/>
        <v>32</v>
      </c>
      <c r="AD22" s="215">
        <f t="shared" si="3"/>
        <v>49</v>
      </c>
      <c r="AE22" s="274" t="e">
        <f t="array" aca="1" ref="AE22" ca="1">$W$15-$S$15/2-MMULT(AA22:AD22-$R$6:$U$6,MMULT($L$6:$O$9,TRANSPOSE(AA22:AD22-$R$6:$U$6)))/2</f>
        <v>#NAME?</v>
      </c>
      <c r="AF22" s="275" t="e">
        <f t="array" aca="1" ref="AF22" ca="1">$W$16-$S$16/2-MMULT(AA22:AD22-$R$7:$U$7,MMULT($L$12:$O$15,TRANSPOSE(AA22:AD22-$R$7:$U$7)))/2</f>
        <v>#NAME?</v>
      </c>
      <c r="AG22" s="275" t="e">
        <f t="array" aca="1" ref="AG22" ca="1">$W$17-$S$17/2-MMULT(AA22:AD22-$R$8:$U$8,MMULT($L$18:$O$21,TRANSPOSE(AA22:AD22-$R$8:$U$8)))/2</f>
        <v>#NAME?</v>
      </c>
      <c r="AH22" s="275" t="e">
        <f t="array" aca="1" ref="AH22" ca="1">$W$18-$S$18/2-MMULT(AA22:AD22-$R$9:$U$9,MMULT($L$24:$O$27,TRANSPOSE(AA22:AD22-$R$9:$U$9)))/2</f>
        <v>#NAME?</v>
      </c>
      <c r="AI22" s="275" t="e">
        <f t="array" aca="1" ref="AI22" ca="1">$W$19-$S$19/2-MMULT(AA22:AD22-$R$10:$U$10,MMULT($L$30:$O$33,TRANSPOSE(AA22:AD22-$R$10:$U$10)))/2</f>
        <v>#NAME?</v>
      </c>
      <c r="AJ22" s="240" t="e">
        <f t="shared" ca="1" si="4"/>
        <v>#NAME?</v>
      </c>
    </row>
    <row r="23" spans="1:42" x14ac:dyDescent="0.35">
      <c r="A23" t="s">
        <v>670</v>
      </c>
      <c r="B23" s="239">
        <v>43</v>
      </c>
      <c r="C23" s="73">
        <v>19</v>
      </c>
      <c r="D23" s="73">
        <v>32</v>
      </c>
      <c r="E23" s="215">
        <v>31</v>
      </c>
      <c r="G23" t="str">
        <f>A23</f>
        <v>Nickel</v>
      </c>
      <c r="Z23" t="str">
        <f t="shared" si="3"/>
        <v>Nickel</v>
      </c>
      <c r="AA23" s="239">
        <f t="shared" si="3"/>
        <v>43</v>
      </c>
      <c r="AB23" s="73">
        <f t="shared" si="3"/>
        <v>19</v>
      </c>
      <c r="AC23" s="73">
        <f t="shared" si="3"/>
        <v>32</v>
      </c>
      <c r="AD23" s="215">
        <f t="shared" si="3"/>
        <v>31</v>
      </c>
      <c r="AE23" s="274" t="e">
        <f t="array" aca="1" ref="AE23" ca="1">$W$15-$S$15/2-MMULT(AA23:AD23-$R$6:$U$6,MMULT($L$6:$O$9,TRANSPOSE(AA23:AD23-$R$6:$U$6)))/2</f>
        <v>#NAME?</v>
      </c>
      <c r="AF23" s="275" t="e">
        <f t="array" aca="1" ref="AF23" ca="1">$W$16-$S$16/2-MMULT(AA23:AD23-$R$7:$U$7,MMULT($L$12:$O$15,TRANSPOSE(AA23:AD23-$R$7:$U$7)))/2</f>
        <v>#NAME?</v>
      </c>
      <c r="AG23" s="275" t="e">
        <f t="array" aca="1" ref="AG23" ca="1">$W$17-$S$17/2-MMULT(AA23:AD23-$R$8:$U$8,MMULT($L$18:$O$21,TRANSPOSE(AA23:AD23-$R$8:$U$8)))/2</f>
        <v>#NAME?</v>
      </c>
      <c r="AH23" s="275" t="e">
        <f t="array" aca="1" ref="AH23" ca="1">$W$18-$S$18/2-MMULT(AA23:AD23-$R$9:$U$9,MMULT($L$24:$O$27,TRANSPOSE(AA23:AD23-$R$9:$U$9)))/2</f>
        <v>#NAME?</v>
      </c>
      <c r="AI23" s="275" t="e">
        <f t="array" aca="1" ref="AI23" ca="1">$W$19-$S$19/2-MMULT(AA23:AD23-$R$10:$U$10,MMULT($L$30:$O$33,TRANSPOSE(AA23:AD23-$R$10:$U$10)))/2</f>
        <v>#NAME?</v>
      </c>
      <c r="AJ23" s="240" t="e">
        <f t="shared" ca="1" si="4"/>
        <v>#NAME?</v>
      </c>
    </row>
    <row r="24" spans="1:42" x14ac:dyDescent="0.35">
      <c r="A24" t="s">
        <v>670</v>
      </c>
      <c r="B24" s="239">
        <v>49</v>
      </c>
      <c r="C24" s="73">
        <v>21</v>
      </c>
      <c r="D24" s="73">
        <v>31</v>
      </c>
      <c r="E24" s="215">
        <v>23</v>
      </c>
      <c r="G24" s="138" t="e">
        <f t="array" aca="1" ref="G24:J27" ca="1">ExtractCov($A$4:$E$39,G23)</f>
        <v>#NAME?</v>
      </c>
      <c r="H24" s="139" t="e">
        <f ca="1"/>
        <v>#NAME?</v>
      </c>
      <c r="I24" s="139" t="e">
        <f ca="1"/>
        <v>#NAME?</v>
      </c>
      <c r="J24" s="140" t="e">
        <f ca="1"/>
        <v>#NAME?</v>
      </c>
      <c r="L24" s="138" t="e">
        <f t="array" aca="1" ref="L24:O27" ca="1">MINVERSE(G24:J27)</f>
        <v>#NAME?</v>
      </c>
      <c r="M24" s="139" t="e">
        <f ca="1"/>
        <v>#NAME?</v>
      </c>
      <c r="N24" s="139" t="e">
        <f ca="1"/>
        <v>#NAME?</v>
      </c>
      <c r="O24" s="140" t="e">
        <f ca="1"/>
        <v>#NAME?</v>
      </c>
      <c r="Z24" t="str">
        <f t="shared" si="3"/>
        <v>Nickel</v>
      </c>
      <c r="AA24" s="239">
        <f t="shared" si="3"/>
        <v>49</v>
      </c>
      <c r="AB24" s="73">
        <f t="shared" si="3"/>
        <v>21</v>
      </c>
      <c r="AC24" s="73">
        <f t="shared" si="3"/>
        <v>31</v>
      </c>
      <c r="AD24" s="215">
        <f t="shared" si="3"/>
        <v>23</v>
      </c>
      <c r="AE24" s="274" t="e">
        <f t="array" aca="1" ref="AE24" ca="1">$W$15-$S$15/2-MMULT(AA24:AD24-$R$6:$U$6,MMULT($L$6:$O$9,TRANSPOSE(AA24:AD24-$R$6:$U$6)))/2</f>
        <v>#NAME?</v>
      </c>
      <c r="AF24" s="275" t="e">
        <f t="array" aca="1" ref="AF24" ca="1">$W$16-$S$16/2-MMULT(AA24:AD24-$R$7:$U$7,MMULT($L$12:$O$15,TRANSPOSE(AA24:AD24-$R$7:$U$7)))/2</f>
        <v>#NAME?</v>
      </c>
      <c r="AG24" s="275" t="e">
        <f t="array" aca="1" ref="AG24" ca="1">$W$17-$S$17/2-MMULT(AA24:AD24-$R$8:$U$8,MMULT($L$18:$O$21,TRANSPOSE(AA24:AD24-$R$8:$U$8)))/2</f>
        <v>#NAME?</v>
      </c>
      <c r="AH24" s="275" t="e">
        <f t="array" aca="1" ref="AH24" ca="1">$W$18-$S$18/2-MMULT(AA24:AD24-$R$9:$U$9,MMULT($L$24:$O$27,TRANSPOSE(AA24:AD24-$R$9:$U$9)))/2</f>
        <v>#NAME?</v>
      </c>
      <c r="AI24" s="275" t="e">
        <f t="array" aca="1" ref="AI24" ca="1">$W$19-$S$19/2-MMULT(AA24:AD24-$R$10:$U$10,MMULT($L$30:$O$33,TRANSPOSE(AA24:AD24-$R$10:$U$10)))/2</f>
        <v>#NAME?</v>
      </c>
      <c r="AJ24" s="240" t="e">
        <f t="shared" ca="1" si="4"/>
        <v>#NAME?</v>
      </c>
    </row>
    <row r="25" spans="1:42" x14ac:dyDescent="0.35">
      <c r="A25" t="s">
        <v>670</v>
      </c>
      <c r="B25" s="239">
        <v>67</v>
      </c>
      <c r="C25" s="73">
        <v>21</v>
      </c>
      <c r="D25" s="73">
        <v>23</v>
      </c>
      <c r="E25" s="215">
        <v>36</v>
      </c>
      <c r="G25" s="123" t="e">
        <f ca="1"/>
        <v>#NAME?</v>
      </c>
      <c r="H25" s="37" t="e">
        <f ca="1"/>
        <v>#NAME?</v>
      </c>
      <c r="I25" s="37" t="e">
        <f ca="1"/>
        <v>#NAME?</v>
      </c>
      <c r="J25" s="90" t="e">
        <f ca="1"/>
        <v>#NAME?</v>
      </c>
      <c r="L25" s="123" t="e">
        <f ca="1"/>
        <v>#NAME?</v>
      </c>
      <c r="M25" s="37" t="e">
        <f ca="1"/>
        <v>#NAME?</v>
      </c>
      <c r="N25" s="37" t="e">
        <f ca="1"/>
        <v>#NAME?</v>
      </c>
      <c r="O25" s="90" t="e">
        <f ca="1"/>
        <v>#NAME?</v>
      </c>
      <c r="Z25" t="str">
        <f t="shared" si="3"/>
        <v>Nickel</v>
      </c>
      <c r="AA25" s="239">
        <f t="shared" si="3"/>
        <v>67</v>
      </c>
      <c r="AB25" s="73">
        <f t="shared" si="3"/>
        <v>21</v>
      </c>
      <c r="AC25" s="73">
        <f t="shared" si="3"/>
        <v>23</v>
      </c>
      <c r="AD25" s="215">
        <f t="shared" si="3"/>
        <v>36</v>
      </c>
      <c r="AE25" s="274" t="e">
        <f t="array" aca="1" ref="AE25" ca="1">$W$15-$S$15/2-MMULT(AA25:AD25-$R$6:$U$6,MMULT($L$6:$O$9,TRANSPOSE(AA25:AD25-$R$6:$U$6)))/2</f>
        <v>#NAME?</v>
      </c>
      <c r="AF25" s="275" t="e">
        <f t="array" aca="1" ref="AF25" ca="1">$W$16-$S$16/2-MMULT(AA25:AD25-$R$7:$U$7,MMULT($L$12:$O$15,TRANSPOSE(AA25:AD25-$R$7:$U$7)))/2</f>
        <v>#NAME?</v>
      </c>
      <c r="AG25" s="275" t="e">
        <f t="array" aca="1" ref="AG25" ca="1">$W$17-$S$17/2-MMULT(AA25:AD25-$R$8:$U$8,MMULT($L$18:$O$21,TRANSPOSE(AA25:AD25-$R$8:$U$8)))/2</f>
        <v>#NAME?</v>
      </c>
      <c r="AH25" s="275" t="e">
        <f t="array" aca="1" ref="AH25" ca="1">$W$18-$S$18/2-MMULT(AA25:AD25-$R$9:$U$9,MMULT($L$24:$O$27,TRANSPOSE(AA25:AD25-$R$9:$U$9)))/2</f>
        <v>#NAME?</v>
      </c>
      <c r="AI25" s="275" t="e">
        <f t="array" aca="1" ref="AI25" ca="1">$W$19-$S$19/2-MMULT(AA25:AD25-$R$10:$U$10,MMULT($L$30:$O$33,TRANSPOSE(AA25:AD25-$R$10:$U$10)))/2</f>
        <v>#NAME?</v>
      </c>
      <c r="AJ25" s="240" t="e">
        <f t="shared" ca="1" si="4"/>
        <v>#NAME?</v>
      </c>
    </row>
    <row r="26" spans="1:42" x14ac:dyDescent="0.35">
      <c r="A26" t="s">
        <v>670</v>
      </c>
      <c r="B26" s="239">
        <v>80</v>
      </c>
      <c r="C26" s="73">
        <v>19</v>
      </c>
      <c r="D26" s="73">
        <v>28</v>
      </c>
      <c r="E26" s="215">
        <v>37</v>
      </c>
      <c r="G26" s="123" t="e">
        <f ca="1"/>
        <v>#NAME?</v>
      </c>
      <c r="H26" s="37" t="e">
        <f ca="1"/>
        <v>#NAME?</v>
      </c>
      <c r="I26" s="37" t="e">
        <f ca="1"/>
        <v>#NAME?</v>
      </c>
      <c r="J26" s="90" t="e">
        <f ca="1"/>
        <v>#NAME?</v>
      </c>
      <c r="L26" s="123" t="e">
        <f ca="1"/>
        <v>#NAME?</v>
      </c>
      <c r="M26" s="37" t="e">
        <f ca="1"/>
        <v>#NAME?</v>
      </c>
      <c r="N26" s="37" t="e">
        <f ca="1"/>
        <v>#NAME?</v>
      </c>
      <c r="O26" s="90" t="e">
        <f ca="1"/>
        <v>#NAME?</v>
      </c>
      <c r="Z26" t="str">
        <f t="shared" si="3"/>
        <v>Nickel</v>
      </c>
      <c r="AA26" s="239">
        <f t="shared" si="3"/>
        <v>80</v>
      </c>
      <c r="AB26" s="73">
        <f t="shared" si="3"/>
        <v>19</v>
      </c>
      <c r="AC26" s="73">
        <f t="shared" si="3"/>
        <v>28</v>
      </c>
      <c r="AD26" s="215">
        <f t="shared" si="3"/>
        <v>37</v>
      </c>
      <c r="AE26" s="274" t="e">
        <f t="array" aca="1" ref="AE26" ca="1">$W$15-$S$15/2-MMULT(AA26:AD26-$R$6:$U$6,MMULT($L$6:$O$9,TRANSPOSE(AA26:AD26-$R$6:$U$6)))/2</f>
        <v>#NAME?</v>
      </c>
      <c r="AF26" s="275" t="e">
        <f t="array" aca="1" ref="AF26" ca="1">$W$16-$S$16/2-MMULT(AA26:AD26-$R$7:$U$7,MMULT($L$12:$O$15,TRANSPOSE(AA26:AD26-$R$7:$U$7)))/2</f>
        <v>#NAME?</v>
      </c>
      <c r="AG26" s="275" t="e">
        <f t="array" aca="1" ref="AG26" ca="1">$W$17-$S$17/2-MMULT(AA26:AD26-$R$8:$U$8,MMULT($L$18:$O$21,TRANSPOSE(AA26:AD26-$R$8:$U$8)))/2</f>
        <v>#NAME?</v>
      </c>
      <c r="AH26" s="275" t="e">
        <f t="array" aca="1" ref="AH26" ca="1">$W$18-$S$18/2-MMULT(AA26:AD26-$R$9:$U$9,MMULT($L$24:$O$27,TRANSPOSE(AA26:AD26-$R$9:$U$9)))/2</f>
        <v>#NAME?</v>
      </c>
      <c r="AI26" s="275" t="e">
        <f t="array" aca="1" ref="AI26" ca="1">$W$19-$S$19/2-MMULT(AA26:AD26-$R$10:$U$10,MMULT($L$30:$O$33,TRANSPOSE(AA26:AD26-$R$10:$U$10)))/2</f>
        <v>#NAME?</v>
      </c>
      <c r="AJ26" s="240" t="e">
        <f t="shared" ca="1" si="4"/>
        <v>#NAME?</v>
      </c>
    </row>
    <row r="27" spans="1:42" x14ac:dyDescent="0.35">
      <c r="A27" t="s">
        <v>670</v>
      </c>
      <c r="B27" s="239">
        <v>49</v>
      </c>
      <c r="C27" s="73">
        <v>35</v>
      </c>
      <c r="D27" s="73">
        <v>38</v>
      </c>
      <c r="E27" s="215">
        <v>17</v>
      </c>
      <c r="G27" s="91" t="e">
        <f ca="1"/>
        <v>#NAME?</v>
      </c>
      <c r="H27" s="92" t="e">
        <f ca="1"/>
        <v>#NAME?</v>
      </c>
      <c r="I27" s="92" t="e">
        <f ca="1"/>
        <v>#NAME?</v>
      </c>
      <c r="J27" s="93" t="e">
        <f ca="1"/>
        <v>#NAME?</v>
      </c>
      <c r="L27" s="91" t="e">
        <f ca="1"/>
        <v>#NAME?</v>
      </c>
      <c r="M27" s="92" t="e">
        <f ca="1"/>
        <v>#NAME?</v>
      </c>
      <c r="N27" s="92" t="e">
        <f ca="1"/>
        <v>#NAME?</v>
      </c>
      <c r="O27" s="93" t="e">
        <f ca="1"/>
        <v>#NAME?</v>
      </c>
      <c r="Z27" t="str">
        <f t="shared" si="3"/>
        <v>Nickel</v>
      </c>
      <c r="AA27" s="239">
        <f t="shared" si="3"/>
        <v>49</v>
      </c>
      <c r="AB27" s="73">
        <f t="shared" si="3"/>
        <v>35</v>
      </c>
      <c r="AC27" s="73">
        <f t="shared" si="3"/>
        <v>38</v>
      </c>
      <c r="AD27" s="215">
        <f t="shared" si="3"/>
        <v>17</v>
      </c>
      <c r="AE27" s="274" t="e">
        <f t="array" aca="1" ref="AE27" ca="1">$W$15-$S$15/2-MMULT(AA27:AD27-$R$6:$U$6,MMULT($L$6:$O$9,TRANSPOSE(AA27:AD27-$R$6:$U$6)))/2</f>
        <v>#NAME?</v>
      </c>
      <c r="AF27" s="275" t="e">
        <f t="array" aca="1" ref="AF27" ca="1">$W$16-$S$16/2-MMULT(AA27:AD27-$R$7:$U$7,MMULT($L$12:$O$15,TRANSPOSE(AA27:AD27-$R$7:$U$7)))/2</f>
        <v>#NAME?</v>
      </c>
      <c r="AG27" s="275" t="e">
        <f t="array" aca="1" ref="AG27" ca="1">$W$17-$S$17/2-MMULT(AA27:AD27-$R$8:$U$8,MMULT($L$18:$O$21,TRANSPOSE(AA27:AD27-$R$8:$U$8)))/2</f>
        <v>#NAME?</v>
      </c>
      <c r="AH27" s="275" t="e">
        <f t="array" aca="1" ref="AH27" ca="1">$W$18-$S$18/2-MMULT(AA27:AD27-$R$9:$U$9,MMULT($L$24:$O$27,TRANSPOSE(AA27:AD27-$R$9:$U$9)))/2</f>
        <v>#NAME?</v>
      </c>
      <c r="AI27" s="275" t="e">
        <f t="array" aca="1" ref="AI27" ca="1">$W$19-$S$19/2-MMULT(AA27:AD27-$R$10:$U$10,MMULT($L$30:$O$33,TRANSPOSE(AA27:AD27-$R$10:$U$10)))/2</f>
        <v>#NAME?</v>
      </c>
      <c r="AJ27" s="240" t="e">
        <f t="shared" ca="1" si="4"/>
        <v>#NAME?</v>
      </c>
    </row>
    <row r="28" spans="1:42" x14ac:dyDescent="0.35">
      <c r="A28" t="s">
        <v>670</v>
      </c>
      <c r="B28" s="239">
        <v>51</v>
      </c>
      <c r="C28" s="73">
        <v>44</v>
      </c>
      <c r="D28" s="73">
        <v>9</v>
      </c>
      <c r="E28" s="215">
        <v>37</v>
      </c>
      <c r="Z28" t="str">
        <f t="shared" si="3"/>
        <v>Nickel</v>
      </c>
      <c r="AA28" s="239">
        <f t="shared" si="3"/>
        <v>51</v>
      </c>
      <c r="AB28" s="73">
        <f t="shared" si="3"/>
        <v>44</v>
      </c>
      <c r="AC28" s="73">
        <f t="shared" si="3"/>
        <v>9</v>
      </c>
      <c r="AD28" s="215">
        <f t="shared" si="3"/>
        <v>37</v>
      </c>
      <c r="AE28" s="274" t="e">
        <f t="array" aca="1" ref="AE28" ca="1">$W$15-$S$15/2-MMULT(AA28:AD28-$R$6:$U$6,MMULT($L$6:$O$9,TRANSPOSE(AA28:AD28-$R$6:$U$6)))/2</f>
        <v>#NAME?</v>
      </c>
      <c r="AF28" s="275" t="e">
        <f t="array" aca="1" ref="AF28" ca="1">$W$16-$S$16/2-MMULT(AA28:AD28-$R$7:$U$7,MMULT($L$12:$O$15,TRANSPOSE(AA28:AD28-$R$7:$U$7)))/2</f>
        <v>#NAME?</v>
      </c>
      <c r="AG28" s="275" t="e">
        <f t="array" aca="1" ref="AG28" ca="1">$W$17-$S$17/2-MMULT(AA28:AD28-$R$8:$U$8,MMULT($L$18:$O$21,TRANSPOSE(AA28:AD28-$R$8:$U$8)))/2</f>
        <v>#NAME?</v>
      </c>
      <c r="AH28" s="275" t="e">
        <f t="array" aca="1" ref="AH28" ca="1">$W$18-$S$18/2-MMULT(AA28:AD28-$R$9:$U$9,MMULT($L$24:$O$27,TRANSPOSE(AA28:AD28-$R$9:$U$9)))/2</f>
        <v>#NAME?</v>
      </c>
      <c r="AI28" s="275" t="e">
        <f t="array" aca="1" ref="AI28" ca="1">$W$19-$S$19/2-MMULT(AA28:AD28-$R$10:$U$10,MMULT($L$30:$O$33,TRANSPOSE(AA28:AD28-$R$10:$U$10)))/2</f>
        <v>#NAME?</v>
      </c>
      <c r="AJ28" s="240" t="e">
        <f t="shared" ca="1" si="4"/>
        <v>#NAME?</v>
      </c>
    </row>
    <row r="29" spans="1:42" x14ac:dyDescent="0.35">
      <c r="A29" t="s">
        <v>670</v>
      </c>
      <c r="B29" s="239">
        <v>23</v>
      </c>
      <c r="C29" s="73">
        <v>37</v>
      </c>
      <c r="D29" s="73">
        <v>39</v>
      </c>
      <c r="E29" s="215">
        <v>37</v>
      </c>
      <c r="G29" t="str">
        <f>A30</f>
        <v>Tin</v>
      </c>
      <c r="Z29" t="str">
        <f t="shared" si="3"/>
        <v>Nickel</v>
      </c>
      <c r="AA29" s="239">
        <f t="shared" si="3"/>
        <v>23</v>
      </c>
      <c r="AB29" s="73">
        <f t="shared" si="3"/>
        <v>37</v>
      </c>
      <c r="AC29" s="73">
        <f t="shared" si="3"/>
        <v>39</v>
      </c>
      <c r="AD29" s="215">
        <f t="shared" si="3"/>
        <v>37</v>
      </c>
      <c r="AE29" s="274" t="e">
        <f t="array" aca="1" ref="AE29" ca="1">$W$15-$S$15/2-MMULT(AA29:AD29-$R$6:$U$6,MMULT($L$6:$O$9,TRANSPOSE(AA29:AD29-$R$6:$U$6)))/2</f>
        <v>#NAME?</v>
      </c>
      <c r="AF29" s="275" t="e">
        <f t="array" aca="1" ref="AF29" ca="1">$W$16-$S$16/2-MMULT(AA29:AD29-$R$7:$U$7,MMULT($L$12:$O$15,TRANSPOSE(AA29:AD29-$R$7:$U$7)))/2</f>
        <v>#NAME?</v>
      </c>
      <c r="AG29" s="275" t="e">
        <f t="array" aca="1" ref="AG29" ca="1">$W$17-$S$17/2-MMULT(AA29:AD29-$R$8:$U$8,MMULT($L$18:$O$21,TRANSPOSE(AA29:AD29-$R$8:$U$8)))/2</f>
        <v>#NAME?</v>
      </c>
      <c r="AH29" s="275" t="e">
        <f t="array" aca="1" ref="AH29" ca="1">$W$18-$S$18/2-MMULT(AA29:AD29-$R$9:$U$9,MMULT($L$24:$O$27,TRANSPOSE(AA29:AD29-$R$9:$U$9)))/2</f>
        <v>#NAME?</v>
      </c>
      <c r="AI29" s="275" t="e">
        <f t="array" aca="1" ref="AI29" ca="1">$W$19-$S$19/2-MMULT(AA29:AD29-$R$10:$U$10,MMULT($L$30:$O$33,TRANSPOSE(AA29:AD29-$R$10:$U$10)))/2</f>
        <v>#NAME?</v>
      </c>
      <c r="AJ29" s="240" t="e">
        <f t="shared" ca="1" si="4"/>
        <v>#NAME?</v>
      </c>
    </row>
    <row r="30" spans="1:42" x14ac:dyDescent="0.35">
      <c r="A30" t="s">
        <v>671</v>
      </c>
      <c r="B30" s="239">
        <v>47</v>
      </c>
      <c r="C30" s="73">
        <v>47</v>
      </c>
      <c r="D30" s="73">
        <v>32</v>
      </c>
      <c r="E30" s="215">
        <v>27</v>
      </c>
      <c r="G30" s="138" t="e">
        <f t="array" aca="1" ref="G30:J33" ca="1">ExtractCov($A$4:$E$39,G29)</f>
        <v>#NAME?</v>
      </c>
      <c r="H30" s="139" t="e">
        <f ca="1"/>
        <v>#NAME?</v>
      </c>
      <c r="I30" s="139" t="e">
        <f ca="1"/>
        <v>#NAME?</v>
      </c>
      <c r="J30" s="140" t="e">
        <f ca="1"/>
        <v>#NAME?</v>
      </c>
      <c r="L30" s="138" t="e">
        <f t="array" aca="1" ref="L30:O33" ca="1">MINVERSE(G30:J33)</f>
        <v>#NAME?</v>
      </c>
      <c r="M30" s="139" t="e">
        <f ca="1"/>
        <v>#NAME?</v>
      </c>
      <c r="N30" s="139" t="e">
        <f ca="1"/>
        <v>#NAME?</v>
      </c>
      <c r="O30" s="140" t="e">
        <f ca="1"/>
        <v>#NAME?</v>
      </c>
      <c r="Z30" t="str">
        <f t="shared" si="3"/>
        <v>Tin</v>
      </c>
      <c r="AA30" s="239">
        <f t="shared" si="3"/>
        <v>47</v>
      </c>
      <c r="AB30" s="73">
        <f t="shared" si="3"/>
        <v>47</v>
      </c>
      <c r="AC30" s="73">
        <f t="shared" si="3"/>
        <v>32</v>
      </c>
      <c r="AD30" s="215">
        <f t="shared" si="3"/>
        <v>27</v>
      </c>
      <c r="AE30" s="274" t="e">
        <f t="array" aca="1" ref="AE30" ca="1">$W$15-$S$15/2-MMULT(AA30:AD30-$R$6:$U$6,MMULT($L$6:$O$9,TRANSPOSE(AA30:AD30-$R$6:$U$6)))/2</f>
        <v>#NAME?</v>
      </c>
      <c r="AF30" s="275" t="e">
        <f t="array" aca="1" ref="AF30" ca="1">$W$16-$S$16/2-MMULT(AA30:AD30-$R$7:$U$7,MMULT($L$12:$O$15,TRANSPOSE(AA30:AD30-$R$7:$U$7)))/2</f>
        <v>#NAME?</v>
      </c>
      <c r="AG30" s="275" t="e">
        <f t="array" aca="1" ref="AG30" ca="1">$W$17-$S$17/2-MMULT(AA30:AD30-$R$8:$U$8,MMULT($L$18:$O$21,TRANSPOSE(AA30:AD30-$R$8:$U$8)))/2</f>
        <v>#NAME?</v>
      </c>
      <c r="AH30" s="275" t="e">
        <f t="array" aca="1" ref="AH30" ca="1">$W$18-$S$18/2-MMULT(AA30:AD30-$R$9:$U$9,MMULT($L$24:$O$27,TRANSPOSE(AA30:AD30-$R$9:$U$9)))/2</f>
        <v>#NAME?</v>
      </c>
      <c r="AI30" s="275" t="e">
        <f t="array" aca="1" ref="AI30" ca="1">$W$19-$S$19/2-MMULT(AA30:AD30-$R$10:$U$10,MMULT($L$30:$O$33,TRANSPOSE(AA30:AD30-$R$10:$U$10)))/2</f>
        <v>#NAME?</v>
      </c>
      <c r="AJ30" s="240" t="e">
        <f t="shared" ca="1" si="4"/>
        <v>#NAME?</v>
      </c>
    </row>
    <row r="31" spans="1:42" x14ac:dyDescent="0.35">
      <c r="A31" t="s">
        <v>671</v>
      </c>
      <c r="B31" s="239">
        <v>125</v>
      </c>
      <c r="C31" s="73">
        <v>44</v>
      </c>
      <c r="D31" s="73">
        <v>68</v>
      </c>
      <c r="E31" s="215">
        <v>20</v>
      </c>
      <c r="G31" s="123" t="e">
        <f ca="1"/>
        <v>#NAME?</v>
      </c>
      <c r="H31" s="37" t="e">
        <f ca="1"/>
        <v>#NAME?</v>
      </c>
      <c r="I31" s="37" t="e">
        <f ca="1"/>
        <v>#NAME?</v>
      </c>
      <c r="J31" s="90" t="e">
        <f ca="1"/>
        <v>#NAME?</v>
      </c>
      <c r="L31" s="123" t="e">
        <f ca="1"/>
        <v>#NAME?</v>
      </c>
      <c r="M31" s="37" t="e">
        <f ca="1"/>
        <v>#NAME?</v>
      </c>
      <c r="N31" s="37" t="e">
        <f ca="1"/>
        <v>#NAME?</v>
      </c>
      <c r="O31" s="90" t="e">
        <f ca="1"/>
        <v>#NAME?</v>
      </c>
      <c r="Z31" t="str">
        <f t="shared" si="3"/>
        <v>Tin</v>
      </c>
      <c r="AA31" s="239">
        <f t="shared" si="3"/>
        <v>125</v>
      </c>
      <c r="AB31" s="73">
        <f t="shared" si="3"/>
        <v>44</v>
      </c>
      <c r="AC31" s="73">
        <f t="shared" si="3"/>
        <v>68</v>
      </c>
      <c r="AD31" s="215">
        <f t="shared" si="3"/>
        <v>20</v>
      </c>
      <c r="AE31" s="274" t="e">
        <f t="array" aca="1" ref="AE31" ca="1">$W$15-$S$15/2-MMULT(AA31:AD31-$R$6:$U$6,MMULT($L$6:$O$9,TRANSPOSE(AA31:AD31-$R$6:$U$6)))/2</f>
        <v>#NAME?</v>
      </c>
      <c r="AF31" s="275" t="e">
        <f t="array" aca="1" ref="AF31" ca="1">$W$16-$S$16/2-MMULT(AA31:AD31-$R$7:$U$7,MMULT($L$12:$O$15,TRANSPOSE(AA31:AD31-$R$7:$U$7)))/2</f>
        <v>#NAME?</v>
      </c>
      <c r="AG31" s="275" t="e">
        <f t="array" aca="1" ref="AG31" ca="1">$W$17-$S$17/2-MMULT(AA31:AD31-$R$8:$U$8,MMULT($L$18:$O$21,TRANSPOSE(AA31:AD31-$R$8:$U$8)))/2</f>
        <v>#NAME?</v>
      </c>
      <c r="AH31" s="275" t="e">
        <f t="array" aca="1" ref="AH31" ca="1">$W$18-$S$18/2-MMULT(AA31:AD31-$R$9:$U$9,MMULT($L$24:$O$27,TRANSPOSE(AA31:AD31-$R$9:$U$9)))/2</f>
        <v>#NAME?</v>
      </c>
      <c r="AI31" s="275" t="e">
        <f t="array" aca="1" ref="AI31" ca="1">$W$19-$S$19/2-MMULT(AA31:AD31-$R$10:$U$10,MMULT($L$30:$O$33,TRANSPOSE(AA31:AD31-$R$10:$U$10)))/2</f>
        <v>#NAME?</v>
      </c>
      <c r="AJ31" s="240" t="e">
        <f t="shared" ca="1" si="4"/>
        <v>#NAME?</v>
      </c>
    </row>
    <row r="32" spans="1:42" x14ac:dyDescent="0.35">
      <c r="A32" t="s">
        <v>671</v>
      </c>
      <c r="B32" s="239">
        <v>98</v>
      </c>
      <c r="C32" s="73">
        <v>25</v>
      </c>
      <c r="D32" s="73">
        <v>38</v>
      </c>
      <c r="E32" s="215">
        <v>18</v>
      </c>
      <c r="G32" s="123" t="e">
        <f ca="1"/>
        <v>#NAME?</v>
      </c>
      <c r="H32" s="37" t="e">
        <f ca="1"/>
        <v>#NAME?</v>
      </c>
      <c r="I32" s="37" t="e">
        <f ca="1"/>
        <v>#NAME?</v>
      </c>
      <c r="J32" s="90" t="e">
        <f ca="1"/>
        <v>#NAME?</v>
      </c>
      <c r="L32" s="123" t="e">
        <f ca="1"/>
        <v>#NAME?</v>
      </c>
      <c r="M32" s="37" t="e">
        <f ca="1"/>
        <v>#NAME?</v>
      </c>
      <c r="N32" s="37" t="e">
        <f ca="1"/>
        <v>#NAME?</v>
      </c>
      <c r="O32" s="90" t="e">
        <f ca="1"/>
        <v>#NAME?</v>
      </c>
      <c r="Z32" t="str">
        <f t="shared" si="3"/>
        <v>Tin</v>
      </c>
      <c r="AA32" s="239">
        <f t="shared" si="3"/>
        <v>98</v>
      </c>
      <c r="AB32" s="73">
        <f t="shared" si="3"/>
        <v>25</v>
      </c>
      <c r="AC32" s="73">
        <f t="shared" si="3"/>
        <v>38</v>
      </c>
      <c r="AD32" s="215">
        <f t="shared" si="3"/>
        <v>18</v>
      </c>
      <c r="AE32" s="274" t="e">
        <f t="array" aca="1" ref="AE32" ca="1">$W$15-$S$15/2-MMULT(AA32:AD32-$R$6:$U$6,MMULT($L$6:$O$9,TRANSPOSE(AA32:AD32-$R$6:$U$6)))/2</f>
        <v>#NAME?</v>
      </c>
      <c r="AF32" s="275" t="e">
        <f t="array" aca="1" ref="AF32" ca="1">$W$16-$S$16/2-MMULT(AA32:AD32-$R$7:$U$7,MMULT($L$12:$O$15,TRANSPOSE(AA32:AD32-$R$7:$U$7)))/2</f>
        <v>#NAME?</v>
      </c>
      <c r="AG32" s="275" t="e">
        <f t="array" aca="1" ref="AG32" ca="1">$W$17-$S$17/2-MMULT(AA32:AD32-$R$8:$U$8,MMULT($L$18:$O$21,TRANSPOSE(AA32:AD32-$R$8:$U$8)))/2</f>
        <v>#NAME?</v>
      </c>
      <c r="AH32" s="275" t="e">
        <f t="array" aca="1" ref="AH32" ca="1">$W$18-$S$18/2-MMULT(AA32:AD32-$R$9:$U$9,MMULT($L$24:$O$27,TRANSPOSE(AA32:AD32-$R$9:$U$9)))/2</f>
        <v>#NAME?</v>
      </c>
      <c r="AI32" s="275" t="e">
        <f t="array" aca="1" ref="AI32" ca="1">$W$19-$S$19/2-MMULT(AA32:AD32-$R$10:$U$10,MMULT($L$30:$O$33,TRANSPOSE(AA32:AD32-$R$10:$U$10)))/2</f>
        <v>#NAME?</v>
      </c>
      <c r="AJ32" s="240" t="e">
        <f t="shared" ca="1" si="4"/>
        <v>#NAME?</v>
      </c>
    </row>
    <row r="33" spans="1:36" x14ac:dyDescent="0.35">
      <c r="A33" t="s">
        <v>671</v>
      </c>
      <c r="B33" s="239">
        <v>121</v>
      </c>
      <c r="C33" s="73">
        <v>39</v>
      </c>
      <c r="D33" s="73">
        <v>61</v>
      </c>
      <c r="E33" s="215">
        <v>33</v>
      </c>
      <c r="G33" s="91" t="e">
        <f ca="1"/>
        <v>#NAME?</v>
      </c>
      <c r="H33" s="92" t="e">
        <f ca="1"/>
        <v>#NAME?</v>
      </c>
      <c r="I33" s="92" t="e">
        <f ca="1"/>
        <v>#NAME?</v>
      </c>
      <c r="J33" s="93" t="e">
        <f ca="1"/>
        <v>#NAME?</v>
      </c>
      <c r="L33" s="91" t="e">
        <f ca="1"/>
        <v>#NAME?</v>
      </c>
      <c r="M33" s="92" t="e">
        <f ca="1"/>
        <v>#NAME?</v>
      </c>
      <c r="N33" s="92" t="e">
        <f ca="1"/>
        <v>#NAME?</v>
      </c>
      <c r="O33" s="93" t="e">
        <f ca="1"/>
        <v>#NAME?</v>
      </c>
      <c r="Z33" t="str">
        <f t="shared" si="3"/>
        <v>Tin</v>
      </c>
      <c r="AA33" s="239">
        <f t="shared" si="3"/>
        <v>121</v>
      </c>
      <c r="AB33" s="73">
        <f t="shared" si="3"/>
        <v>39</v>
      </c>
      <c r="AC33" s="73">
        <f t="shared" si="3"/>
        <v>61</v>
      </c>
      <c r="AD33" s="215">
        <f t="shared" si="3"/>
        <v>33</v>
      </c>
      <c r="AE33" s="274" t="e">
        <f t="array" aca="1" ref="AE33" ca="1">$W$15-$S$15/2-MMULT(AA33:AD33-$R$6:$U$6,MMULT($L$6:$O$9,TRANSPOSE(AA33:AD33-$R$6:$U$6)))/2</f>
        <v>#NAME?</v>
      </c>
      <c r="AF33" s="275" t="e">
        <f t="array" aca="1" ref="AF33" ca="1">$W$16-$S$16/2-MMULT(AA33:AD33-$R$7:$U$7,MMULT($L$12:$O$15,TRANSPOSE(AA33:AD33-$R$7:$U$7)))/2</f>
        <v>#NAME?</v>
      </c>
      <c r="AG33" s="275" t="e">
        <f t="array" aca="1" ref="AG33" ca="1">$W$17-$S$17/2-MMULT(AA33:AD33-$R$8:$U$8,MMULT($L$18:$O$21,TRANSPOSE(AA33:AD33-$R$8:$U$8)))/2</f>
        <v>#NAME?</v>
      </c>
      <c r="AH33" s="275" t="e">
        <f t="array" aca="1" ref="AH33" ca="1">$W$18-$S$18/2-MMULT(AA33:AD33-$R$9:$U$9,MMULT($L$24:$O$27,TRANSPOSE(AA33:AD33-$R$9:$U$9)))/2</f>
        <v>#NAME?</v>
      </c>
      <c r="AI33" s="275" t="e">
        <f t="array" aca="1" ref="AI33" ca="1">$W$19-$S$19/2-MMULT(AA33:AD33-$R$10:$U$10,MMULT($L$30:$O$33,TRANSPOSE(AA33:AD33-$R$10:$U$10)))/2</f>
        <v>#NAME?</v>
      </c>
      <c r="AJ33" s="240" t="e">
        <f t="shared" ca="1" si="4"/>
        <v>#NAME?</v>
      </c>
    </row>
    <row r="34" spans="1:36" x14ac:dyDescent="0.35">
      <c r="A34" t="s">
        <v>671</v>
      </c>
      <c r="B34" s="239">
        <v>61</v>
      </c>
      <c r="C34" s="73">
        <v>25</v>
      </c>
      <c r="D34" s="73">
        <v>25</v>
      </c>
      <c r="E34" s="215">
        <v>15</v>
      </c>
      <c r="Z34" t="str">
        <f t="shared" si="3"/>
        <v>Tin</v>
      </c>
      <c r="AA34" s="239">
        <f t="shared" si="3"/>
        <v>61</v>
      </c>
      <c r="AB34" s="73">
        <f t="shared" si="3"/>
        <v>25</v>
      </c>
      <c r="AC34" s="73">
        <f t="shared" si="3"/>
        <v>25</v>
      </c>
      <c r="AD34" s="215">
        <f t="shared" si="3"/>
        <v>15</v>
      </c>
      <c r="AE34" s="274" t="e">
        <f t="array" aca="1" ref="AE34" ca="1">$W$15-$S$15/2-MMULT(AA34:AD34-$R$6:$U$6,MMULT($L$6:$O$9,TRANSPOSE(AA34:AD34-$R$6:$U$6)))/2</f>
        <v>#NAME?</v>
      </c>
      <c r="AF34" s="275" t="e">
        <f t="array" aca="1" ref="AF34" ca="1">$W$16-$S$16/2-MMULT(AA34:AD34-$R$7:$U$7,MMULT($L$12:$O$15,TRANSPOSE(AA34:AD34-$R$7:$U$7)))/2</f>
        <v>#NAME?</v>
      </c>
      <c r="AG34" s="275" t="e">
        <f t="array" aca="1" ref="AG34" ca="1">$W$17-$S$17/2-MMULT(AA34:AD34-$R$8:$U$8,MMULT($L$18:$O$21,TRANSPOSE(AA34:AD34-$R$8:$U$8)))/2</f>
        <v>#NAME?</v>
      </c>
      <c r="AH34" s="275" t="e">
        <f t="array" aca="1" ref="AH34" ca="1">$W$18-$S$18/2-MMULT(AA34:AD34-$R$9:$U$9,MMULT($L$24:$O$27,TRANSPOSE(AA34:AD34-$R$9:$U$9)))/2</f>
        <v>#NAME?</v>
      </c>
      <c r="AI34" s="275" t="e">
        <f t="array" aca="1" ref="AI34" ca="1">$W$19-$S$19/2-MMULT(AA34:AD34-$R$10:$U$10,MMULT($L$30:$O$33,TRANSPOSE(AA34:AD34-$R$10:$U$10)))/2</f>
        <v>#NAME?</v>
      </c>
      <c r="AJ34" s="240" t="e">
        <f t="shared" ca="1" si="4"/>
        <v>#NAME?</v>
      </c>
    </row>
    <row r="35" spans="1:36" x14ac:dyDescent="0.35">
      <c r="A35" t="s">
        <v>671</v>
      </c>
      <c r="B35" s="239">
        <v>87</v>
      </c>
      <c r="C35" s="73">
        <v>11</v>
      </c>
      <c r="D35" s="73">
        <v>20</v>
      </c>
      <c r="E35" s="215">
        <v>45</v>
      </c>
      <c r="Z35" t="str">
        <f t="shared" si="3"/>
        <v>Tin</v>
      </c>
      <c r="AA35" s="239">
        <f t="shared" si="3"/>
        <v>87</v>
      </c>
      <c r="AB35" s="73">
        <f t="shared" si="3"/>
        <v>11</v>
      </c>
      <c r="AC35" s="73">
        <f t="shared" si="3"/>
        <v>20</v>
      </c>
      <c r="AD35" s="215">
        <f t="shared" si="3"/>
        <v>45</v>
      </c>
      <c r="AE35" s="274" t="e">
        <f t="array" aca="1" ref="AE35" ca="1">$W$15-$S$15/2-MMULT(AA35:AD35-$R$6:$U$6,MMULT($L$6:$O$9,TRANSPOSE(AA35:AD35-$R$6:$U$6)))/2</f>
        <v>#NAME?</v>
      </c>
      <c r="AF35" s="275" t="e">
        <f t="array" aca="1" ref="AF35" ca="1">$W$16-$S$16/2-MMULT(AA35:AD35-$R$7:$U$7,MMULT($L$12:$O$15,TRANSPOSE(AA35:AD35-$R$7:$U$7)))/2</f>
        <v>#NAME?</v>
      </c>
      <c r="AG35" s="275" t="e">
        <f t="array" aca="1" ref="AG35" ca="1">$W$17-$S$17/2-MMULT(AA35:AD35-$R$8:$U$8,MMULT($L$18:$O$21,TRANSPOSE(AA35:AD35-$R$8:$U$8)))/2</f>
        <v>#NAME?</v>
      </c>
      <c r="AH35" s="275" t="e">
        <f t="array" aca="1" ref="AH35" ca="1">$W$18-$S$18/2-MMULT(AA35:AD35-$R$9:$U$9,MMULT($L$24:$O$27,TRANSPOSE(AA35:AD35-$R$9:$U$9)))/2</f>
        <v>#NAME?</v>
      </c>
      <c r="AI35" s="275" t="e">
        <f t="array" aca="1" ref="AI35" ca="1">$W$19-$S$19/2-MMULT(AA35:AD35-$R$10:$U$10,MMULT($L$30:$O$33,TRANSPOSE(AA35:AD35-$R$10:$U$10)))/2</f>
        <v>#NAME?</v>
      </c>
      <c r="AJ35" s="240" t="e">
        <f t="shared" ca="1" si="4"/>
        <v>#NAME?</v>
      </c>
    </row>
    <row r="36" spans="1:36" x14ac:dyDescent="0.35">
      <c r="A36" t="s">
        <v>671</v>
      </c>
      <c r="B36" s="239">
        <v>63</v>
      </c>
      <c r="C36" s="73">
        <v>11</v>
      </c>
      <c r="D36" s="73">
        <v>34</v>
      </c>
      <c r="E36" s="215">
        <v>26</v>
      </c>
      <c r="Z36" t="str">
        <f t="shared" si="3"/>
        <v>Tin</v>
      </c>
      <c r="AA36" s="239">
        <f t="shared" si="3"/>
        <v>63</v>
      </c>
      <c r="AB36" s="73">
        <f t="shared" si="3"/>
        <v>11</v>
      </c>
      <c r="AC36" s="73">
        <f t="shared" si="3"/>
        <v>34</v>
      </c>
      <c r="AD36" s="215">
        <f t="shared" si="3"/>
        <v>26</v>
      </c>
      <c r="AE36" s="274" t="e">
        <f t="array" aca="1" ref="AE36" ca="1">$W$15-$S$15/2-MMULT(AA36:AD36-$R$6:$U$6,MMULT($L$6:$O$9,TRANSPOSE(AA36:AD36-$R$6:$U$6)))/2</f>
        <v>#NAME?</v>
      </c>
      <c r="AF36" s="275" t="e">
        <f t="array" aca="1" ref="AF36" ca="1">$W$16-$S$16/2-MMULT(AA36:AD36-$R$7:$U$7,MMULT($L$12:$O$15,TRANSPOSE(AA36:AD36-$R$7:$U$7)))/2</f>
        <v>#NAME?</v>
      </c>
      <c r="AG36" s="275" t="e">
        <f t="array" aca="1" ref="AG36" ca="1">$W$17-$S$17/2-MMULT(AA36:AD36-$R$8:$U$8,MMULT($L$18:$O$21,TRANSPOSE(AA36:AD36-$R$8:$U$8)))/2</f>
        <v>#NAME?</v>
      </c>
      <c r="AH36" s="275" t="e">
        <f t="array" aca="1" ref="AH36" ca="1">$W$18-$S$18/2-MMULT(AA36:AD36-$R$9:$U$9,MMULT($L$24:$O$27,TRANSPOSE(AA36:AD36-$R$9:$U$9)))/2</f>
        <v>#NAME?</v>
      </c>
      <c r="AI36" s="275" t="e">
        <f t="array" aca="1" ref="AI36" ca="1">$W$19-$S$19/2-MMULT(AA36:AD36-$R$10:$U$10,MMULT($L$30:$O$33,TRANSPOSE(AA36:AD36-$R$10:$U$10)))/2</f>
        <v>#NAME?</v>
      </c>
      <c r="AJ36" s="240" t="e">
        <f t="shared" ca="1" si="4"/>
        <v>#NAME?</v>
      </c>
    </row>
    <row r="37" spans="1:36" x14ac:dyDescent="0.35">
      <c r="A37" t="s">
        <v>671</v>
      </c>
      <c r="B37" s="239">
        <v>71</v>
      </c>
      <c r="C37" s="73">
        <v>21</v>
      </c>
      <c r="D37" s="73">
        <v>61</v>
      </c>
      <c r="E37" s="215">
        <v>26</v>
      </c>
      <c r="Z37" t="str">
        <f t="shared" si="3"/>
        <v>Tin</v>
      </c>
      <c r="AA37" s="239">
        <f t="shared" si="3"/>
        <v>71</v>
      </c>
      <c r="AB37" s="73">
        <f t="shared" si="3"/>
        <v>21</v>
      </c>
      <c r="AC37" s="73">
        <f t="shared" si="3"/>
        <v>61</v>
      </c>
      <c r="AD37" s="215">
        <f t="shared" si="3"/>
        <v>26</v>
      </c>
      <c r="AE37" s="274" t="e">
        <f t="array" aca="1" ref="AE37" ca="1">$W$15-$S$15/2-MMULT(AA37:AD37-$R$6:$U$6,MMULT($L$6:$O$9,TRANSPOSE(AA37:AD37-$R$6:$U$6)))/2</f>
        <v>#NAME?</v>
      </c>
      <c r="AF37" s="275" t="e">
        <f t="array" aca="1" ref="AF37" ca="1">$W$16-$S$16/2-MMULT(AA37:AD37-$R$7:$U$7,MMULT($L$12:$O$15,TRANSPOSE(AA37:AD37-$R$7:$U$7)))/2</f>
        <v>#NAME?</v>
      </c>
      <c r="AG37" s="275" t="e">
        <f t="array" aca="1" ref="AG37" ca="1">$W$17-$S$17/2-MMULT(AA37:AD37-$R$8:$U$8,MMULT($L$18:$O$21,TRANSPOSE(AA37:AD37-$R$8:$U$8)))/2</f>
        <v>#NAME?</v>
      </c>
      <c r="AH37" s="275" t="e">
        <f t="array" aca="1" ref="AH37" ca="1">$W$18-$S$18/2-MMULT(AA37:AD37-$R$9:$U$9,MMULT($L$24:$O$27,TRANSPOSE(AA37:AD37-$R$9:$U$9)))/2</f>
        <v>#NAME?</v>
      </c>
      <c r="AI37" s="275" t="e">
        <f t="array" aca="1" ref="AI37" ca="1">$W$19-$S$19/2-MMULT(AA37:AD37-$R$10:$U$10,MMULT($L$30:$O$33,TRANSPOSE(AA37:AD37-$R$10:$U$10)))/2</f>
        <v>#NAME?</v>
      </c>
      <c r="AJ37" s="240" t="e">
        <f t="shared" ca="1" si="4"/>
        <v>#NAME?</v>
      </c>
    </row>
    <row r="38" spans="1:36" x14ac:dyDescent="0.35">
      <c r="A38" t="s">
        <v>671</v>
      </c>
      <c r="B38" s="239">
        <v>105</v>
      </c>
      <c r="C38" s="73">
        <v>7</v>
      </c>
      <c r="D38" s="73">
        <v>33</v>
      </c>
      <c r="E38" s="215">
        <v>40</v>
      </c>
      <c r="Z38" t="str">
        <f t="shared" si="3"/>
        <v>Tin</v>
      </c>
      <c r="AA38" s="239">
        <f t="shared" si="3"/>
        <v>105</v>
      </c>
      <c r="AB38" s="73">
        <f t="shared" si="3"/>
        <v>7</v>
      </c>
      <c r="AC38" s="73">
        <f t="shared" si="3"/>
        <v>33</v>
      </c>
      <c r="AD38" s="215">
        <f t="shared" si="3"/>
        <v>40</v>
      </c>
      <c r="AE38" s="274" t="e">
        <f t="array" aca="1" ref="AE38" ca="1">$W$15-$S$15/2-MMULT(AA38:AD38-$R$6:$U$6,MMULT($L$6:$O$9,TRANSPOSE(AA38:AD38-$R$6:$U$6)))/2</f>
        <v>#NAME?</v>
      </c>
      <c r="AF38" s="275" t="e">
        <f t="array" aca="1" ref="AF38" ca="1">$W$16-$S$16/2-MMULT(AA38:AD38-$R$7:$U$7,MMULT($L$12:$O$15,TRANSPOSE(AA38:AD38-$R$7:$U$7)))/2</f>
        <v>#NAME?</v>
      </c>
      <c r="AG38" s="275" t="e">
        <f t="array" aca="1" ref="AG38" ca="1">$W$17-$S$17/2-MMULT(AA38:AD38-$R$8:$U$8,MMULT($L$18:$O$21,TRANSPOSE(AA38:AD38-$R$8:$U$8)))/2</f>
        <v>#NAME?</v>
      </c>
      <c r="AH38" s="275" t="e">
        <f t="array" aca="1" ref="AH38" ca="1">$W$18-$S$18/2-MMULT(AA38:AD38-$R$9:$U$9,MMULT($L$24:$O$27,TRANSPOSE(AA38:AD38-$R$9:$U$9)))/2</f>
        <v>#NAME?</v>
      </c>
      <c r="AI38" s="275" t="e">
        <f t="array" aca="1" ref="AI38" ca="1">$W$19-$S$19/2-MMULT(AA38:AD38-$R$10:$U$10,MMULT($L$30:$O$33,TRANSPOSE(AA38:AD38-$R$10:$U$10)))/2</f>
        <v>#NAME?</v>
      </c>
      <c r="AJ38" s="240" t="e">
        <f t="shared" ca="1" si="4"/>
        <v>#NAME?</v>
      </c>
    </row>
    <row r="39" spans="1:36" x14ac:dyDescent="0.35">
      <c r="A39" t="s">
        <v>671</v>
      </c>
      <c r="B39" s="243">
        <v>63</v>
      </c>
      <c r="C39" s="267">
        <v>26</v>
      </c>
      <c r="D39" s="267">
        <v>69</v>
      </c>
      <c r="E39" s="218">
        <v>18</v>
      </c>
      <c r="Z39" t="str">
        <f t="shared" si="3"/>
        <v>Tin</v>
      </c>
      <c r="AA39" s="243">
        <f t="shared" si="3"/>
        <v>63</v>
      </c>
      <c r="AB39" s="267">
        <f t="shared" si="3"/>
        <v>26</v>
      </c>
      <c r="AC39" s="267">
        <f t="shared" si="3"/>
        <v>69</v>
      </c>
      <c r="AD39" s="218">
        <f t="shared" si="3"/>
        <v>18</v>
      </c>
      <c r="AE39" s="282" t="e">
        <f t="array" aca="1" ref="AE39" ca="1">$W$15-$S$15/2-MMULT(AA39:AD39-$R$6:$U$6,MMULT($L$6:$O$9,TRANSPOSE(AA39:AD39-$R$6:$U$6)))/2</f>
        <v>#NAME?</v>
      </c>
      <c r="AF39" s="283" t="e">
        <f t="array" aca="1" ref="AF39" ca="1">$W$16-$S$16/2-MMULT(AA39:AD39-$R$7:$U$7,MMULT($L$12:$O$15,TRANSPOSE(AA39:AD39-$R$7:$U$7)))/2</f>
        <v>#NAME?</v>
      </c>
      <c r="AG39" s="283" t="e">
        <f t="array" aca="1" ref="AG39" ca="1">$W$17-$S$17/2-MMULT(AA39:AD39-$R$8:$U$8,MMULT($L$18:$O$21,TRANSPOSE(AA39:AD39-$R$8:$U$8)))/2</f>
        <v>#NAME?</v>
      </c>
      <c r="AH39" s="283" t="e">
        <f t="array" aca="1" ref="AH39" ca="1">$W$18-$S$18/2-MMULT(AA39:AD39-$R$9:$U$9,MMULT($L$24:$O$27,TRANSPOSE(AA39:AD39-$R$9:$U$9)))/2</f>
        <v>#NAME?</v>
      </c>
      <c r="AI39" s="283" t="e">
        <f t="array" aca="1" ref="AI39" ca="1">$W$19-$S$19/2-MMULT(AA39:AD39-$R$10:$U$10,MMULT($L$30:$O$33,TRANSPOSE(AA39:AD39-$R$10:$U$10)))/2</f>
        <v>#NAME?</v>
      </c>
      <c r="AJ39" s="244" t="e">
        <f t="shared" ca="1" si="4"/>
        <v>#NAME?</v>
      </c>
    </row>
    <row r="41" spans="1:36" x14ac:dyDescent="0.35">
      <c r="AA41" s="32" t="str">
        <f>AA3</f>
        <v>A</v>
      </c>
      <c r="AB41" s="32" t="str">
        <f t="shared" ref="AB41:AJ41" si="20">AB3</f>
        <v>B</v>
      </c>
      <c r="AC41" s="32" t="str">
        <f t="shared" si="20"/>
        <v>C</v>
      </c>
      <c r="AD41" s="32" t="str">
        <f t="shared" si="20"/>
        <v>D</v>
      </c>
      <c r="AE41" s="32" t="str">
        <f t="shared" si="20"/>
        <v>Iron</v>
      </c>
      <c r="AF41" s="32" t="str">
        <f t="shared" si="20"/>
        <v>Copper</v>
      </c>
      <c r="AG41" s="32" t="str">
        <f t="shared" si="20"/>
        <v>Zinc</v>
      </c>
      <c r="AH41" s="32" t="str">
        <f t="shared" si="20"/>
        <v>Nickel</v>
      </c>
      <c r="AI41" s="32" t="str">
        <f t="shared" si="20"/>
        <v>Tin</v>
      </c>
      <c r="AJ41" s="32" t="str">
        <f t="shared" si="20"/>
        <v>category</v>
      </c>
    </row>
    <row r="42" spans="1:36" x14ac:dyDescent="0.35">
      <c r="Z42" t="str">
        <f t="shared" ref="Z42:AD46" si="21">Q6</f>
        <v>Iron</v>
      </c>
      <c r="AA42" s="236">
        <f t="shared" si="21"/>
        <v>29.714285714285715</v>
      </c>
      <c r="AB42" s="145">
        <f t="shared" si="21"/>
        <v>19</v>
      </c>
      <c r="AC42" s="145">
        <f t="shared" si="21"/>
        <v>34.428571428571431</v>
      </c>
      <c r="AD42" s="237">
        <f t="shared" si="21"/>
        <v>26.714285714285715</v>
      </c>
      <c r="AE42" s="270" t="e">
        <f t="array" aca="1" ref="AE42" ca="1">$W$15-$S$15/2-MMULT(AA42:AD42-$R$6:$U$6,MMULT($L$6:$O$9,TRANSPOSE(AA42:AD42-$R$6:$U$6)))/2</f>
        <v>#NAME?</v>
      </c>
      <c r="AF42" s="271" t="e">
        <f t="array" aca="1" ref="AF42" ca="1">$W$16-$S$16/2-MMULT(AA42:AD42-$R$7:$U$7,MMULT($L$12:$O$15,TRANSPOSE(AA42:AD42-$R$7:$U$7)))/2</f>
        <v>#NAME?</v>
      </c>
      <c r="AG42" s="271" t="e">
        <f t="array" aca="1" ref="AG42" ca="1">$W$17-$S$17/2-MMULT(AA42:AD42-$R$8:$U$8,MMULT($L$18:$O$21,TRANSPOSE(AA42:AD42-$R$8:$U$8)))/2</f>
        <v>#NAME?</v>
      </c>
      <c r="AH42" s="271" t="e">
        <f t="array" aca="1" ref="AH42" ca="1">$W$18-$S$18/2-MMULT(AA42:AD42-$R$9:$U$9,MMULT($L$24:$O$27,TRANSPOSE(AA42:AD42-$R$9:$U$9)))/2</f>
        <v>#NAME?</v>
      </c>
      <c r="AI42" s="271" t="e">
        <f t="array" aca="1" ref="AI42" ca="1">$W$19-$S$19/2-MMULT(AA42:AD42-$R$10:$U$10,MMULT($L$30:$O$33,TRANSPOSE(AA42:AD42-$R$10:$U$10)))/2</f>
        <v>#NAME?</v>
      </c>
      <c r="AJ42" s="238" t="e">
        <f t="shared" ref="AJ42:AJ46" ca="1" si="22">INDEX($AE$3:$AI$3,,MATCH(MAX(AE42:AI42),AE42:AI42,0))</f>
        <v>#NAME?</v>
      </c>
    </row>
    <row r="43" spans="1:36" x14ac:dyDescent="0.35">
      <c r="Z43" t="str">
        <f t="shared" si="21"/>
        <v>Copper</v>
      </c>
      <c r="AA43" s="239">
        <f t="shared" si="21"/>
        <v>41</v>
      </c>
      <c r="AB43" s="73">
        <f t="shared" si="21"/>
        <v>23</v>
      </c>
      <c r="AC43" s="73">
        <f t="shared" si="21"/>
        <v>30.5</v>
      </c>
      <c r="AD43" s="215">
        <f t="shared" si="21"/>
        <v>24.666666666666668</v>
      </c>
      <c r="AE43" s="274" t="e">
        <f t="array" aca="1" ref="AE43" ca="1">$W$15-$S$15/2-MMULT(AA43:AD43-$R$6:$U$6,MMULT($L$6:$O$9,TRANSPOSE(AA43:AD43-$R$6:$U$6)))/2</f>
        <v>#NAME?</v>
      </c>
      <c r="AF43" s="275" t="e">
        <f t="array" aca="1" ref="AF43" ca="1">$W$16-$S$16/2-MMULT(AA43:AD43-$R$7:$U$7,MMULT($L$12:$O$15,TRANSPOSE(AA43:AD43-$R$7:$U$7)))/2</f>
        <v>#NAME?</v>
      </c>
      <c r="AG43" s="275" t="e">
        <f t="array" aca="1" ref="AG43" ca="1">$W$17-$S$17/2-MMULT(AA43:AD43-$R$8:$U$8,MMULT($L$18:$O$21,TRANSPOSE(AA43:AD43-$R$8:$U$8)))/2</f>
        <v>#NAME?</v>
      </c>
      <c r="AH43" s="275" t="e">
        <f t="array" aca="1" ref="AH43" ca="1">$W$18-$S$18/2-MMULT(AA43:AD43-$R$9:$U$9,MMULT($L$24:$O$27,TRANSPOSE(AA43:AD43-$R$9:$U$9)))/2</f>
        <v>#NAME?</v>
      </c>
      <c r="AI43" s="275" t="e">
        <f t="array" aca="1" ref="AI43" ca="1">$W$19-$S$19/2-MMULT(AA43:AD43-$R$10:$U$10,MMULT($L$30:$O$33,TRANSPOSE(AA43:AD43-$R$10:$U$10)))/2</f>
        <v>#NAME?</v>
      </c>
      <c r="AJ43" s="240" t="e">
        <f t="shared" ca="1" si="22"/>
        <v>#NAME?</v>
      </c>
    </row>
    <row r="44" spans="1:36" x14ac:dyDescent="0.35">
      <c r="L44" s="37"/>
      <c r="M44" s="37"/>
      <c r="N44" s="37"/>
      <c r="O44" s="37"/>
      <c r="Z44" t="str">
        <f t="shared" si="21"/>
        <v>Zinc</v>
      </c>
      <c r="AA44" s="239">
        <f t="shared" si="21"/>
        <v>66.333333333333329</v>
      </c>
      <c r="AB44" s="73">
        <f t="shared" si="21"/>
        <v>26.5</v>
      </c>
      <c r="AC44" s="73">
        <f t="shared" si="21"/>
        <v>42</v>
      </c>
      <c r="AD44" s="215">
        <f t="shared" si="21"/>
        <v>29.5</v>
      </c>
      <c r="AE44" s="274" t="e">
        <f t="array" aca="1" ref="AE44" ca="1">$W$15-$S$15/2-MMULT(AA44:AD44-$R$6:$U$6,MMULT($L$6:$O$9,TRANSPOSE(AA44:AD44-$R$6:$U$6)))/2</f>
        <v>#NAME?</v>
      </c>
      <c r="AF44" s="275" t="e">
        <f t="array" aca="1" ref="AF44" ca="1">$W$16-$S$16/2-MMULT(AA44:AD44-$R$7:$U$7,MMULT($L$12:$O$15,TRANSPOSE(AA44:AD44-$R$7:$U$7)))/2</f>
        <v>#NAME?</v>
      </c>
      <c r="AG44" s="275" t="e">
        <f t="array" aca="1" ref="AG44" ca="1">$W$17-$S$17/2-MMULT(AA44:AD44-$R$8:$U$8,MMULT($L$18:$O$21,TRANSPOSE(AA44:AD44-$R$8:$U$8)))/2</f>
        <v>#NAME?</v>
      </c>
      <c r="AH44" s="275" t="e">
        <f t="array" aca="1" ref="AH44" ca="1">$W$18-$S$18/2-MMULT(AA44:AD44-$R$9:$U$9,MMULT($L$24:$O$27,TRANSPOSE(AA44:AD44-$R$9:$U$9)))/2</f>
        <v>#NAME?</v>
      </c>
      <c r="AI44" s="275" t="e">
        <f t="array" aca="1" ref="AI44" ca="1">$W$19-$S$19/2-MMULT(AA44:AD44-$R$10:$U$10,MMULT($L$30:$O$33,TRANSPOSE(AA44:AD44-$R$10:$U$10)))/2</f>
        <v>#NAME?</v>
      </c>
      <c r="AJ44" s="240" t="e">
        <f t="shared" ca="1" si="22"/>
        <v>#NAME?</v>
      </c>
    </row>
    <row r="45" spans="1:36" x14ac:dyDescent="0.35">
      <c r="L45" s="37"/>
      <c r="M45" s="37"/>
      <c r="N45" s="37"/>
      <c r="O45" s="37"/>
      <c r="Z45" t="str">
        <f t="shared" si="21"/>
        <v>Nickel</v>
      </c>
      <c r="AA45" s="239">
        <f t="shared" si="21"/>
        <v>51.714285714285715</v>
      </c>
      <c r="AB45" s="73">
        <f t="shared" si="21"/>
        <v>28</v>
      </c>
      <c r="AC45" s="73">
        <f t="shared" si="21"/>
        <v>28.571428571428573</v>
      </c>
      <c r="AD45" s="215">
        <f t="shared" si="21"/>
        <v>31.142857142857142</v>
      </c>
      <c r="AE45" s="274" t="e">
        <f t="array" aca="1" ref="AE45" ca="1">$W$15-$S$15/2-MMULT(AA45:AD45-$R$6:$U$6,MMULT($L$6:$O$9,TRANSPOSE(AA45:AD45-$R$6:$U$6)))/2</f>
        <v>#NAME?</v>
      </c>
      <c r="AF45" s="275" t="e">
        <f t="array" aca="1" ref="AF45" ca="1">$W$16-$S$16/2-MMULT(AA45:AD45-$R$7:$U$7,MMULT($L$12:$O$15,TRANSPOSE(AA45:AD45-$R$7:$U$7)))/2</f>
        <v>#NAME?</v>
      </c>
      <c r="AG45" s="275" t="e">
        <f t="array" aca="1" ref="AG45" ca="1">$W$17-$S$17/2-MMULT(AA45:AD45-$R$8:$U$8,MMULT($L$18:$O$21,TRANSPOSE(AA45:AD45-$R$8:$U$8)))/2</f>
        <v>#NAME?</v>
      </c>
      <c r="AH45" s="275" t="e">
        <f t="array" aca="1" ref="AH45" ca="1">$W$18-$S$18/2-MMULT(AA45:AD45-$R$9:$U$9,MMULT($L$24:$O$27,TRANSPOSE(AA45:AD45-$R$9:$U$9)))/2</f>
        <v>#NAME?</v>
      </c>
      <c r="AI45" s="275" t="e">
        <f t="array" aca="1" ref="AI45" ca="1">$W$19-$S$19/2-MMULT(AA45:AD45-$R$10:$U$10,MMULT($L$30:$O$33,TRANSPOSE(AA45:AD45-$R$10:$U$10)))/2</f>
        <v>#NAME?</v>
      </c>
      <c r="AJ45" s="240" t="e">
        <f t="shared" ca="1" si="22"/>
        <v>#NAME?</v>
      </c>
    </row>
    <row r="46" spans="1:36" x14ac:dyDescent="0.35">
      <c r="L46" s="37"/>
      <c r="M46" s="37"/>
      <c r="N46" s="37"/>
      <c r="O46" s="37"/>
      <c r="Z46" t="str">
        <f t="shared" si="21"/>
        <v>Tin</v>
      </c>
      <c r="AA46" s="243">
        <f t="shared" si="21"/>
        <v>84.1</v>
      </c>
      <c r="AB46" s="267">
        <f t="shared" si="21"/>
        <v>25.6</v>
      </c>
      <c r="AC46" s="267">
        <f t="shared" si="21"/>
        <v>44.1</v>
      </c>
      <c r="AD46" s="218">
        <f t="shared" si="21"/>
        <v>26.8</v>
      </c>
      <c r="AE46" s="282" t="e">
        <f t="array" aca="1" ref="AE46" ca="1">$W$15-$S$15/2-MMULT(AA46:AD46-$R$6:$U$6,MMULT($L$6:$O$9,TRANSPOSE(AA46:AD46-$R$6:$U$6)))/2</f>
        <v>#NAME?</v>
      </c>
      <c r="AF46" s="283" t="e">
        <f t="array" aca="1" ref="AF46" ca="1">$W$16-$S$16/2-MMULT(AA46:AD46-$R$7:$U$7,MMULT($L$12:$O$15,TRANSPOSE(AA46:AD46-$R$7:$U$7)))/2</f>
        <v>#NAME?</v>
      </c>
      <c r="AG46" s="283" t="e">
        <f t="array" aca="1" ref="AG46" ca="1">$W$17-$S$17/2-MMULT(AA46:AD46-$R$8:$U$8,MMULT($L$18:$O$21,TRANSPOSE(AA46:AD46-$R$8:$U$8)))/2</f>
        <v>#NAME?</v>
      </c>
      <c r="AH46" s="283" t="e">
        <f t="array" aca="1" ref="AH46" ca="1">$W$18-$S$18/2-MMULT(AA46:AD46-$R$9:$U$9,MMULT($L$24:$O$27,TRANSPOSE(AA46:AD46-$R$9:$U$9)))/2</f>
        <v>#NAME?</v>
      </c>
      <c r="AI46" s="283" t="e">
        <f t="array" aca="1" ref="AI46" ca="1">$W$19-$S$19/2-MMULT(AA46:AD46-$R$10:$U$10,MMULT($L$30:$O$33,TRANSPOSE(AA46:AD46-$R$10:$U$10)))/2</f>
        <v>#NAME?</v>
      </c>
      <c r="AJ46" s="244" t="e">
        <f t="shared" ca="1" si="22"/>
        <v>#NAME?</v>
      </c>
    </row>
    <row r="48" spans="1:36" x14ac:dyDescent="0.35">
      <c r="Z48" t="str">
        <f>Z42</f>
        <v>Iron</v>
      </c>
      <c r="AA48" s="236">
        <f t="shared" ref="AA48:AD48" si="23">AA42</f>
        <v>29.714285714285715</v>
      </c>
      <c r="AB48" s="145">
        <f t="shared" si="23"/>
        <v>19</v>
      </c>
      <c r="AC48" s="145">
        <f t="shared" si="23"/>
        <v>34.428571428571431</v>
      </c>
      <c r="AD48" s="237">
        <f t="shared" si="23"/>
        <v>26.714285714285715</v>
      </c>
      <c r="AE48" s="138" t="e">
        <f t="shared" ref="AE48:AI52" ca="1" si="24">EXP(AE42)/SUMPRODUCT(EXP($AE42:$AI42))</f>
        <v>#NAME?</v>
      </c>
      <c r="AF48" s="139" t="e">
        <f t="shared" ca="1" si="24"/>
        <v>#NAME?</v>
      </c>
      <c r="AG48" s="139" t="e">
        <f t="shared" ca="1" si="24"/>
        <v>#NAME?</v>
      </c>
      <c r="AH48" s="139" t="e">
        <f t="shared" ca="1" si="24"/>
        <v>#NAME?</v>
      </c>
      <c r="AI48" s="140" t="e">
        <f t="shared" ca="1" si="24"/>
        <v>#NAME?</v>
      </c>
      <c r="AJ48" s="289" t="e">
        <f ca="1">MAX(AE48:AI48)</f>
        <v>#NAME?</v>
      </c>
    </row>
    <row r="49" spans="12:36" x14ac:dyDescent="0.35">
      <c r="Z49" t="str">
        <f t="shared" ref="Z49:AD52" si="25">Z43</f>
        <v>Copper</v>
      </c>
      <c r="AA49" s="239">
        <f t="shared" si="25"/>
        <v>41</v>
      </c>
      <c r="AB49" s="73">
        <f t="shared" si="25"/>
        <v>23</v>
      </c>
      <c r="AC49" s="73">
        <f t="shared" si="25"/>
        <v>30.5</v>
      </c>
      <c r="AD49" s="215">
        <f t="shared" si="25"/>
        <v>24.666666666666668</v>
      </c>
      <c r="AE49" s="123" t="e">
        <f t="shared" ca="1" si="24"/>
        <v>#NAME?</v>
      </c>
      <c r="AF49" s="37" t="e">
        <f t="shared" ca="1" si="24"/>
        <v>#NAME?</v>
      </c>
      <c r="AG49" s="37" t="e">
        <f t="shared" ca="1" si="24"/>
        <v>#NAME?</v>
      </c>
      <c r="AH49" s="37" t="e">
        <f t="shared" ca="1" si="24"/>
        <v>#NAME?</v>
      </c>
      <c r="AI49" s="90" t="e">
        <f t="shared" ca="1" si="24"/>
        <v>#NAME?</v>
      </c>
      <c r="AJ49" s="290" t="e">
        <f t="shared" ref="AJ49:AJ52" ca="1" si="26">MAX(AE49:AI49)</f>
        <v>#NAME?</v>
      </c>
    </row>
    <row r="50" spans="12:36" x14ac:dyDescent="0.35">
      <c r="L50" s="37"/>
      <c r="M50" s="37"/>
      <c r="N50" s="37"/>
      <c r="O50" s="37"/>
      <c r="Z50" t="str">
        <f t="shared" si="25"/>
        <v>Zinc</v>
      </c>
      <c r="AA50" s="239">
        <f t="shared" si="25"/>
        <v>66.333333333333329</v>
      </c>
      <c r="AB50" s="73">
        <f t="shared" si="25"/>
        <v>26.5</v>
      </c>
      <c r="AC50" s="73">
        <f t="shared" si="25"/>
        <v>42</v>
      </c>
      <c r="AD50" s="215">
        <f t="shared" si="25"/>
        <v>29.5</v>
      </c>
      <c r="AE50" s="123" t="e">
        <f t="shared" ca="1" si="24"/>
        <v>#NAME?</v>
      </c>
      <c r="AF50" s="37" t="e">
        <f t="shared" ca="1" si="24"/>
        <v>#NAME?</v>
      </c>
      <c r="AG50" s="37" t="e">
        <f t="shared" ca="1" si="24"/>
        <v>#NAME?</v>
      </c>
      <c r="AH50" s="37" t="e">
        <f t="shared" ca="1" si="24"/>
        <v>#NAME?</v>
      </c>
      <c r="AI50" s="90" t="e">
        <f t="shared" ca="1" si="24"/>
        <v>#NAME?</v>
      </c>
      <c r="AJ50" s="290" t="e">
        <f t="shared" ca="1" si="26"/>
        <v>#NAME?</v>
      </c>
    </row>
    <row r="51" spans="12:36" x14ac:dyDescent="0.35">
      <c r="L51" s="37"/>
      <c r="M51" s="37"/>
      <c r="N51" s="37"/>
      <c r="O51" s="37"/>
      <c r="Z51" t="str">
        <f t="shared" si="25"/>
        <v>Nickel</v>
      </c>
      <c r="AA51" s="239">
        <f t="shared" si="25"/>
        <v>51.714285714285715</v>
      </c>
      <c r="AB51" s="73">
        <f t="shared" si="25"/>
        <v>28</v>
      </c>
      <c r="AC51" s="73">
        <f t="shared" si="25"/>
        <v>28.571428571428573</v>
      </c>
      <c r="AD51" s="215">
        <f t="shared" si="25"/>
        <v>31.142857142857142</v>
      </c>
      <c r="AE51" s="123" t="e">
        <f t="shared" ca="1" si="24"/>
        <v>#NAME?</v>
      </c>
      <c r="AF51" s="37" t="e">
        <f t="shared" ca="1" si="24"/>
        <v>#NAME?</v>
      </c>
      <c r="AG51" s="37" t="e">
        <f t="shared" ca="1" si="24"/>
        <v>#NAME?</v>
      </c>
      <c r="AH51" s="37" t="e">
        <f t="shared" ca="1" si="24"/>
        <v>#NAME?</v>
      </c>
      <c r="AI51" s="90" t="e">
        <f t="shared" ca="1" si="24"/>
        <v>#NAME?</v>
      </c>
      <c r="AJ51" s="290" t="e">
        <f t="shared" ca="1" si="26"/>
        <v>#NAME?</v>
      </c>
    </row>
    <row r="52" spans="12:36" x14ac:dyDescent="0.35">
      <c r="L52" s="37"/>
      <c r="M52" s="37"/>
      <c r="N52" s="37"/>
      <c r="O52" s="37"/>
      <c r="Z52" t="str">
        <f t="shared" si="25"/>
        <v>Tin</v>
      </c>
      <c r="AA52" s="243">
        <f t="shared" si="25"/>
        <v>84.1</v>
      </c>
      <c r="AB52" s="267">
        <f t="shared" si="25"/>
        <v>25.6</v>
      </c>
      <c r="AC52" s="267">
        <f t="shared" si="25"/>
        <v>44.1</v>
      </c>
      <c r="AD52" s="218">
        <f t="shared" si="25"/>
        <v>26.8</v>
      </c>
      <c r="AE52" s="91" t="e">
        <f t="shared" ca="1" si="24"/>
        <v>#NAME?</v>
      </c>
      <c r="AF52" s="92" t="e">
        <f t="shared" ca="1" si="24"/>
        <v>#NAME?</v>
      </c>
      <c r="AG52" s="92" t="e">
        <f t="shared" ca="1" si="24"/>
        <v>#NAME?</v>
      </c>
      <c r="AH52" s="92" t="e">
        <f t="shared" ca="1" si="24"/>
        <v>#NAME?</v>
      </c>
      <c r="AI52" s="93" t="e">
        <f t="shared" ca="1" si="24"/>
        <v>#NAME?</v>
      </c>
      <c r="AJ52" s="291" t="e">
        <f t="shared" ca="1" si="26"/>
        <v>#NAME?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7"/>
  <dimension ref="A1:Y39"/>
  <sheetViews>
    <sheetView workbookViewId="0"/>
  </sheetViews>
  <sheetFormatPr defaultRowHeight="14.5" x14ac:dyDescent="0.35"/>
  <cols>
    <col min="2" max="4" width="9.1796875" customWidth="1"/>
    <col min="5" max="5" width="5.54296875" customWidth="1"/>
    <col min="13" max="13" width="4.1796875" customWidth="1"/>
    <col min="19" max="19" width="4.81640625" customWidth="1"/>
    <col min="20" max="20" width="4.26953125" customWidth="1"/>
    <col min="25" max="25" width="9.1796875" style="32"/>
  </cols>
  <sheetData>
    <row r="1" spans="1:25" x14ac:dyDescent="0.35">
      <c r="A1" s="42" t="s">
        <v>646</v>
      </c>
    </row>
    <row r="3" spans="1:25" x14ac:dyDescent="0.35">
      <c r="B3" s="47" t="s">
        <v>144</v>
      </c>
      <c r="C3" s="47" t="s">
        <v>145</v>
      </c>
      <c r="D3" s="47" t="s">
        <v>146</v>
      </c>
      <c r="F3" t="s">
        <v>646</v>
      </c>
    </row>
    <row r="4" spans="1:25" x14ac:dyDescent="0.35">
      <c r="A4" t="s">
        <v>158</v>
      </c>
      <c r="B4" s="252">
        <v>76.7</v>
      </c>
      <c r="C4" s="253">
        <v>29.5</v>
      </c>
      <c r="D4" s="254">
        <v>7.5</v>
      </c>
    </row>
    <row r="5" spans="1:25" x14ac:dyDescent="0.35">
      <c r="A5" t="s">
        <v>158</v>
      </c>
      <c r="B5" s="102">
        <v>60.5</v>
      </c>
      <c r="C5" s="103">
        <v>32.1</v>
      </c>
      <c r="D5" s="104">
        <v>6.3</v>
      </c>
      <c r="F5" t="s">
        <v>125</v>
      </c>
      <c r="K5" t="s">
        <v>672</v>
      </c>
      <c r="N5" t="s">
        <v>673</v>
      </c>
      <c r="U5" t="s">
        <v>674</v>
      </c>
    </row>
    <row r="6" spans="1:25" x14ac:dyDescent="0.35">
      <c r="A6" t="s">
        <v>158</v>
      </c>
      <c r="B6" s="102">
        <v>96.1</v>
      </c>
      <c r="C6" s="103">
        <v>40.700000000000003</v>
      </c>
      <c r="D6" s="104">
        <v>4.2</v>
      </c>
    </row>
    <row r="7" spans="1:25" x14ac:dyDescent="0.35">
      <c r="A7" t="s">
        <v>158</v>
      </c>
      <c r="B7" s="102">
        <v>88.1</v>
      </c>
      <c r="C7" s="103">
        <v>45.1</v>
      </c>
      <c r="D7" s="104">
        <v>4.9000000000000004</v>
      </c>
      <c r="G7" s="32" t="str">
        <f>B3</f>
        <v>yield</v>
      </c>
      <c r="H7" s="32" t="str">
        <f>C3</f>
        <v>water</v>
      </c>
      <c r="I7" s="32" t="str">
        <f>D3</f>
        <v>herbicide</v>
      </c>
      <c r="K7" s="32" t="s">
        <v>675</v>
      </c>
      <c r="L7" s="32" t="s">
        <v>676</v>
      </c>
      <c r="N7" s="32" t="e">
        <f t="array" aca="1" ref="N7:S12" ca="1">DAClassification(A4:D35,K8:K11,TRUE)</f>
        <v>#NAME?</v>
      </c>
      <c r="O7" s="32" t="e">
        <f ca="1"/>
        <v>#NAME?</v>
      </c>
      <c r="P7" s="32" t="e">
        <f ca="1"/>
        <v>#NAME?</v>
      </c>
      <c r="Q7" s="32" t="e">
        <f ca="1"/>
        <v>#NAME?</v>
      </c>
      <c r="R7" s="32" t="e">
        <f ca="1"/>
        <v>#NAME?</v>
      </c>
      <c r="S7" s="32" t="e">
        <f ca="1"/>
        <v>#NAME?</v>
      </c>
      <c r="U7" s="32" t="e">
        <f t="array" aca="1" ref="U7:Y39" ca="1">LDAPredC(B4:D35,F16:J19,K8:K11,TRUE)</f>
        <v>#NAME?</v>
      </c>
      <c r="V7" s="32" t="e">
        <f ca="1"/>
        <v>#NAME?</v>
      </c>
      <c r="W7" s="32" t="e">
        <f ca="1"/>
        <v>#NAME?</v>
      </c>
      <c r="X7" s="32" t="e">
        <f ca="1"/>
        <v>#NAME?</v>
      </c>
      <c r="Y7" s="32" t="e">
        <f ca="1"/>
        <v>#NAME?</v>
      </c>
    </row>
    <row r="8" spans="1:25" x14ac:dyDescent="0.35">
      <c r="A8" t="s">
        <v>158</v>
      </c>
      <c r="B8" s="102">
        <v>50.2</v>
      </c>
      <c r="C8" s="103">
        <v>34.1</v>
      </c>
      <c r="D8" s="104">
        <v>11.7</v>
      </c>
      <c r="F8" t="e">
        <f t="array" aca="1" ref="F8:F11" ca="1">ExtractUnique(A4:D35,"")</f>
        <v>#NAME?</v>
      </c>
      <c r="G8" s="149" t="e">
        <f t="shared" ref="G8:I11" ca="1" si="0">AVERAGEIF($A$4:$A$35,$F8,B$4:B$35)</f>
        <v>#DIV/0!</v>
      </c>
      <c r="H8" s="141" t="e">
        <f t="shared" ca="1" si="0"/>
        <v>#DIV/0!</v>
      </c>
      <c r="I8" s="150" t="e">
        <f t="shared" ca="1" si="0"/>
        <v>#DIV/0!</v>
      </c>
      <c r="K8" s="149">
        <v>0.25</v>
      </c>
      <c r="L8" s="150">
        <f>LN(K8)</f>
        <v>-1.3862943611198906</v>
      </c>
      <c r="N8" t="e">
        <f ca="1"/>
        <v>#NAME?</v>
      </c>
      <c r="O8" s="295" t="e">
        <f ca="1"/>
        <v>#NAME?</v>
      </c>
      <c r="P8" s="296" t="e">
        <f ca="1"/>
        <v>#NAME?</v>
      </c>
      <c r="Q8" s="296" t="e">
        <f ca="1"/>
        <v>#NAME?</v>
      </c>
      <c r="R8" s="297" t="e">
        <f ca="1"/>
        <v>#NAME?</v>
      </c>
      <c r="S8" t="e">
        <f ca="1"/>
        <v>#NAME?</v>
      </c>
      <c r="U8" s="149" t="e">
        <f ca="1"/>
        <v>#NAME?</v>
      </c>
      <c r="V8" s="141" t="e">
        <f ca="1"/>
        <v>#NAME?</v>
      </c>
      <c r="W8" s="141" t="e">
        <f ca="1"/>
        <v>#NAME?</v>
      </c>
      <c r="X8" s="150" t="e">
        <f ca="1"/>
        <v>#NAME?</v>
      </c>
      <c r="Y8" s="292" t="e">
        <f ca="1"/>
        <v>#NAME?</v>
      </c>
    </row>
    <row r="9" spans="1:25" x14ac:dyDescent="0.35">
      <c r="A9" t="s">
        <v>158</v>
      </c>
      <c r="B9" s="102">
        <v>55</v>
      </c>
      <c r="C9" s="103">
        <v>31.1</v>
      </c>
      <c r="D9" s="104">
        <v>6.9</v>
      </c>
      <c r="F9" t="e">
        <f ca="1"/>
        <v>#NAME?</v>
      </c>
      <c r="G9" s="83" t="e">
        <f t="shared" ca="1" si="0"/>
        <v>#DIV/0!</v>
      </c>
      <c r="H9" s="37" t="e">
        <f t="shared" ca="1" si="0"/>
        <v>#DIV/0!</v>
      </c>
      <c r="I9" s="84" t="e">
        <f t="shared" ca="1" si="0"/>
        <v>#DIV/0!</v>
      </c>
      <c r="K9" s="83">
        <v>0.25</v>
      </c>
      <c r="L9" s="84">
        <f t="shared" ref="L9:L11" si="1">LN(K9)</f>
        <v>-1.3862943611198906</v>
      </c>
      <c r="N9" t="e">
        <f ca="1"/>
        <v>#NAME?</v>
      </c>
      <c r="O9" s="83" t="e">
        <f ca="1"/>
        <v>#NAME?</v>
      </c>
      <c r="P9" s="37" t="e">
        <f ca="1"/>
        <v>#NAME?</v>
      </c>
      <c r="Q9" s="37" t="e">
        <f ca="1"/>
        <v>#NAME?</v>
      </c>
      <c r="R9" s="84" t="e">
        <f ca="1"/>
        <v>#NAME?</v>
      </c>
      <c r="S9" t="e">
        <f ca="1"/>
        <v>#NAME?</v>
      </c>
      <c r="U9" s="83" t="e">
        <f ca="1"/>
        <v>#NAME?</v>
      </c>
      <c r="V9" s="37" t="e">
        <f ca="1"/>
        <v>#NAME?</v>
      </c>
      <c r="W9" s="37" t="e">
        <f ca="1"/>
        <v>#NAME?</v>
      </c>
      <c r="X9" s="84" t="e">
        <f ca="1"/>
        <v>#NAME?</v>
      </c>
      <c r="Y9" s="293" t="e">
        <f ca="1"/>
        <v>#NAME?</v>
      </c>
    </row>
    <row r="10" spans="1:25" x14ac:dyDescent="0.35">
      <c r="A10" t="s">
        <v>158</v>
      </c>
      <c r="B10" s="102">
        <v>65.400000000000006</v>
      </c>
      <c r="C10" s="103">
        <v>21.6</v>
      </c>
      <c r="D10" s="104">
        <v>4.3</v>
      </c>
      <c r="F10" t="e">
        <f ca="1"/>
        <v>#NAME?</v>
      </c>
      <c r="G10" s="83" t="e">
        <f t="shared" ca="1" si="0"/>
        <v>#DIV/0!</v>
      </c>
      <c r="H10" s="37" t="e">
        <f t="shared" ca="1" si="0"/>
        <v>#DIV/0!</v>
      </c>
      <c r="I10" s="84" t="e">
        <f t="shared" ca="1" si="0"/>
        <v>#DIV/0!</v>
      </c>
      <c r="K10" s="83">
        <v>0.25</v>
      </c>
      <c r="L10" s="84">
        <f t="shared" si="1"/>
        <v>-1.3862943611198906</v>
      </c>
      <c r="N10" t="e">
        <f ca="1"/>
        <v>#NAME?</v>
      </c>
      <c r="O10" s="83" t="e">
        <f ca="1"/>
        <v>#NAME?</v>
      </c>
      <c r="P10" s="37" t="e">
        <f ca="1"/>
        <v>#NAME?</v>
      </c>
      <c r="Q10" s="37" t="e">
        <f ca="1"/>
        <v>#NAME?</v>
      </c>
      <c r="R10" s="84" t="e">
        <f ca="1"/>
        <v>#NAME?</v>
      </c>
      <c r="S10" t="e">
        <f ca="1"/>
        <v>#NAME?</v>
      </c>
      <c r="U10" s="83" t="e">
        <f ca="1"/>
        <v>#NAME?</v>
      </c>
      <c r="V10" s="37" t="e">
        <f ca="1"/>
        <v>#NAME?</v>
      </c>
      <c r="W10" s="37" t="e">
        <f ca="1"/>
        <v>#NAME?</v>
      </c>
      <c r="X10" s="84" t="e">
        <f ca="1"/>
        <v>#NAME?</v>
      </c>
      <c r="Y10" s="293" t="e">
        <f ca="1"/>
        <v>#NAME?</v>
      </c>
    </row>
    <row r="11" spans="1:25" x14ac:dyDescent="0.35">
      <c r="A11" t="s">
        <v>158</v>
      </c>
      <c r="B11" s="102">
        <v>65.7</v>
      </c>
      <c r="C11" s="103">
        <v>27.7</v>
      </c>
      <c r="D11" s="104">
        <v>5.3</v>
      </c>
      <c r="F11" t="e">
        <f ca="1"/>
        <v>#NAME?</v>
      </c>
      <c r="G11" s="85" t="e">
        <f t="shared" ca="1" si="0"/>
        <v>#DIV/0!</v>
      </c>
      <c r="H11" s="86" t="e">
        <f t="shared" ca="1" si="0"/>
        <v>#DIV/0!</v>
      </c>
      <c r="I11" s="87" t="e">
        <f t="shared" ca="1" si="0"/>
        <v>#DIV/0!</v>
      </c>
      <c r="K11" s="85">
        <v>0.25</v>
      </c>
      <c r="L11" s="87">
        <f t="shared" si="1"/>
        <v>-1.3862943611198906</v>
      </c>
      <c r="N11" t="e">
        <f ca="1"/>
        <v>#NAME?</v>
      </c>
      <c r="O11" s="85" t="e">
        <f ca="1"/>
        <v>#NAME?</v>
      </c>
      <c r="P11" s="86" t="e">
        <f ca="1"/>
        <v>#NAME?</v>
      </c>
      <c r="Q11" s="86" t="e">
        <f ca="1"/>
        <v>#NAME?</v>
      </c>
      <c r="R11" s="87" t="e">
        <f ca="1"/>
        <v>#NAME?</v>
      </c>
      <c r="S11" t="e">
        <f ca="1"/>
        <v>#NAME?</v>
      </c>
      <c r="U11" s="83" t="e">
        <f ca="1"/>
        <v>#NAME?</v>
      </c>
      <c r="V11" s="37" t="e">
        <f ca="1"/>
        <v>#NAME?</v>
      </c>
      <c r="W11" s="37" t="e">
        <f ca="1"/>
        <v>#NAME?</v>
      </c>
      <c r="X11" s="84" t="e">
        <f ca="1"/>
        <v>#NAME?</v>
      </c>
      <c r="Y11" s="293" t="e">
        <f ca="1"/>
        <v>#NAME?</v>
      </c>
    </row>
    <row r="12" spans="1:25" x14ac:dyDescent="0.35">
      <c r="A12" t="s">
        <v>159</v>
      </c>
      <c r="B12" s="102">
        <v>67.3</v>
      </c>
      <c r="C12" s="103">
        <v>48.3</v>
      </c>
      <c r="D12" s="104">
        <v>5.5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U12" s="83" t="e">
        <f ca="1"/>
        <v>#NAME?</v>
      </c>
      <c r="V12" s="37" t="e">
        <f ca="1"/>
        <v>#NAME?</v>
      </c>
      <c r="W12" s="37" t="e">
        <f ca="1"/>
        <v>#NAME?</v>
      </c>
      <c r="X12" s="84" t="e">
        <f ca="1"/>
        <v>#NAME?</v>
      </c>
      <c r="Y12" s="293" t="e">
        <f ca="1"/>
        <v>#NAME?</v>
      </c>
    </row>
    <row r="13" spans="1:25" x14ac:dyDescent="0.35">
      <c r="A13" t="s">
        <v>159</v>
      </c>
      <c r="B13" s="102">
        <v>61.3</v>
      </c>
      <c r="C13" s="103">
        <v>28.9</v>
      </c>
      <c r="D13" s="104">
        <v>6.9</v>
      </c>
      <c r="F13" t="s">
        <v>677</v>
      </c>
      <c r="U13" s="83" t="e">
        <f ca="1"/>
        <v>#NAME?</v>
      </c>
      <c r="V13" s="37" t="e">
        <f ca="1"/>
        <v>#NAME?</v>
      </c>
      <c r="W13" s="37" t="e">
        <f ca="1"/>
        <v>#NAME?</v>
      </c>
      <c r="X13" s="84" t="e">
        <f ca="1"/>
        <v>#NAME?</v>
      </c>
      <c r="Y13" s="293" t="e">
        <f ca="1"/>
        <v>#NAME?</v>
      </c>
    </row>
    <row r="14" spans="1:25" x14ac:dyDescent="0.35">
      <c r="A14" t="s">
        <v>159</v>
      </c>
      <c r="B14" s="102">
        <v>58.2</v>
      </c>
      <c r="C14" s="103">
        <v>42.5</v>
      </c>
      <c r="D14" s="104">
        <v>4.8</v>
      </c>
      <c r="N14" t="s">
        <v>678</v>
      </c>
      <c r="U14" s="83" t="e">
        <f ca="1"/>
        <v>#NAME?</v>
      </c>
      <c r="V14" s="37" t="e">
        <f ca="1"/>
        <v>#NAME?</v>
      </c>
      <c r="W14" s="37" t="e">
        <f ca="1"/>
        <v>#NAME?</v>
      </c>
      <c r="X14" s="84" t="e">
        <f ca="1"/>
        <v>#NAME?</v>
      </c>
      <c r="Y14" s="293" t="e">
        <f ca="1"/>
        <v>#NAME?</v>
      </c>
    </row>
    <row r="15" spans="1:25" x14ac:dyDescent="0.35">
      <c r="A15" t="s">
        <v>159</v>
      </c>
      <c r="B15" s="102">
        <v>76.900000000000006</v>
      </c>
      <c r="C15" s="103">
        <v>20.399999999999999</v>
      </c>
      <c r="D15" s="104">
        <v>3</v>
      </c>
      <c r="G15" s="32" t="s">
        <v>679</v>
      </c>
      <c r="H15" s="32" t="str">
        <f>G7</f>
        <v>yield</v>
      </c>
      <c r="I15" s="32" t="str">
        <f t="shared" ref="I15:J15" si="2">H7</f>
        <v>water</v>
      </c>
      <c r="J15" s="32" t="str">
        <f t="shared" si="2"/>
        <v>herbicide</v>
      </c>
      <c r="U15" s="83" t="e">
        <f ca="1"/>
        <v>#NAME?</v>
      </c>
      <c r="V15" s="37" t="e">
        <f ca="1"/>
        <v>#NAME?</v>
      </c>
      <c r="W15" s="37" t="e">
        <f ca="1"/>
        <v>#NAME?</v>
      </c>
      <c r="X15" s="84" t="e">
        <f ca="1"/>
        <v>#NAME?</v>
      </c>
      <c r="Y15" s="293" t="e">
        <f ca="1"/>
        <v>#NAME?</v>
      </c>
    </row>
    <row r="16" spans="1:25" x14ac:dyDescent="0.35">
      <c r="A16" t="s">
        <v>159</v>
      </c>
      <c r="B16" s="102">
        <v>66.900000000000006</v>
      </c>
      <c r="C16" s="103">
        <v>23.9</v>
      </c>
      <c r="D16" s="104">
        <v>1.1000000000000001</v>
      </c>
      <c r="F16" s="149" t="e">
        <f t="array" aca="1" ref="F16:J19" ca="1">LDACoeff(A4:D35,FALSE)</f>
        <v>#NAME?</v>
      </c>
      <c r="G16" s="141" t="e">
        <f ca="1"/>
        <v>#NAME?</v>
      </c>
      <c r="H16" s="141" t="e">
        <f ca="1"/>
        <v>#NAME?</v>
      </c>
      <c r="I16" s="141" t="e">
        <f ca="1"/>
        <v>#NAME?</v>
      </c>
      <c r="J16" s="150" t="e">
        <f ca="1"/>
        <v>#NAME?</v>
      </c>
      <c r="N16" t="e">
        <f t="array" aca="1" ref="N16:R21" ca="1">DASummary( N7:S12)</f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U16" s="83" t="e">
        <f ca="1"/>
        <v>#NAME?</v>
      </c>
      <c r="V16" s="37" t="e">
        <f ca="1"/>
        <v>#NAME?</v>
      </c>
      <c r="W16" s="37" t="e">
        <f ca="1"/>
        <v>#NAME?</v>
      </c>
      <c r="X16" s="84" t="e">
        <f ca="1"/>
        <v>#NAME?</v>
      </c>
      <c r="Y16" s="293" t="e">
        <f ca="1"/>
        <v>#NAME?</v>
      </c>
    </row>
    <row r="17" spans="1:25" x14ac:dyDescent="0.35">
      <c r="A17" t="s">
        <v>159</v>
      </c>
      <c r="B17" s="102">
        <v>55.4</v>
      </c>
      <c r="C17" s="103">
        <v>29.1</v>
      </c>
      <c r="D17" s="104">
        <v>5</v>
      </c>
      <c r="F17" s="83" t="e">
        <f ca="1"/>
        <v>#NAME?</v>
      </c>
      <c r="G17" s="37" t="e">
        <f ca="1"/>
        <v>#NAME?</v>
      </c>
      <c r="H17" s="37" t="e">
        <f ca="1"/>
        <v>#NAME?</v>
      </c>
      <c r="I17" s="37" t="e">
        <f ca="1"/>
        <v>#NAME?</v>
      </c>
      <c r="J17" s="84" t="e">
        <f ca="1"/>
        <v>#NAME?</v>
      </c>
      <c r="N17" t="e">
        <f ca="1"/>
        <v>#NAME?</v>
      </c>
      <c r="O17" s="149" t="e">
        <f ca="1"/>
        <v>#NAME?</v>
      </c>
      <c r="P17" s="141" t="e">
        <f ca="1"/>
        <v>#NAME?</v>
      </c>
      <c r="Q17" s="141" t="e">
        <f ca="1"/>
        <v>#NAME?</v>
      </c>
      <c r="R17" s="150" t="e">
        <f ca="1"/>
        <v>#NAME?</v>
      </c>
      <c r="U17" s="83" t="e">
        <f ca="1"/>
        <v>#NAME?</v>
      </c>
      <c r="V17" s="37" t="e">
        <f ca="1"/>
        <v>#NAME?</v>
      </c>
      <c r="W17" s="37" t="e">
        <f ca="1"/>
        <v>#NAME?</v>
      </c>
      <c r="X17" s="84" t="e">
        <f ca="1"/>
        <v>#NAME?</v>
      </c>
      <c r="Y17" s="293" t="e">
        <f ca="1"/>
        <v>#NAME?</v>
      </c>
    </row>
    <row r="18" spans="1:25" x14ac:dyDescent="0.35">
      <c r="A18" t="s">
        <v>159</v>
      </c>
      <c r="B18" s="102">
        <v>50.5</v>
      </c>
      <c r="C18" s="103">
        <v>18</v>
      </c>
      <c r="D18" s="104">
        <v>4.8</v>
      </c>
      <c r="F18" s="83" t="e">
        <f ca="1"/>
        <v>#NAME?</v>
      </c>
      <c r="G18" s="37" t="e">
        <f ca="1"/>
        <v>#NAME?</v>
      </c>
      <c r="H18" s="37" t="e">
        <f ca="1"/>
        <v>#NAME?</v>
      </c>
      <c r="I18" s="37" t="e">
        <f ca="1"/>
        <v>#NAME?</v>
      </c>
      <c r="J18" s="84" t="e">
        <f ca="1"/>
        <v>#NAME?</v>
      </c>
      <c r="N18" t="e">
        <f ca="1"/>
        <v>#NAME?</v>
      </c>
      <c r="O18" s="83" t="e">
        <f ca="1"/>
        <v>#NAME?</v>
      </c>
      <c r="P18" s="37" t="e">
        <f ca="1"/>
        <v>#NAME?</v>
      </c>
      <c r="Q18" s="37" t="e">
        <f ca="1"/>
        <v>#NAME?</v>
      </c>
      <c r="R18" s="84" t="e">
        <f ca="1"/>
        <v>#NAME?</v>
      </c>
      <c r="U18" s="83" t="e">
        <f ca="1"/>
        <v>#NAME?</v>
      </c>
      <c r="V18" s="37" t="e">
        <f ca="1"/>
        <v>#NAME?</v>
      </c>
      <c r="W18" s="37" t="e">
        <f ca="1"/>
        <v>#NAME?</v>
      </c>
      <c r="X18" s="84" t="e">
        <f ca="1"/>
        <v>#NAME?</v>
      </c>
      <c r="Y18" s="293" t="e">
        <f ca="1"/>
        <v>#NAME?</v>
      </c>
    </row>
    <row r="19" spans="1:25" x14ac:dyDescent="0.35">
      <c r="A19" t="s">
        <v>159</v>
      </c>
      <c r="B19" s="102">
        <v>64.099999999999994</v>
      </c>
      <c r="C19" s="103">
        <v>14.5</v>
      </c>
      <c r="D19" s="104">
        <v>3.7</v>
      </c>
      <c r="F19" s="85" t="e">
        <f ca="1"/>
        <v>#NAME?</v>
      </c>
      <c r="G19" s="86" t="e">
        <f ca="1"/>
        <v>#NAME?</v>
      </c>
      <c r="H19" s="86" t="e">
        <f ca="1"/>
        <v>#NAME?</v>
      </c>
      <c r="I19" s="86" t="e">
        <f ca="1"/>
        <v>#NAME?</v>
      </c>
      <c r="J19" s="87" t="e">
        <f ca="1"/>
        <v>#NAME?</v>
      </c>
      <c r="N19" t="e">
        <f ca="1"/>
        <v>#NAME?</v>
      </c>
      <c r="O19" s="83" t="e">
        <f ca="1"/>
        <v>#NAME?</v>
      </c>
      <c r="P19" s="37" t="e">
        <f ca="1"/>
        <v>#NAME?</v>
      </c>
      <c r="Q19" s="37" t="e">
        <f ca="1"/>
        <v>#NAME?</v>
      </c>
      <c r="R19" s="84" t="e">
        <f ca="1"/>
        <v>#NAME?</v>
      </c>
      <c r="U19" s="83" t="e">
        <f ca="1"/>
        <v>#NAME?</v>
      </c>
      <c r="V19" s="37" t="e">
        <f ca="1"/>
        <v>#NAME?</v>
      </c>
      <c r="W19" s="37" t="e">
        <f ca="1"/>
        <v>#NAME?</v>
      </c>
      <c r="X19" s="84" t="e">
        <f ca="1"/>
        <v>#NAME?</v>
      </c>
      <c r="Y19" s="293" t="e">
        <f ca="1"/>
        <v>#NAME?</v>
      </c>
    </row>
    <row r="20" spans="1:25" x14ac:dyDescent="0.35">
      <c r="A20" t="s">
        <v>161</v>
      </c>
      <c r="B20" s="102">
        <v>62.8</v>
      </c>
      <c r="C20" s="103">
        <v>25.9</v>
      </c>
      <c r="D20" s="104">
        <v>2.9</v>
      </c>
      <c r="N20" t="e">
        <f ca="1"/>
        <v>#NAME?</v>
      </c>
      <c r="O20" s="85" t="e">
        <f ca="1"/>
        <v>#NAME?</v>
      </c>
      <c r="P20" s="86" t="e">
        <f ca="1"/>
        <v>#NAME?</v>
      </c>
      <c r="Q20" s="86" t="e">
        <f ca="1"/>
        <v>#NAME?</v>
      </c>
      <c r="R20" s="87" t="e">
        <f ca="1"/>
        <v>#NAME?</v>
      </c>
      <c r="U20" s="83" t="e">
        <f ca="1"/>
        <v>#NAME?</v>
      </c>
      <c r="V20" s="37" t="e">
        <f ca="1"/>
        <v>#NAME?</v>
      </c>
      <c r="W20" s="37" t="e">
        <f ca="1"/>
        <v>#NAME?</v>
      </c>
      <c r="X20" s="84" t="e">
        <f ca="1"/>
        <v>#NAME?</v>
      </c>
      <c r="Y20" s="293" t="e">
        <f ca="1"/>
        <v>#NAME?</v>
      </c>
    </row>
    <row r="21" spans="1:25" x14ac:dyDescent="0.35">
      <c r="A21" t="s">
        <v>161</v>
      </c>
      <c r="B21" s="102">
        <v>45</v>
      </c>
      <c r="C21" s="103">
        <v>15.9</v>
      </c>
      <c r="D21" s="104">
        <v>1.2</v>
      </c>
      <c r="F21" t="s">
        <v>669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U21" s="83" t="e">
        <f ca="1"/>
        <v>#NAME?</v>
      </c>
      <c r="V21" s="37" t="e">
        <f ca="1"/>
        <v>#NAME?</v>
      </c>
      <c r="W21" s="37" t="e">
        <f ca="1"/>
        <v>#NAME?</v>
      </c>
      <c r="X21" s="84" t="e">
        <f ca="1"/>
        <v>#NAME?</v>
      </c>
      <c r="Y21" s="293" t="e">
        <f ca="1"/>
        <v>#NAME?</v>
      </c>
    </row>
    <row r="22" spans="1:25" x14ac:dyDescent="0.35">
      <c r="A22" t="s">
        <v>161</v>
      </c>
      <c r="B22" s="102">
        <v>47.8</v>
      </c>
      <c r="C22" s="103">
        <v>36.1</v>
      </c>
      <c r="D22" s="104">
        <v>4.0999999999999996</v>
      </c>
      <c r="U22" s="83" t="e">
        <f ca="1"/>
        <v>#NAME?</v>
      </c>
      <c r="V22" s="37" t="e">
        <f ca="1"/>
        <v>#NAME?</v>
      </c>
      <c r="W22" s="37" t="e">
        <f ca="1"/>
        <v>#NAME?</v>
      </c>
      <c r="X22" s="84" t="e">
        <f ca="1"/>
        <v>#NAME?</v>
      </c>
      <c r="Y22" s="293" t="e">
        <f ca="1"/>
        <v>#NAME?</v>
      </c>
    </row>
    <row r="23" spans="1:25" x14ac:dyDescent="0.35">
      <c r="A23" t="s">
        <v>161</v>
      </c>
      <c r="B23" s="102">
        <v>75.599999999999994</v>
      </c>
      <c r="C23" s="103">
        <v>27.7</v>
      </c>
      <c r="D23" s="104">
        <v>6.3</v>
      </c>
      <c r="F23" t="s">
        <v>65</v>
      </c>
      <c r="G23" s="137" t="e">
        <f ca="1">BOXTEST(A4:D35)</f>
        <v>#NAME?</v>
      </c>
      <c r="U23" s="83" t="e">
        <f ca="1"/>
        <v>#NAME?</v>
      </c>
      <c r="V23" s="37" t="e">
        <f ca="1"/>
        <v>#NAME?</v>
      </c>
      <c r="W23" s="37" t="e">
        <f ca="1"/>
        <v>#NAME?</v>
      </c>
      <c r="X23" s="84" t="e">
        <f ca="1"/>
        <v>#NAME?</v>
      </c>
      <c r="Y23" s="293" t="e">
        <f ca="1"/>
        <v>#NAME?</v>
      </c>
    </row>
    <row r="24" spans="1:25" x14ac:dyDescent="0.35">
      <c r="A24" t="s">
        <v>161</v>
      </c>
      <c r="B24" s="102">
        <v>46.6</v>
      </c>
      <c r="C24" s="103">
        <v>46.9</v>
      </c>
      <c r="D24" s="104">
        <v>3.6</v>
      </c>
      <c r="U24" s="83" t="e">
        <f ca="1"/>
        <v>#NAME?</v>
      </c>
      <c r="V24" s="37" t="e">
        <f ca="1"/>
        <v>#NAME?</v>
      </c>
      <c r="W24" s="37" t="e">
        <f ca="1"/>
        <v>#NAME?</v>
      </c>
      <c r="X24" s="84" t="e">
        <f ca="1"/>
        <v>#NAME?</v>
      </c>
      <c r="Y24" s="293" t="e">
        <f ca="1"/>
        <v>#NAME?</v>
      </c>
    </row>
    <row r="25" spans="1:25" x14ac:dyDescent="0.35">
      <c r="A25" t="s">
        <v>161</v>
      </c>
      <c r="B25" s="102">
        <v>50.6</v>
      </c>
      <c r="C25" s="103">
        <v>29.7</v>
      </c>
      <c r="D25" s="104">
        <v>4.7</v>
      </c>
      <c r="U25" s="83" t="e">
        <f ca="1"/>
        <v>#NAME?</v>
      </c>
      <c r="V25" s="37" t="e">
        <f ca="1"/>
        <v>#NAME?</v>
      </c>
      <c r="W25" s="37" t="e">
        <f ca="1"/>
        <v>#NAME?</v>
      </c>
      <c r="X25" s="84" t="e">
        <f ca="1"/>
        <v>#NAME?</v>
      </c>
      <c r="Y25" s="293" t="e">
        <f ca="1"/>
        <v>#NAME?</v>
      </c>
    </row>
    <row r="26" spans="1:25" x14ac:dyDescent="0.35">
      <c r="A26" t="s">
        <v>161</v>
      </c>
      <c r="B26" s="102">
        <v>45.7</v>
      </c>
      <c r="C26" s="103">
        <v>27.6</v>
      </c>
      <c r="D26" s="104">
        <v>6.2</v>
      </c>
      <c r="U26" s="83" t="e">
        <f ca="1"/>
        <v>#NAME?</v>
      </c>
      <c r="V26" s="37" t="e">
        <f ca="1"/>
        <v>#NAME?</v>
      </c>
      <c r="W26" s="37" t="e">
        <f ca="1"/>
        <v>#NAME?</v>
      </c>
      <c r="X26" s="84" t="e">
        <f ca="1"/>
        <v>#NAME?</v>
      </c>
      <c r="Y26" s="293" t="e">
        <f ca="1"/>
        <v>#NAME?</v>
      </c>
    </row>
    <row r="27" spans="1:25" x14ac:dyDescent="0.35">
      <c r="A27" t="s">
        <v>161</v>
      </c>
      <c r="B27" s="102">
        <v>68.400000000000006</v>
      </c>
      <c r="C27" s="103">
        <v>35.299999999999997</v>
      </c>
      <c r="D27" s="104">
        <v>1.9</v>
      </c>
      <c r="U27" s="83" t="e">
        <f ca="1"/>
        <v>#NAME?</v>
      </c>
      <c r="V27" s="37" t="e">
        <f ca="1"/>
        <v>#NAME?</v>
      </c>
      <c r="W27" s="37" t="e">
        <f ca="1"/>
        <v>#NAME?</v>
      </c>
      <c r="X27" s="84" t="e">
        <f ca="1"/>
        <v>#NAME?</v>
      </c>
      <c r="Y27" s="293" t="e">
        <f ca="1"/>
        <v>#NAME?</v>
      </c>
    </row>
    <row r="28" spans="1:25" x14ac:dyDescent="0.35">
      <c r="A28" t="s">
        <v>160</v>
      </c>
      <c r="B28" s="102">
        <v>52.5</v>
      </c>
      <c r="C28" s="103">
        <v>39</v>
      </c>
      <c r="D28" s="104">
        <v>3.1</v>
      </c>
      <c r="U28" s="83" t="e">
        <f ca="1"/>
        <v>#NAME?</v>
      </c>
      <c r="V28" s="37" t="e">
        <f ca="1"/>
        <v>#NAME?</v>
      </c>
      <c r="W28" s="37" t="e">
        <f ca="1"/>
        <v>#NAME?</v>
      </c>
      <c r="X28" s="84" t="e">
        <f ca="1"/>
        <v>#NAME?</v>
      </c>
      <c r="Y28" s="293" t="e">
        <f ca="1"/>
        <v>#NAME?</v>
      </c>
    </row>
    <row r="29" spans="1:25" x14ac:dyDescent="0.35">
      <c r="A29" t="s">
        <v>160</v>
      </c>
      <c r="B29" s="102">
        <v>80</v>
      </c>
      <c r="C29" s="103">
        <v>54.2</v>
      </c>
      <c r="D29" s="104">
        <v>4</v>
      </c>
      <c r="U29" s="83" t="e">
        <f ca="1"/>
        <v>#NAME?</v>
      </c>
      <c r="V29" s="37" t="e">
        <f ca="1"/>
        <v>#NAME?</v>
      </c>
      <c r="W29" s="37" t="e">
        <f ca="1"/>
        <v>#NAME?</v>
      </c>
      <c r="X29" s="84" t="e">
        <f ca="1"/>
        <v>#NAME?</v>
      </c>
      <c r="Y29" s="293" t="e">
        <f ca="1"/>
        <v>#NAME?</v>
      </c>
    </row>
    <row r="30" spans="1:25" x14ac:dyDescent="0.35">
      <c r="A30" t="s">
        <v>160</v>
      </c>
      <c r="B30" s="102">
        <v>54.7</v>
      </c>
      <c r="C30" s="103">
        <v>32.1</v>
      </c>
      <c r="D30" s="104">
        <v>5.7</v>
      </c>
      <c r="U30" s="83" t="e">
        <f ca="1"/>
        <v>#NAME?</v>
      </c>
      <c r="V30" s="37" t="e">
        <f ca="1"/>
        <v>#NAME?</v>
      </c>
      <c r="W30" s="37" t="e">
        <f ca="1"/>
        <v>#NAME?</v>
      </c>
      <c r="X30" s="84" t="e">
        <f ca="1"/>
        <v>#NAME?</v>
      </c>
      <c r="Y30" s="293" t="e">
        <f ca="1"/>
        <v>#NAME?</v>
      </c>
    </row>
    <row r="31" spans="1:25" x14ac:dyDescent="0.35">
      <c r="A31" t="s">
        <v>160</v>
      </c>
      <c r="B31" s="102">
        <v>63.5</v>
      </c>
      <c r="C31" s="103">
        <v>25.6</v>
      </c>
      <c r="D31" s="104">
        <v>3</v>
      </c>
      <c r="U31" s="83" t="e">
        <f ca="1"/>
        <v>#NAME?</v>
      </c>
      <c r="V31" s="37" t="e">
        <f ca="1"/>
        <v>#NAME?</v>
      </c>
      <c r="W31" s="37" t="e">
        <f ca="1"/>
        <v>#NAME?</v>
      </c>
      <c r="X31" s="84" t="e">
        <f ca="1"/>
        <v>#NAME?</v>
      </c>
      <c r="Y31" s="293" t="e">
        <f ca="1"/>
        <v>#NAME?</v>
      </c>
    </row>
    <row r="32" spans="1:25" x14ac:dyDescent="0.35">
      <c r="A32" t="s">
        <v>160</v>
      </c>
      <c r="B32" s="102">
        <v>46.3</v>
      </c>
      <c r="C32" s="103">
        <v>31.8</v>
      </c>
      <c r="D32" s="104">
        <v>7.4</v>
      </c>
      <c r="U32" s="83" t="e">
        <f ca="1"/>
        <v>#NAME?</v>
      </c>
      <c r="V32" s="37" t="e">
        <f ca="1"/>
        <v>#NAME?</v>
      </c>
      <c r="W32" s="37" t="e">
        <f ca="1"/>
        <v>#NAME?</v>
      </c>
      <c r="X32" s="84" t="e">
        <f ca="1"/>
        <v>#NAME?</v>
      </c>
      <c r="Y32" s="293" t="e">
        <f ca="1"/>
        <v>#NAME?</v>
      </c>
    </row>
    <row r="33" spans="1:25" x14ac:dyDescent="0.35">
      <c r="A33" t="s">
        <v>160</v>
      </c>
      <c r="B33" s="102">
        <v>61.5</v>
      </c>
      <c r="C33" s="103">
        <v>16.8</v>
      </c>
      <c r="D33" s="104">
        <v>1.9</v>
      </c>
      <c r="U33" s="83" t="e">
        <f ca="1"/>
        <v>#NAME?</v>
      </c>
      <c r="V33" s="37" t="e">
        <f ca="1"/>
        <v>#NAME?</v>
      </c>
      <c r="W33" s="37" t="e">
        <f ca="1"/>
        <v>#NAME?</v>
      </c>
      <c r="X33" s="84" t="e">
        <f ca="1"/>
        <v>#NAME?</v>
      </c>
      <c r="Y33" s="293" t="e">
        <f ca="1"/>
        <v>#NAME?</v>
      </c>
    </row>
    <row r="34" spans="1:25" x14ac:dyDescent="0.35">
      <c r="A34" t="s">
        <v>160</v>
      </c>
      <c r="B34" s="102">
        <v>62.9</v>
      </c>
      <c r="C34" s="103">
        <v>25.8</v>
      </c>
      <c r="D34" s="104">
        <v>2.4</v>
      </c>
      <c r="U34" s="83" t="e">
        <f ca="1"/>
        <v>#NAME?</v>
      </c>
      <c r="V34" s="37" t="e">
        <f ca="1"/>
        <v>#NAME?</v>
      </c>
      <c r="W34" s="37" t="e">
        <f ca="1"/>
        <v>#NAME?</v>
      </c>
      <c r="X34" s="84" t="e">
        <f ca="1"/>
        <v>#NAME?</v>
      </c>
      <c r="Y34" s="293" t="e">
        <f ca="1"/>
        <v>#NAME?</v>
      </c>
    </row>
    <row r="35" spans="1:25" x14ac:dyDescent="0.35">
      <c r="A35" t="s">
        <v>160</v>
      </c>
      <c r="B35" s="77">
        <v>49.3</v>
      </c>
      <c r="C35" s="120">
        <v>39.4</v>
      </c>
      <c r="D35" s="121">
        <v>5.2</v>
      </c>
      <c r="U35" s="83" t="e">
        <f ca="1"/>
        <v>#NAME?</v>
      </c>
      <c r="V35" s="37" t="e">
        <f ca="1"/>
        <v>#NAME?</v>
      </c>
      <c r="W35" s="37" t="e">
        <f ca="1"/>
        <v>#NAME?</v>
      </c>
      <c r="X35" s="84" t="e">
        <f ca="1"/>
        <v>#NAME?</v>
      </c>
      <c r="Y35" s="293" t="e">
        <f ca="1"/>
        <v>#NAME?</v>
      </c>
    </row>
    <row r="36" spans="1:25" x14ac:dyDescent="0.35">
      <c r="U36" s="83" t="e">
        <f ca="1"/>
        <v>#NAME?</v>
      </c>
      <c r="V36" s="37" t="e">
        <f ca="1"/>
        <v>#NAME?</v>
      </c>
      <c r="W36" s="37" t="e">
        <f ca="1"/>
        <v>#NAME?</v>
      </c>
      <c r="X36" s="84" t="e">
        <f ca="1"/>
        <v>#NAME?</v>
      </c>
      <c r="Y36" s="293" t="e">
        <f ca="1"/>
        <v>#NAME?</v>
      </c>
    </row>
    <row r="37" spans="1:25" x14ac:dyDescent="0.35">
      <c r="U37" s="83" t="e">
        <f ca="1"/>
        <v>#NAME?</v>
      </c>
      <c r="V37" s="37" t="e">
        <f ca="1"/>
        <v>#NAME?</v>
      </c>
      <c r="W37" s="37" t="e">
        <f ca="1"/>
        <v>#NAME?</v>
      </c>
      <c r="X37" s="84" t="e">
        <f ca="1"/>
        <v>#NAME?</v>
      </c>
      <c r="Y37" s="293" t="e">
        <f ca="1"/>
        <v>#NAME?</v>
      </c>
    </row>
    <row r="38" spans="1:25" x14ac:dyDescent="0.35">
      <c r="U38" s="83" t="e">
        <f ca="1"/>
        <v>#NAME?</v>
      </c>
      <c r="V38" s="37" t="e">
        <f ca="1"/>
        <v>#NAME?</v>
      </c>
      <c r="W38" s="37" t="e">
        <f ca="1"/>
        <v>#NAME?</v>
      </c>
      <c r="X38" s="84" t="e">
        <f ca="1"/>
        <v>#NAME?</v>
      </c>
      <c r="Y38" s="293" t="e">
        <f ca="1"/>
        <v>#NAME?</v>
      </c>
    </row>
    <row r="39" spans="1:25" x14ac:dyDescent="0.35">
      <c r="U39" s="85" t="e">
        <f ca="1"/>
        <v>#NAME?</v>
      </c>
      <c r="V39" s="86" t="e">
        <f ca="1"/>
        <v>#NAME?</v>
      </c>
      <c r="W39" s="86" t="e">
        <f ca="1"/>
        <v>#NAME?</v>
      </c>
      <c r="X39" s="87" t="e">
        <f ca="1"/>
        <v>#NAME?</v>
      </c>
      <c r="Y39" s="294" t="e">
        <f ca="1"/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8"/>
  <dimension ref="A1:AC40"/>
  <sheetViews>
    <sheetView workbookViewId="0"/>
  </sheetViews>
  <sheetFormatPr defaultRowHeight="14.5" x14ac:dyDescent="0.35"/>
  <cols>
    <col min="2" max="5" width="5.81640625" style="32" customWidth="1"/>
    <col min="6" max="6" width="4.453125" customWidth="1"/>
    <col min="9" max="9" width="4" customWidth="1"/>
    <col min="15" max="15" width="3.7265625" customWidth="1"/>
    <col min="22" max="22" width="4.1796875" customWidth="1"/>
    <col min="23" max="23" width="5.81640625" customWidth="1"/>
  </cols>
  <sheetData>
    <row r="1" spans="1:29" x14ac:dyDescent="0.35">
      <c r="A1" s="42" t="s">
        <v>662</v>
      </c>
    </row>
    <row r="2" spans="1:29" x14ac:dyDescent="0.35">
      <c r="X2" t="s">
        <v>674</v>
      </c>
    </row>
    <row r="3" spans="1:29" x14ac:dyDescent="0.35">
      <c r="B3" s="32" t="s">
        <v>458</v>
      </c>
      <c r="C3" s="32" t="s">
        <v>389</v>
      </c>
      <c r="D3" s="32" t="s">
        <v>461</v>
      </c>
      <c r="E3" s="32" t="s">
        <v>462</v>
      </c>
      <c r="J3" t="s">
        <v>662</v>
      </c>
    </row>
    <row r="4" spans="1:29" x14ac:dyDescent="0.35">
      <c r="A4" t="s">
        <v>664</v>
      </c>
      <c r="B4" s="236">
        <v>31</v>
      </c>
      <c r="C4" s="145">
        <v>23</v>
      </c>
      <c r="D4" s="145">
        <v>38</v>
      </c>
      <c r="E4" s="237">
        <v>29</v>
      </c>
      <c r="X4" s="32" t="e">
        <f t="array" aca="1" ref="X4:AC40" ca="1">QDAPred(B4:E39,A4:E39,K16:K20,TRUE)</f>
        <v>#NAME?</v>
      </c>
      <c r="Y4" s="32" t="e">
        <f ca="1"/>
        <v>#NAME?</v>
      </c>
      <c r="Z4" s="32" t="e">
        <f ca="1"/>
        <v>#NAME?</v>
      </c>
      <c r="AA4" s="32" t="e">
        <f ca="1"/>
        <v>#NAME?</v>
      </c>
      <c r="AB4" s="32" t="e">
        <f ca="1"/>
        <v>#NAME?</v>
      </c>
      <c r="AC4" s="32" t="e">
        <f ca="1"/>
        <v>#NAME?</v>
      </c>
    </row>
    <row r="5" spans="1:29" x14ac:dyDescent="0.35">
      <c r="A5" t="s">
        <v>664</v>
      </c>
      <c r="B5" s="44">
        <v>29</v>
      </c>
      <c r="C5" s="73">
        <v>19</v>
      </c>
      <c r="D5" s="73">
        <v>37</v>
      </c>
      <c r="E5" s="215">
        <v>25</v>
      </c>
      <c r="G5" t="s">
        <v>672</v>
      </c>
      <c r="J5" t="s">
        <v>125</v>
      </c>
      <c r="P5" t="s">
        <v>673</v>
      </c>
      <c r="X5" s="149" t="e">
        <f ca="1"/>
        <v>#NAME?</v>
      </c>
      <c r="Y5" s="141" t="e">
        <f ca="1"/>
        <v>#NAME?</v>
      </c>
      <c r="Z5" s="141" t="e">
        <f ca="1"/>
        <v>#NAME?</v>
      </c>
      <c r="AA5" s="141" t="e">
        <f ca="1"/>
        <v>#NAME?</v>
      </c>
      <c r="AB5" s="150" t="e">
        <f ca="1"/>
        <v>#NAME?</v>
      </c>
      <c r="AC5" s="132" t="e">
        <f ca="1"/>
        <v>#NAME?</v>
      </c>
    </row>
    <row r="6" spans="1:29" x14ac:dyDescent="0.35">
      <c r="A6" t="s">
        <v>664</v>
      </c>
      <c r="B6" s="44">
        <v>32</v>
      </c>
      <c r="C6" s="73">
        <v>22</v>
      </c>
      <c r="D6" s="73">
        <v>34</v>
      </c>
      <c r="E6" s="215">
        <v>23</v>
      </c>
      <c r="X6" s="83" t="e">
        <f ca="1"/>
        <v>#NAME?</v>
      </c>
      <c r="Y6" s="37" t="e">
        <f ca="1"/>
        <v>#NAME?</v>
      </c>
      <c r="Z6" s="37" t="e">
        <f ca="1"/>
        <v>#NAME?</v>
      </c>
      <c r="AA6" s="37" t="e">
        <f ca="1"/>
        <v>#NAME?</v>
      </c>
      <c r="AB6" s="84" t="e">
        <f ca="1"/>
        <v>#NAME?</v>
      </c>
      <c r="AC6" s="98" t="e">
        <f ca="1"/>
        <v>#NAME?</v>
      </c>
    </row>
    <row r="7" spans="1:29" x14ac:dyDescent="0.35">
      <c r="A7" t="s">
        <v>664</v>
      </c>
      <c r="B7" s="44">
        <v>35</v>
      </c>
      <c r="C7" s="73">
        <v>17</v>
      </c>
      <c r="D7" s="73">
        <v>32</v>
      </c>
      <c r="E7" s="215">
        <v>21</v>
      </c>
      <c r="G7" t="e">
        <f t="array" aca="1" ref="G7:G11" ca="1">ExtractUnique(A4:E39,"")</f>
        <v>#NAME?</v>
      </c>
      <c r="H7" s="139">
        <v>0.19444444444444445</v>
      </c>
      <c r="K7" s="32" t="str">
        <f>B3</f>
        <v>A</v>
      </c>
      <c r="L7" s="32" t="str">
        <f>C3</f>
        <v>B</v>
      </c>
      <c r="M7" s="32" t="str">
        <f>D3</f>
        <v>C</v>
      </c>
      <c r="N7" s="32" t="str">
        <f>E3</f>
        <v>D</v>
      </c>
      <c r="P7" s="32" t="e">
        <f t="array" aca="1" ref="P7:V13" ca="1">DAClassification(A4:E39,K16:K20,FALSE)</f>
        <v>#NAME?</v>
      </c>
      <c r="Q7" s="32" t="e">
        <f ca="1"/>
        <v>#NAME?</v>
      </c>
      <c r="R7" s="32" t="e">
        <f ca="1"/>
        <v>#NAME?</v>
      </c>
      <c r="S7" s="32" t="e">
        <f ca="1"/>
        <v>#NAME?</v>
      </c>
      <c r="T7" s="32" t="e">
        <f ca="1"/>
        <v>#NAME?</v>
      </c>
      <c r="U7" s="32" t="e">
        <f ca="1"/>
        <v>#NAME?</v>
      </c>
      <c r="V7" s="32" t="e">
        <f ca="1"/>
        <v>#NAME?</v>
      </c>
      <c r="X7" s="83" t="e">
        <f ca="1"/>
        <v>#NAME?</v>
      </c>
      <c r="Y7" s="37" t="e">
        <f ca="1"/>
        <v>#NAME?</v>
      </c>
      <c r="Z7" s="37" t="e">
        <f ca="1"/>
        <v>#NAME?</v>
      </c>
      <c r="AA7" s="37" t="e">
        <f ca="1"/>
        <v>#NAME?</v>
      </c>
      <c r="AB7" s="84" t="e">
        <f ca="1"/>
        <v>#NAME?</v>
      </c>
      <c r="AC7" s="98" t="e">
        <f ca="1"/>
        <v>#NAME?</v>
      </c>
    </row>
    <row r="8" spans="1:29" x14ac:dyDescent="0.35">
      <c r="A8" t="s">
        <v>664</v>
      </c>
      <c r="B8" s="44">
        <v>29</v>
      </c>
      <c r="C8" s="73">
        <v>13</v>
      </c>
      <c r="D8" s="73">
        <v>38</v>
      </c>
      <c r="E8" s="215">
        <v>26</v>
      </c>
      <c r="G8" t="e">
        <f ca="1"/>
        <v>#NAME?</v>
      </c>
      <c r="H8" s="37">
        <v>0.16666666666666666</v>
      </c>
      <c r="J8" t="e">
        <f t="array" aca="1" ref="J8:J12" ca="1">ExtractUnique(A4:E39,"")</f>
        <v>#NAME?</v>
      </c>
      <c r="K8" s="149" t="e">
        <f t="shared" ref="K8:N12" ca="1" si="0">AVERAGEIF($A$4:$A$39,$J8,B$4:B$39)</f>
        <v>#DIV/0!</v>
      </c>
      <c r="L8" s="141" t="e">
        <f t="shared" ca="1" si="0"/>
        <v>#DIV/0!</v>
      </c>
      <c r="M8" s="141" t="e">
        <f t="shared" ca="1" si="0"/>
        <v>#DIV/0!</v>
      </c>
      <c r="N8" s="150" t="e">
        <f t="shared" ca="1" si="0"/>
        <v>#DIV/0!</v>
      </c>
      <c r="P8" t="e">
        <f ca="1"/>
        <v>#NAME?</v>
      </c>
      <c r="Q8" s="149" t="e">
        <f ca="1"/>
        <v>#NAME?</v>
      </c>
      <c r="R8" s="141" t="e">
        <f ca="1"/>
        <v>#NAME?</v>
      </c>
      <c r="S8" s="141" t="e">
        <f ca="1"/>
        <v>#NAME?</v>
      </c>
      <c r="T8" s="141" t="e">
        <f ca="1"/>
        <v>#NAME?</v>
      </c>
      <c r="U8" s="150" t="e">
        <f ca="1"/>
        <v>#NAME?</v>
      </c>
      <c r="V8" t="e">
        <f ca="1"/>
        <v>#NAME?</v>
      </c>
      <c r="X8" s="83" t="e">
        <f ca="1"/>
        <v>#NAME?</v>
      </c>
      <c r="Y8" s="37" t="e">
        <f ca="1"/>
        <v>#NAME?</v>
      </c>
      <c r="Z8" s="37" t="e">
        <f ca="1"/>
        <v>#NAME?</v>
      </c>
      <c r="AA8" s="37" t="e">
        <f ca="1"/>
        <v>#NAME?</v>
      </c>
      <c r="AB8" s="84" t="e">
        <f ca="1"/>
        <v>#NAME?</v>
      </c>
      <c r="AC8" s="98" t="e">
        <f ca="1"/>
        <v>#NAME?</v>
      </c>
    </row>
    <row r="9" spans="1:29" x14ac:dyDescent="0.35">
      <c r="A9" t="s">
        <v>664</v>
      </c>
      <c r="B9" s="44">
        <v>29</v>
      </c>
      <c r="C9" s="73">
        <v>26</v>
      </c>
      <c r="D9" s="73">
        <v>39</v>
      </c>
      <c r="E9" s="215">
        <v>17</v>
      </c>
      <c r="G9" t="e">
        <f ca="1"/>
        <v>#NAME?</v>
      </c>
      <c r="H9" s="37">
        <v>0.16666666666666666</v>
      </c>
      <c r="J9" t="e">
        <f ca="1"/>
        <v>#NAME?</v>
      </c>
      <c r="K9" s="83" t="e">
        <f t="shared" ca="1" si="0"/>
        <v>#DIV/0!</v>
      </c>
      <c r="L9" s="37" t="e">
        <f t="shared" ca="1" si="0"/>
        <v>#DIV/0!</v>
      </c>
      <c r="M9" s="37" t="e">
        <f t="shared" ca="1" si="0"/>
        <v>#DIV/0!</v>
      </c>
      <c r="N9" s="84" t="e">
        <f t="shared" ca="1" si="0"/>
        <v>#DIV/0!</v>
      </c>
      <c r="P9" t="e">
        <f ca="1"/>
        <v>#NAME?</v>
      </c>
      <c r="Q9" s="83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84" t="e">
        <f ca="1"/>
        <v>#NAME?</v>
      </c>
      <c r="V9" t="e">
        <f ca="1"/>
        <v>#NAME?</v>
      </c>
      <c r="X9" s="83" t="e">
        <f ca="1"/>
        <v>#NAME?</v>
      </c>
      <c r="Y9" s="37" t="e">
        <f ca="1"/>
        <v>#NAME?</v>
      </c>
      <c r="Z9" s="37" t="e">
        <f ca="1"/>
        <v>#NAME?</v>
      </c>
      <c r="AA9" s="37" t="e">
        <f ca="1"/>
        <v>#NAME?</v>
      </c>
      <c r="AB9" s="84" t="e">
        <f ca="1"/>
        <v>#NAME?</v>
      </c>
      <c r="AC9" s="98" t="e">
        <f ca="1"/>
        <v>#NAME?</v>
      </c>
    </row>
    <row r="10" spans="1:29" x14ac:dyDescent="0.35">
      <c r="A10" t="s">
        <v>664</v>
      </c>
      <c r="B10" s="44">
        <v>23</v>
      </c>
      <c r="C10" s="73">
        <v>13</v>
      </c>
      <c r="D10" s="73">
        <v>23</v>
      </c>
      <c r="E10" s="215">
        <v>46</v>
      </c>
      <c r="G10" t="e">
        <f ca="1"/>
        <v>#NAME?</v>
      </c>
      <c r="H10" s="37">
        <v>0.19444444444444445</v>
      </c>
      <c r="J10" t="e">
        <f ca="1"/>
        <v>#NAME?</v>
      </c>
      <c r="K10" s="83" t="e">
        <f t="shared" ca="1" si="0"/>
        <v>#DIV/0!</v>
      </c>
      <c r="L10" s="37" t="e">
        <f t="shared" ca="1" si="0"/>
        <v>#DIV/0!</v>
      </c>
      <c r="M10" s="37" t="e">
        <f t="shared" ca="1" si="0"/>
        <v>#DIV/0!</v>
      </c>
      <c r="N10" s="84" t="e">
        <f t="shared" ca="1" si="0"/>
        <v>#DIV/0!</v>
      </c>
      <c r="P10" t="e">
        <f ca="1"/>
        <v>#NAME?</v>
      </c>
      <c r="Q10" s="83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84" t="e">
        <f ca="1"/>
        <v>#NAME?</v>
      </c>
      <c r="V10" t="e">
        <f ca="1"/>
        <v>#NAME?</v>
      </c>
      <c r="X10" s="83" t="e">
        <f ca="1"/>
        <v>#NAME?</v>
      </c>
      <c r="Y10" s="37" t="e">
        <f ca="1"/>
        <v>#NAME?</v>
      </c>
      <c r="Z10" s="37" t="e">
        <f ca="1"/>
        <v>#NAME?</v>
      </c>
      <c r="AA10" s="37" t="e">
        <f ca="1"/>
        <v>#NAME?</v>
      </c>
      <c r="AB10" s="84" t="e">
        <f ca="1"/>
        <v>#NAME?</v>
      </c>
      <c r="AC10" s="98" t="e">
        <f ca="1"/>
        <v>#NAME?</v>
      </c>
    </row>
    <row r="11" spans="1:29" x14ac:dyDescent="0.35">
      <c r="A11" t="s">
        <v>665</v>
      </c>
      <c r="B11" s="44">
        <v>39</v>
      </c>
      <c r="C11" s="73">
        <v>19</v>
      </c>
      <c r="D11" s="73">
        <v>30</v>
      </c>
      <c r="E11" s="215">
        <v>22</v>
      </c>
      <c r="G11" t="e">
        <f ca="1"/>
        <v>#NAME?</v>
      </c>
      <c r="H11" s="40">
        <v>0.27777777777777779</v>
      </c>
      <c r="J11" t="e">
        <f ca="1"/>
        <v>#NAME?</v>
      </c>
      <c r="K11" s="83" t="e">
        <f t="shared" ca="1" si="0"/>
        <v>#DIV/0!</v>
      </c>
      <c r="L11" s="37" t="e">
        <f t="shared" ca="1" si="0"/>
        <v>#DIV/0!</v>
      </c>
      <c r="M11" s="37" t="e">
        <f t="shared" ca="1" si="0"/>
        <v>#DIV/0!</v>
      </c>
      <c r="N11" s="84" t="e">
        <f t="shared" ca="1" si="0"/>
        <v>#DIV/0!</v>
      </c>
      <c r="P11" t="e">
        <f ca="1"/>
        <v>#NAME?</v>
      </c>
      <c r="Q11" s="83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84" t="e">
        <f ca="1"/>
        <v>#NAME?</v>
      </c>
      <c r="V11" t="e">
        <f ca="1"/>
        <v>#NAME?</v>
      </c>
      <c r="X11" s="83" t="e">
        <f ca="1"/>
        <v>#NAME?</v>
      </c>
      <c r="Y11" s="37" t="e">
        <f ca="1"/>
        <v>#NAME?</v>
      </c>
      <c r="Z11" s="37" t="e">
        <f ca="1"/>
        <v>#NAME?</v>
      </c>
      <c r="AA11" s="37" t="e">
        <f ca="1"/>
        <v>#NAME?</v>
      </c>
      <c r="AB11" s="84" t="e">
        <f ca="1"/>
        <v>#NAME?</v>
      </c>
      <c r="AC11" s="98" t="e">
        <f ca="1"/>
        <v>#NAME?</v>
      </c>
    </row>
    <row r="12" spans="1:29" x14ac:dyDescent="0.35">
      <c r="A12" t="s">
        <v>665</v>
      </c>
      <c r="B12" s="44">
        <v>47</v>
      </c>
      <c r="C12" s="73">
        <v>20</v>
      </c>
      <c r="D12" s="73">
        <v>32</v>
      </c>
      <c r="E12" s="215">
        <v>26</v>
      </c>
      <c r="J12" t="e">
        <f ca="1"/>
        <v>#NAME?</v>
      </c>
      <c r="K12" s="85" t="e">
        <f t="shared" ca="1" si="0"/>
        <v>#DIV/0!</v>
      </c>
      <c r="L12" s="86" t="e">
        <f t="shared" ca="1" si="0"/>
        <v>#DIV/0!</v>
      </c>
      <c r="M12" s="86" t="e">
        <f t="shared" ca="1" si="0"/>
        <v>#DIV/0!</v>
      </c>
      <c r="N12" s="87" t="e">
        <f t="shared" ca="1" si="0"/>
        <v>#DIV/0!</v>
      </c>
      <c r="P12" t="e">
        <f ca="1"/>
        <v>#NAME?</v>
      </c>
      <c r="Q12" s="85" t="e">
        <f ca="1"/>
        <v>#NAME?</v>
      </c>
      <c r="R12" s="86" t="e">
        <f ca="1"/>
        <v>#NAME?</v>
      </c>
      <c r="S12" s="86" t="e">
        <f ca="1"/>
        <v>#NAME?</v>
      </c>
      <c r="T12" s="86" t="e">
        <f ca="1"/>
        <v>#NAME?</v>
      </c>
      <c r="U12" s="87" t="e">
        <f ca="1"/>
        <v>#NAME?</v>
      </c>
      <c r="V12" t="e">
        <f ca="1"/>
        <v>#NAME?</v>
      </c>
      <c r="X12" s="83" t="e">
        <f ca="1"/>
        <v>#NAME?</v>
      </c>
      <c r="Y12" s="37" t="e">
        <f ca="1"/>
        <v>#NAME?</v>
      </c>
      <c r="Z12" s="37" t="e">
        <f ca="1"/>
        <v>#NAME?</v>
      </c>
      <c r="AA12" s="37" t="e">
        <f ca="1"/>
        <v>#NAME?</v>
      </c>
      <c r="AB12" s="84" t="e">
        <f ca="1"/>
        <v>#NAME?</v>
      </c>
      <c r="AC12" s="98" t="e">
        <f ca="1"/>
        <v>#NAME?</v>
      </c>
    </row>
    <row r="13" spans="1:29" x14ac:dyDescent="0.35">
      <c r="A13" t="s">
        <v>665</v>
      </c>
      <c r="B13" s="44">
        <v>41</v>
      </c>
      <c r="C13" s="73">
        <v>23</v>
      </c>
      <c r="D13" s="73">
        <v>30</v>
      </c>
      <c r="E13" s="215">
        <v>22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X13" s="83" t="e">
        <f ca="1"/>
        <v>#NAME?</v>
      </c>
      <c r="Y13" s="37" t="e">
        <f ca="1"/>
        <v>#NAME?</v>
      </c>
      <c r="Z13" s="37" t="e">
        <f ca="1"/>
        <v>#NAME?</v>
      </c>
      <c r="AA13" s="37" t="e">
        <f ca="1"/>
        <v>#NAME?</v>
      </c>
      <c r="AB13" s="84" t="e">
        <f ca="1"/>
        <v>#NAME?</v>
      </c>
      <c r="AC13" s="98" t="e">
        <f ca="1"/>
        <v>#NAME?</v>
      </c>
    </row>
    <row r="14" spans="1:29" x14ac:dyDescent="0.35">
      <c r="A14" t="s">
        <v>665</v>
      </c>
      <c r="B14" s="44">
        <v>53</v>
      </c>
      <c r="C14" s="73">
        <v>37</v>
      </c>
      <c r="D14" s="73">
        <v>31</v>
      </c>
      <c r="E14" s="215">
        <v>16</v>
      </c>
      <c r="J14" t="s">
        <v>672</v>
      </c>
      <c r="X14" s="83" t="e">
        <f ca="1"/>
        <v>#NAME?</v>
      </c>
      <c r="Y14" s="37" t="e">
        <f ca="1"/>
        <v>#NAME?</v>
      </c>
      <c r="Z14" s="37" t="e">
        <f ca="1"/>
        <v>#NAME?</v>
      </c>
      <c r="AA14" s="37" t="e">
        <f ca="1"/>
        <v>#NAME?</v>
      </c>
      <c r="AB14" s="84" t="e">
        <f ca="1"/>
        <v>#NAME?</v>
      </c>
      <c r="AC14" s="98" t="e">
        <f ca="1"/>
        <v>#NAME?</v>
      </c>
    </row>
    <row r="15" spans="1:29" x14ac:dyDescent="0.35">
      <c r="A15" t="s">
        <v>665</v>
      </c>
      <c r="B15" s="44">
        <v>23</v>
      </c>
      <c r="C15" s="73">
        <v>13</v>
      </c>
      <c r="D15" s="73">
        <v>22</v>
      </c>
      <c r="E15" s="215">
        <v>31</v>
      </c>
      <c r="P15" t="s">
        <v>678</v>
      </c>
      <c r="X15" s="83" t="e">
        <f ca="1"/>
        <v>#NAME?</v>
      </c>
      <c r="Y15" s="37" t="e">
        <f ca="1"/>
        <v>#NAME?</v>
      </c>
      <c r="Z15" s="37" t="e">
        <f ca="1"/>
        <v>#NAME?</v>
      </c>
      <c r="AA15" s="37" t="e">
        <f ca="1"/>
        <v>#NAME?</v>
      </c>
      <c r="AB15" s="84" t="e">
        <f ca="1"/>
        <v>#NAME?</v>
      </c>
      <c r="AC15" s="98" t="e">
        <f ca="1"/>
        <v>#NAME?</v>
      </c>
    </row>
    <row r="16" spans="1:29" x14ac:dyDescent="0.35">
      <c r="A16" t="s">
        <v>665</v>
      </c>
      <c r="B16" s="44">
        <v>43</v>
      </c>
      <c r="C16" s="73">
        <v>26</v>
      </c>
      <c r="D16" s="73">
        <v>38</v>
      </c>
      <c r="E16" s="215">
        <v>31</v>
      </c>
      <c r="J16" t="e">
        <f ca="1">J8</f>
        <v>#NAME?</v>
      </c>
      <c r="K16" s="132">
        <f>H7</f>
        <v>0.19444444444444445</v>
      </c>
      <c r="X16" s="83" t="e">
        <f ca="1"/>
        <v>#NAME?</v>
      </c>
      <c r="Y16" s="37" t="e">
        <f ca="1"/>
        <v>#NAME?</v>
      </c>
      <c r="Z16" s="37" t="e">
        <f ca="1"/>
        <v>#NAME?</v>
      </c>
      <c r="AA16" s="37" t="e">
        <f ca="1"/>
        <v>#NAME?</v>
      </c>
      <c r="AB16" s="84" t="e">
        <f ca="1"/>
        <v>#NAME?</v>
      </c>
      <c r="AC16" s="98" t="e">
        <f ca="1"/>
        <v>#NAME?</v>
      </c>
    </row>
    <row r="17" spans="1:29" x14ac:dyDescent="0.35">
      <c r="A17" t="s">
        <v>668</v>
      </c>
      <c r="B17" s="44">
        <v>61</v>
      </c>
      <c r="C17" s="73">
        <v>26</v>
      </c>
      <c r="D17" s="73">
        <v>40</v>
      </c>
      <c r="E17" s="215">
        <v>27</v>
      </c>
      <c r="J17" t="e">
        <f t="shared" ref="J17:J20" ca="1" si="1">J9</f>
        <v>#NAME?</v>
      </c>
      <c r="K17" s="98">
        <f t="shared" ref="K17:K20" si="2">H8</f>
        <v>0.16666666666666666</v>
      </c>
      <c r="P17" s="32" t="e">
        <f t="array" aca="1" ref="P17:T23" ca="1">DASummary( P7:V13)</f>
        <v>#NAME?</v>
      </c>
      <c r="Q17" s="32" t="e">
        <f ca="1"/>
        <v>#NAME?</v>
      </c>
      <c r="R17" s="32" t="e">
        <f ca="1"/>
        <v>#NAME?</v>
      </c>
      <c r="S17" s="32" t="e">
        <f ca="1"/>
        <v>#NAME?</v>
      </c>
      <c r="T17" s="32" t="e">
        <f ca="1"/>
        <v>#NAME?</v>
      </c>
      <c r="X17" s="83" t="e">
        <f ca="1"/>
        <v>#NAME?</v>
      </c>
      <c r="Y17" s="37" t="e">
        <f ca="1"/>
        <v>#NAME?</v>
      </c>
      <c r="Z17" s="37" t="e">
        <f ca="1"/>
        <v>#NAME?</v>
      </c>
      <c r="AA17" s="37" t="e">
        <f ca="1"/>
        <v>#NAME?</v>
      </c>
      <c r="AB17" s="84" t="e">
        <f ca="1"/>
        <v>#NAME?</v>
      </c>
      <c r="AC17" s="98" t="e">
        <f ca="1"/>
        <v>#NAME?</v>
      </c>
    </row>
    <row r="18" spans="1:29" x14ac:dyDescent="0.35">
      <c r="A18" t="s">
        <v>668</v>
      </c>
      <c r="B18" s="44">
        <v>57</v>
      </c>
      <c r="C18" s="73">
        <v>19</v>
      </c>
      <c r="D18" s="73">
        <v>33</v>
      </c>
      <c r="E18" s="215">
        <v>24</v>
      </c>
      <c r="J18" t="e">
        <f t="shared" ca="1" si="1"/>
        <v>#NAME?</v>
      </c>
      <c r="K18" s="98">
        <f t="shared" si="2"/>
        <v>0.16666666666666666</v>
      </c>
      <c r="P18" t="e">
        <f ca="1"/>
        <v>#NAME?</v>
      </c>
      <c r="Q18" s="149" t="e">
        <f ca="1"/>
        <v>#NAME?</v>
      </c>
      <c r="R18" s="141" t="e">
        <f ca="1"/>
        <v>#NAME?</v>
      </c>
      <c r="S18" s="141" t="e">
        <f ca="1"/>
        <v>#NAME?</v>
      </c>
      <c r="T18" s="150" t="e">
        <f ca="1"/>
        <v>#NAME?</v>
      </c>
      <c r="X18" s="83" t="e">
        <f ca="1"/>
        <v>#NAME?</v>
      </c>
      <c r="Y18" s="37" t="e">
        <f ca="1"/>
        <v>#NAME?</v>
      </c>
      <c r="Z18" s="37" t="e">
        <f ca="1"/>
        <v>#NAME?</v>
      </c>
      <c r="AA18" s="37" t="e">
        <f ca="1"/>
        <v>#NAME?</v>
      </c>
      <c r="AB18" s="84" t="e">
        <f ca="1"/>
        <v>#NAME?</v>
      </c>
      <c r="AC18" s="98" t="e">
        <f ca="1"/>
        <v>#NAME?</v>
      </c>
    </row>
    <row r="19" spans="1:29" x14ac:dyDescent="0.35">
      <c r="A19" t="s">
        <v>668</v>
      </c>
      <c r="B19" s="44">
        <v>67</v>
      </c>
      <c r="C19" s="73">
        <v>26</v>
      </c>
      <c r="D19" s="73">
        <v>35</v>
      </c>
      <c r="E19" s="215">
        <v>32</v>
      </c>
      <c r="J19" t="e">
        <f t="shared" ca="1" si="1"/>
        <v>#NAME?</v>
      </c>
      <c r="K19" s="98">
        <f t="shared" si="2"/>
        <v>0.19444444444444445</v>
      </c>
      <c r="P19" t="e">
        <f ca="1"/>
        <v>#NAME?</v>
      </c>
      <c r="Q19" s="83" t="e">
        <f ca="1"/>
        <v>#NAME?</v>
      </c>
      <c r="R19" s="37" t="e">
        <f ca="1"/>
        <v>#NAME?</v>
      </c>
      <c r="S19" s="37" t="e">
        <f ca="1"/>
        <v>#NAME?</v>
      </c>
      <c r="T19" s="84" t="e">
        <f ca="1"/>
        <v>#NAME?</v>
      </c>
      <c r="X19" s="83" t="e">
        <f ca="1"/>
        <v>#NAME?</v>
      </c>
      <c r="Y19" s="37" t="e">
        <f ca="1"/>
        <v>#NAME?</v>
      </c>
      <c r="Z19" s="37" t="e">
        <f ca="1"/>
        <v>#NAME?</v>
      </c>
      <c r="AA19" s="37" t="e">
        <f ca="1"/>
        <v>#NAME?</v>
      </c>
      <c r="AB19" s="84" t="e">
        <f ca="1"/>
        <v>#NAME?</v>
      </c>
      <c r="AC19" s="98" t="e">
        <f ca="1"/>
        <v>#NAME?</v>
      </c>
    </row>
    <row r="20" spans="1:29" x14ac:dyDescent="0.35">
      <c r="A20" t="s">
        <v>668</v>
      </c>
      <c r="B20" s="44">
        <v>51</v>
      </c>
      <c r="C20" s="73">
        <v>21</v>
      </c>
      <c r="D20" s="73">
        <v>30</v>
      </c>
      <c r="E20" s="215">
        <v>22</v>
      </c>
      <c r="J20" t="e">
        <f t="shared" ca="1" si="1"/>
        <v>#NAME?</v>
      </c>
      <c r="K20" s="99">
        <f t="shared" si="2"/>
        <v>0.27777777777777779</v>
      </c>
      <c r="P20" t="e">
        <f ca="1"/>
        <v>#NAME?</v>
      </c>
      <c r="Q20" s="83" t="e">
        <f ca="1"/>
        <v>#NAME?</v>
      </c>
      <c r="R20" s="37" t="e">
        <f ca="1"/>
        <v>#NAME?</v>
      </c>
      <c r="S20" s="37" t="e">
        <f ca="1"/>
        <v>#NAME?</v>
      </c>
      <c r="T20" s="84" t="e">
        <f ca="1"/>
        <v>#NAME?</v>
      </c>
      <c r="X20" s="83" t="e">
        <f ca="1"/>
        <v>#NAME?</v>
      </c>
      <c r="Y20" s="37" t="e">
        <f ca="1"/>
        <v>#NAME?</v>
      </c>
      <c r="Z20" s="37" t="e">
        <f ca="1"/>
        <v>#NAME?</v>
      </c>
      <c r="AA20" s="37" t="e">
        <f ca="1"/>
        <v>#NAME?</v>
      </c>
      <c r="AB20" s="84" t="e">
        <f ca="1"/>
        <v>#NAME?</v>
      </c>
      <c r="AC20" s="98" t="e">
        <f ca="1"/>
        <v>#NAME?</v>
      </c>
    </row>
    <row r="21" spans="1:29" x14ac:dyDescent="0.35">
      <c r="A21" t="s">
        <v>668</v>
      </c>
      <c r="B21" s="44">
        <v>95</v>
      </c>
      <c r="C21" s="73">
        <v>38</v>
      </c>
      <c r="D21" s="73">
        <v>82</v>
      </c>
      <c r="E21" s="215">
        <v>23</v>
      </c>
      <c r="P21" t="e">
        <f ca="1"/>
        <v>#NAME?</v>
      </c>
      <c r="Q21" s="83" t="e">
        <f ca="1"/>
        <v>#NAME?</v>
      </c>
      <c r="R21" s="37" t="e">
        <f ca="1"/>
        <v>#NAME?</v>
      </c>
      <c r="S21" s="37" t="e">
        <f ca="1"/>
        <v>#NAME?</v>
      </c>
      <c r="T21" s="84" t="e">
        <f ca="1"/>
        <v>#NAME?</v>
      </c>
      <c r="X21" s="83" t="e">
        <f ca="1"/>
        <v>#NAME?</v>
      </c>
      <c r="Y21" s="37" t="e">
        <f ca="1"/>
        <v>#NAME?</v>
      </c>
      <c r="Z21" s="37" t="e">
        <f ca="1"/>
        <v>#NAME?</v>
      </c>
      <c r="AA21" s="37" t="e">
        <f ca="1"/>
        <v>#NAME?</v>
      </c>
      <c r="AB21" s="84" t="e">
        <f ca="1"/>
        <v>#NAME?</v>
      </c>
      <c r="AC21" s="98" t="e">
        <f ca="1"/>
        <v>#NAME?</v>
      </c>
    </row>
    <row r="22" spans="1:29" x14ac:dyDescent="0.35">
      <c r="A22" t="s">
        <v>668</v>
      </c>
      <c r="B22" s="44">
        <v>67</v>
      </c>
      <c r="C22" s="73">
        <v>29</v>
      </c>
      <c r="D22" s="73">
        <v>32</v>
      </c>
      <c r="E22" s="215">
        <v>49</v>
      </c>
      <c r="J22" t="s">
        <v>669</v>
      </c>
      <c r="P22" t="e">
        <f ca="1"/>
        <v>#NAME?</v>
      </c>
      <c r="Q22" s="85" t="e">
        <f ca="1"/>
        <v>#NAME?</v>
      </c>
      <c r="R22" s="86" t="e">
        <f ca="1"/>
        <v>#NAME?</v>
      </c>
      <c r="S22" s="86" t="e">
        <f ca="1"/>
        <v>#NAME?</v>
      </c>
      <c r="T22" s="87" t="e">
        <f ca="1"/>
        <v>#NAME?</v>
      </c>
      <c r="X22" s="83" t="e">
        <f ca="1"/>
        <v>#NAME?</v>
      </c>
      <c r="Y22" s="37" t="e">
        <f ca="1"/>
        <v>#NAME?</v>
      </c>
      <c r="Z22" s="37" t="e">
        <f ca="1"/>
        <v>#NAME?</v>
      </c>
      <c r="AA22" s="37" t="e">
        <f ca="1"/>
        <v>#NAME?</v>
      </c>
      <c r="AB22" s="84" t="e">
        <f ca="1"/>
        <v>#NAME?</v>
      </c>
      <c r="AC22" s="98" t="e">
        <f ca="1"/>
        <v>#NAME?</v>
      </c>
    </row>
    <row r="23" spans="1:29" x14ac:dyDescent="0.35">
      <c r="A23" t="s">
        <v>670</v>
      </c>
      <c r="B23" s="44">
        <v>43</v>
      </c>
      <c r="C23" s="73">
        <v>19</v>
      </c>
      <c r="D23" s="73">
        <v>32</v>
      </c>
      <c r="E23" s="215">
        <v>31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  <c r="T23" t="e">
        <f ca="1"/>
        <v>#NAME?</v>
      </c>
      <c r="X23" s="83" t="e">
        <f ca="1"/>
        <v>#NAME?</v>
      </c>
      <c r="Y23" s="37" t="e">
        <f ca="1"/>
        <v>#NAME?</v>
      </c>
      <c r="Z23" s="37" t="e">
        <f ca="1"/>
        <v>#NAME?</v>
      </c>
      <c r="AA23" s="37" t="e">
        <f ca="1"/>
        <v>#NAME?</v>
      </c>
      <c r="AB23" s="84" t="e">
        <f ca="1"/>
        <v>#NAME?</v>
      </c>
      <c r="AC23" s="98" t="e">
        <f ca="1"/>
        <v>#NAME?</v>
      </c>
    </row>
    <row r="24" spans="1:29" x14ac:dyDescent="0.35">
      <c r="A24" t="s">
        <v>670</v>
      </c>
      <c r="B24" s="44">
        <v>49</v>
      </c>
      <c r="C24" s="73">
        <v>21</v>
      </c>
      <c r="D24" s="73">
        <v>31</v>
      </c>
      <c r="E24" s="215">
        <v>23</v>
      </c>
      <c r="J24" t="s">
        <v>65</v>
      </c>
      <c r="K24" s="137" t="e">
        <f ca="1">BOXTEST(A4:E39)</f>
        <v>#NAME?</v>
      </c>
      <c r="X24" s="83" t="e">
        <f ca="1"/>
        <v>#NAME?</v>
      </c>
      <c r="Y24" s="37" t="e">
        <f ca="1"/>
        <v>#NAME?</v>
      </c>
      <c r="Z24" s="37" t="e">
        <f ca="1"/>
        <v>#NAME?</v>
      </c>
      <c r="AA24" s="37" t="e">
        <f ca="1"/>
        <v>#NAME?</v>
      </c>
      <c r="AB24" s="84" t="e">
        <f ca="1"/>
        <v>#NAME?</v>
      </c>
      <c r="AC24" s="98" t="e">
        <f ca="1"/>
        <v>#NAME?</v>
      </c>
    </row>
    <row r="25" spans="1:29" x14ac:dyDescent="0.35">
      <c r="A25" t="s">
        <v>670</v>
      </c>
      <c r="B25" s="44">
        <v>67</v>
      </c>
      <c r="C25" s="73">
        <v>21</v>
      </c>
      <c r="D25" s="73">
        <v>23</v>
      </c>
      <c r="E25" s="215">
        <v>36</v>
      </c>
      <c r="X25" s="83" t="e">
        <f ca="1"/>
        <v>#NAME?</v>
      </c>
      <c r="Y25" s="37" t="e">
        <f ca="1"/>
        <v>#NAME?</v>
      </c>
      <c r="Z25" s="37" t="e">
        <f ca="1"/>
        <v>#NAME?</v>
      </c>
      <c r="AA25" s="37" t="e">
        <f ca="1"/>
        <v>#NAME?</v>
      </c>
      <c r="AB25" s="84" t="e">
        <f ca="1"/>
        <v>#NAME?</v>
      </c>
      <c r="AC25" s="98" t="e">
        <f ca="1"/>
        <v>#NAME?</v>
      </c>
    </row>
    <row r="26" spans="1:29" x14ac:dyDescent="0.35">
      <c r="A26" t="s">
        <v>670</v>
      </c>
      <c r="B26" s="44">
        <v>80</v>
      </c>
      <c r="C26" s="73">
        <v>19</v>
      </c>
      <c r="D26" s="73">
        <v>28</v>
      </c>
      <c r="E26" s="215">
        <v>37</v>
      </c>
      <c r="X26" s="83" t="e">
        <f ca="1"/>
        <v>#NAME?</v>
      </c>
      <c r="Y26" s="37" t="e">
        <f ca="1"/>
        <v>#NAME?</v>
      </c>
      <c r="Z26" s="37" t="e">
        <f ca="1"/>
        <v>#NAME?</v>
      </c>
      <c r="AA26" s="37" t="e">
        <f ca="1"/>
        <v>#NAME?</v>
      </c>
      <c r="AB26" s="84" t="e">
        <f ca="1"/>
        <v>#NAME?</v>
      </c>
      <c r="AC26" s="98" t="e">
        <f ca="1"/>
        <v>#NAME?</v>
      </c>
    </row>
    <row r="27" spans="1:29" x14ac:dyDescent="0.35">
      <c r="A27" t="s">
        <v>670</v>
      </c>
      <c r="B27" s="44">
        <v>49</v>
      </c>
      <c r="C27" s="73">
        <v>35</v>
      </c>
      <c r="D27" s="73">
        <v>38</v>
      </c>
      <c r="E27" s="215">
        <v>17</v>
      </c>
      <c r="X27" s="83" t="e">
        <f ca="1"/>
        <v>#NAME?</v>
      </c>
      <c r="Y27" s="37" t="e">
        <f ca="1"/>
        <v>#NAME?</v>
      </c>
      <c r="Z27" s="37" t="e">
        <f ca="1"/>
        <v>#NAME?</v>
      </c>
      <c r="AA27" s="37" t="e">
        <f ca="1"/>
        <v>#NAME?</v>
      </c>
      <c r="AB27" s="84" t="e">
        <f ca="1"/>
        <v>#NAME?</v>
      </c>
      <c r="AC27" s="98" t="e">
        <f ca="1"/>
        <v>#NAME?</v>
      </c>
    </row>
    <row r="28" spans="1:29" x14ac:dyDescent="0.35">
      <c r="A28" t="s">
        <v>670</v>
      </c>
      <c r="B28" s="44">
        <v>51</v>
      </c>
      <c r="C28" s="73">
        <v>44</v>
      </c>
      <c r="D28" s="73">
        <v>9</v>
      </c>
      <c r="E28" s="215">
        <v>37</v>
      </c>
      <c r="X28" s="83" t="e">
        <f ca="1"/>
        <v>#NAME?</v>
      </c>
      <c r="Y28" s="37" t="e">
        <f ca="1"/>
        <v>#NAME?</v>
      </c>
      <c r="Z28" s="37" t="e">
        <f ca="1"/>
        <v>#NAME?</v>
      </c>
      <c r="AA28" s="37" t="e">
        <f ca="1"/>
        <v>#NAME?</v>
      </c>
      <c r="AB28" s="84" t="e">
        <f ca="1"/>
        <v>#NAME?</v>
      </c>
      <c r="AC28" s="98" t="e">
        <f ca="1"/>
        <v>#NAME?</v>
      </c>
    </row>
    <row r="29" spans="1:29" x14ac:dyDescent="0.35">
      <c r="A29" t="s">
        <v>670</v>
      </c>
      <c r="B29" s="44">
        <v>23</v>
      </c>
      <c r="C29" s="73">
        <v>37</v>
      </c>
      <c r="D29" s="73">
        <v>39</v>
      </c>
      <c r="E29" s="215">
        <v>37</v>
      </c>
      <c r="X29" s="83" t="e">
        <f ca="1"/>
        <v>#NAME?</v>
      </c>
      <c r="Y29" s="37" t="e">
        <f ca="1"/>
        <v>#NAME?</v>
      </c>
      <c r="Z29" s="37" t="e">
        <f ca="1"/>
        <v>#NAME?</v>
      </c>
      <c r="AA29" s="37" t="e">
        <f ca="1"/>
        <v>#NAME?</v>
      </c>
      <c r="AB29" s="84" t="e">
        <f ca="1"/>
        <v>#NAME?</v>
      </c>
      <c r="AC29" s="98" t="e">
        <f ca="1"/>
        <v>#NAME?</v>
      </c>
    </row>
    <row r="30" spans="1:29" x14ac:dyDescent="0.35">
      <c r="A30" t="s">
        <v>671</v>
      </c>
      <c r="B30" s="44">
        <v>47</v>
      </c>
      <c r="C30" s="73">
        <v>47</v>
      </c>
      <c r="D30" s="73">
        <v>32</v>
      </c>
      <c r="E30" s="215">
        <v>27</v>
      </c>
      <c r="X30" s="83" t="e">
        <f ca="1"/>
        <v>#NAME?</v>
      </c>
      <c r="Y30" s="37" t="e">
        <f ca="1"/>
        <v>#NAME?</v>
      </c>
      <c r="Z30" s="37" t="e">
        <f ca="1"/>
        <v>#NAME?</v>
      </c>
      <c r="AA30" s="37" t="e">
        <f ca="1"/>
        <v>#NAME?</v>
      </c>
      <c r="AB30" s="84" t="e">
        <f ca="1"/>
        <v>#NAME?</v>
      </c>
      <c r="AC30" s="98" t="e">
        <f ca="1"/>
        <v>#NAME?</v>
      </c>
    </row>
    <row r="31" spans="1:29" x14ac:dyDescent="0.35">
      <c r="A31" t="s">
        <v>671</v>
      </c>
      <c r="B31" s="44">
        <v>125</v>
      </c>
      <c r="C31" s="73">
        <v>44</v>
      </c>
      <c r="D31" s="73">
        <v>68</v>
      </c>
      <c r="E31" s="215">
        <v>20</v>
      </c>
      <c r="X31" s="83" t="e">
        <f ca="1"/>
        <v>#NAME?</v>
      </c>
      <c r="Y31" s="37" t="e">
        <f ca="1"/>
        <v>#NAME?</v>
      </c>
      <c r="Z31" s="37" t="e">
        <f ca="1"/>
        <v>#NAME?</v>
      </c>
      <c r="AA31" s="37" t="e">
        <f ca="1"/>
        <v>#NAME?</v>
      </c>
      <c r="AB31" s="84" t="e">
        <f ca="1"/>
        <v>#NAME?</v>
      </c>
      <c r="AC31" s="98" t="e">
        <f ca="1"/>
        <v>#NAME?</v>
      </c>
    </row>
    <row r="32" spans="1:29" x14ac:dyDescent="0.35">
      <c r="A32" t="s">
        <v>671</v>
      </c>
      <c r="B32" s="44">
        <v>98</v>
      </c>
      <c r="C32" s="73">
        <v>25</v>
      </c>
      <c r="D32" s="73">
        <v>38</v>
      </c>
      <c r="E32" s="215">
        <v>18</v>
      </c>
      <c r="X32" s="83" t="e">
        <f ca="1"/>
        <v>#NAME?</v>
      </c>
      <c r="Y32" s="37" t="e">
        <f ca="1"/>
        <v>#NAME?</v>
      </c>
      <c r="Z32" s="37" t="e">
        <f ca="1"/>
        <v>#NAME?</v>
      </c>
      <c r="AA32" s="37" t="e">
        <f ca="1"/>
        <v>#NAME?</v>
      </c>
      <c r="AB32" s="84" t="e">
        <f ca="1"/>
        <v>#NAME?</v>
      </c>
      <c r="AC32" s="98" t="e">
        <f ca="1"/>
        <v>#NAME?</v>
      </c>
    </row>
    <row r="33" spans="1:29" x14ac:dyDescent="0.35">
      <c r="A33" t="s">
        <v>671</v>
      </c>
      <c r="B33" s="44">
        <v>121</v>
      </c>
      <c r="C33" s="73">
        <v>39</v>
      </c>
      <c r="D33" s="73">
        <v>61</v>
      </c>
      <c r="E33" s="215">
        <v>33</v>
      </c>
      <c r="X33" s="83" t="e">
        <f ca="1"/>
        <v>#NAME?</v>
      </c>
      <c r="Y33" s="37" t="e">
        <f ca="1"/>
        <v>#NAME?</v>
      </c>
      <c r="Z33" s="37" t="e">
        <f ca="1"/>
        <v>#NAME?</v>
      </c>
      <c r="AA33" s="37" t="e">
        <f ca="1"/>
        <v>#NAME?</v>
      </c>
      <c r="AB33" s="84" t="e">
        <f ca="1"/>
        <v>#NAME?</v>
      </c>
      <c r="AC33" s="98" t="e">
        <f ca="1"/>
        <v>#NAME?</v>
      </c>
    </row>
    <row r="34" spans="1:29" x14ac:dyDescent="0.35">
      <c r="A34" t="s">
        <v>671</v>
      </c>
      <c r="B34" s="44">
        <v>61</v>
      </c>
      <c r="C34" s="73">
        <v>25</v>
      </c>
      <c r="D34" s="73">
        <v>25</v>
      </c>
      <c r="E34" s="215">
        <v>15</v>
      </c>
      <c r="X34" s="83" t="e">
        <f ca="1"/>
        <v>#NAME?</v>
      </c>
      <c r="Y34" s="37" t="e">
        <f ca="1"/>
        <v>#NAME?</v>
      </c>
      <c r="Z34" s="37" t="e">
        <f ca="1"/>
        <v>#NAME?</v>
      </c>
      <c r="AA34" s="37" t="e">
        <f ca="1"/>
        <v>#NAME?</v>
      </c>
      <c r="AB34" s="84" t="e">
        <f ca="1"/>
        <v>#NAME?</v>
      </c>
      <c r="AC34" s="98" t="e">
        <f ca="1"/>
        <v>#NAME?</v>
      </c>
    </row>
    <row r="35" spans="1:29" x14ac:dyDescent="0.35">
      <c r="A35" t="s">
        <v>671</v>
      </c>
      <c r="B35" s="44">
        <v>87</v>
      </c>
      <c r="C35" s="73">
        <v>11</v>
      </c>
      <c r="D35" s="73">
        <v>20</v>
      </c>
      <c r="E35" s="215">
        <v>45</v>
      </c>
      <c r="X35" s="83" t="e">
        <f ca="1"/>
        <v>#NAME?</v>
      </c>
      <c r="Y35" s="37" t="e">
        <f ca="1"/>
        <v>#NAME?</v>
      </c>
      <c r="Z35" s="37" t="e">
        <f ca="1"/>
        <v>#NAME?</v>
      </c>
      <c r="AA35" s="37" t="e">
        <f ca="1"/>
        <v>#NAME?</v>
      </c>
      <c r="AB35" s="84" t="e">
        <f ca="1"/>
        <v>#NAME?</v>
      </c>
      <c r="AC35" s="98" t="e">
        <f ca="1"/>
        <v>#NAME?</v>
      </c>
    </row>
    <row r="36" spans="1:29" x14ac:dyDescent="0.35">
      <c r="A36" t="s">
        <v>671</v>
      </c>
      <c r="B36" s="44">
        <v>63</v>
      </c>
      <c r="C36" s="73">
        <v>11</v>
      </c>
      <c r="D36" s="73">
        <v>34</v>
      </c>
      <c r="E36" s="215">
        <v>26</v>
      </c>
      <c r="X36" s="83" t="e">
        <f ca="1"/>
        <v>#NAME?</v>
      </c>
      <c r="Y36" s="37" t="e">
        <f ca="1"/>
        <v>#NAME?</v>
      </c>
      <c r="Z36" s="37" t="e">
        <f ca="1"/>
        <v>#NAME?</v>
      </c>
      <c r="AA36" s="37" t="e">
        <f ca="1"/>
        <v>#NAME?</v>
      </c>
      <c r="AB36" s="84" t="e">
        <f ca="1"/>
        <v>#NAME?</v>
      </c>
      <c r="AC36" s="98" t="e">
        <f ca="1"/>
        <v>#NAME?</v>
      </c>
    </row>
    <row r="37" spans="1:29" x14ac:dyDescent="0.35">
      <c r="A37" t="s">
        <v>671</v>
      </c>
      <c r="B37" s="44">
        <v>71</v>
      </c>
      <c r="C37" s="73">
        <v>21</v>
      </c>
      <c r="D37" s="73">
        <v>61</v>
      </c>
      <c r="E37" s="215">
        <v>26</v>
      </c>
      <c r="X37" s="83" t="e">
        <f ca="1"/>
        <v>#NAME?</v>
      </c>
      <c r="Y37" s="37" t="e">
        <f ca="1"/>
        <v>#NAME?</v>
      </c>
      <c r="Z37" s="37" t="e">
        <f ca="1"/>
        <v>#NAME?</v>
      </c>
      <c r="AA37" s="37" t="e">
        <f ca="1"/>
        <v>#NAME?</v>
      </c>
      <c r="AB37" s="84" t="e">
        <f ca="1"/>
        <v>#NAME?</v>
      </c>
      <c r="AC37" s="98" t="e">
        <f ca="1"/>
        <v>#NAME?</v>
      </c>
    </row>
    <row r="38" spans="1:29" x14ac:dyDescent="0.35">
      <c r="A38" t="s">
        <v>671</v>
      </c>
      <c r="B38" s="44">
        <v>105</v>
      </c>
      <c r="C38" s="73">
        <v>7</v>
      </c>
      <c r="D38" s="73">
        <v>33</v>
      </c>
      <c r="E38" s="215">
        <v>40</v>
      </c>
      <c r="X38" s="83" t="e">
        <f ca="1"/>
        <v>#NAME?</v>
      </c>
      <c r="Y38" s="37" t="e">
        <f ca="1"/>
        <v>#NAME?</v>
      </c>
      <c r="Z38" s="37" t="e">
        <f ca="1"/>
        <v>#NAME?</v>
      </c>
      <c r="AA38" s="37" t="e">
        <f ca="1"/>
        <v>#NAME?</v>
      </c>
      <c r="AB38" s="84" t="e">
        <f ca="1"/>
        <v>#NAME?</v>
      </c>
      <c r="AC38" s="98" t="e">
        <f ca="1"/>
        <v>#NAME?</v>
      </c>
    </row>
    <row r="39" spans="1:29" x14ac:dyDescent="0.35">
      <c r="A39" t="s">
        <v>671</v>
      </c>
      <c r="B39" s="45">
        <v>63</v>
      </c>
      <c r="C39" s="74">
        <v>26</v>
      </c>
      <c r="D39" s="74">
        <v>69</v>
      </c>
      <c r="E39" s="246">
        <v>18</v>
      </c>
      <c r="X39" s="83" t="e">
        <f ca="1"/>
        <v>#NAME?</v>
      </c>
      <c r="Y39" s="37" t="e">
        <f ca="1"/>
        <v>#NAME?</v>
      </c>
      <c r="Z39" s="37" t="e">
        <f ca="1"/>
        <v>#NAME?</v>
      </c>
      <c r="AA39" s="37" t="e">
        <f ca="1"/>
        <v>#NAME?</v>
      </c>
      <c r="AB39" s="84" t="e">
        <f ca="1"/>
        <v>#NAME?</v>
      </c>
      <c r="AC39" s="98" t="e">
        <f ca="1"/>
        <v>#NAME?</v>
      </c>
    </row>
    <row r="40" spans="1:29" x14ac:dyDescent="0.35">
      <c r="X40" s="85" t="e">
        <f ca="1"/>
        <v>#NAME?</v>
      </c>
      <c r="Y40" s="86" t="e">
        <f ca="1"/>
        <v>#NAME?</v>
      </c>
      <c r="Z40" s="86" t="e">
        <f ca="1"/>
        <v>#NAME?</v>
      </c>
      <c r="AA40" s="86" t="e">
        <f ca="1"/>
        <v>#NAME?</v>
      </c>
      <c r="AB40" s="87" t="e">
        <f ca="1"/>
        <v>#NAME?</v>
      </c>
      <c r="AC40" s="99" t="e">
        <f ca="1"/>
        <v>#NAME?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9"/>
  <dimension ref="A1:BB72"/>
  <sheetViews>
    <sheetView zoomScaleNormal="100" workbookViewId="0"/>
  </sheetViews>
  <sheetFormatPr defaultRowHeight="14.5" x14ac:dyDescent="0.35"/>
  <cols>
    <col min="9" max="9" width="9.1796875" customWidth="1"/>
    <col min="21" max="21" width="4.81640625" customWidth="1"/>
    <col min="28" max="28" width="3.1796875" customWidth="1"/>
    <col min="29" max="29" width="9.1796875" customWidth="1"/>
    <col min="38" max="38" width="9.1796875" customWidth="1"/>
    <col min="40" max="40" width="9.1796875" customWidth="1"/>
    <col min="44" max="44" width="9.1796875" customWidth="1"/>
    <col min="56" max="56" width="12" bestFit="1" customWidth="1"/>
  </cols>
  <sheetData>
    <row r="1" spans="1:54" s="299" customFormat="1" x14ac:dyDescent="0.35">
      <c r="A1" s="298" t="s">
        <v>683</v>
      </c>
      <c r="B1" s="298"/>
      <c r="O1" s="299" t="s">
        <v>685</v>
      </c>
    </row>
    <row r="2" spans="1:54" s="299" customFormat="1" x14ac:dyDescent="0.35"/>
    <row r="3" spans="1:54" s="299" customFormat="1" ht="15" customHeight="1" x14ac:dyDescent="0.35">
      <c r="B3" s="300" t="s">
        <v>686</v>
      </c>
      <c r="C3" s="300" t="s">
        <v>687</v>
      </c>
      <c r="D3" s="300" t="s">
        <v>688</v>
      </c>
      <c r="E3" s="300" t="s">
        <v>689</v>
      </c>
      <c r="P3" s="300" t="str">
        <f>B3</f>
        <v>Apple</v>
      </c>
      <c r="Q3" s="300" t="str">
        <f t="shared" ref="Q3:S3" si="0">C3</f>
        <v>Samsung</v>
      </c>
      <c r="R3" s="300" t="str">
        <f t="shared" si="0"/>
        <v>Nokia</v>
      </c>
      <c r="S3" s="300" t="str">
        <f t="shared" si="0"/>
        <v>Huawei</v>
      </c>
      <c r="V3" s="299" t="s">
        <v>690</v>
      </c>
      <c r="AD3" s="299" t="s">
        <v>691</v>
      </c>
      <c r="AH3" s="299" t="s">
        <v>692</v>
      </c>
    </row>
    <row r="4" spans="1:54" s="299" customFormat="1" x14ac:dyDescent="0.35">
      <c r="A4" s="299" t="s">
        <v>693</v>
      </c>
      <c r="B4" s="301">
        <v>36</v>
      </c>
      <c r="C4" s="302">
        <v>42</v>
      </c>
      <c r="D4" s="302">
        <v>7</v>
      </c>
      <c r="E4" s="303">
        <v>22</v>
      </c>
      <c r="F4" s="299">
        <f t="shared" ref="F4:F10" si="1">SUM(B4:E4)</f>
        <v>107</v>
      </c>
      <c r="H4" s="304"/>
      <c r="O4" s="299" t="str">
        <f>A4</f>
        <v>screen</v>
      </c>
      <c r="P4" s="301">
        <f t="shared" ref="P4:S9" si="2">B4/$F$10</f>
        <v>5.4794520547945202E-2</v>
      </c>
      <c r="Q4" s="302">
        <f t="shared" si="2"/>
        <v>6.3926940639269403E-2</v>
      </c>
      <c r="R4" s="302">
        <f t="shared" si="2"/>
        <v>1.06544901065449E-2</v>
      </c>
      <c r="S4" s="303">
        <f t="shared" si="2"/>
        <v>3.3485540334855401E-2</v>
      </c>
      <c r="T4" s="299">
        <f t="shared" ref="T4:T10" si="3">SUM(P4:S4)</f>
        <v>0.16286149162861491</v>
      </c>
      <c r="V4" s="301" t="e">
        <f t="array" aca="1" ref="V4:AA9" ca="1">DIAGONAL(1/SQRT(T4:T9))</f>
        <v>#NAME?</v>
      </c>
      <c r="W4" s="302" t="e">
        <f ca="1"/>
        <v>#NAME?</v>
      </c>
      <c r="X4" s="302" t="e">
        <f ca="1"/>
        <v>#NAME?</v>
      </c>
      <c r="Y4" s="302" t="e">
        <f ca="1"/>
        <v>#NAME?</v>
      </c>
      <c r="Z4" s="302" t="e">
        <f ca="1"/>
        <v>#NAME?</v>
      </c>
      <c r="AA4" s="303" t="e">
        <f ca="1"/>
        <v>#NAME?</v>
      </c>
      <c r="AB4" s="306"/>
      <c r="AD4" s="301" t="e">
        <f t="array" aca="1" ref="AD4:AF9" ca="1">CARowFactors(B4:E9)</f>
        <v>#NAME?</v>
      </c>
      <c r="AE4" s="302" t="e">
        <f ca="1"/>
        <v>#NAME?</v>
      </c>
      <c r="AF4" s="303" t="e">
        <f ca="1"/>
        <v>#NAME?</v>
      </c>
      <c r="AH4" s="301" t="e">
        <f t="array" aca="1" ref="AH4:AJ7" ca="1">CAColFactors(B4:E9)</f>
        <v>#NAME?</v>
      </c>
      <c r="AI4" s="302" t="e">
        <f ca="1"/>
        <v>#NAME?</v>
      </c>
      <c r="AJ4" s="303" t="e">
        <f ca="1"/>
        <v>#NAME?</v>
      </c>
    </row>
    <row r="5" spans="1:54" s="299" customFormat="1" x14ac:dyDescent="0.35">
      <c r="A5" s="299" t="s">
        <v>694</v>
      </c>
      <c r="B5" s="305">
        <v>3</v>
      </c>
      <c r="C5" s="306">
        <v>5</v>
      </c>
      <c r="D5" s="306">
        <v>43</v>
      </c>
      <c r="E5" s="307">
        <v>32</v>
      </c>
      <c r="F5" s="299">
        <f t="shared" si="1"/>
        <v>83</v>
      </c>
      <c r="O5" s="299" t="str">
        <f t="shared" ref="O5:O9" si="4">A5</f>
        <v>price</v>
      </c>
      <c r="P5" s="305">
        <f t="shared" si="2"/>
        <v>4.5662100456621002E-3</v>
      </c>
      <c r="Q5" s="306">
        <f t="shared" si="2"/>
        <v>7.6103500761035003E-3</v>
      </c>
      <c r="R5" s="306">
        <f t="shared" si="2"/>
        <v>6.5449010654490103E-2</v>
      </c>
      <c r="S5" s="307">
        <f t="shared" si="2"/>
        <v>4.8706240487062402E-2</v>
      </c>
      <c r="T5" s="299">
        <f t="shared" si="3"/>
        <v>0.12633181126331811</v>
      </c>
      <c r="V5" s="305" t="e">
        <f ca="1"/>
        <v>#NAME?</v>
      </c>
      <c r="W5" s="306" t="e">
        <f ca="1"/>
        <v>#NAME?</v>
      </c>
      <c r="X5" s="306" t="e">
        <f ca="1"/>
        <v>#NAME?</v>
      </c>
      <c r="Y5" s="306" t="e">
        <f ca="1"/>
        <v>#NAME?</v>
      </c>
      <c r="Z5" s="306" t="e">
        <f ca="1"/>
        <v>#NAME?</v>
      </c>
      <c r="AA5" s="307" t="e">
        <f ca="1"/>
        <v>#NAME?</v>
      </c>
      <c r="AB5" s="306"/>
      <c r="AD5" s="305" t="e">
        <f ca="1"/>
        <v>#NAME?</v>
      </c>
      <c r="AE5" s="306" t="e">
        <f ca="1"/>
        <v>#NAME?</v>
      </c>
      <c r="AF5" s="307" t="e">
        <f ca="1"/>
        <v>#NAME?</v>
      </c>
      <c r="AH5" s="305" t="e">
        <f ca="1"/>
        <v>#NAME?</v>
      </c>
      <c r="AI5" s="306" t="e">
        <f ca="1"/>
        <v>#NAME?</v>
      </c>
      <c r="AJ5" s="307" t="e">
        <f ca="1"/>
        <v>#NAME?</v>
      </c>
    </row>
    <row r="6" spans="1:54" s="299" customFormat="1" x14ac:dyDescent="0.35">
      <c r="A6" s="299" t="s">
        <v>695</v>
      </c>
      <c r="B6" s="305">
        <v>56</v>
      </c>
      <c r="C6" s="306">
        <v>29</v>
      </c>
      <c r="D6" s="306">
        <v>13</v>
      </c>
      <c r="E6" s="307">
        <v>35</v>
      </c>
      <c r="F6" s="299">
        <f t="shared" si="1"/>
        <v>133</v>
      </c>
      <c r="O6" s="299" t="str">
        <f t="shared" si="4"/>
        <v>design</v>
      </c>
      <c r="P6" s="305">
        <f t="shared" si="2"/>
        <v>8.5235920852359204E-2</v>
      </c>
      <c r="Q6" s="306">
        <f t="shared" si="2"/>
        <v>4.4140030441400302E-2</v>
      </c>
      <c r="R6" s="306">
        <f t="shared" si="2"/>
        <v>1.9786910197869101E-2</v>
      </c>
      <c r="S6" s="307">
        <f t="shared" si="2"/>
        <v>5.3272450532724502E-2</v>
      </c>
      <c r="T6" s="299">
        <f t="shared" si="3"/>
        <v>0.20243531202435311</v>
      </c>
      <c r="V6" s="305" t="e">
        <f ca="1"/>
        <v>#NAME?</v>
      </c>
      <c r="W6" s="306" t="e">
        <f ca="1"/>
        <v>#NAME?</v>
      </c>
      <c r="X6" s="306" t="e">
        <f ca="1"/>
        <v>#NAME?</v>
      </c>
      <c r="Y6" s="306" t="e">
        <f ca="1"/>
        <v>#NAME?</v>
      </c>
      <c r="Z6" s="306" t="e">
        <f ca="1"/>
        <v>#NAME?</v>
      </c>
      <c r="AA6" s="307" t="e">
        <f ca="1"/>
        <v>#NAME?</v>
      </c>
      <c r="AB6" s="306"/>
      <c r="AD6" s="305" t="e">
        <f ca="1"/>
        <v>#NAME?</v>
      </c>
      <c r="AE6" s="306" t="e">
        <f ca="1"/>
        <v>#NAME?</v>
      </c>
      <c r="AF6" s="307" t="e">
        <f ca="1"/>
        <v>#NAME?</v>
      </c>
      <c r="AH6" s="305" t="e">
        <f ca="1"/>
        <v>#NAME?</v>
      </c>
      <c r="AI6" s="306" t="e">
        <f ca="1"/>
        <v>#NAME?</v>
      </c>
      <c r="AJ6" s="307" t="e">
        <f ca="1"/>
        <v>#NAME?</v>
      </c>
    </row>
    <row r="7" spans="1:54" s="299" customFormat="1" x14ac:dyDescent="0.35">
      <c r="A7" s="299" t="s">
        <v>696</v>
      </c>
      <c r="B7" s="305">
        <v>27</v>
      </c>
      <c r="C7" s="311">
        <v>31</v>
      </c>
      <c r="D7" s="311">
        <v>24</v>
      </c>
      <c r="E7" s="307">
        <v>17</v>
      </c>
      <c r="F7" s="299">
        <f t="shared" si="1"/>
        <v>99</v>
      </c>
      <c r="O7" s="299" t="str">
        <f t="shared" si="4"/>
        <v>battery</v>
      </c>
      <c r="P7" s="305">
        <f t="shared" si="2"/>
        <v>4.1095890410958902E-2</v>
      </c>
      <c r="Q7" s="306">
        <f t="shared" si="2"/>
        <v>4.7184170471841702E-2</v>
      </c>
      <c r="R7" s="306">
        <f t="shared" si="2"/>
        <v>3.6529680365296802E-2</v>
      </c>
      <c r="S7" s="307">
        <f t="shared" si="2"/>
        <v>2.5875190258751901E-2</v>
      </c>
      <c r="T7" s="299">
        <f t="shared" si="3"/>
        <v>0.15068493150684931</v>
      </c>
      <c r="V7" s="305" t="e">
        <f ca="1"/>
        <v>#NAME?</v>
      </c>
      <c r="W7" s="306" t="e">
        <f ca="1"/>
        <v>#NAME?</v>
      </c>
      <c r="X7" s="306" t="e">
        <f ca="1"/>
        <v>#NAME?</v>
      </c>
      <c r="Y7" s="306" t="e">
        <f ca="1"/>
        <v>#NAME?</v>
      </c>
      <c r="Z7" s="306" t="e">
        <f ca="1"/>
        <v>#NAME?</v>
      </c>
      <c r="AA7" s="307" t="e">
        <f ca="1"/>
        <v>#NAME?</v>
      </c>
      <c r="AB7" s="306"/>
      <c r="AD7" s="305" t="e">
        <f ca="1"/>
        <v>#NAME?</v>
      </c>
      <c r="AE7" s="306" t="e">
        <f ca="1"/>
        <v>#NAME?</v>
      </c>
      <c r="AF7" s="307" t="e">
        <f ca="1"/>
        <v>#NAME?</v>
      </c>
      <c r="AH7" s="308" t="e">
        <f ca="1"/>
        <v>#NAME?</v>
      </c>
      <c r="AI7" s="309" t="e">
        <f ca="1"/>
        <v>#NAME?</v>
      </c>
      <c r="AJ7" s="310" t="e">
        <f ca="1"/>
        <v>#NAME?</v>
      </c>
    </row>
    <row r="8" spans="1:54" s="299" customFormat="1" x14ac:dyDescent="0.35">
      <c r="A8" s="299" t="s">
        <v>697</v>
      </c>
      <c r="B8" s="305">
        <v>48</v>
      </c>
      <c r="C8" s="306">
        <v>36</v>
      </c>
      <c r="D8" s="306">
        <v>8</v>
      </c>
      <c r="E8" s="307">
        <v>35</v>
      </c>
      <c r="F8" s="299">
        <f t="shared" si="1"/>
        <v>127</v>
      </c>
      <c r="O8" s="299" t="str">
        <f t="shared" si="4"/>
        <v>software</v>
      </c>
      <c r="P8" s="305">
        <f t="shared" si="2"/>
        <v>7.3059360730593603E-2</v>
      </c>
      <c r="Q8" s="306">
        <f t="shared" si="2"/>
        <v>5.4794520547945202E-2</v>
      </c>
      <c r="R8" s="306">
        <f t="shared" si="2"/>
        <v>1.2176560121765601E-2</v>
      </c>
      <c r="S8" s="307">
        <f t="shared" si="2"/>
        <v>5.3272450532724502E-2</v>
      </c>
      <c r="T8" s="299">
        <f t="shared" si="3"/>
        <v>0.19330289193302891</v>
      </c>
      <c r="V8" s="305" t="e">
        <f ca="1"/>
        <v>#NAME?</v>
      </c>
      <c r="W8" s="306" t="e">
        <f ca="1"/>
        <v>#NAME?</v>
      </c>
      <c r="X8" s="306" t="e">
        <f ca="1"/>
        <v>#NAME?</v>
      </c>
      <c r="Y8" s="306" t="e">
        <f ca="1"/>
        <v>#NAME?</v>
      </c>
      <c r="Z8" s="306" t="e">
        <f ca="1"/>
        <v>#NAME?</v>
      </c>
      <c r="AA8" s="307" t="e">
        <f ca="1"/>
        <v>#NAME?</v>
      </c>
      <c r="AB8" s="306"/>
      <c r="AD8" s="305" t="e">
        <f ca="1"/>
        <v>#NAME?</v>
      </c>
      <c r="AE8" s="306" t="e">
        <f ca="1"/>
        <v>#NAME?</v>
      </c>
      <c r="AF8" s="307" t="e">
        <f ca="1"/>
        <v>#NAME?</v>
      </c>
    </row>
    <row r="9" spans="1:54" s="299" customFormat="1" x14ac:dyDescent="0.35">
      <c r="A9" s="299" t="s">
        <v>698</v>
      </c>
      <c r="B9" s="308">
        <v>37</v>
      </c>
      <c r="C9" s="309">
        <v>45</v>
      </c>
      <c r="D9" s="309">
        <v>7</v>
      </c>
      <c r="E9" s="310">
        <v>19</v>
      </c>
      <c r="F9" s="299">
        <f t="shared" si="1"/>
        <v>108</v>
      </c>
      <c r="O9" s="299" t="str">
        <f t="shared" si="4"/>
        <v>camera</v>
      </c>
      <c r="P9" s="308">
        <f t="shared" si="2"/>
        <v>5.6316590563165903E-2</v>
      </c>
      <c r="Q9" s="309">
        <f t="shared" si="2"/>
        <v>6.8493150684931503E-2</v>
      </c>
      <c r="R9" s="309">
        <f t="shared" si="2"/>
        <v>1.06544901065449E-2</v>
      </c>
      <c r="S9" s="310">
        <f t="shared" si="2"/>
        <v>2.8919330289193301E-2</v>
      </c>
      <c r="T9" s="299">
        <f t="shared" si="3"/>
        <v>0.16438356164383561</v>
      </c>
      <c r="V9" s="308" t="e">
        <f ca="1"/>
        <v>#NAME?</v>
      </c>
      <c r="W9" s="309" t="e">
        <f ca="1"/>
        <v>#NAME?</v>
      </c>
      <c r="X9" s="309" t="e">
        <f ca="1"/>
        <v>#NAME?</v>
      </c>
      <c r="Y9" s="309" t="e">
        <f ca="1"/>
        <v>#NAME?</v>
      </c>
      <c r="Z9" s="309" t="e">
        <f ca="1"/>
        <v>#NAME?</v>
      </c>
      <c r="AA9" s="310" t="e">
        <f ca="1"/>
        <v>#NAME?</v>
      </c>
      <c r="AB9" s="306"/>
      <c r="AD9" s="308" t="e">
        <f ca="1"/>
        <v>#NAME?</v>
      </c>
      <c r="AE9" s="309" t="e">
        <f ca="1"/>
        <v>#NAME?</v>
      </c>
      <c r="AF9" s="310" t="e">
        <f ca="1"/>
        <v>#NAME?</v>
      </c>
    </row>
    <row r="10" spans="1:54" s="299" customFormat="1" x14ac:dyDescent="0.35">
      <c r="B10" s="299">
        <f>SUM(B4:B9)</f>
        <v>207</v>
      </c>
      <c r="C10" s="299">
        <f>SUM(C4:C9)</f>
        <v>188</v>
      </c>
      <c r="D10" s="299">
        <f>SUM(D4:D9)</f>
        <v>102</v>
      </c>
      <c r="E10" s="299">
        <f>SUM(E4:E9)</f>
        <v>160</v>
      </c>
      <c r="F10" s="299">
        <f t="shared" si="1"/>
        <v>657</v>
      </c>
      <c r="P10" s="299">
        <f>SUM(P4:P9)</f>
        <v>0.31506849315068491</v>
      </c>
      <c r="Q10" s="299">
        <f>SUM(Q4:Q9)</f>
        <v>0.28614916286149161</v>
      </c>
      <c r="R10" s="299">
        <f>SUM(R4:R9)</f>
        <v>0.15525114155251141</v>
      </c>
      <c r="S10" s="299">
        <f>SUM(S4:S9)</f>
        <v>0.24353120243531201</v>
      </c>
      <c r="T10" s="299">
        <f t="shared" si="3"/>
        <v>0.99999999999999989</v>
      </c>
    </row>
    <row r="11" spans="1:54" s="299" customFormat="1" ht="15" customHeight="1" x14ac:dyDescent="0.35">
      <c r="V11" s="299" t="s">
        <v>699</v>
      </c>
      <c r="AC11" s="299" t="s">
        <v>700</v>
      </c>
      <c r="AJ11" s="299" t="s">
        <v>701</v>
      </c>
    </row>
    <row r="12" spans="1:54" s="299" customFormat="1" ht="15" customHeight="1" x14ac:dyDescent="0.35">
      <c r="A12" s="299" t="s">
        <v>702</v>
      </c>
      <c r="H12" s="299" t="s">
        <v>703</v>
      </c>
      <c r="P12" s="299" t="s">
        <v>704</v>
      </c>
      <c r="W12" s="300" t="str">
        <f>P3</f>
        <v>Apple</v>
      </c>
      <c r="X12" s="300" t="str">
        <f>Q3</f>
        <v>Samsung</v>
      </c>
      <c r="Y12" s="300" t="str">
        <f>R3</f>
        <v>Nokia</v>
      </c>
      <c r="Z12" s="300" t="str">
        <f>S3</f>
        <v>Huawei</v>
      </c>
      <c r="AC12" s="301" t="e">
        <f t="array" aca="1" ref="AC12:AF17" ca="1">MMULT(V4:AA9,MMULT(V23:AA28,V32:Y37))</f>
        <v>#NAME?</v>
      </c>
      <c r="AD12" s="302" t="e">
        <f ca="1"/>
        <v>#NAME?</v>
      </c>
      <c r="AE12" s="302" t="e">
        <f ca="1"/>
        <v>#NAME?</v>
      </c>
      <c r="AF12" s="303" t="e">
        <f ca="1"/>
        <v>#NAME?</v>
      </c>
      <c r="AK12" s="312"/>
      <c r="AL12" s="312"/>
      <c r="AM12" s="312"/>
      <c r="AN12" s="312"/>
      <c r="AO12" s="417" t="s">
        <v>705</v>
      </c>
      <c r="AP12" s="418"/>
      <c r="AQ12" s="418"/>
      <c r="AR12" s="418"/>
      <c r="AS12" s="419"/>
      <c r="AT12" s="417" t="s">
        <v>706</v>
      </c>
      <c r="AU12" s="418"/>
      <c r="AV12" s="418"/>
      <c r="AW12" s="418"/>
      <c r="AX12" s="419"/>
    </row>
    <row r="13" spans="1:54" s="299" customFormat="1" ht="15" customHeight="1" x14ac:dyDescent="0.35">
      <c r="P13" s="301" t="e">
        <f t="array" aca="1" ref="P13:S16" ca="1">DIAGONAL(1/SQRT(P10:S10))</f>
        <v>#NAME?</v>
      </c>
      <c r="Q13" s="302" t="e">
        <f ca="1"/>
        <v>#NAME?</v>
      </c>
      <c r="R13" s="302" t="e">
        <f ca="1"/>
        <v>#NAME?</v>
      </c>
      <c r="S13" s="303" t="e">
        <f ca="1"/>
        <v>#NAME?</v>
      </c>
      <c r="V13" s="299" t="str">
        <f t="shared" ref="V13:V18" si="5">O4</f>
        <v>screen</v>
      </c>
      <c r="W13" s="301" t="e">
        <f t="array" aca="1" ref="W13:Z18" ca="1">MMULT(V4:AA9,MMULT(P4:S9,P13:S16))</f>
        <v>#NAME?</v>
      </c>
      <c r="X13" s="302" t="e">
        <f ca="1"/>
        <v>#NAME?</v>
      </c>
      <c r="Y13" s="302" t="e">
        <f ca="1"/>
        <v>#NAME?</v>
      </c>
      <c r="Z13" s="303" t="e">
        <f ca="1"/>
        <v>#NAME?</v>
      </c>
      <c r="AC13" s="305" t="e">
        <f ca="1"/>
        <v>#NAME?</v>
      </c>
      <c r="AD13" s="306" t="e">
        <f ca="1"/>
        <v>#NAME?</v>
      </c>
      <c r="AE13" s="306" t="e">
        <f ca="1"/>
        <v>#NAME?</v>
      </c>
      <c r="AF13" s="307" t="e">
        <f ca="1"/>
        <v>#NAME?</v>
      </c>
      <c r="AK13" s="313" t="s">
        <v>707</v>
      </c>
      <c r="AL13" s="314" t="s">
        <v>708</v>
      </c>
      <c r="AM13" s="314" t="s">
        <v>709</v>
      </c>
      <c r="AN13" s="314" t="s">
        <v>710</v>
      </c>
      <c r="AO13" s="313" t="s">
        <v>711</v>
      </c>
      <c r="AP13" s="314" t="s">
        <v>712</v>
      </c>
      <c r="AQ13" s="314" t="s">
        <v>713</v>
      </c>
      <c r="AR13" s="314" t="s">
        <v>714</v>
      </c>
      <c r="AS13" s="315" t="s">
        <v>386</v>
      </c>
      <c r="AT13" s="313" t="s">
        <v>711</v>
      </c>
      <c r="AU13" s="314" t="s">
        <v>712</v>
      </c>
      <c r="AV13" s="314" t="s">
        <v>713</v>
      </c>
      <c r="AW13" s="314" t="s">
        <v>714</v>
      </c>
      <c r="AX13" s="316" t="s">
        <v>386</v>
      </c>
      <c r="BA13" s="317" t="s">
        <v>715</v>
      </c>
      <c r="BB13" s="317" t="s">
        <v>716</v>
      </c>
    </row>
    <row r="14" spans="1:54" s="299" customFormat="1" ht="15" thickBot="1" x14ac:dyDescent="0.4">
      <c r="A14" s="299" t="str">
        <f>IF(A3="","",A3)</f>
        <v/>
      </c>
      <c r="B14" s="300" t="str">
        <f t="shared" ref="B14:E14" si="6">IF(B3="","",B3)</f>
        <v>Apple</v>
      </c>
      <c r="C14" s="300" t="str">
        <f t="shared" si="6"/>
        <v>Samsung</v>
      </c>
      <c r="D14" s="300" t="str">
        <f t="shared" si="6"/>
        <v>Nokia</v>
      </c>
      <c r="E14" s="300" t="str">
        <f t="shared" si="6"/>
        <v>Huawei</v>
      </c>
      <c r="F14" s="300" t="s">
        <v>168</v>
      </c>
      <c r="H14" s="299" t="s">
        <v>717</v>
      </c>
      <c r="J14" s="299" t="s">
        <v>175</v>
      </c>
      <c r="K14" s="299">
        <v>0.05</v>
      </c>
      <c r="P14" s="305" t="e">
        <f ca="1"/>
        <v>#NAME?</v>
      </c>
      <c r="Q14" s="306" t="e">
        <f ca="1"/>
        <v>#NAME?</v>
      </c>
      <c r="R14" s="306" t="e">
        <f ca="1"/>
        <v>#NAME?</v>
      </c>
      <c r="S14" s="307" t="e">
        <f ca="1"/>
        <v>#NAME?</v>
      </c>
      <c r="V14" s="299" t="str">
        <f t="shared" si="5"/>
        <v>price</v>
      </c>
      <c r="W14" s="305" t="e">
        <f ca="1"/>
        <v>#NAME?</v>
      </c>
      <c r="X14" s="306" t="e">
        <f ca="1"/>
        <v>#NAME?</v>
      </c>
      <c r="Y14" s="306" t="e">
        <f ca="1"/>
        <v>#NAME?</v>
      </c>
      <c r="Z14" s="307" t="e">
        <f ca="1"/>
        <v>#NAME?</v>
      </c>
      <c r="AC14" s="305" t="e">
        <f ca="1"/>
        <v>#NAME?</v>
      </c>
      <c r="AD14" s="306" t="e">
        <f ca="1"/>
        <v>#NAME?</v>
      </c>
      <c r="AE14" s="306" t="e">
        <f ca="1"/>
        <v>#NAME?</v>
      </c>
      <c r="AF14" s="307" t="e">
        <f ca="1"/>
        <v>#NAME?</v>
      </c>
      <c r="AJ14" s="299" t="str">
        <f>O4</f>
        <v>screen</v>
      </c>
      <c r="AK14" s="301" t="e">
        <f t="shared" ref="AK14:AK19" ca="1" si="7">AP14+AU14</f>
        <v>#NAME?</v>
      </c>
      <c r="AL14" s="302">
        <f>T4</f>
        <v>0.16286149162861491</v>
      </c>
      <c r="AM14" s="302">
        <f t="shared" ref="AM14:AM19" si="8">T30</f>
        <v>9.8877716192090612E-2</v>
      </c>
      <c r="AN14" s="318">
        <f>(AL14*AM14)/AN$20</f>
        <v>6.4383086695105896E-2</v>
      </c>
      <c r="AO14" s="301" t="e">
        <f t="shared" ref="AO14:AO19" ca="1" si="9">AD12</f>
        <v>#NAME?</v>
      </c>
      <c r="AP14" s="319" t="e">
        <f t="shared" ref="AP14:AP19" ca="1" si="10">AO14^2/AM14</f>
        <v>#NAME?</v>
      </c>
      <c r="AQ14" s="319" t="e">
        <f t="shared" ref="AQ14:AQ19" ca="1" si="11">180*ACOS(SQRT(AP14))/PI()</f>
        <v>#NAME?</v>
      </c>
      <c r="AR14" s="319" t="e">
        <f t="shared" ref="AR14:AR19" ca="1" si="12">AL14*AO14^2/$AD$36</f>
        <v>#NAME?</v>
      </c>
      <c r="AS14" s="303" t="e">
        <f t="shared" ref="AS14:AS19" ca="1" si="13">AR14*$AD$36</f>
        <v>#NAME?</v>
      </c>
      <c r="AT14" s="301" t="e">
        <f t="shared" ref="AT14:AT19" ca="1" si="14">AE12</f>
        <v>#NAME?</v>
      </c>
      <c r="AU14" s="319" t="e">
        <f t="shared" ref="AU14:AU19" ca="1" si="15">AT14^2/AM14</f>
        <v>#NAME?</v>
      </c>
      <c r="AV14" s="319" t="e">
        <f t="shared" ref="AV14:AV19" ca="1" si="16">180*ACOS(SQRT(AU14))/PI()</f>
        <v>#NAME?</v>
      </c>
      <c r="AW14" s="319" t="e">
        <f t="shared" ref="AW14:AW19" ca="1" si="17">AT14^2*AL14/$AD$37</f>
        <v>#NAME?</v>
      </c>
      <c r="AX14" s="303" t="e">
        <f t="shared" ref="AX14:AX19" ca="1" si="18">AW14*$AD$37</f>
        <v>#NAME?</v>
      </c>
      <c r="AZ14" s="299" t="s">
        <v>718</v>
      </c>
      <c r="BA14" s="301" t="e">
        <f ca="1">AO14</f>
        <v>#NAME?</v>
      </c>
      <c r="BB14" s="303" t="e">
        <f ca="1">AT14</f>
        <v>#NAME?</v>
      </c>
    </row>
    <row r="15" spans="1:54" s="299" customFormat="1" ht="15" thickTop="1" x14ac:dyDescent="0.35">
      <c r="A15" s="299" t="str">
        <f t="shared" ref="A15:A20" si="19">IF(A4="","",A4)</f>
        <v>screen</v>
      </c>
      <c r="B15" s="320">
        <f t="array" ref="B15:E20">MMULT(F15:F20,B21:E21)/F21</f>
        <v>33.712328767123289</v>
      </c>
      <c r="C15" s="321">
        <v>30.617960426179604</v>
      </c>
      <c r="D15" s="321">
        <v>16.611872146118721</v>
      </c>
      <c r="E15" s="322">
        <v>26.057838660578387</v>
      </c>
      <c r="F15" s="299">
        <f t="shared" ref="F15:F20" si="20">SUM(B4:E4)</f>
        <v>107</v>
      </c>
      <c r="H15" s="328" t="s">
        <v>100</v>
      </c>
      <c r="I15" s="328" t="s">
        <v>719</v>
      </c>
      <c r="J15" s="328" t="s">
        <v>720</v>
      </c>
      <c r="K15" s="328" t="s">
        <v>62</v>
      </c>
      <c r="P15" s="329" t="e">
        <f ca="1"/>
        <v>#NAME?</v>
      </c>
      <c r="Q15" s="306" t="e">
        <f ca="1"/>
        <v>#NAME?</v>
      </c>
      <c r="R15" s="306" t="e">
        <f ca="1"/>
        <v>#NAME?</v>
      </c>
      <c r="S15" s="330" t="e">
        <f ca="1"/>
        <v>#NAME?</v>
      </c>
      <c r="V15" s="299" t="str">
        <f t="shared" si="5"/>
        <v>design</v>
      </c>
      <c r="W15" s="329" t="e">
        <f ca="1"/>
        <v>#NAME?</v>
      </c>
      <c r="X15" s="306" t="e">
        <f ca="1"/>
        <v>#NAME?</v>
      </c>
      <c r="Y15" s="306" t="e">
        <f ca="1"/>
        <v>#NAME?</v>
      </c>
      <c r="Z15" s="330" t="e">
        <f ca="1"/>
        <v>#NAME?</v>
      </c>
      <c r="AC15" s="329" t="e">
        <f ca="1"/>
        <v>#NAME?</v>
      </c>
      <c r="AD15" s="306" t="e">
        <f ca="1"/>
        <v>#NAME?</v>
      </c>
      <c r="AE15" s="306" t="e">
        <f ca="1"/>
        <v>#NAME?</v>
      </c>
      <c r="AF15" s="330" t="e">
        <f ca="1"/>
        <v>#NAME?</v>
      </c>
      <c r="AJ15" s="299" t="str">
        <f t="shared" ref="AJ15:AJ19" si="21">O5</f>
        <v>price</v>
      </c>
      <c r="AK15" s="329" t="e">
        <f t="shared" ca="1" si="7"/>
        <v>#NAME?</v>
      </c>
      <c r="AL15" s="306">
        <f>T5</f>
        <v>0.12633181126331811</v>
      </c>
      <c r="AM15" s="306">
        <f t="shared" si="8"/>
        <v>1.3559976096364563</v>
      </c>
      <c r="AN15" s="331">
        <f t="shared" ref="AN15:AN19" si="22">(AL15*AM15)/AN$20</f>
        <v>0.68489911634542422</v>
      </c>
      <c r="AO15" s="329" t="e">
        <f t="shared" ca="1" si="9"/>
        <v>#NAME?</v>
      </c>
      <c r="AP15" s="332" t="e">
        <f t="shared" ca="1" si="10"/>
        <v>#NAME?</v>
      </c>
      <c r="AQ15" s="332" t="e">
        <f t="shared" ca="1" si="11"/>
        <v>#NAME?</v>
      </c>
      <c r="AR15" s="332" t="e">
        <f t="shared" ca="1" si="12"/>
        <v>#NAME?</v>
      </c>
      <c r="AS15" s="330" t="e">
        <f t="shared" ca="1" si="13"/>
        <v>#NAME?</v>
      </c>
      <c r="AT15" s="329" t="e">
        <f t="shared" ca="1" si="14"/>
        <v>#NAME?</v>
      </c>
      <c r="AU15" s="332" t="e">
        <f t="shared" ca="1" si="15"/>
        <v>#NAME?</v>
      </c>
      <c r="AV15" s="332" t="e">
        <f t="shared" ca="1" si="16"/>
        <v>#NAME?</v>
      </c>
      <c r="AW15" s="332" t="e">
        <f t="shared" ca="1" si="17"/>
        <v>#NAME?</v>
      </c>
      <c r="AX15" s="330" t="e">
        <f t="shared" ca="1" si="18"/>
        <v>#NAME?</v>
      </c>
      <c r="AZ15" s="299" t="s">
        <v>721</v>
      </c>
      <c r="BA15" s="329" t="e">
        <f t="shared" ref="BA15:BA19" ca="1" si="23">AO15</f>
        <v>#NAME?</v>
      </c>
      <c r="BB15" s="330" t="e">
        <f t="shared" ref="BB15:BB19" ca="1" si="24">AT15</f>
        <v>#NAME?</v>
      </c>
    </row>
    <row r="16" spans="1:54" s="299" customFormat="1" x14ac:dyDescent="0.35">
      <c r="A16" s="299" t="str">
        <f t="shared" si="19"/>
        <v>price</v>
      </c>
      <c r="B16" s="323">
        <v>26.150684931506849</v>
      </c>
      <c r="C16" s="306">
        <v>23.750380517503807</v>
      </c>
      <c r="D16" s="306">
        <v>12.885844748858448</v>
      </c>
      <c r="E16" s="324">
        <v>20.213089802130899</v>
      </c>
      <c r="F16" s="299">
        <f t="shared" si="20"/>
        <v>83</v>
      </c>
      <c r="H16" s="299">
        <f>F21</f>
        <v>657</v>
      </c>
      <c r="I16" s="299">
        <f>COUNT(B4:B9)</f>
        <v>6</v>
      </c>
      <c r="J16" s="299">
        <f>COUNT(B4:E4)</f>
        <v>4</v>
      </c>
      <c r="K16" s="299">
        <f>(I16-1)*(J16-1)</f>
        <v>15</v>
      </c>
      <c r="P16" s="333" t="e">
        <f ca="1"/>
        <v>#NAME?</v>
      </c>
      <c r="Q16" s="334" t="e">
        <f ca="1"/>
        <v>#NAME?</v>
      </c>
      <c r="R16" s="334" t="e">
        <f ca="1"/>
        <v>#NAME?</v>
      </c>
      <c r="S16" s="335" t="e">
        <f ca="1"/>
        <v>#NAME?</v>
      </c>
      <c r="V16" s="299" t="str">
        <f t="shared" si="5"/>
        <v>battery</v>
      </c>
      <c r="W16" s="329" t="e">
        <f ca="1"/>
        <v>#NAME?</v>
      </c>
      <c r="X16" s="306" t="e">
        <f ca="1"/>
        <v>#NAME?</v>
      </c>
      <c r="Y16" s="306" t="e">
        <f ca="1"/>
        <v>#NAME?</v>
      </c>
      <c r="Z16" s="330" t="e">
        <f ca="1"/>
        <v>#NAME?</v>
      </c>
      <c r="AC16" s="329" t="e">
        <f ca="1"/>
        <v>#NAME?</v>
      </c>
      <c r="AD16" s="306" t="e">
        <f ca="1"/>
        <v>#NAME?</v>
      </c>
      <c r="AE16" s="306" t="e">
        <f ca="1"/>
        <v>#NAME?</v>
      </c>
      <c r="AF16" s="330" t="e">
        <f ca="1"/>
        <v>#NAME?</v>
      </c>
      <c r="AJ16" s="299" t="str">
        <f t="shared" si="21"/>
        <v>design</v>
      </c>
      <c r="AK16" s="329" t="e">
        <f t="shared" ca="1" si="7"/>
        <v>#NAME?</v>
      </c>
      <c r="AL16" s="306">
        <f>T6</f>
        <v>0.20243531202435311</v>
      </c>
      <c r="AM16" s="306">
        <f t="shared" si="8"/>
        <v>7.4743228764877531E-2</v>
      </c>
      <c r="AN16" s="331">
        <f t="shared" si="22"/>
        <v>6.0494109086312413E-2</v>
      </c>
      <c r="AO16" s="329" t="e">
        <f t="shared" ca="1" si="9"/>
        <v>#NAME?</v>
      </c>
      <c r="AP16" s="332" t="e">
        <f t="shared" ca="1" si="10"/>
        <v>#NAME?</v>
      </c>
      <c r="AQ16" s="332" t="e">
        <f t="shared" ca="1" si="11"/>
        <v>#NAME?</v>
      </c>
      <c r="AR16" s="332" t="e">
        <f t="shared" ca="1" si="12"/>
        <v>#NAME?</v>
      </c>
      <c r="AS16" s="330" t="e">
        <f t="shared" ca="1" si="13"/>
        <v>#NAME?</v>
      </c>
      <c r="AT16" s="329" t="e">
        <f t="shared" ca="1" si="14"/>
        <v>#NAME?</v>
      </c>
      <c r="AU16" s="332" t="e">
        <f t="shared" ca="1" si="15"/>
        <v>#NAME?</v>
      </c>
      <c r="AV16" s="332" t="e">
        <f t="shared" ca="1" si="16"/>
        <v>#NAME?</v>
      </c>
      <c r="AW16" s="332" t="e">
        <f t="shared" ca="1" si="17"/>
        <v>#NAME?</v>
      </c>
      <c r="AX16" s="330" t="e">
        <f t="shared" ca="1" si="18"/>
        <v>#NAME?</v>
      </c>
      <c r="AZ16" s="299" t="s">
        <v>722</v>
      </c>
      <c r="BA16" s="329" t="e">
        <f t="shared" ca="1" si="23"/>
        <v>#NAME?</v>
      </c>
      <c r="BB16" s="330" t="e">
        <f t="shared" ca="1" si="24"/>
        <v>#NAME?</v>
      </c>
    </row>
    <row r="17" spans="1:54" s="299" customFormat="1" x14ac:dyDescent="0.35">
      <c r="A17" s="299" t="str">
        <f t="shared" si="19"/>
        <v>design</v>
      </c>
      <c r="B17" s="323">
        <v>41.904109589041099</v>
      </c>
      <c r="C17" s="306">
        <v>38.057838660578383</v>
      </c>
      <c r="D17" s="306">
        <v>20.648401826484019</v>
      </c>
      <c r="E17" s="324">
        <v>32.389649923896499</v>
      </c>
      <c r="F17" s="299">
        <f t="shared" si="20"/>
        <v>133</v>
      </c>
      <c r="V17" s="299" t="str">
        <f t="shared" si="5"/>
        <v>software</v>
      </c>
      <c r="W17" s="329" t="e">
        <f ca="1"/>
        <v>#NAME?</v>
      </c>
      <c r="X17" s="306" t="e">
        <f ca="1"/>
        <v>#NAME?</v>
      </c>
      <c r="Y17" s="306" t="e">
        <f ca="1"/>
        <v>#NAME?</v>
      </c>
      <c r="Z17" s="330" t="e">
        <f ca="1"/>
        <v>#NAME?</v>
      </c>
      <c r="AC17" s="333" t="e">
        <f ca="1"/>
        <v>#NAME?</v>
      </c>
      <c r="AD17" s="334" t="e">
        <f ca="1"/>
        <v>#NAME?</v>
      </c>
      <c r="AE17" s="334" t="e">
        <f ca="1"/>
        <v>#NAME?</v>
      </c>
      <c r="AF17" s="335" t="e">
        <f ca="1"/>
        <v>#NAME?</v>
      </c>
      <c r="AJ17" s="299" t="str">
        <f t="shared" si="21"/>
        <v>battery</v>
      </c>
      <c r="AK17" s="329" t="e">
        <f t="shared" ca="1" si="7"/>
        <v>#NAME?</v>
      </c>
      <c r="AL17" s="306">
        <f t="shared" ref="AL17:AL19" si="25">T7</f>
        <v>0.15068493150684931</v>
      </c>
      <c r="AM17" s="306">
        <f t="shared" si="8"/>
        <v>7.8358820898563039E-2</v>
      </c>
      <c r="AN17" s="331">
        <f t="shared" si="22"/>
        <v>4.7207682037446776E-2</v>
      </c>
      <c r="AO17" s="329" t="e">
        <f t="shared" ca="1" si="9"/>
        <v>#NAME?</v>
      </c>
      <c r="AP17" s="332" t="e">
        <f t="shared" ca="1" si="10"/>
        <v>#NAME?</v>
      </c>
      <c r="AQ17" s="332" t="e">
        <f t="shared" ca="1" si="11"/>
        <v>#NAME?</v>
      </c>
      <c r="AR17" s="332" t="e">
        <f t="shared" ca="1" si="12"/>
        <v>#NAME?</v>
      </c>
      <c r="AS17" s="330" t="e">
        <f t="shared" ca="1" si="13"/>
        <v>#NAME?</v>
      </c>
      <c r="AT17" s="329" t="e">
        <f t="shared" ca="1" si="14"/>
        <v>#NAME?</v>
      </c>
      <c r="AU17" s="332" t="e">
        <f t="shared" ca="1" si="15"/>
        <v>#NAME?</v>
      </c>
      <c r="AV17" s="332" t="e">
        <f t="shared" ca="1" si="16"/>
        <v>#NAME?</v>
      </c>
      <c r="AW17" s="332" t="e">
        <f t="shared" ca="1" si="17"/>
        <v>#NAME?</v>
      </c>
      <c r="AX17" s="330" t="e">
        <f t="shared" ca="1" si="18"/>
        <v>#NAME?</v>
      </c>
      <c r="AZ17" s="299" t="s">
        <v>723</v>
      </c>
      <c r="BA17" s="329" t="e">
        <f t="shared" ca="1" si="23"/>
        <v>#NAME?</v>
      </c>
      <c r="BB17" s="330" t="e">
        <f t="shared" ca="1" si="24"/>
        <v>#NAME?</v>
      </c>
    </row>
    <row r="18" spans="1:54" s="299" customFormat="1" ht="15" customHeight="1" thickBot="1" x14ac:dyDescent="0.4">
      <c r="A18" s="299" t="str">
        <f t="shared" si="19"/>
        <v>battery</v>
      </c>
      <c r="B18" s="323">
        <v>31.19178082191781</v>
      </c>
      <c r="C18" s="306">
        <v>28.328767123287673</v>
      </c>
      <c r="D18" s="306">
        <v>15.36986301369863</v>
      </c>
      <c r="E18" s="324">
        <v>24.109589041095891</v>
      </c>
      <c r="F18" s="299">
        <f t="shared" si="20"/>
        <v>99</v>
      </c>
      <c r="H18" s="299" t="s">
        <v>724</v>
      </c>
      <c r="P18" s="299">
        <f>SUMPRODUCT((P4:P9/P$10-$T4:$T9)^2/$T4:$T9)</f>
        <v>0.13434157535478899</v>
      </c>
      <c r="Q18" s="299">
        <f t="shared" ref="Q18:S18" si="26">SUMPRODUCT((Q4:Q9/Q$10-$T4:$T9)^2/$T4:$T9)</f>
        <v>0.14826828347892551</v>
      </c>
      <c r="R18" s="299">
        <f t="shared" si="26"/>
        <v>0.94381770361020201</v>
      </c>
      <c r="S18" s="299">
        <f t="shared" si="26"/>
        <v>7.7343826548130656E-2</v>
      </c>
      <c r="V18" s="299" t="str">
        <f t="shared" si="5"/>
        <v>camera</v>
      </c>
      <c r="W18" s="333" t="e">
        <f ca="1"/>
        <v>#NAME?</v>
      </c>
      <c r="X18" s="334" t="e">
        <f ca="1"/>
        <v>#NAME?</v>
      </c>
      <c r="Y18" s="334" t="e">
        <f ca="1"/>
        <v>#NAME?</v>
      </c>
      <c r="Z18" s="335" t="e">
        <f ca="1"/>
        <v>#NAME?</v>
      </c>
      <c r="AJ18" s="299" t="str">
        <f t="shared" si="21"/>
        <v>software</v>
      </c>
      <c r="AK18" s="329" t="e">
        <f t="shared" ca="1" si="7"/>
        <v>#NAME?</v>
      </c>
      <c r="AL18" s="306">
        <f t="shared" si="25"/>
        <v>0.19330289193302891</v>
      </c>
      <c r="AM18" s="306">
        <f t="shared" si="8"/>
        <v>7.1622145159047898E-2</v>
      </c>
      <c r="AN18" s="331">
        <f t="shared" si="22"/>
        <v>5.5352932625780234E-2</v>
      </c>
      <c r="AO18" s="329" t="e">
        <f t="shared" ca="1" si="9"/>
        <v>#NAME?</v>
      </c>
      <c r="AP18" s="332" t="e">
        <f t="shared" ca="1" si="10"/>
        <v>#NAME?</v>
      </c>
      <c r="AQ18" s="332" t="e">
        <f t="shared" ca="1" si="11"/>
        <v>#NAME?</v>
      </c>
      <c r="AR18" s="332" t="e">
        <f t="shared" ca="1" si="12"/>
        <v>#NAME?</v>
      </c>
      <c r="AS18" s="330" t="e">
        <f t="shared" ca="1" si="13"/>
        <v>#NAME?</v>
      </c>
      <c r="AT18" s="329" t="e">
        <f t="shared" ca="1" si="14"/>
        <v>#NAME?</v>
      </c>
      <c r="AU18" s="332" t="e">
        <f t="shared" ca="1" si="15"/>
        <v>#NAME?</v>
      </c>
      <c r="AV18" s="332" t="e">
        <f t="shared" ca="1" si="16"/>
        <v>#NAME?</v>
      </c>
      <c r="AW18" s="332" t="e">
        <f t="shared" ca="1" si="17"/>
        <v>#NAME?</v>
      </c>
      <c r="AX18" s="330" t="e">
        <f t="shared" ca="1" si="18"/>
        <v>#NAME?</v>
      </c>
      <c r="AZ18" s="299" t="s">
        <v>725</v>
      </c>
      <c r="BA18" s="329" t="e">
        <f t="shared" ca="1" si="23"/>
        <v>#NAME?</v>
      </c>
      <c r="BB18" s="330" t="e">
        <f t="shared" ca="1" si="24"/>
        <v>#NAME?</v>
      </c>
    </row>
    <row r="19" spans="1:54" s="299" customFormat="1" ht="15" customHeight="1" thickTop="1" x14ac:dyDescent="0.35">
      <c r="A19" s="299" t="str">
        <f t="shared" si="19"/>
        <v>software</v>
      </c>
      <c r="B19" s="323">
        <v>40.013698630136986</v>
      </c>
      <c r="C19" s="306">
        <v>36.340943683409435</v>
      </c>
      <c r="D19" s="306">
        <v>19.716894977168948</v>
      </c>
      <c r="E19" s="324">
        <v>30.928462709284627</v>
      </c>
      <c r="F19" s="299">
        <f t="shared" si="20"/>
        <v>127</v>
      </c>
      <c r="H19" s="328" t="s">
        <v>427</v>
      </c>
      <c r="I19" s="328" t="s">
        <v>726</v>
      </c>
      <c r="J19" s="328" t="s">
        <v>65</v>
      </c>
      <c r="K19" s="328" t="s">
        <v>727</v>
      </c>
      <c r="L19" s="328" t="s">
        <v>60</v>
      </c>
      <c r="M19" s="328" t="s">
        <v>728</v>
      </c>
      <c r="AC19" s="299" t="s">
        <v>729</v>
      </c>
      <c r="AJ19" s="299" t="str">
        <f t="shared" si="21"/>
        <v>camera</v>
      </c>
      <c r="AK19" s="333" t="e">
        <f t="shared" ca="1" si="7"/>
        <v>#NAME?</v>
      </c>
      <c r="AL19" s="334">
        <f t="shared" si="25"/>
        <v>0.16438356164383561</v>
      </c>
      <c r="AM19" s="334">
        <f t="shared" si="8"/>
        <v>0.13338388005699747</v>
      </c>
      <c r="AN19" s="336">
        <f t="shared" si="22"/>
        <v>8.7663073209930387E-2</v>
      </c>
      <c r="AO19" s="333" t="e">
        <f t="shared" ca="1" si="9"/>
        <v>#NAME?</v>
      </c>
      <c r="AP19" s="337" t="e">
        <f t="shared" ca="1" si="10"/>
        <v>#NAME?</v>
      </c>
      <c r="AQ19" s="337" t="e">
        <f t="shared" ca="1" si="11"/>
        <v>#NAME?</v>
      </c>
      <c r="AR19" s="337" t="e">
        <f t="shared" ca="1" si="12"/>
        <v>#NAME?</v>
      </c>
      <c r="AS19" s="335" t="e">
        <f t="shared" ca="1" si="13"/>
        <v>#NAME?</v>
      </c>
      <c r="AT19" s="333" t="e">
        <f t="shared" ca="1" si="14"/>
        <v>#NAME?</v>
      </c>
      <c r="AU19" s="337" t="e">
        <f t="shared" ca="1" si="15"/>
        <v>#NAME?</v>
      </c>
      <c r="AV19" s="337" t="e">
        <f t="shared" ca="1" si="16"/>
        <v>#NAME?</v>
      </c>
      <c r="AW19" s="337" t="e">
        <f t="shared" ca="1" si="17"/>
        <v>#NAME?</v>
      </c>
      <c r="AX19" s="335" t="e">
        <f t="shared" ca="1" si="18"/>
        <v>#NAME?</v>
      </c>
      <c r="AZ19" s="299" t="s">
        <v>730</v>
      </c>
      <c r="BA19" s="333" t="e">
        <f t="shared" ca="1" si="23"/>
        <v>#NAME?</v>
      </c>
      <c r="BB19" s="335" t="e">
        <f t="shared" ca="1" si="24"/>
        <v>#NAME?</v>
      </c>
    </row>
    <row r="20" spans="1:54" s="299" customFormat="1" ht="15" customHeight="1" x14ac:dyDescent="0.35">
      <c r="A20" s="299" t="str">
        <f t="shared" si="19"/>
        <v>camera</v>
      </c>
      <c r="B20" s="325">
        <v>34.027397260273972</v>
      </c>
      <c r="C20" s="326">
        <v>30.904109589041095</v>
      </c>
      <c r="D20" s="326">
        <v>16.767123287671232</v>
      </c>
      <c r="E20" s="327">
        <v>26.301369863013697</v>
      </c>
      <c r="F20" s="299">
        <f t="shared" si="20"/>
        <v>108</v>
      </c>
      <c r="H20" s="299" t="s">
        <v>731</v>
      </c>
      <c r="I20" s="299" t="e">
        <f ca="1">CHI_STAT2(B4:E9,B15:E20)</f>
        <v>#NAME?</v>
      </c>
      <c r="J20" s="299" t="e">
        <f ca="1">CHIDIST(I20,K16)</f>
        <v>#NAME?</v>
      </c>
      <c r="K20" s="299">
        <f>CHIINV(K14,K16)</f>
        <v>24.99579013972863</v>
      </c>
      <c r="L20" s="300" t="e">
        <f ca="1">IF(K20&lt;I20,"yes","no")</f>
        <v>#NAME?</v>
      </c>
      <c r="M20" s="299" t="e">
        <f ca="1">SQRT(I20/(H16*(MIN(I16,J16)-1)))</f>
        <v>#NAME?</v>
      </c>
      <c r="P20" s="299" t="s">
        <v>732</v>
      </c>
      <c r="AC20" s="301" t="e">
        <f t="array" aca="1" ref="AC20:AH23" ca="1">MMULT(P13:S16,MMULT(V41:Y44,TRANSPOSE(V32:Y37)))</f>
        <v>#NAME?</v>
      </c>
      <c r="AD20" s="338" t="e">
        <f ca="1"/>
        <v>#NAME?</v>
      </c>
      <c r="AE20" s="338" t="e">
        <f ca="1"/>
        <v>#NAME?</v>
      </c>
      <c r="AF20" s="338" t="e">
        <f ca="1"/>
        <v>#NAME?</v>
      </c>
      <c r="AG20" s="338" t="e">
        <f ca="1"/>
        <v>#NAME?</v>
      </c>
      <c r="AH20" s="339" t="e">
        <f ca="1"/>
        <v>#NAME?</v>
      </c>
      <c r="AN20" s="340">
        <f>SUMPRODUCT(AL14:AL19,AM14:AM19)</f>
        <v>0.25011805389409564</v>
      </c>
      <c r="AO20" s="306"/>
    </row>
    <row r="21" spans="1:54" s="299" customFormat="1" x14ac:dyDescent="0.35">
      <c r="A21" s="299" t="s">
        <v>168</v>
      </c>
      <c r="B21" s="299">
        <f t="shared" ref="B21:E21" si="27">SUM(B4:B9)</f>
        <v>207</v>
      </c>
      <c r="C21" s="299">
        <f t="shared" si="27"/>
        <v>188</v>
      </c>
      <c r="D21" s="299">
        <f t="shared" si="27"/>
        <v>102</v>
      </c>
      <c r="E21" s="299">
        <f t="shared" si="27"/>
        <v>160</v>
      </c>
      <c r="F21" s="299">
        <f>SUM(F15:F20)</f>
        <v>657</v>
      </c>
      <c r="H21" s="299" t="s">
        <v>733</v>
      </c>
      <c r="I21" s="299" t="e">
        <f ca="1">CHI_MAX2(B4:E9,B15:E20)</f>
        <v>#NAME?</v>
      </c>
      <c r="J21" s="299" t="e">
        <f ca="1">CHIDIST(I21,K16)</f>
        <v>#NAME?</v>
      </c>
      <c r="K21" s="299">
        <f>CHIINV(K14,K16)</f>
        <v>24.99579013972863</v>
      </c>
      <c r="L21" s="300" t="e">
        <f ca="1">IF(K21&lt;I21,"yes","no")</f>
        <v>#NAME?</v>
      </c>
      <c r="M21" s="299" t="e">
        <f ca="1">SQRT(I21/(H16*(MIN(I16,J16)-1)))</f>
        <v>#NAME?</v>
      </c>
      <c r="P21" s="301">
        <f t="shared" ref="P21:S26" si="28">(P4/P$10-$T4)^2/$T4</f>
        <v>7.4994277078052651E-4</v>
      </c>
      <c r="Q21" s="338">
        <f t="shared" si="28"/>
        <v>2.2506402211066482E-2</v>
      </c>
      <c r="R21" s="338">
        <f t="shared" si="28"/>
        <v>5.4525193942965601E-2</v>
      </c>
      <c r="S21" s="339">
        <f t="shared" si="28"/>
        <v>3.9494005071195829E-3</v>
      </c>
      <c r="V21" s="299" t="s">
        <v>580</v>
      </c>
      <c r="AC21" s="329" t="e">
        <f ca="1"/>
        <v>#NAME?</v>
      </c>
      <c r="AD21" s="306" t="e">
        <f ca="1"/>
        <v>#NAME?</v>
      </c>
      <c r="AE21" s="306" t="e">
        <f ca="1"/>
        <v>#NAME?</v>
      </c>
      <c r="AF21" s="306" t="e">
        <f ca="1"/>
        <v>#NAME?</v>
      </c>
      <c r="AG21" s="306" t="e">
        <f ca="1"/>
        <v>#NAME?</v>
      </c>
      <c r="AH21" s="330" t="e">
        <f ca="1"/>
        <v>#NAME?</v>
      </c>
    </row>
    <row r="22" spans="1:54" s="299" customFormat="1" x14ac:dyDescent="0.35">
      <c r="H22" s="338"/>
      <c r="I22" s="338"/>
      <c r="J22" s="338"/>
      <c r="K22" s="338"/>
      <c r="L22" s="338"/>
      <c r="M22" s="338"/>
      <c r="P22" s="329">
        <f t="shared" si="28"/>
        <v>9.900890906852762E-2</v>
      </c>
      <c r="Q22" s="306">
        <f t="shared" si="28"/>
        <v>7.8739336338721572E-2</v>
      </c>
      <c r="R22" s="306">
        <f t="shared" si="28"/>
        <v>0.68996697475465374</v>
      </c>
      <c r="S22" s="330">
        <f t="shared" si="28"/>
        <v>4.2958317287414519E-2</v>
      </c>
      <c r="AC22" s="329" t="e">
        <f ca="1"/>
        <v>#NAME?</v>
      </c>
      <c r="AD22" s="306" t="e">
        <f ca="1"/>
        <v>#NAME?</v>
      </c>
      <c r="AE22" s="306" t="e">
        <f ca="1"/>
        <v>#NAME?</v>
      </c>
      <c r="AF22" s="306" t="e">
        <f ca="1"/>
        <v>#NAME?</v>
      </c>
      <c r="AG22" s="306" t="e">
        <f ca="1"/>
        <v>#NAME?</v>
      </c>
      <c r="AH22" s="330" t="e">
        <f ca="1"/>
        <v>#NAME?</v>
      </c>
      <c r="AJ22" s="299" t="s">
        <v>734</v>
      </c>
    </row>
    <row r="23" spans="1:54" s="299" customFormat="1" x14ac:dyDescent="0.35">
      <c r="H23" s="341" t="s">
        <v>735</v>
      </c>
      <c r="I23" s="342" t="e">
        <f ca="1">I20/F21</f>
        <v>#NAME?</v>
      </c>
      <c r="P23" s="329">
        <f t="shared" si="28"/>
        <v>2.2906464701256464E-2</v>
      </c>
      <c r="Q23" s="306">
        <f t="shared" si="28"/>
        <v>1.1466930795137022E-2</v>
      </c>
      <c r="R23" s="306">
        <f t="shared" si="28"/>
        <v>2.7775045440939568E-2</v>
      </c>
      <c r="S23" s="330">
        <f t="shared" si="28"/>
        <v>1.3148350506689117E-3</v>
      </c>
      <c r="T23" s="311"/>
      <c r="V23" s="320" t="e">
        <f t="array" aca="1" ref="V23:AA28" ca="1">SVD_U(W13:Z18,20)</f>
        <v>#NAME?</v>
      </c>
      <c r="W23" s="321" t="e">
        <f ca="1"/>
        <v>#NAME?</v>
      </c>
      <c r="X23" s="321" t="e">
        <f ca="1"/>
        <v>#NAME?</v>
      </c>
      <c r="Y23" s="321" t="e">
        <f ca="1"/>
        <v>#NAME?</v>
      </c>
      <c r="Z23" s="321" t="e">
        <f ca="1"/>
        <v>#NAME?</v>
      </c>
      <c r="AA23" s="322" t="e">
        <f ca="1"/>
        <v>#NAME?</v>
      </c>
      <c r="AC23" s="333" t="e">
        <f ca="1"/>
        <v>#NAME?</v>
      </c>
      <c r="AD23" s="334" t="e">
        <f ca="1"/>
        <v>#NAME?</v>
      </c>
      <c r="AE23" s="334" t="e">
        <f ca="1"/>
        <v>#NAME?</v>
      </c>
      <c r="AF23" s="334" t="e">
        <f ca="1"/>
        <v>#NAME?</v>
      </c>
      <c r="AG23" s="334" t="e">
        <f ca="1"/>
        <v>#NAME?</v>
      </c>
      <c r="AH23" s="335" t="e">
        <f ca="1"/>
        <v>#NAME?</v>
      </c>
      <c r="AK23" s="312"/>
      <c r="AL23" s="312"/>
      <c r="AM23" s="312"/>
      <c r="AN23" s="312"/>
      <c r="AO23" s="417" t="s">
        <v>705</v>
      </c>
      <c r="AP23" s="418"/>
      <c r="AQ23" s="418"/>
      <c r="AR23" s="418"/>
      <c r="AS23" s="419"/>
      <c r="AT23" s="417" t="s">
        <v>706</v>
      </c>
      <c r="AU23" s="418"/>
      <c r="AV23" s="418"/>
      <c r="AW23" s="418"/>
      <c r="AX23" s="419"/>
    </row>
    <row r="24" spans="1:54" s="299" customFormat="1" x14ac:dyDescent="0.35">
      <c r="P24" s="329">
        <f t="shared" si="28"/>
        <v>2.7213638835463408E-3</v>
      </c>
      <c r="Q24" s="306">
        <f t="shared" si="28"/>
        <v>1.3397938468633068E-3</v>
      </c>
      <c r="R24" s="306">
        <f t="shared" si="28"/>
        <v>4.7507831789957218E-2</v>
      </c>
      <c r="S24" s="330">
        <f t="shared" si="28"/>
        <v>1.3103255370485676E-2</v>
      </c>
      <c r="V24" s="323" t="e">
        <f ca="1"/>
        <v>#NAME?</v>
      </c>
      <c r="W24" s="306" t="e">
        <f ca="1"/>
        <v>#NAME?</v>
      </c>
      <c r="X24" s="306" t="e">
        <f ca="1"/>
        <v>#NAME?</v>
      </c>
      <c r="Y24" s="306" t="e">
        <f ca="1"/>
        <v>#NAME?</v>
      </c>
      <c r="Z24" s="306" t="e">
        <f ca="1"/>
        <v>#NAME?</v>
      </c>
      <c r="AA24" s="324" t="e">
        <f ca="1"/>
        <v>#NAME?</v>
      </c>
      <c r="AK24" s="313" t="s">
        <v>707</v>
      </c>
      <c r="AL24" s="314" t="s">
        <v>708</v>
      </c>
      <c r="AM24" s="314" t="s">
        <v>709</v>
      </c>
      <c r="AN24" s="314" t="s">
        <v>710</v>
      </c>
      <c r="AO24" s="313" t="s">
        <v>711</v>
      </c>
      <c r="AP24" s="314" t="s">
        <v>712</v>
      </c>
      <c r="AQ24" s="314" t="s">
        <v>713</v>
      </c>
      <c r="AR24" s="314" t="s">
        <v>714</v>
      </c>
      <c r="AS24" s="315" t="s">
        <v>386</v>
      </c>
      <c r="AT24" s="313" t="s">
        <v>711</v>
      </c>
      <c r="AU24" s="314" t="s">
        <v>712</v>
      </c>
      <c r="AV24" s="314" t="s">
        <v>713</v>
      </c>
      <c r="AW24" s="314" t="s">
        <v>714</v>
      </c>
      <c r="AX24" s="316" t="s">
        <v>386</v>
      </c>
      <c r="BA24" s="317" t="s">
        <v>715</v>
      </c>
      <c r="BB24" s="317" t="s">
        <v>716</v>
      </c>
    </row>
    <row r="25" spans="1:54" s="299" customFormat="1" ht="16.5" x14ac:dyDescent="0.35">
      <c r="H25" s="341" t="s">
        <v>115</v>
      </c>
      <c r="I25" s="342" t="e">
        <f ca="1">CHI_STAT(B4:E9)</f>
        <v>#NAME?</v>
      </c>
      <c r="P25" s="329">
        <f t="shared" si="28"/>
        <v>7.700383361912224E-3</v>
      </c>
      <c r="Q25" s="306">
        <f t="shared" si="28"/>
        <v>1.7014188797197101E-5</v>
      </c>
      <c r="R25" s="306">
        <f t="shared" si="28"/>
        <v>6.8263158577898997E-2</v>
      </c>
      <c r="S25" s="330">
        <f t="shared" si="28"/>
        <v>3.349951480273017E-3</v>
      </c>
      <c r="V25" s="323" t="e">
        <f ca="1"/>
        <v>#NAME?</v>
      </c>
      <c r="W25" s="306" t="e">
        <f ca="1"/>
        <v>#NAME?</v>
      </c>
      <c r="X25" s="306" t="e">
        <f ca="1"/>
        <v>#NAME?</v>
      </c>
      <c r="Y25" s="306" t="e">
        <f ca="1"/>
        <v>#NAME?</v>
      </c>
      <c r="Z25" s="306" t="e">
        <f ca="1"/>
        <v>#NAME?</v>
      </c>
      <c r="AA25" s="324" t="e">
        <f ca="1"/>
        <v>#NAME?</v>
      </c>
      <c r="AC25" s="299" t="s">
        <v>736</v>
      </c>
      <c r="AJ25" s="299" t="str">
        <f t="array" ref="AJ25:AJ28">TRANSPOSE(P3:S3)</f>
        <v>Apple</v>
      </c>
      <c r="AK25" s="301" t="e">
        <f ca="1">AP25+AU25</f>
        <v>#NAME?</v>
      </c>
      <c r="AL25" s="338">
        <f t="array" ref="AL25:AL28">TRANSPOSE(P10:S10)</f>
        <v>0.31506849315068491</v>
      </c>
      <c r="AM25" s="338">
        <f t="array" ref="AM25:AM28">TRANSPOSE(P27:S27)</f>
        <v>0.13434157535478899</v>
      </c>
      <c r="AN25" s="343">
        <f>(AL25*AM25)/AN$29</f>
        <v>0.16922727910094992</v>
      </c>
      <c r="AO25" s="301" t="e">
        <f ca="1">AD20</f>
        <v>#NAME?</v>
      </c>
      <c r="AP25" s="344" t="e">
        <f ca="1">AO25^2/AM25</f>
        <v>#NAME?</v>
      </c>
      <c r="AQ25" s="344" t="e">
        <f ca="1">180*ACOS(SQRT(AP25))/PI()</f>
        <v>#NAME?</v>
      </c>
      <c r="AR25" s="344" t="e">
        <f ca="1">AL25*AO25^2/$AD$36</f>
        <v>#NAME?</v>
      </c>
      <c r="AS25" s="339" t="e">
        <f ca="1">AR25*$AD$36</f>
        <v>#NAME?</v>
      </c>
      <c r="AT25" s="338" t="e">
        <f ca="1">AE20</f>
        <v>#NAME?</v>
      </c>
      <c r="AU25" s="344" t="e">
        <f ca="1">AT25^2/AM25</f>
        <v>#NAME?</v>
      </c>
      <c r="AV25" s="344" t="e">
        <f ca="1">180*ACOS(SQRT(AU25))/PI()</f>
        <v>#NAME?</v>
      </c>
      <c r="AW25" s="344" t="e">
        <f ca="1">AT25^2*AL25/$AD$37</f>
        <v>#NAME?</v>
      </c>
      <c r="AX25" s="339" t="e">
        <f ca="1">AW25*$AD$37</f>
        <v>#NAME?</v>
      </c>
      <c r="AZ25" s="299" t="s">
        <v>737</v>
      </c>
      <c r="BA25" s="301" t="e">
        <f ca="1">AO25</f>
        <v>#NAME?</v>
      </c>
      <c r="BB25" s="339" t="e">
        <f ca="1">AT25</f>
        <v>#NAME?</v>
      </c>
    </row>
    <row r="26" spans="1:54" s="299" customFormat="1" x14ac:dyDescent="0.35">
      <c r="P26" s="333">
        <f t="shared" si="28"/>
        <v>1.2545115687657973E-3</v>
      </c>
      <c r="Q26" s="334">
        <f t="shared" si="28"/>
        <v>3.4198806098339939E-2</v>
      </c>
      <c r="R26" s="334">
        <f t="shared" si="28"/>
        <v>5.5779499103786906E-2</v>
      </c>
      <c r="S26" s="335">
        <f t="shared" si="28"/>
        <v>1.2668066852168949E-2</v>
      </c>
      <c r="V26" s="323" t="e">
        <f ca="1"/>
        <v>#NAME?</v>
      </c>
      <c r="W26" s="306" t="e">
        <f ca="1"/>
        <v>#NAME?</v>
      </c>
      <c r="X26" s="306" t="e">
        <f ca="1"/>
        <v>#NAME?</v>
      </c>
      <c r="Y26" s="306" t="e">
        <f ca="1"/>
        <v>#NAME?</v>
      </c>
      <c r="Z26" s="306" t="e">
        <f ca="1"/>
        <v>#NAME?</v>
      </c>
      <c r="AA26" s="324" t="e">
        <f ca="1"/>
        <v>#NAME?</v>
      </c>
      <c r="AC26" s="301" t="e">
        <f t="array" aca="1" ref="AC26:AH31" ca="1">MMULT(V32:Y37,TRANSPOSE(V32:Y37))</f>
        <v>#NAME?</v>
      </c>
      <c r="AD26" s="338" t="e">
        <f ca="1"/>
        <v>#NAME?</v>
      </c>
      <c r="AE26" s="338" t="e">
        <f ca="1"/>
        <v>#NAME?</v>
      </c>
      <c r="AF26" s="338" t="e">
        <f ca="1"/>
        <v>#NAME?</v>
      </c>
      <c r="AG26" s="338" t="e">
        <f ca="1"/>
        <v>#NAME?</v>
      </c>
      <c r="AH26" s="339" t="e">
        <f ca="1"/>
        <v>#NAME?</v>
      </c>
      <c r="AJ26" s="299" t="str">
        <v>Samsung</v>
      </c>
      <c r="AK26" s="329" t="e">
        <f ca="1">AP26+AU26</f>
        <v>#NAME?</v>
      </c>
      <c r="AL26" s="306">
        <v>0.28614916286149161</v>
      </c>
      <c r="AM26" s="306">
        <v>0.14826828347892551</v>
      </c>
      <c r="AN26" s="331">
        <f t="shared" ref="AN26:AN28" si="29">(AL26*AM26)/AN$29</f>
        <v>0.1696272801417571</v>
      </c>
      <c r="AO26" s="329" t="e">
        <f ca="1">AD21</f>
        <v>#NAME?</v>
      </c>
      <c r="AP26" s="332" t="e">
        <f ca="1">AO26^2/AM26</f>
        <v>#NAME?</v>
      </c>
      <c r="AQ26" s="332" t="e">
        <f ca="1">180*ACOS(SQRT(AP26))/PI()</f>
        <v>#NAME?</v>
      </c>
      <c r="AR26" s="332" t="e">
        <f ca="1">AL26*AO26^2/$AD$36</f>
        <v>#NAME?</v>
      </c>
      <c r="AS26" s="330" t="e">
        <f ca="1">AR26*$AD$36</f>
        <v>#NAME?</v>
      </c>
      <c r="AT26" s="306" t="e">
        <f ca="1">AE21</f>
        <v>#NAME?</v>
      </c>
      <c r="AU26" s="332" t="e">
        <f ca="1">AT26^2/AM26</f>
        <v>#NAME?</v>
      </c>
      <c r="AV26" s="332" t="e">
        <f ca="1">180*ACOS(SQRT(AU26))/PI()</f>
        <v>#NAME?</v>
      </c>
      <c r="AW26" s="332" t="e">
        <f ca="1">AT26^2*AL26/$AD$37</f>
        <v>#NAME?</v>
      </c>
      <c r="AX26" s="330" t="e">
        <f ca="1">AW26*$AD$37</f>
        <v>#NAME?</v>
      </c>
      <c r="AZ26" s="299" t="s">
        <v>738</v>
      </c>
      <c r="BA26" s="329" t="e">
        <f ca="1">AO26</f>
        <v>#NAME?</v>
      </c>
      <c r="BB26" s="330" t="e">
        <f ca="1">AT26</f>
        <v>#NAME?</v>
      </c>
    </row>
    <row r="27" spans="1:54" s="299" customFormat="1" ht="15" customHeight="1" x14ac:dyDescent="0.35">
      <c r="P27" s="60">
        <f>SUM(P21:P26)</f>
        <v>0.13434157535478899</v>
      </c>
      <c r="Q27" s="60">
        <f t="shared" ref="Q27:S27" si="30">SUM(Q21:Q26)</f>
        <v>0.14826828347892551</v>
      </c>
      <c r="R27" s="60">
        <f t="shared" si="30"/>
        <v>0.94381770361020201</v>
      </c>
      <c r="S27" s="60">
        <f t="shared" si="30"/>
        <v>7.7343826548130656E-2</v>
      </c>
      <c r="T27"/>
      <c r="V27" s="323" t="e">
        <f ca="1"/>
        <v>#NAME?</v>
      </c>
      <c r="W27" s="306" t="e">
        <f ca="1"/>
        <v>#NAME?</v>
      </c>
      <c r="X27" s="306" t="e">
        <f ca="1"/>
        <v>#NAME?</v>
      </c>
      <c r="Y27" s="306" t="e">
        <f ca="1"/>
        <v>#NAME?</v>
      </c>
      <c r="Z27" s="306" t="e">
        <f ca="1"/>
        <v>#NAME?</v>
      </c>
      <c r="AA27" s="324" t="e">
        <f ca="1"/>
        <v>#NAME?</v>
      </c>
      <c r="AC27" s="329" t="e">
        <f ca="1"/>
        <v>#NAME?</v>
      </c>
      <c r="AD27" s="306" t="e">
        <f ca="1"/>
        <v>#NAME?</v>
      </c>
      <c r="AE27" s="306" t="e">
        <f ca="1"/>
        <v>#NAME?</v>
      </c>
      <c r="AF27" s="306" t="e">
        <f ca="1"/>
        <v>#NAME?</v>
      </c>
      <c r="AG27" s="306" t="e">
        <f ca="1"/>
        <v>#NAME?</v>
      </c>
      <c r="AH27" s="330" t="e">
        <f ca="1"/>
        <v>#NAME?</v>
      </c>
      <c r="AJ27" s="299" t="str">
        <v>Nokia</v>
      </c>
      <c r="AK27" s="329" t="e">
        <f ca="1">AP27+AU27</f>
        <v>#NAME?</v>
      </c>
      <c r="AL27" s="306">
        <v>0.15525114155251141</v>
      </c>
      <c r="AM27" s="306">
        <v>0.94381770361020201</v>
      </c>
      <c r="AN27" s="331">
        <f t="shared" si="29"/>
        <v>0.58583846156501995</v>
      </c>
      <c r="AO27" s="329" t="e">
        <f ca="1">AD22</f>
        <v>#NAME?</v>
      </c>
      <c r="AP27" s="332" t="e">
        <f ca="1">AO27^2/AM27</f>
        <v>#NAME?</v>
      </c>
      <c r="AQ27" s="332" t="e">
        <f ca="1">180*ACOS(SQRT(AP27))/PI()</f>
        <v>#NAME?</v>
      </c>
      <c r="AR27" s="332" t="e">
        <f ca="1">AL27*AO27^2/$AD$36</f>
        <v>#NAME?</v>
      </c>
      <c r="AS27" s="330" t="e">
        <f ca="1">AR27*$AD$36</f>
        <v>#NAME?</v>
      </c>
      <c r="AT27" s="306" t="e">
        <f ca="1">AE22</f>
        <v>#NAME?</v>
      </c>
      <c r="AU27" s="332" t="e">
        <f ca="1">AT27^2/AM27</f>
        <v>#NAME?</v>
      </c>
      <c r="AV27" s="332" t="e">
        <f ca="1">180*ACOS(SQRT(AU27))/PI()</f>
        <v>#NAME?</v>
      </c>
      <c r="AW27" s="332" t="e">
        <f ca="1">AT27^2*AL27/$AD$37</f>
        <v>#NAME?</v>
      </c>
      <c r="AX27" s="330" t="e">
        <f ca="1">AW27*$AD$37</f>
        <v>#NAME?</v>
      </c>
      <c r="AZ27" s="299" t="s">
        <v>739</v>
      </c>
      <c r="BA27" s="329" t="e">
        <f ca="1">AO27</f>
        <v>#NAME?</v>
      </c>
      <c r="BB27" s="330" t="e">
        <f ca="1">AT27</f>
        <v>#NAME?</v>
      </c>
    </row>
    <row r="28" spans="1:54" s="299" customFormat="1" x14ac:dyDescent="0.35">
      <c r="P28"/>
      <c r="Q28"/>
      <c r="R28"/>
      <c r="S28"/>
      <c r="T28"/>
      <c r="V28" s="325" t="e">
        <f ca="1"/>
        <v>#NAME?</v>
      </c>
      <c r="W28" s="326" t="e">
        <f ca="1"/>
        <v>#NAME?</v>
      </c>
      <c r="X28" s="326" t="e">
        <f ca="1"/>
        <v>#NAME?</v>
      </c>
      <c r="Y28" s="326" t="e">
        <f ca="1"/>
        <v>#NAME?</v>
      </c>
      <c r="Z28" s="326" t="e">
        <f ca="1"/>
        <v>#NAME?</v>
      </c>
      <c r="AA28" s="327" t="e">
        <f ca="1"/>
        <v>#NAME?</v>
      </c>
      <c r="AC28" s="329" t="e">
        <f ca="1"/>
        <v>#NAME?</v>
      </c>
      <c r="AD28" s="306" t="e">
        <f ca="1"/>
        <v>#NAME?</v>
      </c>
      <c r="AE28" s="306" t="e">
        <f ca="1"/>
        <v>#NAME?</v>
      </c>
      <c r="AF28" s="306" t="e">
        <f ca="1"/>
        <v>#NAME?</v>
      </c>
      <c r="AG28" s="306" t="e">
        <f ca="1"/>
        <v>#NAME?</v>
      </c>
      <c r="AH28" s="330" t="e">
        <f ca="1"/>
        <v>#NAME?</v>
      </c>
      <c r="AJ28" s="299" t="str">
        <v>Huawei</v>
      </c>
      <c r="AK28" s="333" t="e">
        <f ca="1">AP28+AU28</f>
        <v>#NAME?</v>
      </c>
      <c r="AL28" s="334">
        <v>0.24353120243531201</v>
      </c>
      <c r="AM28" s="334">
        <v>7.7343826548130656E-2</v>
      </c>
      <c r="AN28" s="336">
        <f t="shared" si="29"/>
        <v>7.5306979192272958E-2</v>
      </c>
      <c r="AO28" s="333" t="e">
        <f ca="1">AD23</f>
        <v>#NAME?</v>
      </c>
      <c r="AP28" s="337" t="e">
        <f ca="1">AO28^2/AM28</f>
        <v>#NAME?</v>
      </c>
      <c r="AQ28" s="337" t="e">
        <f ca="1">180*ACOS(SQRT(AP28))/PI()</f>
        <v>#NAME?</v>
      </c>
      <c r="AR28" s="337" t="e">
        <f ca="1">AL28*AO28^2/$AD$36</f>
        <v>#NAME?</v>
      </c>
      <c r="AS28" s="335" t="e">
        <f ca="1">AR28*$AD$36</f>
        <v>#NAME?</v>
      </c>
      <c r="AT28" s="334" t="e">
        <f ca="1">AE23</f>
        <v>#NAME?</v>
      </c>
      <c r="AU28" s="337" t="e">
        <f ca="1">AT28^2/AM28</f>
        <v>#NAME?</v>
      </c>
      <c r="AV28" s="337" t="e">
        <f ca="1">180*ACOS(SQRT(AU28))/PI()</f>
        <v>#NAME?</v>
      </c>
      <c r="AW28" s="337" t="e">
        <f ca="1">AT28^2*AL28/$AD$37</f>
        <v>#NAME?</v>
      </c>
      <c r="AX28" s="335" t="e">
        <f ca="1">AW28*$AD$37</f>
        <v>#NAME?</v>
      </c>
      <c r="AZ28" s="299" t="s">
        <v>740</v>
      </c>
      <c r="BA28" s="333" t="e">
        <f ca="1">AO28</f>
        <v>#NAME?</v>
      </c>
      <c r="BB28" s="335" t="e">
        <f ca="1">AT28</f>
        <v>#NAME?</v>
      </c>
    </row>
    <row r="29" spans="1:54" s="299" customFormat="1" x14ac:dyDescent="0.35">
      <c r="P29" t="s">
        <v>741</v>
      </c>
      <c r="Q29"/>
      <c r="R29"/>
      <c r="S29"/>
      <c r="T29"/>
      <c r="AC29" s="329" t="e">
        <f ca="1"/>
        <v>#NAME?</v>
      </c>
      <c r="AD29" s="306" t="e">
        <f ca="1"/>
        <v>#NAME?</v>
      </c>
      <c r="AE29" s="306" t="e">
        <f ca="1"/>
        <v>#NAME?</v>
      </c>
      <c r="AF29" s="306" t="e">
        <f ca="1"/>
        <v>#NAME?</v>
      </c>
      <c r="AG29" s="306" t="e">
        <f ca="1"/>
        <v>#NAME?</v>
      </c>
      <c r="AH29" s="330" t="e">
        <f ca="1"/>
        <v>#NAME?</v>
      </c>
      <c r="AN29" s="340">
        <f>SUMPRODUCT(AL25:AL28,AM25:AM28)</f>
        <v>0.25011805389409564</v>
      </c>
    </row>
    <row r="30" spans="1:54" s="299" customFormat="1" x14ac:dyDescent="0.35">
      <c r="P30" s="138">
        <f t="shared" ref="P30:S35" si="31">(P4/$T4-P$10)^2/P$10</f>
        <v>1.4508238649679332E-3</v>
      </c>
      <c r="Q30" s="139">
        <f t="shared" si="31"/>
        <v>3.9543959025051402E-2</v>
      </c>
      <c r="R30" s="139">
        <f t="shared" si="31"/>
        <v>5.1977287683948527E-2</v>
      </c>
      <c r="S30" s="140">
        <f t="shared" si="31"/>
        <v>5.9056456181227476E-3</v>
      </c>
      <c r="T30" s="60">
        <f t="shared" ref="T30:T35" si="32">SUM(P30:S30)</f>
        <v>9.8877716192090612E-2</v>
      </c>
      <c r="V30" s="299" t="s">
        <v>581</v>
      </c>
      <c r="AC30" s="329" t="e">
        <f ca="1"/>
        <v>#NAME?</v>
      </c>
      <c r="AD30" s="306" t="e">
        <f ca="1"/>
        <v>#NAME?</v>
      </c>
      <c r="AE30" s="306" t="e">
        <f ca="1"/>
        <v>#NAME?</v>
      </c>
      <c r="AF30" s="306" t="e">
        <f ca="1"/>
        <v>#NAME?</v>
      </c>
      <c r="AG30" s="306" t="e">
        <f ca="1"/>
        <v>#NAME?</v>
      </c>
      <c r="AH30" s="330" t="e">
        <f ca="1"/>
        <v>#NAME?</v>
      </c>
    </row>
    <row r="31" spans="1:54" s="299" customFormat="1" x14ac:dyDescent="0.35">
      <c r="P31" s="36">
        <f t="shared" si="31"/>
        <v>0.24692583346006283</v>
      </c>
      <c r="Q31" s="37">
        <f t="shared" si="31"/>
        <v>0.17834934014071874</v>
      </c>
      <c r="R31" s="37">
        <f t="shared" si="31"/>
        <v>0.84791122198764679</v>
      </c>
      <c r="S31" s="38">
        <f t="shared" si="31"/>
        <v>8.2811214048027992E-2</v>
      </c>
      <c r="T31" s="60">
        <f t="shared" si="32"/>
        <v>1.3559976096364563</v>
      </c>
      <c r="AC31" s="333" t="e">
        <f ca="1"/>
        <v>#NAME?</v>
      </c>
      <c r="AD31" s="334" t="e">
        <f ca="1"/>
        <v>#NAME?</v>
      </c>
      <c r="AE31" s="334" t="e">
        <f ca="1"/>
        <v>#NAME?</v>
      </c>
      <c r="AF31" s="334" t="e">
        <f ca="1"/>
        <v>#NAME?</v>
      </c>
      <c r="AG31" s="334" t="e">
        <f ca="1"/>
        <v>#NAME?</v>
      </c>
      <c r="AH31" s="335" t="e">
        <f ca="1"/>
        <v>#NAME?</v>
      </c>
      <c r="AJ31" s="299" t="s">
        <v>742</v>
      </c>
    </row>
    <row r="32" spans="1:54" s="299" customFormat="1" x14ac:dyDescent="0.35">
      <c r="P32" s="36">
        <f t="shared" si="31"/>
        <v>3.5651414986166079E-2</v>
      </c>
      <c r="Q32" s="37">
        <f t="shared" si="31"/>
        <v>1.620889465778768E-2</v>
      </c>
      <c r="R32" s="37">
        <f t="shared" si="31"/>
        <v>2.1301162668991246E-2</v>
      </c>
      <c r="S32" s="38">
        <f t="shared" si="31"/>
        <v>1.5817564519325228E-3</v>
      </c>
      <c r="T32" s="60">
        <f t="shared" si="32"/>
        <v>7.4743228764877531E-2</v>
      </c>
      <c r="V32" s="320" t="e">
        <f t="array" aca="1" ref="V32:Y37" ca="1">SVD_D(W13:Z18,20)</f>
        <v>#NAME?</v>
      </c>
      <c r="W32" s="321" t="e">
        <f ca="1"/>
        <v>#NAME?</v>
      </c>
      <c r="X32" s="321" t="e">
        <f ca="1"/>
        <v>#NAME?</v>
      </c>
      <c r="Y32" s="322" t="e">
        <f ca="1"/>
        <v>#NAME?</v>
      </c>
      <c r="AK32" s="312"/>
      <c r="AL32" s="312"/>
      <c r="AM32" s="312"/>
      <c r="AN32" s="312"/>
      <c r="AO32" s="417" t="s">
        <v>705</v>
      </c>
      <c r="AP32" s="418"/>
      <c r="AQ32" s="418"/>
      <c r="AR32" s="418"/>
      <c r="AS32" s="419"/>
      <c r="AT32" s="417" t="s">
        <v>706</v>
      </c>
      <c r="AU32" s="418"/>
      <c r="AV32" s="418"/>
      <c r="AW32" s="418"/>
      <c r="AX32" s="419"/>
      <c r="BA32" s="317" t="s">
        <v>715</v>
      </c>
      <c r="BB32" s="317" t="s">
        <v>716</v>
      </c>
    </row>
    <row r="33" spans="14:54" s="299" customFormat="1" x14ac:dyDescent="0.35">
      <c r="P33" s="36">
        <f t="shared" si="31"/>
        <v>5.6901244837787163E-3</v>
      </c>
      <c r="Q33" s="37">
        <f t="shared" si="31"/>
        <v>2.5442549819222468E-3</v>
      </c>
      <c r="R33" s="37">
        <f t="shared" si="31"/>
        <v>4.8947463056319571E-2</v>
      </c>
      <c r="S33" s="38">
        <f t="shared" si="31"/>
        <v>2.1176978376542508E-2</v>
      </c>
      <c r="T33" s="60">
        <f t="shared" si="32"/>
        <v>7.8358820898563039E-2</v>
      </c>
      <c r="V33" s="323" t="e">
        <f ca="1"/>
        <v>#NAME?</v>
      </c>
      <c r="W33" s="306" t="e">
        <f ca="1"/>
        <v>#NAME?</v>
      </c>
      <c r="X33" s="306" t="e">
        <f ca="1"/>
        <v>#NAME?</v>
      </c>
      <c r="Y33" s="324" t="e">
        <f ca="1"/>
        <v>#NAME?</v>
      </c>
      <c r="AC33" s="299" t="s">
        <v>529</v>
      </c>
      <c r="AK33" s="313" t="s">
        <v>707</v>
      </c>
      <c r="AL33" s="314" t="s">
        <v>708</v>
      </c>
      <c r="AM33" s="314" t="s">
        <v>709</v>
      </c>
      <c r="AN33" s="314" t="s">
        <v>710</v>
      </c>
      <c r="AO33" s="313" t="s">
        <v>711</v>
      </c>
      <c r="AP33" s="314" t="s">
        <v>712</v>
      </c>
      <c r="AQ33" s="314" t="s">
        <v>713</v>
      </c>
      <c r="AR33" s="314" t="s">
        <v>714</v>
      </c>
      <c r="AS33" s="315" t="s">
        <v>386</v>
      </c>
      <c r="AT33" s="313" t="s">
        <v>711</v>
      </c>
      <c r="AU33" s="314" t="s">
        <v>712</v>
      </c>
      <c r="AV33" s="314" t="s">
        <v>713</v>
      </c>
      <c r="AW33" s="314" t="s">
        <v>714</v>
      </c>
      <c r="AX33" s="316" t="s">
        <v>386</v>
      </c>
      <c r="AZ33" s="299" t="str">
        <f t="shared" ref="AZ33:BB38" si="33">AZ14</f>
        <v>scr</v>
      </c>
      <c r="BA33" s="301" t="e">
        <f t="shared" ca="1" si="33"/>
        <v>#NAME?</v>
      </c>
      <c r="BB33" s="339" t="e">
        <f t="shared" ca="1" si="33"/>
        <v>#NAME?</v>
      </c>
    </row>
    <row r="34" spans="14:54" s="299" customFormat="1" x14ac:dyDescent="0.35">
      <c r="P34" s="36">
        <f t="shared" si="31"/>
        <v>1.2551018550518345E-2</v>
      </c>
      <c r="Q34" s="37">
        <f t="shared" si="31"/>
        <v>2.518635821947291E-5</v>
      </c>
      <c r="R34" s="37">
        <f t="shared" si="31"/>
        <v>5.4825528936580291E-2</v>
      </c>
      <c r="S34" s="38">
        <f t="shared" si="31"/>
        <v>4.2204113137297881E-3</v>
      </c>
      <c r="T34" s="60">
        <f t="shared" si="32"/>
        <v>7.1622145159047898E-2</v>
      </c>
      <c r="V34" s="323" t="e">
        <f ca="1"/>
        <v>#NAME?</v>
      </c>
      <c r="W34" s="306" t="e">
        <f ca="1"/>
        <v>#NAME?</v>
      </c>
      <c r="X34" s="306" t="e">
        <f ca="1"/>
        <v>#NAME?</v>
      </c>
      <c r="Y34" s="324" t="e">
        <f ca="1"/>
        <v>#NAME?</v>
      </c>
      <c r="AC34"/>
      <c r="AD34"/>
      <c r="AE34"/>
      <c r="AF34"/>
      <c r="AG34"/>
      <c r="AH34"/>
      <c r="AJ34" s="299" t="str">
        <f>AJ25</f>
        <v>Apple</v>
      </c>
      <c r="AK34" s="301" t="e">
        <f ca="1">AP34+AU34</f>
        <v>#NAME?</v>
      </c>
      <c r="AL34" s="338"/>
      <c r="AM34" s="338" t="e">
        <f ca="1">AO49</f>
        <v>#NAME?</v>
      </c>
      <c r="AN34" s="344"/>
      <c r="AO34" s="301" t="e">
        <f ca="1">AS42</f>
        <v>#NAME?</v>
      </c>
      <c r="AP34" s="344" t="e">
        <f ca="1">AO34^2/AM34</f>
        <v>#NAME?</v>
      </c>
      <c r="AQ34" s="344" t="e">
        <f ca="1">180*ACOS(SQRT(AP34))/PI()</f>
        <v>#NAME?</v>
      </c>
      <c r="AR34" s="344"/>
      <c r="AS34" s="339"/>
      <c r="AT34" s="301" t="e">
        <f ca="1">AT42</f>
        <v>#NAME?</v>
      </c>
      <c r="AU34" s="344" t="e">
        <f ca="1">AT34^2/AM34</f>
        <v>#NAME?</v>
      </c>
      <c r="AV34" s="344" t="e">
        <f ca="1">180*ACOS(SQRT(AU34))/PI()</f>
        <v>#NAME?</v>
      </c>
      <c r="AW34" s="344"/>
      <c r="AX34" s="339"/>
      <c r="AZ34" s="299" t="str">
        <f t="shared" si="33"/>
        <v>pri</v>
      </c>
      <c r="BA34" s="329" t="e">
        <f t="shared" ca="1" si="33"/>
        <v>#NAME?</v>
      </c>
      <c r="BB34" s="330" t="e">
        <f t="shared" ca="1" si="33"/>
        <v>#NAME?</v>
      </c>
    </row>
    <row r="35" spans="14:54" x14ac:dyDescent="0.35">
      <c r="N35" s="299"/>
      <c r="P35" s="39">
        <f t="shared" si="31"/>
        <v>2.4044805068011194E-3</v>
      </c>
      <c r="Q35" s="40">
        <f t="shared" si="31"/>
        <v>5.9531255060073229E-2</v>
      </c>
      <c r="R35" s="40">
        <f t="shared" si="31"/>
        <v>5.2680638042465415E-2</v>
      </c>
      <c r="S35" s="41">
        <f t="shared" si="31"/>
        <v>1.8767506447657695E-2</v>
      </c>
      <c r="T35" s="60">
        <f t="shared" si="32"/>
        <v>0.13338388005699747</v>
      </c>
      <c r="V35" s="323" t="e">
        <f ca="1"/>
        <v>#NAME?</v>
      </c>
      <c r="W35" s="306" t="e">
        <f ca="1"/>
        <v>#NAME?</v>
      </c>
      <c r="X35" s="306" t="e">
        <f ca="1"/>
        <v>#NAME?</v>
      </c>
      <c r="Y35" s="324" t="e">
        <f ca="1"/>
        <v>#NAME?</v>
      </c>
      <c r="Z35" s="299"/>
      <c r="AA35" s="299"/>
      <c r="AD35" s="32" t="s">
        <v>743</v>
      </c>
      <c r="AE35" s="32" t="s">
        <v>387</v>
      </c>
      <c r="AF35" s="32" t="s">
        <v>744</v>
      </c>
      <c r="AJ35" s="299" t="str">
        <f t="shared" ref="AJ35:AJ37" si="34">AJ26</f>
        <v>Samsung</v>
      </c>
      <c r="AK35" s="329" t="e">
        <f ca="1">AP35+AU35</f>
        <v>#NAME?</v>
      </c>
      <c r="AL35" s="306"/>
      <c r="AM35" s="306" t="e">
        <f ca="1">AO50</f>
        <v>#NAME?</v>
      </c>
      <c r="AN35" s="332"/>
      <c r="AO35" s="329" t="e">
        <f t="shared" ref="AO35:AO37" ca="1" si="35">AS43</f>
        <v>#NAME?</v>
      </c>
      <c r="AP35" s="332" t="e">
        <f ca="1">AO35^2/AM35</f>
        <v>#NAME?</v>
      </c>
      <c r="AQ35" s="332" t="e">
        <f ca="1">180*ACOS(SQRT(AP35))/PI()</f>
        <v>#NAME?</v>
      </c>
      <c r="AR35" s="332"/>
      <c r="AS35" s="330"/>
      <c r="AT35" s="329" t="e">
        <f t="shared" ref="AT35:AT37" ca="1" si="36">AT43</f>
        <v>#NAME?</v>
      </c>
      <c r="AU35" s="332" t="e">
        <f t="shared" ref="AU35:AU37" ca="1" si="37">AT35^2/AM35</f>
        <v>#NAME?</v>
      </c>
      <c r="AV35" s="332" t="e">
        <f t="shared" ref="AV35:AV37" ca="1" si="38">180*ACOS(SQRT(AU35))/PI()</f>
        <v>#NAME?</v>
      </c>
      <c r="AW35" s="332"/>
      <c r="AX35" s="330"/>
      <c r="AZ35" s="299" t="str">
        <f t="shared" si="33"/>
        <v>des</v>
      </c>
      <c r="BA35" s="329" t="e">
        <f t="shared" ca="1" si="33"/>
        <v>#NAME?</v>
      </c>
      <c r="BB35" s="330" t="e">
        <f t="shared" ca="1" si="33"/>
        <v>#NAME?</v>
      </c>
    </row>
    <row r="36" spans="14:54" x14ac:dyDescent="0.35">
      <c r="N36" s="299"/>
      <c r="V36" s="323" t="e">
        <f ca="1"/>
        <v>#NAME?</v>
      </c>
      <c r="W36" s="306" t="e">
        <f ca="1"/>
        <v>#NAME?</v>
      </c>
      <c r="X36" s="306" t="e">
        <f ca="1"/>
        <v>#NAME?</v>
      </c>
      <c r="Y36" s="324" t="e">
        <f ca="1"/>
        <v>#NAME?</v>
      </c>
      <c r="Z36" s="299"/>
      <c r="AA36" s="299"/>
      <c r="AC36">
        <v>1</v>
      </c>
      <c r="AD36" s="138" t="e">
        <f t="array" aca="1" ref="AD36:AD38" ca="1">DIAG(AD27:AF29)</f>
        <v>#NAME?</v>
      </c>
      <c r="AE36" s="345" t="e">
        <f ca="1">AD36/AD$39</f>
        <v>#NAME?</v>
      </c>
      <c r="AF36" s="346" t="e">
        <f ca="1">AE36</f>
        <v>#NAME?</v>
      </c>
      <c r="AJ36" s="299" t="str">
        <f t="shared" si="34"/>
        <v>Nokia</v>
      </c>
      <c r="AK36" s="329" t="e">
        <f ca="1">AP36+AU36</f>
        <v>#NAME?</v>
      </c>
      <c r="AL36" s="306"/>
      <c r="AM36" s="306" t="e">
        <f ca="1">AO51</f>
        <v>#NAME?</v>
      </c>
      <c r="AN36" s="332"/>
      <c r="AO36" s="329" t="e">
        <f t="shared" ca="1" si="35"/>
        <v>#NAME?</v>
      </c>
      <c r="AP36" s="332" t="e">
        <f ca="1">AO36^2/AM36</f>
        <v>#NAME?</v>
      </c>
      <c r="AQ36" s="332" t="e">
        <f ca="1">180*ACOS(SQRT(AP36))/PI()</f>
        <v>#NAME?</v>
      </c>
      <c r="AR36" s="332"/>
      <c r="AS36" s="330"/>
      <c r="AT36" s="329" t="e">
        <f t="shared" ca="1" si="36"/>
        <v>#NAME?</v>
      </c>
      <c r="AU36" s="332" t="e">
        <f t="shared" ca="1" si="37"/>
        <v>#NAME?</v>
      </c>
      <c r="AV36" s="332" t="e">
        <f t="shared" ca="1" si="38"/>
        <v>#NAME?</v>
      </c>
      <c r="AW36" s="332"/>
      <c r="AX36" s="330"/>
      <c r="AZ36" s="299" t="str">
        <f t="shared" si="33"/>
        <v>bat</v>
      </c>
      <c r="BA36" s="329" t="e">
        <f t="shared" ca="1" si="33"/>
        <v>#NAME?</v>
      </c>
      <c r="BB36" s="330" t="e">
        <f t="shared" ca="1" si="33"/>
        <v>#NAME?</v>
      </c>
    </row>
    <row r="37" spans="14:54" x14ac:dyDescent="0.35">
      <c r="V37" s="325" t="e">
        <f ca="1"/>
        <v>#NAME?</v>
      </c>
      <c r="W37" s="326" t="e">
        <f ca="1"/>
        <v>#NAME?</v>
      </c>
      <c r="X37" s="326" t="e">
        <f ca="1"/>
        <v>#NAME?</v>
      </c>
      <c r="Y37" s="327" t="e">
        <f ca="1"/>
        <v>#NAME?</v>
      </c>
      <c r="Z37" s="299"/>
      <c r="AA37" s="299"/>
      <c r="AC37">
        <f>AC36+1</f>
        <v>2</v>
      </c>
      <c r="AD37" s="36" t="e">
        <f ca="1"/>
        <v>#NAME?</v>
      </c>
      <c r="AE37" s="347" t="e">
        <f ca="1">AD37/AD$39</f>
        <v>#NAME?</v>
      </c>
      <c r="AF37" s="348" t="e">
        <f ca="1">AE37+AF36</f>
        <v>#NAME?</v>
      </c>
      <c r="AJ37" s="299" t="str">
        <f t="shared" si="34"/>
        <v>Huawei</v>
      </c>
      <c r="AK37" s="333" t="e">
        <f ca="1">AP37+AU37</f>
        <v>#NAME?</v>
      </c>
      <c r="AL37" s="334"/>
      <c r="AM37" s="334" t="e">
        <f ca="1">AO52</f>
        <v>#NAME?</v>
      </c>
      <c r="AN37" s="337"/>
      <c r="AO37" s="333" t="e">
        <f t="shared" ca="1" si="35"/>
        <v>#NAME?</v>
      </c>
      <c r="AP37" s="337" t="e">
        <f ca="1">AO37^2/AM37</f>
        <v>#NAME?</v>
      </c>
      <c r="AQ37" s="337" t="e">
        <f ca="1">180*ACOS(SQRT(AP37))/PI()</f>
        <v>#NAME?</v>
      </c>
      <c r="AR37" s="337"/>
      <c r="AS37" s="335"/>
      <c r="AT37" s="333" t="e">
        <f t="shared" ca="1" si="36"/>
        <v>#NAME?</v>
      </c>
      <c r="AU37" s="337" t="e">
        <f t="shared" ca="1" si="37"/>
        <v>#NAME?</v>
      </c>
      <c r="AV37" s="337" t="e">
        <f t="shared" ca="1" si="38"/>
        <v>#NAME?</v>
      </c>
      <c r="AW37" s="337"/>
      <c r="AX37" s="335"/>
      <c r="AZ37" s="299" t="str">
        <f t="shared" si="33"/>
        <v>sof</v>
      </c>
      <c r="BA37" s="329" t="e">
        <f t="shared" ca="1" si="33"/>
        <v>#NAME?</v>
      </c>
      <c r="BB37" s="330" t="e">
        <f t="shared" ca="1" si="33"/>
        <v>#NAME?</v>
      </c>
    </row>
    <row r="38" spans="14:54" x14ac:dyDescent="0.35">
      <c r="V38" s="299"/>
      <c r="W38" s="299"/>
      <c r="X38" s="299"/>
      <c r="Y38" s="299"/>
      <c r="Z38" s="299"/>
      <c r="AA38" s="299"/>
      <c r="AC38">
        <f>AC37+1</f>
        <v>3</v>
      </c>
      <c r="AD38" s="39" t="e">
        <f ca="1"/>
        <v>#NAME?</v>
      </c>
      <c r="AE38" s="349" t="e">
        <f ca="1">AD38/AD$39</f>
        <v>#NAME?</v>
      </c>
      <c r="AF38" s="350" t="e">
        <f ca="1">AE38+AF37</f>
        <v>#NAME?</v>
      </c>
      <c r="AZ38" s="299" t="str">
        <f t="shared" si="33"/>
        <v>cam</v>
      </c>
      <c r="BA38" s="329" t="e">
        <f t="shared" ca="1" si="33"/>
        <v>#NAME?</v>
      </c>
      <c r="BB38" s="330" t="e">
        <f t="shared" ca="1" si="33"/>
        <v>#NAME?</v>
      </c>
    </row>
    <row r="39" spans="14:54" x14ac:dyDescent="0.35">
      <c r="V39" s="299" t="s">
        <v>582</v>
      </c>
      <c r="W39" s="299"/>
      <c r="X39" s="299"/>
      <c r="Y39" s="299"/>
      <c r="Z39" s="299"/>
      <c r="AA39" s="299"/>
      <c r="AD39" t="e">
        <f ca="1">SUM(AD36:AD38)</f>
        <v>#NAME?</v>
      </c>
      <c r="AZ39" t="str">
        <f t="shared" ref="AZ39:BB42" si="39">AZ25</f>
        <v>APP</v>
      </c>
      <c r="BA39" s="351" t="e">
        <f t="shared" ca="1" si="39"/>
        <v>#NAME?</v>
      </c>
      <c r="BB39" s="352" t="e">
        <f t="shared" ca="1" si="39"/>
        <v>#NAME?</v>
      </c>
    </row>
    <row r="40" spans="14:54" x14ac:dyDescent="0.35">
      <c r="V40" s="299"/>
      <c r="W40" s="299"/>
      <c r="X40" s="299"/>
      <c r="Y40" s="299"/>
      <c r="Z40" s="299"/>
      <c r="AA40" s="299"/>
      <c r="AJ40" t="s">
        <v>745</v>
      </c>
      <c r="AQ40" s="311" t="s">
        <v>746</v>
      </c>
      <c r="AZ40" t="str">
        <f t="shared" si="39"/>
        <v>SAM</v>
      </c>
      <c r="BA40" s="351" t="e">
        <f t="shared" ca="1" si="39"/>
        <v>#NAME?</v>
      </c>
      <c r="BB40" s="352" t="e">
        <f t="shared" ca="1" si="39"/>
        <v>#NAME?</v>
      </c>
    </row>
    <row r="41" spans="14:54" x14ac:dyDescent="0.35">
      <c r="V41" s="320" t="e">
        <f t="array" aca="1" ref="V41:Y44" ca="1">SVD_V(W13:Z18,20)</f>
        <v>#NAME?</v>
      </c>
      <c r="W41" s="321" t="e">
        <f ca="1"/>
        <v>#NAME?</v>
      </c>
      <c r="X41" s="321" t="e">
        <f ca="1"/>
        <v>#NAME?</v>
      </c>
      <c r="Y41" s="322" t="e">
        <f ca="1"/>
        <v>#NAME?</v>
      </c>
      <c r="Z41" s="299"/>
      <c r="AA41" s="299"/>
      <c r="AD41" t="s">
        <v>747</v>
      </c>
      <c r="AJ41" s="299"/>
      <c r="AK41" s="300" t="s">
        <v>686</v>
      </c>
      <c r="AL41" s="300" t="s">
        <v>687</v>
      </c>
      <c r="AM41" s="300" t="s">
        <v>688</v>
      </c>
      <c r="AN41" s="300" t="s">
        <v>689</v>
      </c>
      <c r="AQ41" s="299"/>
      <c r="AR41" s="300"/>
      <c r="AS41" s="300">
        <v>1</v>
      </c>
      <c r="AT41" s="300">
        <v>2</v>
      </c>
      <c r="AU41" s="300">
        <v>3</v>
      </c>
      <c r="AZ41" t="str">
        <f t="shared" si="39"/>
        <v>NOK</v>
      </c>
      <c r="BA41" s="351" t="e">
        <f t="shared" ca="1" si="39"/>
        <v>#NAME?</v>
      </c>
      <c r="BB41" s="352" t="e">
        <f t="shared" ca="1" si="39"/>
        <v>#NAME?</v>
      </c>
    </row>
    <row r="42" spans="14:54" x14ac:dyDescent="0.35">
      <c r="V42" s="323" t="e">
        <f ca="1"/>
        <v>#NAME?</v>
      </c>
      <c r="W42" s="306" t="e">
        <f ca="1"/>
        <v>#NAME?</v>
      </c>
      <c r="X42" s="306" t="e">
        <f ca="1"/>
        <v>#NAME?</v>
      </c>
      <c r="Y42" s="324" t="e">
        <f ca="1"/>
        <v>#NAME?</v>
      </c>
      <c r="Z42" s="299"/>
      <c r="AA42" s="299"/>
      <c r="AD42" s="146" t="e">
        <f t="array" aca="1" ref="AD42:AD44" ca="1">CAEigen(B4:E9)</f>
        <v>#NAME?</v>
      </c>
      <c r="AJ42" s="299" t="s">
        <v>748</v>
      </c>
      <c r="AK42" s="301" t="e">
        <f t="array" aca="1" ref="AK42:AN45" ca="1">Identity()</f>
        <v>#NAME?</v>
      </c>
      <c r="AL42" s="338" t="e">
        <f ca="1"/>
        <v>#NAME?</v>
      </c>
      <c r="AM42" s="338" t="e">
        <f ca="1"/>
        <v>#NAME?</v>
      </c>
      <c r="AN42" s="339" t="e">
        <f ca="1"/>
        <v>#NAME?</v>
      </c>
      <c r="AO42" t="e">
        <f ca="1">SUM(AK42:AN42)</f>
        <v>#NAME?</v>
      </c>
      <c r="AQ42" s="299" t="s">
        <v>748</v>
      </c>
      <c r="AR42" s="301" t="e">
        <f t="array" aca="1" ref="AR42:AU45" ca="1">MMULT(AK42:AN45,AC20:AF23)/AR46:AU46</f>
        <v>#NAME?</v>
      </c>
      <c r="AS42" s="338" t="e">
        <f ca="1"/>
        <v>#NAME?</v>
      </c>
      <c r="AT42" s="338" t="e">
        <f ca="1"/>
        <v>#NAME?</v>
      </c>
      <c r="AU42" s="339" t="e">
        <f ca="1"/>
        <v>#NAME?</v>
      </c>
      <c r="AZ42" t="str">
        <f t="shared" si="39"/>
        <v>HUA</v>
      </c>
      <c r="BA42" s="353" t="e">
        <f t="shared" ca="1" si="39"/>
        <v>#NAME?</v>
      </c>
      <c r="BB42" s="354" t="e">
        <f t="shared" ca="1" si="39"/>
        <v>#NAME?</v>
      </c>
    </row>
    <row r="43" spans="14:54" x14ac:dyDescent="0.35">
      <c r="V43" s="323" t="e">
        <f ca="1"/>
        <v>#NAME?</v>
      </c>
      <c r="W43" s="306" t="e">
        <f ca="1"/>
        <v>#NAME?</v>
      </c>
      <c r="X43" s="306" t="e">
        <f ca="1"/>
        <v>#NAME?</v>
      </c>
      <c r="Y43" s="324" t="e">
        <f ca="1"/>
        <v>#NAME?</v>
      </c>
      <c r="Z43" s="299"/>
      <c r="AA43" s="299"/>
      <c r="AD43" s="49" t="e">
        <f ca="1"/>
        <v>#NAME?</v>
      </c>
      <c r="AJ43" s="299" t="s">
        <v>749</v>
      </c>
      <c r="AK43" s="329" t="e">
        <f ca="1"/>
        <v>#NAME?</v>
      </c>
      <c r="AL43" s="306" t="e">
        <f ca="1"/>
        <v>#NAME?</v>
      </c>
      <c r="AM43" s="306" t="e">
        <f ca="1"/>
        <v>#NAME?</v>
      </c>
      <c r="AN43" s="330" t="e">
        <f ca="1"/>
        <v>#NAME?</v>
      </c>
      <c r="AO43" t="e">
        <f ca="1">SUM(AK43:AN43)</f>
        <v>#NAME?</v>
      </c>
      <c r="AQ43" s="299" t="s">
        <v>749</v>
      </c>
      <c r="AR43" s="329" t="e">
        <f ca="1"/>
        <v>#NAME?</v>
      </c>
      <c r="AS43" s="306" t="e">
        <f ca="1"/>
        <v>#NAME?</v>
      </c>
      <c r="AT43" s="306" t="e">
        <f ca="1"/>
        <v>#NAME?</v>
      </c>
      <c r="AU43" s="330" t="e">
        <f ca="1"/>
        <v>#NAME?</v>
      </c>
    </row>
    <row r="44" spans="14:54" x14ac:dyDescent="0.35">
      <c r="V44" s="325" t="e">
        <f ca="1"/>
        <v>#NAME?</v>
      </c>
      <c r="W44" s="326" t="e">
        <f ca="1"/>
        <v>#NAME?</v>
      </c>
      <c r="X44" s="326" t="e">
        <f ca="1"/>
        <v>#NAME?</v>
      </c>
      <c r="Y44" s="327" t="e">
        <f ca="1"/>
        <v>#NAME?</v>
      </c>
      <c r="Z44" s="299"/>
      <c r="AA44" s="299"/>
      <c r="AD44" s="52" t="e">
        <f ca="1"/>
        <v>#NAME?</v>
      </c>
      <c r="AJ44" s="299" t="s">
        <v>750</v>
      </c>
      <c r="AK44" s="329" t="e">
        <f ca="1"/>
        <v>#NAME?</v>
      </c>
      <c r="AL44" s="306" t="e">
        <f ca="1"/>
        <v>#NAME?</v>
      </c>
      <c r="AM44" s="306" t="e">
        <f ca="1"/>
        <v>#NAME?</v>
      </c>
      <c r="AN44" s="330" t="e">
        <f ca="1"/>
        <v>#NAME?</v>
      </c>
      <c r="AO44" t="e">
        <f ca="1">SUM(AK44:AN44)</f>
        <v>#NAME?</v>
      </c>
      <c r="AQ44" s="299" t="s">
        <v>750</v>
      </c>
      <c r="AR44" s="329" t="e">
        <f ca="1"/>
        <v>#NAME?</v>
      </c>
      <c r="AS44" s="306" t="e">
        <f ca="1"/>
        <v>#NAME?</v>
      </c>
      <c r="AT44" s="306" t="e">
        <f ca="1"/>
        <v>#NAME?</v>
      </c>
      <c r="AU44" s="330" t="e">
        <f ca="1"/>
        <v>#NAME?</v>
      </c>
    </row>
    <row r="45" spans="14:54" x14ac:dyDescent="0.35">
      <c r="AJ45" s="299" t="s">
        <v>751</v>
      </c>
      <c r="AK45" s="333" t="e">
        <f ca="1"/>
        <v>#NAME?</v>
      </c>
      <c r="AL45" s="334" t="e">
        <f ca="1"/>
        <v>#NAME?</v>
      </c>
      <c r="AM45" s="334" t="e">
        <f ca="1"/>
        <v>#NAME?</v>
      </c>
      <c r="AN45" s="335" t="e">
        <f ca="1"/>
        <v>#NAME?</v>
      </c>
      <c r="AO45" t="e">
        <f ca="1">SUM(AK45:AN45)</f>
        <v>#NAME?</v>
      </c>
      <c r="AQ45" s="299" t="s">
        <v>751</v>
      </c>
      <c r="AR45" s="333" t="e">
        <f ca="1"/>
        <v>#NAME?</v>
      </c>
      <c r="AS45" s="334" t="e">
        <f ca="1"/>
        <v>#NAME?</v>
      </c>
      <c r="AT45" s="334" t="e">
        <f ca="1"/>
        <v>#NAME?</v>
      </c>
      <c r="AU45" s="335" t="e">
        <f ca="1"/>
        <v>#NAME?</v>
      </c>
      <c r="AZ45" s="299"/>
      <c r="BA45" s="317" t="s">
        <v>715</v>
      </c>
      <c r="BB45" s="317" t="s">
        <v>716</v>
      </c>
    </row>
    <row r="46" spans="14:54" x14ac:dyDescent="0.35">
      <c r="AQ46" s="311" t="s">
        <v>752</v>
      </c>
      <c r="AR46" t="e">
        <f t="array" aca="1" ref="AR46:AU46" ca="1">DIAG(V32:Y35)</f>
        <v>#NAME?</v>
      </c>
      <c r="AS46" t="e">
        <f ca="1"/>
        <v>#NAME?</v>
      </c>
      <c r="AT46" t="e">
        <f ca="1"/>
        <v>#NAME?</v>
      </c>
      <c r="AU46" t="e">
        <f ca="1"/>
        <v>#NAME?</v>
      </c>
      <c r="AZ46" s="299" t="s">
        <v>718</v>
      </c>
      <c r="BA46" s="301" t="e">
        <f t="shared" ref="BA46:BB51" ca="1" si="40">BA14</f>
        <v>#NAME?</v>
      </c>
      <c r="BB46" s="339" t="e">
        <f t="shared" ca="1" si="40"/>
        <v>#NAME?</v>
      </c>
    </row>
    <row r="47" spans="14:54" x14ac:dyDescent="0.35">
      <c r="AJ47" s="311" t="s">
        <v>753</v>
      </c>
      <c r="AZ47" s="299" t="s">
        <v>721</v>
      </c>
      <c r="BA47" s="329" t="e">
        <f t="shared" ca="1" si="40"/>
        <v>#NAME?</v>
      </c>
      <c r="BB47" s="330" t="e">
        <f t="shared" ca="1" si="40"/>
        <v>#NAME?</v>
      </c>
    </row>
    <row r="48" spans="14:54" x14ac:dyDescent="0.35">
      <c r="AJ48" s="299"/>
      <c r="AK48" s="300" t="s">
        <v>686</v>
      </c>
      <c r="AL48" s="300" t="s">
        <v>687</v>
      </c>
      <c r="AM48" s="300" t="s">
        <v>688</v>
      </c>
      <c r="AN48" s="300" t="s">
        <v>689</v>
      </c>
      <c r="AR48" t="s">
        <v>691</v>
      </c>
      <c r="AZ48" s="299" t="s">
        <v>722</v>
      </c>
      <c r="BA48" s="329" t="e">
        <f t="shared" ca="1" si="40"/>
        <v>#NAME?</v>
      </c>
      <c r="BB48" s="330" t="e">
        <f t="shared" ca="1" si="40"/>
        <v>#NAME?</v>
      </c>
    </row>
    <row r="49" spans="34:54" x14ac:dyDescent="0.35">
      <c r="AH49" t="e">
        <f t="array" ref="AH49" ca="1">SUMPRODUCT((AK42:AN42-AK$53:AN$53)^2/AK$53:AN$53)</f>
        <v>#NAME?</v>
      </c>
      <c r="AJ49" s="299" t="s">
        <v>748</v>
      </c>
      <c r="AK49" s="301" t="e">
        <f t="shared" ref="AK49:AN52" ca="1" si="41">(AK42-AK$53)^2/AK$53</f>
        <v>#NAME?</v>
      </c>
      <c r="AL49" s="338" t="e">
        <f t="shared" ca="1" si="41"/>
        <v>#NAME?</v>
      </c>
      <c r="AM49" s="338" t="e">
        <f t="shared" ca="1" si="41"/>
        <v>#NAME?</v>
      </c>
      <c r="AN49" s="339" t="e">
        <f t="shared" ca="1" si="41"/>
        <v>#NAME?</v>
      </c>
      <c r="AO49" t="e">
        <f ca="1">SUM(AK49:AN49)</f>
        <v>#NAME?</v>
      </c>
      <c r="AR49" s="138" t="e">
        <f t="array" aca="1" ref="AR49:AT52" ca="1">CARowFactors(B4:E9,AK42:AN45)</f>
        <v>#NAME?</v>
      </c>
      <c r="AS49" s="139" t="e">
        <f ca="1"/>
        <v>#NAME?</v>
      </c>
      <c r="AT49" s="140" t="e">
        <f ca="1"/>
        <v>#NAME?</v>
      </c>
      <c r="AZ49" s="299" t="s">
        <v>723</v>
      </c>
      <c r="BA49" s="329" t="e">
        <f t="shared" ca="1" si="40"/>
        <v>#NAME?</v>
      </c>
      <c r="BB49" s="330" t="e">
        <f t="shared" ca="1" si="40"/>
        <v>#NAME?</v>
      </c>
    </row>
    <row r="50" spans="34:54" x14ac:dyDescent="0.35">
      <c r="AH50" t="e">
        <f t="array" ref="AH50" ca="1">SUMPRODUCT((AK43:AN43-AK$53:AN$53)^2/AK$53:AN$53)</f>
        <v>#NAME?</v>
      </c>
      <c r="AJ50" s="299" t="s">
        <v>749</v>
      </c>
      <c r="AK50" s="329" t="e">
        <f t="shared" ca="1" si="41"/>
        <v>#NAME?</v>
      </c>
      <c r="AL50" s="306" t="e">
        <f t="shared" ca="1" si="41"/>
        <v>#NAME?</v>
      </c>
      <c r="AM50" s="306" t="e">
        <f t="shared" ca="1" si="41"/>
        <v>#NAME?</v>
      </c>
      <c r="AN50" s="330" t="e">
        <f t="shared" ca="1" si="41"/>
        <v>#NAME?</v>
      </c>
      <c r="AO50" t="e">
        <f t="shared" ref="AO50:AO52" ca="1" si="42">SUM(AK50:AN50)</f>
        <v>#NAME?</v>
      </c>
      <c r="AR50" s="36" t="e">
        <f ca="1"/>
        <v>#NAME?</v>
      </c>
      <c r="AS50" s="37" t="e">
        <f ca="1"/>
        <v>#NAME?</v>
      </c>
      <c r="AT50" s="38" t="e">
        <f ca="1"/>
        <v>#NAME?</v>
      </c>
      <c r="AZ50" s="299" t="s">
        <v>725</v>
      </c>
      <c r="BA50" s="329" t="e">
        <f t="shared" ca="1" si="40"/>
        <v>#NAME?</v>
      </c>
      <c r="BB50" s="330" t="e">
        <f t="shared" ca="1" si="40"/>
        <v>#NAME?</v>
      </c>
    </row>
    <row r="51" spans="34:54" x14ac:dyDescent="0.35">
      <c r="AH51" t="e">
        <f t="array" ref="AH51" ca="1">SUMPRODUCT((AK44:AN44-AK$53:AN$53)^2/AK$53:AN$53)</f>
        <v>#NAME?</v>
      </c>
      <c r="AJ51" s="299" t="s">
        <v>750</v>
      </c>
      <c r="AK51" s="329" t="e">
        <f t="shared" ca="1" si="41"/>
        <v>#NAME?</v>
      </c>
      <c r="AL51" s="306" t="e">
        <f t="shared" ca="1" si="41"/>
        <v>#NAME?</v>
      </c>
      <c r="AM51" s="306" t="e">
        <f t="shared" ca="1" si="41"/>
        <v>#NAME?</v>
      </c>
      <c r="AN51" s="330" t="e">
        <f t="shared" ca="1" si="41"/>
        <v>#NAME?</v>
      </c>
      <c r="AO51" t="e">
        <f t="shared" ca="1" si="42"/>
        <v>#NAME?</v>
      </c>
      <c r="AR51" s="36" t="e">
        <f ca="1"/>
        <v>#NAME?</v>
      </c>
      <c r="AS51" s="37" t="e">
        <f ca="1"/>
        <v>#NAME?</v>
      </c>
      <c r="AT51" s="38" t="e">
        <f ca="1"/>
        <v>#NAME?</v>
      </c>
      <c r="AZ51" s="299" t="s">
        <v>730</v>
      </c>
      <c r="BA51" s="329" t="e">
        <f t="shared" ca="1" si="40"/>
        <v>#NAME?</v>
      </c>
      <c r="BB51" s="330" t="e">
        <f t="shared" ca="1" si="40"/>
        <v>#NAME?</v>
      </c>
    </row>
    <row r="52" spans="34:54" x14ac:dyDescent="0.35">
      <c r="AH52" t="e">
        <f t="array" ref="AH52" ca="1">SUMPRODUCT((AK45:AN45-AK$53:AN$53)^2/AK$53:AN$53)</f>
        <v>#NAME?</v>
      </c>
      <c r="AJ52" s="299" t="s">
        <v>751</v>
      </c>
      <c r="AK52" s="333" t="e">
        <f t="shared" ca="1" si="41"/>
        <v>#NAME?</v>
      </c>
      <c r="AL52" s="334" t="e">
        <f t="shared" ca="1" si="41"/>
        <v>#NAME?</v>
      </c>
      <c r="AM52" s="334" t="e">
        <f t="shared" ca="1" si="41"/>
        <v>#NAME?</v>
      </c>
      <c r="AN52" s="335" t="e">
        <f t="shared" ca="1" si="41"/>
        <v>#NAME?</v>
      </c>
      <c r="AO52" t="e">
        <f t="shared" ca="1" si="42"/>
        <v>#NAME?</v>
      </c>
      <c r="AR52" s="39" t="e">
        <f ca="1"/>
        <v>#NAME?</v>
      </c>
      <c r="AS52" s="40" t="e">
        <f ca="1"/>
        <v>#NAME?</v>
      </c>
      <c r="AT52" s="41" t="e">
        <f ca="1"/>
        <v>#NAME?</v>
      </c>
      <c r="AZ52" s="299" t="s">
        <v>748</v>
      </c>
      <c r="BA52" s="351" t="e">
        <f t="shared" ref="BA52:BB55" ca="1" si="43">AS42</f>
        <v>#NAME?</v>
      </c>
      <c r="BB52" s="352" t="e">
        <f t="shared" ca="1" si="43"/>
        <v>#NAME?</v>
      </c>
    </row>
    <row r="53" spans="34:54" x14ac:dyDescent="0.35">
      <c r="AK53">
        <f>P10</f>
        <v>0.31506849315068491</v>
      </c>
      <c r="AL53">
        <f>Q10</f>
        <v>0.28614916286149161</v>
      </c>
      <c r="AM53">
        <f>R10</f>
        <v>0.15525114155251141</v>
      </c>
      <c r="AN53">
        <f>S10</f>
        <v>0.24353120243531201</v>
      </c>
      <c r="AZ53" s="299" t="s">
        <v>749</v>
      </c>
      <c r="BA53" s="351" t="e">
        <f t="shared" ca="1" si="43"/>
        <v>#NAME?</v>
      </c>
      <c r="BB53" s="352" t="e">
        <f t="shared" ca="1" si="43"/>
        <v>#NAME?</v>
      </c>
    </row>
    <row r="54" spans="34:54" x14ac:dyDescent="0.35">
      <c r="AZ54" s="299" t="s">
        <v>750</v>
      </c>
      <c r="BA54" s="351" t="e">
        <f t="shared" ca="1" si="43"/>
        <v>#NAME?</v>
      </c>
      <c r="BB54" s="352" t="e">
        <f t="shared" ca="1" si="43"/>
        <v>#NAME?</v>
      </c>
    </row>
    <row r="55" spans="34:54" x14ac:dyDescent="0.35">
      <c r="AJ55" s="311" t="s">
        <v>754</v>
      </c>
      <c r="AP55" t="s">
        <v>755</v>
      </c>
      <c r="AZ55" s="299" t="s">
        <v>751</v>
      </c>
      <c r="BA55" s="353" t="e">
        <f t="shared" ca="1" si="43"/>
        <v>#NAME?</v>
      </c>
      <c r="BB55" s="354" t="e">
        <f t="shared" ca="1" si="43"/>
        <v>#NAME?</v>
      </c>
    </row>
    <row r="57" spans="34:54" x14ac:dyDescent="0.35">
      <c r="AJ57" s="299"/>
      <c r="AK57" s="300" t="s">
        <v>756</v>
      </c>
      <c r="AL57" s="32" t="s">
        <v>757</v>
      </c>
      <c r="AM57" s="32" t="s">
        <v>758</v>
      </c>
      <c r="AN57" t="s">
        <v>709</v>
      </c>
      <c r="AQ57">
        <v>1</v>
      </c>
      <c r="AR57">
        <v>2</v>
      </c>
      <c r="AS57">
        <v>3</v>
      </c>
    </row>
    <row r="58" spans="34:54" x14ac:dyDescent="0.35">
      <c r="AJ58" s="299" t="s">
        <v>693</v>
      </c>
      <c r="AK58" s="355">
        <v>30</v>
      </c>
      <c r="AL58" s="139">
        <f>AK58/AK$64</f>
        <v>0.16853932584269662</v>
      </c>
      <c r="AM58" s="139">
        <f>T4</f>
        <v>0.16286149162861491</v>
      </c>
      <c r="AN58" s="140">
        <f>(AL58-AM58)^2/AM58</f>
        <v>1.9794612612360931E-4</v>
      </c>
      <c r="AP58" t="s">
        <v>756</v>
      </c>
      <c r="AQ58" s="53" t="e">
        <f t="array" aca="1" ref="AQ58:AS58" ca="1">MMULT(TRANSPOSE(AL58:AL63),AD12:AF17)/AS46:AU46</f>
        <v>#NAME?</v>
      </c>
      <c r="AR58" s="147" t="e">
        <f ca="1"/>
        <v>#NAME?</v>
      </c>
      <c r="AS58" s="148" t="e">
        <f ca="1"/>
        <v>#NAME?</v>
      </c>
    </row>
    <row r="59" spans="34:54" x14ac:dyDescent="0.35">
      <c r="AJ59" s="299" t="s">
        <v>694</v>
      </c>
      <c r="AK59" s="356">
        <v>32</v>
      </c>
      <c r="AL59" s="37">
        <f t="shared" ref="AL59:AL63" si="44">AK59/AK$64</f>
        <v>0.1797752808988764</v>
      </c>
      <c r="AM59" s="37">
        <f t="shared" ref="AM59:AM63" si="45">T5</f>
        <v>0.12633181126331811</v>
      </c>
      <c r="AN59" s="38">
        <f t="shared" ref="AN59:AN63" si="46">(AL59-AM59)^2/AM59</f>
        <v>2.2608750861123551E-2</v>
      </c>
    </row>
    <row r="60" spans="34:54" x14ac:dyDescent="0.35">
      <c r="AJ60" s="299" t="s">
        <v>695</v>
      </c>
      <c r="AK60" s="356">
        <v>30</v>
      </c>
      <c r="AL60" s="37">
        <f t="shared" si="44"/>
        <v>0.16853932584269662</v>
      </c>
      <c r="AM60" s="37">
        <f t="shared" si="45"/>
        <v>0.20243531202435311</v>
      </c>
      <c r="AN60" s="38">
        <f t="shared" si="46"/>
        <v>5.675580350768197E-3</v>
      </c>
      <c r="AQ60" t="s">
        <v>692</v>
      </c>
    </row>
    <row r="61" spans="34:54" x14ac:dyDescent="0.35">
      <c r="AJ61" s="299" t="s">
        <v>696</v>
      </c>
      <c r="AK61" s="356">
        <v>30</v>
      </c>
      <c r="AL61" s="37">
        <f t="shared" si="44"/>
        <v>0.16853932584269662</v>
      </c>
      <c r="AM61" s="37">
        <f t="shared" si="45"/>
        <v>0.15068493150684931</v>
      </c>
      <c r="AN61" s="38">
        <f t="shared" si="46"/>
        <v>2.1155359989359444E-3</v>
      </c>
      <c r="AQ61" s="53" t="e">
        <f t="array" aca="1" ref="AQ61:AS61" ca="1">CAColFactors(B4:E9,AK58:AK63)</f>
        <v>#NAME?</v>
      </c>
      <c r="AR61" s="147" t="e">
        <f ca="1"/>
        <v>#NAME?</v>
      </c>
      <c r="AS61" s="148" t="e">
        <f ca="1"/>
        <v>#NAME?</v>
      </c>
      <c r="AU61" s="299"/>
      <c r="AV61" s="317" t="s">
        <v>715</v>
      </c>
      <c r="AW61" s="317" t="s">
        <v>716</v>
      </c>
    </row>
    <row r="62" spans="34:54" x14ac:dyDescent="0.35">
      <c r="AJ62" s="299" t="s">
        <v>697</v>
      </c>
      <c r="AK62" s="356">
        <v>30</v>
      </c>
      <c r="AL62" s="37">
        <f t="shared" si="44"/>
        <v>0.16853932584269662</v>
      </c>
      <c r="AM62" s="37">
        <f t="shared" si="45"/>
        <v>0.19330289193302891</v>
      </c>
      <c r="AN62" s="38">
        <f t="shared" si="46"/>
        <v>3.1724005749625005E-3</v>
      </c>
      <c r="AU62" s="299" t="s">
        <v>737</v>
      </c>
      <c r="AV62" s="301" t="e">
        <f ca="1">BA25</f>
        <v>#NAME?</v>
      </c>
      <c r="AW62" s="339" t="e">
        <f ca="1">BB25</f>
        <v>#NAME?</v>
      </c>
    </row>
    <row r="63" spans="34:54" x14ac:dyDescent="0.35">
      <c r="AJ63" s="299" t="s">
        <v>698</v>
      </c>
      <c r="AK63" s="357">
        <v>26</v>
      </c>
      <c r="AL63" s="40">
        <f t="shared" si="44"/>
        <v>0.14606741573033707</v>
      </c>
      <c r="AM63" s="40">
        <f t="shared" si="45"/>
        <v>0.16438356164383561</v>
      </c>
      <c r="AN63" s="41">
        <f t="shared" si="46"/>
        <v>2.0408439735077949E-3</v>
      </c>
      <c r="AU63" s="299" t="s">
        <v>738</v>
      </c>
      <c r="AV63" s="329" t="e">
        <f t="shared" ref="AV63:AW65" ca="1" si="47">BA26</f>
        <v>#NAME?</v>
      </c>
      <c r="AW63" s="330" t="e">
        <f t="shared" ca="1" si="47"/>
        <v>#NAME?</v>
      </c>
    </row>
    <row r="64" spans="34:54" x14ac:dyDescent="0.35">
      <c r="AJ64" s="299"/>
      <c r="AK64" s="300">
        <f>SUM(AK58:AK63)</f>
        <v>178</v>
      </c>
      <c r="AL64" s="299">
        <f>SUM(AL58:AL63)</f>
        <v>0.99999999999999989</v>
      </c>
      <c r="AM64" s="299">
        <f>SUM(AM58:AM63)</f>
        <v>1</v>
      </c>
      <c r="AN64" s="299">
        <f>SUM(AN58:AN63)</f>
        <v>3.5811057885421597E-2</v>
      </c>
      <c r="AU64" s="299" t="s">
        <v>739</v>
      </c>
      <c r="AV64" s="329" t="e">
        <f t="shared" ca="1" si="47"/>
        <v>#NAME?</v>
      </c>
      <c r="AW64" s="330" t="e">
        <f t="shared" ca="1" si="47"/>
        <v>#NAME?</v>
      </c>
    </row>
    <row r="65" spans="36:49" x14ac:dyDescent="0.35">
      <c r="AU65" s="299" t="s">
        <v>740</v>
      </c>
      <c r="AV65" s="329" t="e">
        <f t="shared" ca="1" si="47"/>
        <v>#NAME?</v>
      </c>
      <c r="AW65" s="330" t="e">
        <f t="shared" ca="1" si="47"/>
        <v>#NAME?</v>
      </c>
    </row>
    <row r="66" spans="36:49" x14ac:dyDescent="0.35">
      <c r="AJ66" s="299" t="s">
        <v>759</v>
      </c>
      <c r="AU66" s="311" t="s">
        <v>756</v>
      </c>
      <c r="AV66" s="353" t="e">
        <f ca="1">AQ58</f>
        <v>#NAME?</v>
      </c>
      <c r="AW66" s="354" t="e">
        <f ca="1">AR58</f>
        <v>#NAME?</v>
      </c>
    </row>
    <row r="67" spans="36:49" x14ac:dyDescent="0.35">
      <c r="AK67" s="299"/>
      <c r="AL67" s="299"/>
      <c r="AM67" s="299"/>
      <c r="AN67" s="299"/>
      <c r="AO67" s="299"/>
      <c r="AP67" s="299"/>
      <c r="AQ67" s="299"/>
      <c r="AT67" s="299"/>
      <c r="AU67" s="299"/>
      <c r="AV67" s="299"/>
    </row>
    <row r="68" spans="36:49" x14ac:dyDescent="0.35">
      <c r="AJ68" s="299"/>
      <c r="AK68" s="312"/>
      <c r="AL68" s="312"/>
      <c r="AM68" s="417" t="s">
        <v>705</v>
      </c>
      <c r="AN68" s="418"/>
      <c r="AO68" s="419"/>
      <c r="AP68" s="417" t="s">
        <v>706</v>
      </c>
      <c r="AQ68" s="418"/>
      <c r="AR68" s="419"/>
    </row>
    <row r="69" spans="36:49" x14ac:dyDescent="0.35">
      <c r="AJ69" s="299"/>
      <c r="AK69" s="313" t="s">
        <v>707</v>
      </c>
      <c r="AL69" s="314" t="s">
        <v>709</v>
      </c>
      <c r="AM69" s="313" t="s">
        <v>711</v>
      </c>
      <c r="AN69" s="314" t="s">
        <v>712</v>
      </c>
      <c r="AO69" s="314" t="s">
        <v>713</v>
      </c>
      <c r="AP69" s="313" t="s">
        <v>711</v>
      </c>
      <c r="AQ69" s="314" t="s">
        <v>712</v>
      </c>
      <c r="AR69" s="316" t="s">
        <v>713</v>
      </c>
    </row>
    <row r="70" spans="36:49" x14ac:dyDescent="0.35">
      <c r="AJ70" s="299" t="s">
        <v>756</v>
      </c>
      <c r="AK70" s="358" t="e">
        <f ca="1">AN70+AQ70</f>
        <v>#NAME?</v>
      </c>
      <c r="AL70" s="359">
        <f>AN64</f>
        <v>3.5811057885421597E-2</v>
      </c>
      <c r="AM70" s="358" t="e">
        <f ca="1">AQ58</f>
        <v>#NAME?</v>
      </c>
      <c r="AN70" s="360" t="e">
        <f ca="1">AM70^2/AL70</f>
        <v>#NAME?</v>
      </c>
      <c r="AO70" s="360" t="e">
        <f ca="1">180*ACOS(SQRT(AN70))/PI()</f>
        <v>#NAME?</v>
      </c>
      <c r="AP70" s="358" t="e">
        <f ca="1">AR58</f>
        <v>#NAME?</v>
      </c>
      <c r="AQ70" s="360" t="e">
        <f ca="1">AP70^2/AL70</f>
        <v>#NAME?</v>
      </c>
      <c r="AR70" s="361" t="e">
        <f ca="1">180*ACOS(SQRT(AQ70))/PI()</f>
        <v>#NAME?</v>
      </c>
    </row>
    <row r="71" spans="36:49" x14ac:dyDescent="0.35">
      <c r="AN71" s="312"/>
    </row>
    <row r="72" spans="36:49" x14ac:dyDescent="0.35">
      <c r="AL72">
        <f>SUMPRODUCT((AK58:AK63/SUM(AK58:AK63)-AM58:AM63)^2/AM58:AM63)</f>
        <v>3.5811057885421597E-2</v>
      </c>
    </row>
  </sheetData>
  <mergeCells count="8">
    <mergeCell ref="AM68:AO68"/>
    <mergeCell ref="AP68:AR68"/>
    <mergeCell ref="AO12:AS12"/>
    <mergeCell ref="AT12:AX12"/>
    <mergeCell ref="AO23:AS23"/>
    <mergeCell ref="AT23:AX23"/>
    <mergeCell ref="AO32:AS32"/>
    <mergeCell ref="AT32:AX32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70"/>
  <dimension ref="A1:AD25"/>
  <sheetViews>
    <sheetView workbookViewId="0"/>
  </sheetViews>
  <sheetFormatPr defaultRowHeight="14.5" x14ac:dyDescent="0.35"/>
  <sheetData>
    <row r="1" spans="1:30" x14ac:dyDescent="0.35">
      <c r="A1" s="298" t="s">
        <v>683</v>
      </c>
      <c r="B1" s="298"/>
      <c r="C1" s="299"/>
      <c r="D1" s="299"/>
      <c r="E1" s="299"/>
      <c r="F1" s="299"/>
      <c r="H1" t="s">
        <v>683</v>
      </c>
    </row>
    <row r="2" spans="1:30" x14ac:dyDescent="0.35">
      <c r="A2" s="299"/>
      <c r="B2" s="299"/>
      <c r="C2" s="299"/>
      <c r="D2" s="299"/>
      <c r="E2" s="299"/>
      <c r="F2" s="299"/>
    </row>
    <row r="3" spans="1:30" x14ac:dyDescent="0.35">
      <c r="A3" s="299"/>
      <c r="B3" s="300" t="s">
        <v>686</v>
      </c>
      <c r="C3" s="300" t="s">
        <v>687</v>
      </c>
      <c r="D3" s="300" t="s">
        <v>688</v>
      </c>
      <c r="E3" s="300" t="s">
        <v>689</v>
      </c>
      <c r="F3" s="299"/>
      <c r="H3" t="s">
        <v>685</v>
      </c>
      <c r="O3" t="s">
        <v>529</v>
      </c>
      <c r="T3" t="s">
        <v>701</v>
      </c>
    </row>
    <row r="4" spans="1:30" ht="15" thickBot="1" x14ac:dyDescent="0.4">
      <c r="A4" s="299" t="s">
        <v>693</v>
      </c>
      <c r="B4" s="301">
        <v>36</v>
      </c>
      <c r="C4" s="338">
        <v>42</v>
      </c>
      <c r="D4" s="338">
        <v>7</v>
      </c>
      <c r="E4" s="339">
        <v>22</v>
      </c>
      <c r="F4" s="299">
        <f t="shared" ref="F4:F10" si="0">SUM(B4:E4)</f>
        <v>107</v>
      </c>
    </row>
    <row r="5" spans="1:30" ht="15" thickTop="1" x14ac:dyDescent="0.35">
      <c r="A5" s="299" t="s">
        <v>694</v>
      </c>
      <c r="B5" s="329">
        <v>3</v>
      </c>
      <c r="C5" s="306">
        <v>5</v>
      </c>
      <c r="D5" s="306">
        <v>43</v>
      </c>
      <c r="E5" s="330">
        <v>32</v>
      </c>
      <c r="F5" s="299">
        <f t="shared" si="0"/>
        <v>83</v>
      </c>
      <c r="I5" s="32" t="str">
        <f>B3</f>
        <v>Apple</v>
      </c>
      <c r="J5" s="32" t="str">
        <f t="shared" ref="J5:L5" si="1">C3</f>
        <v>Samsung</v>
      </c>
      <c r="K5" s="32" t="str">
        <f t="shared" si="1"/>
        <v>Nokia</v>
      </c>
      <c r="L5" s="32" t="str">
        <f t="shared" si="1"/>
        <v>Huawei</v>
      </c>
      <c r="P5" s="32" t="s">
        <v>386</v>
      </c>
      <c r="Q5" s="32" t="s">
        <v>387</v>
      </c>
      <c r="R5" s="32" t="s">
        <v>744</v>
      </c>
      <c r="T5" s="94"/>
      <c r="U5" s="94" t="s">
        <v>707</v>
      </c>
      <c r="V5" s="94" t="s">
        <v>708</v>
      </c>
      <c r="W5" s="94" t="s">
        <v>709</v>
      </c>
      <c r="X5" s="94" t="s">
        <v>710</v>
      </c>
      <c r="Y5" s="94" t="s">
        <v>715</v>
      </c>
      <c r="Z5" s="94" t="s">
        <v>716</v>
      </c>
      <c r="AA5" s="94" t="s">
        <v>761</v>
      </c>
      <c r="AB5" s="94" t="s">
        <v>762</v>
      </c>
      <c r="AC5" s="94" t="s">
        <v>763</v>
      </c>
      <c r="AD5" s="94" t="s">
        <v>764</v>
      </c>
    </row>
    <row r="6" spans="1:30" x14ac:dyDescent="0.35">
      <c r="A6" s="299" t="s">
        <v>695</v>
      </c>
      <c r="B6" s="329">
        <v>56</v>
      </c>
      <c r="C6" s="306">
        <v>29</v>
      </c>
      <c r="D6" s="306">
        <v>13</v>
      </c>
      <c r="E6" s="330">
        <v>35</v>
      </c>
      <c r="F6" s="299">
        <f t="shared" si="0"/>
        <v>133</v>
      </c>
      <c r="H6" t="str">
        <f>A4</f>
        <v>screen</v>
      </c>
      <c r="I6" s="149">
        <f>B4/$M$12</f>
        <v>5.4794520547945202E-2</v>
      </c>
      <c r="J6" s="141">
        <f t="shared" ref="J6:L11" si="2">C4/$M$12</f>
        <v>6.3926940639269403E-2</v>
      </c>
      <c r="K6" s="141">
        <f t="shared" si="2"/>
        <v>1.06544901065449E-2</v>
      </c>
      <c r="L6" s="150">
        <f t="shared" si="2"/>
        <v>3.3485540334855401E-2</v>
      </c>
      <c r="M6">
        <f>SUM(I6:L6)</f>
        <v>0.16286149162861491</v>
      </c>
      <c r="O6">
        <v>1</v>
      </c>
      <c r="P6" s="149" t="e">
        <f t="array" aca="1" ref="P6:P8" ca="1">CAEigen(B4:E9)</f>
        <v>#NAME?</v>
      </c>
      <c r="Q6" s="141" t="e">
        <f ca="1">100*P6/P$9</f>
        <v>#NAME?</v>
      </c>
      <c r="R6" s="150" t="e">
        <f ca="1">Q6</f>
        <v>#NAME?</v>
      </c>
      <c r="T6" t="str">
        <f>H6</f>
        <v>screen</v>
      </c>
      <c r="U6" t="e">
        <f ca="1">AA6+AB6</f>
        <v>#NAME?</v>
      </c>
      <c r="V6">
        <f>M6</f>
        <v>0.16286149162861491</v>
      </c>
      <c r="W6">
        <f>SUMPRODUCT((I6:L6/V6-I$12:L$12)^2/I$12:L$12)</f>
        <v>9.8877716192090612E-2</v>
      </c>
      <c r="X6">
        <f>(V6*W6)/X$16</f>
        <v>6.4383086695105896E-2</v>
      </c>
      <c r="Y6" t="e">
        <f t="array" aca="1" ref="Y6:Z11" ca="1">CARowFactors(B4:E9)</f>
        <v>#NAME?</v>
      </c>
      <c r="Z6" t="e">
        <f ca="1"/>
        <v>#NAME?</v>
      </c>
      <c r="AA6" t="e">
        <f ca="1">Y6^2/W6</f>
        <v>#NAME?</v>
      </c>
      <c r="AB6" t="e">
        <f ca="1">Z6^2/W6</f>
        <v>#NAME?</v>
      </c>
      <c r="AC6" t="e">
        <f ca="1">V6*Y6^2/P$6</f>
        <v>#NAME?</v>
      </c>
      <c r="AD6" t="e">
        <f ca="1">V6*Z6^2/P$7</f>
        <v>#NAME?</v>
      </c>
    </row>
    <row r="7" spans="1:30" x14ac:dyDescent="0.35">
      <c r="A7" s="299" t="s">
        <v>696</v>
      </c>
      <c r="B7" s="329">
        <v>27</v>
      </c>
      <c r="C7" s="311">
        <v>31</v>
      </c>
      <c r="D7" s="311">
        <v>24</v>
      </c>
      <c r="E7" s="330">
        <v>17</v>
      </c>
      <c r="F7" s="299">
        <f t="shared" si="0"/>
        <v>99</v>
      </c>
      <c r="H7" t="str">
        <f t="shared" ref="H7:H11" si="3">A5</f>
        <v>price</v>
      </c>
      <c r="I7" s="83">
        <f t="shared" ref="I7:I11" si="4">B5/$M$12</f>
        <v>4.5662100456621002E-3</v>
      </c>
      <c r="J7" s="37">
        <f t="shared" si="2"/>
        <v>7.6103500761035003E-3</v>
      </c>
      <c r="K7" s="37">
        <f t="shared" si="2"/>
        <v>6.5449010654490103E-2</v>
      </c>
      <c r="L7" s="84">
        <f t="shared" si="2"/>
        <v>4.8706240487062402E-2</v>
      </c>
      <c r="M7">
        <f t="shared" ref="M7:M11" si="5">SUM(I7:L7)</f>
        <v>0.12633181126331811</v>
      </c>
      <c r="O7">
        <f>O6+1</f>
        <v>2</v>
      </c>
      <c r="P7" s="83" t="e">
        <f ca="1"/>
        <v>#NAME?</v>
      </c>
      <c r="Q7" s="37" t="e">
        <f t="shared" ref="Q7:Q8" ca="1" si="6">100*P7/P$9</f>
        <v>#NAME?</v>
      </c>
      <c r="R7" s="84" t="e">
        <f ca="1">Q7+R6</f>
        <v>#NAME?</v>
      </c>
      <c r="T7" t="str">
        <f t="shared" ref="T7:T11" si="7">H7</f>
        <v>price</v>
      </c>
      <c r="U7" t="e">
        <f t="shared" ref="U7:U11" ca="1" si="8">AA7+AB7</f>
        <v>#NAME?</v>
      </c>
      <c r="V7">
        <f t="shared" ref="V7:V11" si="9">M7</f>
        <v>0.12633181126331811</v>
      </c>
      <c r="W7">
        <f t="shared" ref="W7:W11" si="10">SUMPRODUCT((I7:L7/V7-I$12:L$12)^2/I$12:L$12)</f>
        <v>1.3559976096364563</v>
      </c>
      <c r="X7">
        <f t="shared" ref="X7:X11" si="11">(V7*W7)/X$16</f>
        <v>0.68489911634542422</v>
      </c>
      <c r="Y7" t="e">
        <f ca="1"/>
        <v>#NAME?</v>
      </c>
      <c r="Z7" t="e">
        <f ca="1"/>
        <v>#NAME?</v>
      </c>
      <c r="AA7" t="e">
        <f t="shared" ref="AA7:AA11" ca="1" si="12">Y7^2/W7</f>
        <v>#NAME?</v>
      </c>
      <c r="AB7" t="e">
        <f t="shared" ref="AB7:AB11" ca="1" si="13">Z7^2/W7</f>
        <v>#NAME?</v>
      </c>
      <c r="AC7" t="e">
        <f t="shared" ref="AC7:AC11" ca="1" si="14">V7*Y7^2/P$6</f>
        <v>#NAME?</v>
      </c>
      <c r="AD7" t="e">
        <f t="shared" ref="AD7:AD11" ca="1" si="15">V7*Z7^2/P$7</f>
        <v>#NAME?</v>
      </c>
    </row>
    <row r="8" spans="1:30" x14ac:dyDescent="0.35">
      <c r="A8" s="299" t="s">
        <v>697</v>
      </c>
      <c r="B8" s="329">
        <v>48</v>
      </c>
      <c r="C8" s="306">
        <v>36</v>
      </c>
      <c r="D8" s="306">
        <v>8</v>
      </c>
      <c r="E8" s="330">
        <v>35</v>
      </c>
      <c r="F8" s="299">
        <f t="shared" si="0"/>
        <v>127</v>
      </c>
      <c r="H8" t="str">
        <f t="shared" si="3"/>
        <v>design</v>
      </c>
      <c r="I8" s="83">
        <f t="shared" si="4"/>
        <v>8.5235920852359204E-2</v>
      </c>
      <c r="J8" s="37">
        <f t="shared" si="2"/>
        <v>4.4140030441400302E-2</v>
      </c>
      <c r="K8" s="37">
        <f t="shared" si="2"/>
        <v>1.9786910197869101E-2</v>
      </c>
      <c r="L8" s="84">
        <f t="shared" si="2"/>
        <v>5.3272450532724502E-2</v>
      </c>
      <c r="M8">
        <f t="shared" si="5"/>
        <v>0.20243531202435311</v>
      </c>
      <c r="O8">
        <f>O7+1</f>
        <v>3</v>
      </c>
      <c r="P8" s="85" t="e">
        <f ca="1"/>
        <v>#NAME?</v>
      </c>
      <c r="Q8" s="86" t="e">
        <f t="shared" ca="1" si="6"/>
        <v>#NAME?</v>
      </c>
      <c r="R8" s="87" t="e">
        <f ca="1">Q8+R7</f>
        <v>#NAME?</v>
      </c>
      <c r="T8" t="str">
        <f t="shared" si="7"/>
        <v>design</v>
      </c>
      <c r="U8" t="e">
        <f t="shared" ca="1" si="8"/>
        <v>#NAME?</v>
      </c>
      <c r="V8">
        <f t="shared" si="9"/>
        <v>0.20243531202435311</v>
      </c>
      <c r="W8">
        <f t="shared" si="10"/>
        <v>7.4743228764877531E-2</v>
      </c>
      <c r="X8">
        <f t="shared" si="11"/>
        <v>6.0494109086312413E-2</v>
      </c>
      <c r="Y8" t="e">
        <f ca="1"/>
        <v>#NAME?</v>
      </c>
      <c r="Z8" t="e">
        <f ca="1"/>
        <v>#NAME?</v>
      </c>
      <c r="AA8" t="e">
        <f t="shared" ca="1" si="12"/>
        <v>#NAME?</v>
      </c>
      <c r="AB8" t="e">
        <f t="shared" ca="1" si="13"/>
        <v>#NAME?</v>
      </c>
      <c r="AC8" t="e">
        <f t="shared" ca="1" si="14"/>
        <v>#NAME?</v>
      </c>
      <c r="AD8" t="e">
        <f t="shared" ca="1" si="15"/>
        <v>#NAME?</v>
      </c>
    </row>
    <row r="9" spans="1:30" x14ac:dyDescent="0.35">
      <c r="A9" s="299" t="s">
        <v>698</v>
      </c>
      <c r="B9" s="333">
        <v>37</v>
      </c>
      <c r="C9" s="334">
        <v>45</v>
      </c>
      <c r="D9" s="334">
        <v>7</v>
      </c>
      <c r="E9" s="335">
        <v>19</v>
      </c>
      <c r="F9" s="299">
        <f t="shared" si="0"/>
        <v>108</v>
      </c>
      <c r="H9" t="str">
        <f t="shared" si="3"/>
        <v>battery</v>
      </c>
      <c r="I9" s="83">
        <f t="shared" si="4"/>
        <v>4.1095890410958902E-2</v>
      </c>
      <c r="J9" s="37">
        <f t="shared" si="2"/>
        <v>4.7184170471841702E-2</v>
      </c>
      <c r="K9" s="37">
        <f t="shared" si="2"/>
        <v>3.6529680365296802E-2</v>
      </c>
      <c r="L9" s="84">
        <f t="shared" si="2"/>
        <v>2.5875190258751901E-2</v>
      </c>
      <c r="M9">
        <f t="shared" si="5"/>
        <v>0.15068493150684931</v>
      </c>
      <c r="P9" t="e">
        <f ca="1">SUM(P6:P8)</f>
        <v>#NAME?</v>
      </c>
      <c r="T9" t="str">
        <f t="shared" si="7"/>
        <v>battery</v>
      </c>
      <c r="U9" t="e">
        <f t="shared" ca="1" si="8"/>
        <v>#NAME?</v>
      </c>
      <c r="V9">
        <f t="shared" si="9"/>
        <v>0.15068493150684931</v>
      </c>
      <c r="W9">
        <f t="shared" si="10"/>
        <v>7.8358820898563039E-2</v>
      </c>
      <c r="X9">
        <f t="shared" si="11"/>
        <v>4.7207682037446776E-2</v>
      </c>
      <c r="Y9" t="e">
        <f ca="1"/>
        <v>#NAME?</v>
      </c>
      <c r="Z9" t="e">
        <f ca="1"/>
        <v>#NAME?</v>
      </c>
      <c r="AA9" t="e">
        <f t="shared" ca="1" si="12"/>
        <v>#NAME?</v>
      </c>
      <c r="AB9" t="e">
        <f t="shared" ca="1" si="13"/>
        <v>#NAME?</v>
      </c>
      <c r="AC9" t="e">
        <f t="shared" ca="1" si="14"/>
        <v>#NAME?</v>
      </c>
      <c r="AD9" t="e">
        <f t="shared" ca="1" si="15"/>
        <v>#NAME?</v>
      </c>
    </row>
    <row r="10" spans="1:30" x14ac:dyDescent="0.35">
      <c r="A10" s="299"/>
      <c r="B10" s="299">
        <f>SUM(B4:B9)</f>
        <v>207</v>
      </c>
      <c r="C10" s="299">
        <f>SUM(C4:C9)</f>
        <v>188</v>
      </c>
      <c r="D10" s="299">
        <f>SUM(D4:D9)</f>
        <v>102</v>
      </c>
      <c r="E10" s="299">
        <f>SUM(E4:E9)</f>
        <v>160</v>
      </c>
      <c r="F10" s="299">
        <f t="shared" si="0"/>
        <v>657</v>
      </c>
      <c r="H10" t="str">
        <f t="shared" si="3"/>
        <v>software</v>
      </c>
      <c r="I10" s="83">
        <f t="shared" si="4"/>
        <v>7.3059360730593603E-2</v>
      </c>
      <c r="J10" s="37">
        <f t="shared" si="2"/>
        <v>5.4794520547945202E-2</v>
      </c>
      <c r="K10" s="37">
        <f t="shared" si="2"/>
        <v>1.2176560121765601E-2</v>
      </c>
      <c r="L10" s="84">
        <f t="shared" si="2"/>
        <v>5.3272450532724502E-2</v>
      </c>
      <c r="M10">
        <f t="shared" si="5"/>
        <v>0.19330289193302891</v>
      </c>
      <c r="T10" t="str">
        <f t="shared" si="7"/>
        <v>software</v>
      </c>
      <c r="U10" t="e">
        <f t="shared" ca="1" si="8"/>
        <v>#NAME?</v>
      </c>
      <c r="V10">
        <f t="shared" si="9"/>
        <v>0.19330289193302891</v>
      </c>
      <c r="W10">
        <f t="shared" si="10"/>
        <v>7.1622145159047898E-2</v>
      </c>
      <c r="X10">
        <f t="shared" si="11"/>
        <v>5.5352932625780234E-2</v>
      </c>
      <c r="Y10" t="e">
        <f ca="1"/>
        <v>#NAME?</v>
      </c>
      <c r="Z10" t="e">
        <f ca="1"/>
        <v>#NAME?</v>
      </c>
      <c r="AA10" t="e">
        <f t="shared" ca="1" si="12"/>
        <v>#NAME?</v>
      </c>
      <c r="AB10" t="e">
        <f t="shared" ca="1" si="13"/>
        <v>#NAME?</v>
      </c>
      <c r="AC10" t="e">
        <f t="shared" ca="1" si="14"/>
        <v>#NAME?</v>
      </c>
      <c r="AD10" t="e">
        <f t="shared" ca="1" si="15"/>
        <v>#NAME?</v>
      </c>
    </row>
    <row r="11" spans="1:30" x14ac:dyDescent="0.35">
      <c r="H11" t="str">
        <f t="shared" si="3"/>
        <v>camera</v>
      </c>
      <c r="I11" s="85">
        <f t="shared" si="4"/>
        <v>5.6316590563165903E-2</v>
      </c>
      <c r="J11" s="86">
        <f t="shared" si="2"/>
        <v>6.8493150684931503E-2</v>
      </c>
      <c r="K11" s="86">
        <f t="shared" si="2"/>
        <v>1.06544901065449E-2</v>
      </c>
      <c r="L11" s="87">
        <f t="shared" si="2"/>
        <v>2.8919330289193301E-2</v>
      </c>
      <c r="M11">
        <f t="shared" si="5"/>
        <v>0.16438356164383561</v>
      </c>
      <c r="T11" s="40" t="str">
        <f t="shared" si="7"/>
        <v>camera</v>
      </c>
      <c r="U11" s="40" t="e">
        <f t="shared" ca="1" si="8"/>
        <v>#NAME?</v>
      </c>
      <c r="V11" s="40">
        <f t="shared" si="9"/>
        <v>0.16438356164383561</v>
      </c>
      <c r="W11" s="40">
        <f t="shared" si="10"/>
        <v>0.13338388005699747</v>
      </c>
      <c r="X11" s="40">
        <f t="shared" si="11"/>
        <v>8.7663073209930387E-2</v>
      </c>
      <c r="Y11" s="40" t="e">
        <f ca="1"/>
        <v>#NAME?</v>
      </c>
      <c r="Z11" s="40" t="e">
        <f ca="1"/>
        <v>#NAME?</v>
      </c>
      <c r="AA11" s="40" t="e">
        <f t="shared" ca="1" si="12"/>
        <v>#NAME?</v>
      </c>
      <c r="AB11" s="40" t="e">
        <f t="shared" ca="1" si="13"/>
        <v>#NAME?</v>
      </c>
      <c r="AC11" s="40" t="e">
        <f t="shared" ca="1" si="14"/>
        <v>#NAME?</v>
      </c>
      <c r="AD11" s="40" t="e">
        <f t="shared" ca="1" si="15"/>
        <v>#NAME?</v>
      </c>
    </row>
    <row r="12" spans="1:30" x14ac:dyDescent="0.35">
      <c r="A12" s="299"/>
      <c r="B12" s="300" t="s">
        <v>686</v>
      </c>
      <c r="C12" s="300" t="s">
        <v>687</v>
      </c>
      <c r="D12" s="300" t="s">
        <v>688</v>
      </c>
      <c r="E12" s="300" t="s">
        <v>689</v>
      </c>
      <c r="I12">
        <f>SUM(I6:I11)</f>
        <v>0.31506849315068491</v>
      </c>
      <c r="J12">
        <f t="shared" ref="J12:L12" si="16">SUM(J6:J11)</f>
        <v>0.28614916286149161</v>
      </c>
      <c r="K12">
        <f t="shared" si="16"/>
        <v>0.15525114155251141</v>
      </c>
      <c r="L12">
        <f t="shared" si="16"/>
        <v>0.24353120243531201</v>
      </c>
      <c r="M12">
        <f>SUM(B4:E9)</f>
        <v>657</v>
      </c>
      <c r="T12" t="str">
        <f>A13</f>
        <v>app</v>
      </c>
      <c r="U12" t="e">
        <f ca="1">AA12+AB12</f>
        <v>#NAME?</v>
      </c>
      <c r="W12" t="e">
        <f ca="1">SUMPRODUCT((B13:E13/SUM(B13:E13)-I$12:L$12)^2/I$12:L$12)</f>
        <v>#NAME?</v>
      </c>
      <c r="Y12" t="e">
        <f t="array" aca="1" ref="Y12:Z15" ca="1">CARowFactors(B4:E9,B13:E16)</f>
        <v>#NAME?</v>
      </c>
      <c r="Z12" t="e">
        <f ca="1"/>
        <v>#NAME?</v>
      </c>
      <c r="AA12" t="e">
        <f ca="1">Y12^2/W12</f>
        <v>#NAME?</v>
      </c>
      <c r="AB12" t="e">
        <f ca="1">Z12^2/W12</f>
        <v>#NAME?</v>
      </c>
    </row>
    <row r="13" spans="1:30" x14ac:dyDescent="0.35">
      <c r="A13" s="299" t="s">
        <v>748</v>
      </c>
      <c r="B13" s="301" t="e">
        <f t="array" aca="1" ref="B13:E16" ca="1">Identity()</f>
        <v>#NAME?</v>
      </c>
      <c r="C13" s="338" t="e">
        <f ca="1"/>
        <v>#NAME?</v>
      </c>
      <c r="D13" s="338" t="e">
        <f ca="1"/>
        <v>#NAME?</v>
      </c>
      <c r="E13" s="339" t="e">
        <f ca="1"/>
        <v>#NAME?</v>
      </c>
      <c r="T13" t="str">
        <f t="shared" ref="T13:T15" si="17">A14</f>
        <v>sam</v>
      </c>
      <c r="U13" t="e">
        <f t="shared" ref="U13:U15" ca="1" si="18">AA13+AB13</f>
        <v>#NAME?</v>
      </c>
      <c r="W13" t="e">
        <f t="shared" ref="W13:W15" ca="1" si="19">SUMPRODUCT((B14:E14/SUM(B14:E14)-I$12:L$12)^2/I$12:L$12)</f>
        <v>#NAME?</v>
      </c>
      <c r="Y13" t="e">
        <f ca="1"/>
        <v>#NAME?</v>
      </c>
      <c r="Z13" t="e">
        <f ca="1"/>
        <v>#NAME?</v>
      </c>
      <c r="AA13" t="e">
        <f t="shared" ref="AA13:AA15" ca="1" si="20">Y13^2/W13</f>
        <v>#NAME?</v>
      </c>
      <c r="AB13" t="e">
        <f t="shared" ref="AB13:AB15" ca="1" si="21">Z13^2/W13</f>
        <v>#NAME?</v>
      </c>
    </row>
    <row r="14" spans="1:30" x14ac:dyDescent="0.35">
      <c r="A14" s="299" t="s">
        <v>749</v>
      </c>
      <c r="B14" s="329" t="e">
        <f ca="1"/>
        <v>#NAME?</v>
      </c>
      <c r="C14" s="306" t="e">
        <f ca="1"/>
        <v>#NAME?</v>
      </c>
      <c r="D14" s="306" t="e">
        <f ca="1"/>
        <v>#NAME?</v>
      </c>
      <c r="E14" s="330" t="e">
        <f ca="1"/>
        <v>#NAME?</v>
      </c>
      <c r="T14" t="str">
        <f t="shared" si="17"/>
        <v>nok</v>
      </c>
      <c r="U14" t="e">
        <f t="shared" ca="1" si="18"/>
        <v>#NAME?</v>
      </c>
      <c r="W14" t="e">
        <f t="shared" ca="1" si="19"/>
        <v>#NAME?</v>
      </c>
      <c r="Y14" t="e">
        <f ca="1"/>
        <v>#NAME?</v>
      </c>
      <c r="Z14" t="e">
        <f ca="1"/>
        <v>#NAME?</v>
      </c>
      <c r="AA14" t="e">
        <f t="shared" ca="1" si="20"/>
        <v>#NAME?</v>
      </c>
      <c r="AB14" t="e">
        <f t="shared" ca="1" si="21"/>
        <v>#NAME?</v>
      </c>
    </row>
    <row r="15" spans="1:30" x14ac:dyDescent="0.35">
      <c r="A15" s="299" t="s">
        <v>750</v>
      </c>
      <c r="B15" s="329" t="e">
        <f ca="1"/>
        <v>#NAME?</v>
      </c>
      <c r="C15" s="306" t="e">
        <f ca="1"/>
        <v>#NAME?</v>
      </c>
      <c r="D15" s="306" t="e">
        <f ca="1"/>
        <v>#NAME?</v>
      </c>
      <c r="E15" s="330" t="e">
        <f ca="1"/>
        <v>#NAME?</v>
      </c>
      <c r="T15" s="40" t="str">
        <f t="shared" si="17"/>
        <v>hua</v>
      </c>
      <c r="U15" s="40" t="e">
        <f t="shared" ca="1" si="18"/>
        <v>#NAME?</v>
      </c>
      <c r="V15" s="40"/>
      <c r="W15" s="40" t="e">
        <f t="shared" ca="1" si="19"/>
        <v>#NAME?</v>
      </c>
      <c r="X15" s="40"/>
      <c r="Y15" s="40" t="e">
        <f ca="1"/>
        <v>#NAME?</v>
      </c>
      <c r="Z15" s="40" t="e">
        <f ca="1"/>
        <v>#NAME?</v>
      </c>
      <c r="AA15" s="40" t="e">
        <f t="shared" ca="1" si="20"/>
        <v>#NAME?</v>
      </c>
      <c r="AB15" s="40" t="e">
        <f t="shared" ca="1" si="21"/>
        <v>#NAME?</v>
      </c>
      <c r="AC15" s="40"/>
      <c r="AD15" s="40"/>
    </row>
    <row r="16" spans="1:30" x14ac:dyDescent="0.35">
      <c r="A16" s="299" t="s">
        <v>751</v>
      </c>
      <c r="B16" s="333" t="e">
        <f ca="1"/>
        <v>#NAME?</v>
      </c>
      <c r="C16" s="334" t="e">
        <f ca="1"/>
        <v>#NAME?</v>
      </c>
      <c r="D16" s="334" t="e">
        <f ca="1"/>
        <v>#NAME?</v>
      </c>
      <c r="E16" s="335" t="e">
        <f ca="1"/>
        <v>#NAME?</v>
      </c>
      <c r="X16">
        <f>SUMPRODUCT(V6:V11,W6:W11)</f>
        <v>0.25011805389409564</v>
      </c>
    </row>
    <row r="18" spans="20:30" x14ac:dyDescent="0.35">
      <c r="T18" t="s">
        <v>734</v>
      </c>
    </row>
    <row r="19" spans="20:30" ht="15" thickBot="1" x14ac:dyDescent="0.4"/>
    <row r="20" spans="20:30" ht="15" thickTop="1" x14ac:dyDescent="0.35">
      <c r="T20" s="94"/>
      <c r="U20" s="94" t="s">
        <v>707</v>
      </c>
      <c r="V20" s="94" t="s">
        <v>708</v>
      </c>
      <c r="W20" s="94" t="s">
        <v>709</v>
      </c>
      <c r="X20" s="94" t="s">
        <v>710</v>
      </c>
      <c r="Y20" s="94" t="s">
        <v>715</v>
      </c>
      <c r="Z20" s="94" t="s">
        <v>716</v>
      </c>
      <c r="AA20" s="94" t="s">
        <v>761</v>
      </c>
      <c r="AB20" s="94" t="s">
        <v>762</v>
      </c>
      <c r="AC20" s="94" t="s">
        <v>763</v>
      </c>
      <c r="AD20" s="94" t="s">
        <v>764</v>
      </c>
    </row>
    <row r="21" spans="20:30" x14ac:dyDescent="0.35">
      <c r="T21" t="str">
        <f t="array" ref="T21:T24">TRANSPOSE(I5:L5)</f>
        <v>Apple</v>
      </c>
      <c r="U21" t="e">
        <f ca="1">AA21+AB21</f>
        <v>#NAME?</v>
      </c>
      <c r="V21">
        <f t="array" ref="V21:V24">TRANSPOSE(I12:L12)</f>
        <v>0.31506849315068491</v>
      </c>
      <c r="W21">
        <f>SUMPRODUCT((I6:I11/I12-M6:M11)^2/M6:M11)</f>
        <v>0.13434157535478899</v>
      </c>
      <c r="X21">
        <f>(V21*W21)/X$25</f>
        <v>0.16922727910094992</v>
      </c>
      <c r="Y21" t="e">
        <f t="array" aca="1" ref="Y21:Z24" ca="1">CAColFactors(B4:E9)</f>
        <v>#NAME?</v>
      </c>
      <c r="Z21" t="e">
        <f ca="1"/>
        <v>#NAME?</v>
      </c>
      <c r="AA21" t="e">
        <f ca="1">Y21^2/W21</f>
        <v>#NAME?</v>
      </c>
      <c r="AB21" t="e">
        <f ca="1">Z21^2/W21</f>
        <v>#NAME?</v>
      </c>
      <c r="AC21" t="e">
        <f ca="1">V21*Y21^2/P$6</f>
        <v>#NAME?</v>
      </c>
      <c r="AD21" t="e">
        <f ca="1">V21*Z21^2/P$7</f>
        <v>#NAME?</v>
      </c>
    </row>
    <row r="22" spans="20:30" x14ac:dyDescent="0.35">
      <c r="T22" t="str">
        <v>Samsung</v>
      </c>
      <c r="U22" t="e">
        <f t="shared" ref="U22:U24" ca="1" si="22">AA22+AB22</f>
        <v>#NAME?</v>
      </c>
      <c r="V22">
        <v>0.28614916286149161</v>
      </c>
      <c r="W22">
        <f>SUMPRODUCT((J6:J11/J12-M6:M11)^2/M6:M11)</f>
        <v>0.14826828347892551</v>
      </c>
      <c r="X22">
        <f t="shared" ref="X22:X24" si="23">(V22*W22)/X$25</f>
        <v>0.1696272801417571</v>
      </c>
      <c r="Y22" t="e">
        <f ca="1"/>
        <v>#NAME?</v>
      </c>
      <c r="Z22" t="e">
        <f ca="1"/>
        <v>#NAME?</v>
      </c>
      <c r="AA22" t="e">
        <f t="shared" ref="AA22:AA24" ca="1" si="24">Y22^2/W22</f>
        <v>#NAME?</v>
      </c>
      <c r="AB22" t="e">
        <f t="shared" ref="AB22:AB24" ca="1" si="25">Z22^2/W22</f>
        <v>#NAME?</v>
      </c>
      <c r="AC22" t="e">
        <f t="shared" ref="AC22:AC24" ca="1" si="26">V22*Y22^2/P$6</f>
        <v>#NAME?</v>
      </c>
      <c r="AD22" t="e">
        <f t="shared" ref="AD22:AD24" ca="1" si="27">V22*Z22^2/P$7</f>
        <v>#NAME?</v>
      </c>
    </row>
    <row r="23" spans="20:30" x14ac:dyDescent="0.35">
      <c r="T23" t="str">
        <v>Nokia</v>
      </c>
      <c r="U23" t="e">
        <f t="shared" ca="1" si="22"/>
        <v>#NAME?</v>
      </c>
      <c r="V23">
        <v>0.15525114155251141</v>
      </c>
      <c r="W23">
        <f>SUMPRODUCT((K6:K11/K12-M6:M11)^2/M6:M11)</f>
        <v>0.94381770361020201</v>
      </c>
      <c r="X23">
        <f t="shared" si="23"/>
        <v>0.58583846156501995</v>
      </c>
      <c r="Y23" t="e">
        <f ca="1"/>
        <v>#NAME?</v>
      </c>
      <c r="Z23" t="e">
        <f ca="1"/>
        <v>#NAME?</v>
      </c>
      <c r="AA23" t="e">
        <f t="shared" ca="1" si="24"/>
        <v>#NAME?</v>
      </c>
      <c r="AB23" t="e">
        <f t="shared" ca="1" si="25"/>
        <v>#NAME?</v>
      </c>
      <c r="AC23" t="e">
        <f t="shared" ca="1" si="26"/>
        <v>#NAME?</v>
      </c>
      <c r="AD23" t="e">
        <f t="shared" ca="1" si="27"/>
        <v>#NAME?</v>
      </c>
    </row>
    <row r="24" spans="20:30" x14ac:dyDescent="0.35">
      <c r="T24" s="40" t="str">
        <v>Huawei</v>
      </c>
      <c r="U24" s="40" t="e">
        <f t="shared" ca="1" si="22"/>
        <v>#NAME?</v>
      </c>
      <c r="V24" s="40">
        <v>0.24353120243531201</v>
      </c>
      <c r="W24" s="40">
        <f>SUMPRODUCT((L6:L11/L12-M6:M11)^2/M6:M11)</f>
        <v>7.7343826548130656E-2</v>
      </c>
      <c r="X24" s="40">
        <f t="shared" si="23"/>
        <v>7.5306979192272958E-2</v>
      </c>
      <c r="Y24" s="40" t="e">
        <f ca="1"/>
        <v>#NAME?</v>
      </c>
      <c r="Z24" s="40" t="e">
        <f ca="1"/>
        <v>#NAME?</v>
      </c>
      <c r="AA24" s="40" t="e">
        <f t="shared" ca="1" si="24"/>
        <v>#NAME?</v>
      </c>
      <c r="AB24" s="40" t="e">
        <f t="shared" ca="1" si="25"/>
        <v>#NAME?</v>
      </c>
      <c r="AC24" s="40" t="e">
        <f t="shared" ca="1" si="26"/>
        <v>#NAME?</v>
      </c>
      <c r="AD24" s="40" t="e">
        <f t="shared" ca="1" si="27"/>
        <v>#NAME?</v>
      </c>
    </row>
    <row r="25" spans="20:30" x14ac:dyDescent="0.35">
      <c r="X25">
        <f>SUMPRODUCT(V21:V26,W21:W26)</f>
        <v>0.25011805389409564</v>
      </c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71"/>
  <dimension ref="A1:AG26"/>
  <sheetViews>
    <sheetView workbookViewId="0"/>
  </sheetViews>
  <sheetFormatPr defaultRowHeight="14.5" x14ac:dyDescent="0.35"/>
  <sheetData>
    <row r="1" spans="1:33" x14ac:dyDescent="0.35">
      <c r="A1" s="298" t="s">
        <v>683</v>
      </c>
      <c r="B1" s="298"/>
      <c r="C1" s="299"/>
      <c r="D1" s="299"/>
      <c r="E1" s="299"/>
      <c r="F1" s="299"/>
      <c r="K1" t="s">
        <v>683</v>
      </c>
    </row>
    <row r="2" spans="1:33" x14ac:dyDescent="0.35">
      <c r="A2" s="299"/>
      <c r="B2" s="299"/>
      <c r="C2" s="299"/>
      <c r="D2" s="299"/>
      <c r="E2" s="299"/>
      <c r="F2" s="299"/>
    </row>
    <row r="3" spans="1:33" x14ac:dyDescent="0.35">
      <c r="A3" s="299"/>
      <c r="B3" s="300" t="s">
        <v>686</v>
      </c>
      <c r="C3" s="300" t="s">
        <v>687</v>
      </c>
      <c r="D3" s="300" t="s">
        <v>688</v>
      </c>
      <c r="E3" s="300" t="s">
        <v>689</v>
      </c>
      <c r="F3" s="299"/>
      <c r="H3" s="299"/>
      <c r="I3" s="300" t="s">
        <v>756</v>
      </c>
      <c r="K3" t="s">
        <v>685</v>
      </c>
      <c r="R3" t="s">
        <v>529</v>
      </c>
      <c r="W3" t="s">
        <v>701</v>
      </c>
    </row>
    <row r="4" spans="1:33" ht="15" thickBot="1" x14ac:dyDescent="0.4">
      <c r="A4" s="299" t="s">
        <v>693</v>
      </c>
      <c r="B4" s="301">
        <v>36</v>
      </c>
      <c r="C4" s="338">
        <v>42</v>
      </c>
      <c r="D4" s="338">
        <v>7</v>
      </c>
      <c r="E4" s="339">
        <v>22</v>
      </c>
      <c r="F4" s="299">
        <f t="shared" ref="F4:F10" si="0">SUM(B4:E4)</f>
        <v>107</v>
      </c>
      <c r="H4" s="299" t="s">
        <v>693</v>
      </c>
      <c r="I4" s="362">
        <v>30</v>
      </c>
    </row>
    <row r="5" spans="1:33" ht="15" thickTop="1" x14ac:dyDescent="0.35">
      <c r="A5" s="299" t="s">
        <v>694</v>
      </c>
      <c r="B5" s="329">
        <v>3</v>
      </c>
      <c r="C5" s="306">
        <v>5</v>
      </c>
      <c r="D5" s="306">
        <v>43</v>
      </c>
      <c r="E5" s="330">
        <v>32</v>
      </c>
      <c r="F5" s="299">
        <f t="shared" si="0"/>
        <v>83</v>
      </c>
      <c r="H5" s="299" t="s">
        <v>694</v>
      </c>
      <c r="I5" s="363">
        <v>32</v>
      </c>
      <c r="L5" s="32" t="str">
        <f>B3</f>
        <v>Apple</v>
      </c>
      <c r="M5" s="32" t="str">
        <f t="shared" ref="M5:O5" si="1">C3</f>
        <v>Samsung</v>
      </c>
      <c r="N5" s="32" t="str">
        <f t="shared" si="1"/>
        <v>Nokia</v>
      </c>
      <c r="O5" s="32" t="str">
        <f t="shared" si="1"/>
        <v>Huawei</v>
      </c>
      <c r="S5" s="32" t="s">
        <v>386</v>
      </c>
      <c r="T5" s="32" t="s">
        <v>387</v>
      </c>
      <c r="U5" s="32" t="s">
        <v>744</v>
      </c>
      <c r="W5" s="94"/>
      <c r="X5" s="94" t="s">
        <v>707</v>
      </c>
      <c r="Y5" s="94" t="s">
        <v>708</v>
      </c>
      <c r="Z5" s="94" t="s">
        <v>709</v>
      </c>
      <c r="AA5" s="94" t="s">
        <v>710</v>
      </c>
      <c r="AB5" s="94" t="s">
        <v>715</v>
      </c>
      <c r="AC5" s="94" t="s">
        <v>716</v>
      </c>
      <c r="AD5" s="94" t="s">
        <v>761</v>
      </c>
      <c r="AE5" s="94" t="s">
        <v>762</v>
      </c>
      <c r="AF5" s="94" t="s">
        <v>763</v>
      </c>
      <c r="AG5" s="94" t="s">
        <v>764</v>
      </c>
    </row>
    <row r="6" spans="1:33" x14ac:dyDescent="0.35">
      <c r="A6" s="299" t="s">
        <v>695</v>
      </c>
      <c r="B6" s="329">
        <v>56</v>
      </c>
      <c r="C6" s="306">
        <v>29</v>
      </c>
      <c r="D6" s="306">
        <v>13</v>
      </c>
      <c r="E6" s="330">
        <v>35</v>
      </c>
      <c r="F6" s="299">
        <f t="shared" si="0"/>
        <v>133</v>
      </c>
      <c r="H6" s="299" t="s">
        <v>695</v>
      </c>
      <c r="I6" s="363">
        <v>30</v>
      </c>
      <c r="K6" t="str">
        <f>A4</f>
        <v>screen</v>
      </c>
      <c r="L6" s="149">
        <f>B4/$P$12</f>
        <v>5.4794520547945202E-2</v>
      </c>
      <c r="M6" s="141">
        <f t="shared" ref="M6:O11" si="2">C4/$P$12</f>
        <v>6.3926940639269403E-2</v>
      </c>
      <c r="N6" s="141">
        <f t="shared" si="2"/>
        <v>1.06544901065449E-2</v>
      </c>
      <c r="O6" s="150">
        <f t="shared" si="2"/>
        <v>3.3485540334855401E-2</v>
      </c>
      <c r="P6">
        <f>SUM(L6:O6)</f>
        <v>0.16286149162861491</v>
      </c>
      <c r="R6">
        <v>1</v>
      </c>
      <c r="S6" s="149" t="e">
        <f t="array" aca="1" ref="S6:S8" ca="1">CAEigen(B4:E9)</f>
        <v>#NAME?</v>
      </c>
      <c r="T6" s="141" t="e">
        <f ca="1">100*S6/S$9</f>
        <v>#NAME?</v>
      </c>
      <c r="U6" s="150" t="e">
        <f ca="1">T6</f>
        <v>#NAME?</v>
      </c>
      <c r="W6" t="str">
        <f>K6</f>
        <v>screen</v>
      </c>
      <c r="X6" t="e">
        <f ca="1">AD6+AE6</f>
        <v>#NAME?</v>
      </c>
      <c r="Y6">
        <f>P6</f>
        <v>0.16286149162861491</v>
      </c>
      <c r="Z6">
        <f>SUMPRODUCT((L6:O6/Y6-L$12:O$12)^2/L$12:O$12)</f>
        <v>9.8877716192090612E-2</v>
      </c>
      <c r="AA6">
        <f>(Y6*Z6)/AA$16</f>
        <v>6.4383086695105896E-2</v>
      </c>
      <c r="AB6" t="e">
        <f t="array" aca="1" ref="AB6:AC11" ca="1">CARowFactors(B4:E9)</f>
        <v>#NAME?</v>
      </c>
      <c r="AC6" t="e">
        <f ca="1"/>
        <v>#NAME?</v>
      </c>
      <c r="AD6" t="e">
        <f ca="1">AB6^2/Z6</f>
        <v>#NAME?</v>
      </c>
      <c r="AE6" t="e">
        <f ca="1">AC6^2/Z6</f>
        <v>#NAME?</v>
      </c>
      <c r="AF6" t="e">
        <f ca="1">Y6*AB6^2/S$6</f>
        <v>#NAME?</v>
      </c>
      <c r="AG6" t="e">
        <f ca="1">Y6*AC6^2/S$7</f>
        <v>#NAME?</v>
      </c>
    </row>
    <row r="7" spans="1:33" x14ac:dyDescent="0.35">
      <c r="A7" s="299" t="s">
        <v>696</v>
      </c>
      <c r="B7" s="329">
        <v>27</v>
      </c>
      <c r="C7" s="311">
        <v>31</v>
      </c>
      <c r="D7" s="311">
        <v>24</v>
      </c>
      <c r="E7" s="330">
        <v>17</v>
      </c>
      <c r="F7" s="299">
        <f t="shared" si="0"/>
        <v>99</v>
      </c>
      <c r="H7" s="299" t="s">
        <v>696</v>
      </c>
      <c r="I7" s="363">
        <v>30</v>
      </c>
      <c r="K7" t="str">
        <f t="shared" ref="K7:K11" si="3">A5</f>
        <v>price</v>
      </c>
      <c r="L7" s="83">
        <f t="shared" ref="L7:L11" si="4">B5/$P$12</f>
        <v>4.5662100456621002E-3</v>
      </c>
      <c r="M7" s="37">
        <f t="shared" si="2"/>
        <v>7.6103500761035003E-3</v>
      </c>
      <c r="N7" s="37">
        <f t="shared" si="2"/>
        <v>6.5449010654490103E-2</v>
      </c>
      <c r="O7" s="84">
        <f t="shared" si="2"/>
        <v>4.8706240487062402E-2</v>
      </c>
      <c r="P7">
        <f t="shared" ref="P7:P11" si="5">SUM(L7:O7)</f>
        <v>0.12633181126331811</v>
      </c>
      <c r="R7">
        <f>R6+1</f>
        <v>2</v>
      </c>
      <c r="S7" s="83" t="e">
        <f ca="1"/>
        <v>#NAME?</v>
      </c>
      <c r="T7" s="37" t="e">
        <f t="shared" ref="T7:T8" ca="1" si="6">100*S7/S$9</f>
        <v>#NAME?</v>
      </c>
      <c r="U7" s="84" t="e">
        <f ca="1">T7+U6</f>
        <v>#NAME?</v>
      </c>
      <c r="W7" t="str">
        <f t="shared" ref="W7:W11" si="7">K7</f>
        <v>price</v>
      </c>
      <c r="X7" t="e">
        <f t="shared" ref="X7:X11" ca="1" si="8">AD7+AE7</f>
        <v>#NAME?</v>
      </c>
      <c r="Y7">
        <f t="shared" ref="Y7:Y11" si="9">P7</f>
        <v>0.12633181126331811</v>
      </c>
      <c r="Z7">
        <f t="shared" ref="Z7:Z11" si="10">SUMPRODUCT((L7:O7/Y7-L$12:O$12)^2/L$12:O$12)</f>
        <v>1.3559976096364563</v>
      </c>
      <c r="AA7">
        <f t="shared" ref="AA7:AA11" si="11">(Y7*Z7)/AA$16</f>
        <v>0.68489911634542422</v>
      </c>
      <c r="AB7" t="e">
        <f ca="1"/>
        <v>#NAME?</v>
      </c>
      <c r="AC7" t="e">
        <f ca="1"/>
        <v>#NAME?</v>
      </c>
      <c r="AD7" t="e">
        <f t="shared" ref="AD7:AD11" ca="1" si="12">AB7^2/Z7</f>
        <v>#NAME?</v>
      </c>
      <c r="AE7" t="e">
        <f t="shared" ref="AE7:AE11" ca="1" si="13">AC7^2/Z7</f>
        <v>#NAME?</v>
      </c>
      <c r="AF7" t="e">
        <f t="shared" ref="AF7:AF11" ca="1" si="14">Y7*AB7^2/S$6</f>
        <v>#NAME?</v>
      </c>
      <c r="AG7" t="e">
        <f t="shared" ref="AG7:AG11" ca="1" si="15">Y7*AC7^2/S$7</f>
        <v>#NAME?</v>
      </c>
    </row>
    <row r="8" spans="1:33" x14ac:dyDescent="0.35">
      <c r="A8" s="299" t="s">
        <v>697</v>
      </c>
      <c r="B8" s="329">
        <v>48</v>
      </c>
      <c r="C8" s="306">
        <v>36</v>
      </c>
      <c r="D8" s="306">
        <v>8</v>
      </c>
      <c r="E8" s="330">
        <v>35</v>
      </c>
      <c r="F8" s="299">
        <f t="shared" si="0"/>
        <v>127</v>
      </c>
      <c r="H8" s="299" t="s">
        <v>697</v>
      </c>
      <c r="I8" s="363">
        <v>30</v>
      </c>
      <c r="K8" t="str">
        <f t="shared" si="3"/>
        <v>design</v>
      </c>
      <c r="L8" s="83">
        <f t="shared" si="4"/>
        <v>8.5235920852359204E-2</v>
      </c>
      <c r="M8" s="37">
        <f t="shared" si="2"/>
        <v>4.4140030441400302E-2</v>
      </c>
      <c r="N8" s="37">
        <f t="shared" si="2"/>
        <v>1.9786910197869101E-2</v>
      </c>
      <c r="O8" s="84">
        <f t="shared" si="2"/>
        <v>5.3272450532724502E-2</v>
      </c>
      <c r="P8">
        <f t="shared" si="5"/>
        <v>0.20243531202435311</v>
      </c>
      <c r="R8">
        <f>R7+1</f>
        <v>3</v>
      </c>
      <c r="S8" s="85" t="e">
        <f ca="1"/>
        <v>#NAME?</v>
      </c>
      <c r="T8" s="86" t="e">
        <f t="shared" ca="1" si="6"/>
        <v>#NAME?</v>
      </c>
      <c r="U8" s="87" t="e">
        <f ca="1">T8+U7</f>
        <v>#NAME?</v>
      </c>
      <c r="W8" t="str">
        <f t="shared" si="7"/>
        <v>design</v>
      </c>
      <c r="X8" t="e">
        <f t="shared" ca="1" si="8"/>
        <v>#NAME?</v>
      </c>
      <c r="Y8">
        <f t="shared" si="9"/>
        <v>0.20243531202435311</v>
      </c>
      <c r="Z8">
        <f t="shared" si="10"/>
        <v>7.4743228764877531E-2</v>
      </c>
      <c r="AA8">
        <f t="shared" si="11"/>
        <v>6.0494109086312413E-2</v>
      </c>
      <c r="AB8" t="e">
        <f ca="1"/>
        <v>#NAME?</v>
      </c>
      <c r="AC8" t="e">
        <f ca="1"/>
        <v>#NAME?</v>
      </c>
      <c r="AD8" t="e">
        <f t="shared" ca="1" si="12"/>
        <v>#NAME?</v>
      </c>
      <c r="AE8" t="e">
        <f t="shared" ca="1" si="13"/>
        <v>#NAME?</v>
      </c>
      <c r="AF8" t="e">
        <f t="shared" ca="1" si="14"/>
        <v>#NAME?</v>
      </c>
      <c r="AG8" t="e">
        <f t="shared" ca="1" si="15"/>
        <v>#NAME?</v>
      </c>
    </row>
    <row r="9" spans="1:33" x14ac:dyDescent="0.35">
      <c r="A9" s="299" t="s">
        <v>698</v>
      </c>
      <c r="B9" s="333">
        <v>37</v>
      </c>
      <c r="C9" s="334">
        <v>45</v>
      </c>
      <c r="D9" s="334">
        <v>7</v>
      </c>
      <c r="E9" s="335">
        <v>19</v>
      </c>
      <c r="F9" s="299">
        <f t="shared" si="0"/>
        <v>108</v>
      </c>
      <c r="H9" s="299" t="s">
        <v>698</v>
      </c>
      <c r="I9" s="364">
        <v>26</v>
      </c>
      <c r="K9" t="str">
        <f t="shared" si="3"/>
        <v>battery</v>
      </c>
      <c r="L9" s="83">
        <f t="shared" si="4"/>
        <v>4.1095890410958902E-2</v>
      </c>
      <c r="M9" s="37">
        <f t="shared" si="2"/>
        <v>4.7184170471841702E-2</v>
      </c>
      <c r="N9" s="37">
        <f t="shared" si="2"/>
        <v>3.6529680365296802E-2</v>
      </c>
      <c r="O9" s="84">
        <f t="shared" si="2"/>
        <v>2.5875190258751901E-2</v>
      </c>
      <c r="P9">
        <f t="shared" si="5"/>
        <v>0.15068493150684931</v>
      </c>
      <c r="S9" t="e">
        <f ca="1">SUM(S6:S8)</f>
        <v>#NAME?</v>
      </c>
      <c r="W9" t="str">
        <f t="shared" si="7"/>
        <v>battery</v>
      </c>
      <c r="X9" t="e">
        <f t="shared" ca="1" si="8"/>
        <v>#NAME?</v>
      </c>
      <c r="Y9">
        <f t="shared" si="9"/>
        <v>0.15068493150684931</v>
      </c>
      <c r="Z9">
        <f t="shared" si="10"/>
        <v>7.8358820898563039E-2</v>
      </c>
      <c r="AA9">
        <f t="shared" si="11"/>
        <v>4.7207682037446776E-2</v>
      </c>
      <c r="AB9" t="e">
        <f ca="1"/>
        <v>#NAME?</v>
      </c>
      <c r="AC9" t="e">
        <f ca="1"/>
        <v>#NAME?</v>
      </c>
      <c r="AD9" t="e">
        <f t="shared" ca="1" si="12"/>
        <v>#NAME?</v>
      </c>
      <c r="AE9" t="e">
        <f t="shared" ca="1" si="13"/>
        <v>#NAME?</v>
      </c>
      <c r="AF9" t="e">
        <f t="shared" ca="1" si="14"/>
        <v>#NAME?</v>
      </c>
      <c r="AG9" t="e">
        <f t="shared" ca="1" si="15"/>
        <v>#NAME?</v>
      </c>
    </row>
    <row r="10" spans="1:33" x14ac:dyDescent="0.35">
      <c r="A10" s="299"/>
      <c r="B10" s="299">
        <f>SUM(B4:B9)</f>
        <v>207</v>
      </c>
      <c r="C10" s="299">
        <f>SUM(C4:C9)</f>
        <v>188</v>
      </c>
      <c r="D10" s="299">
        <f>SUM(D4:D9)</f>
        <v>102</v>
      </c>
      <c r="E10" s="299">
        <f>SUM(E4:E9)</f>
        <v>160</v>
      </c>
      <c r="F10" s="299">
        <f t="shared" si="0"/>
        <v>657</v>
      </c>
      <c r="H10" s="299"/>
      <c r="I10" s="300">
        <f>SUM(I4:I9)</f>
        <v>178</v>
      </c>
      <c r="K10" t="str">
        <f t="shared" si="3"/>
        <v>software</v>
      </c>
      <c r="L10" s="83">
        <f t="shared" si="4"/>
        <v>7.3059360730593603E-2</v>
      </c>
      <c r="M10" s="37">
        <f t="shared" si="2"/>
        <v>5.4794520547945202E-2</v>
      </c>
      <c r="N10" s="37">
        <f t="shared" si="2"/>
        <v>1.2176560121765601E-2</v>
      </c>
      <c r="O10" s="84">
        <f t="shared" si="2"/>
        <v>5.3272450532724502E-2</v>
      </c>
      <c r="P10">
        <f t="shared" si="5"/>
        <v>0.19330289193302891</v>
      </c>
      <c r="W10" t="str">
        <f t="shared" si="7"/>
        <v>software</v>
      </c>
      <c r="X10" t="e">
        <f t="shared" ca="1" si="8"/>
        <v>#NAME?</v>
      </c>
      <c r="Y10">
        <f t="shared" si="9"/>
        <v>0.19330289193302891</v>
      </c>
      <c r="Z10">
        <f t="shared" si="10"/>
        <v>7.1622145159047898E-2</v>
      </c>
      <c r="AA10">
        <f t="shared" si="11"/>
        <v>5.5352932625780234E-2</v>
      </c>
      <c r="AB10" t="e">
        <f ca="1"/>
        <v>#NAME?</v>
      </c>
      <c r="AC10" t="e">
        <f ca="1"/>
        <v>#NAME?</v>
      </c>
      <c r="AD10" t="e">
        <f t="shared" ca="1" si="12"/>
        <v>#NAME?</v>
      </c>
      <c r="AE10" t="e">
        <f t="shared" ca="1" si="13"/>
        <v>#NAME?</v>
      </c>
      <c r="AF10" t="e">
        <f t="shared" ca="1" si="14"/>
        <v>#NAME?</v>
      </c>
      <c r="AG10" t="e">
        <f t="shared" ca="1" si="15"/>
        <v>#NAME?</v>
      </c>
    </row>
    <row r="11" spans="1:33" x14ac:dyDescent="0.35">
      <c r="K11" t="str">
        <f t="shared" si="3"/>
        <v>camera</v>
      </c>
      <c r="L11" s="85">
        <f t="shared" si="4"/>
        <v>5.6316590563165903E-2</v>
      </c>
      <c r="M11" s="86">
        <f t="shared" si="2"/>
        <v>6.8493150684931503E-2</v>
      </c>
      <c r="N11" s="86">
        <f t="shared" si="2"/>
        <v>1.06544901065449E-2</v>
      </c>
      <c r="O11" s="87">
        <f t="shared" si="2"/>
        <v>2.8919330289193301E-2</v>
      </c>
      <c r="P11">
        <f t="shared" si="5"/>
        <v>0.16438356164383561</v>
      </c>
      <c r="W11" s="40" t="str">
        <f t="shared" si="7"/>
        <v>camera</v>
      </c>
      <c r="X11" s="40" t="e">
        <f t="shared" ca="1" si="8"/>
        <v>#NAME?</v>
      </c>
      <c r="Y11" s="40">
        <f t="shared" si="9"/>
        <v>0.16438356164383561</v>
      </c>
      <c r="Z11" s="40">
        <f t="shared" si="10"/>
        <v>0.13338388005699747</v>
      </c>
      <c r="AA11" s="40">
        <f t="shared" si="11"/>
        <v>8.7663073209930387E-2</v>
      </c>
      <c r="AB11" s="40" t="e">
        <f ca="1"/>
        <v>#NAME?</v>
      </c>
      <c r="AC11" s="40" t="e">
        <f ca="1"/>
        <v>#NAME?</v>
      </c>
      <c r="AD11" s="40" t="e">
        <f t="shared" ca="1" si="12"/>
        <v>#NAME?</v>
      </c>
      <c r="AE11" s="40" t="e">
        <f t="shared" ca="1" si="13"/>
        <v>#NAME?</v>
      </c>
      <c r="AF11" s="40" t="e">
        <f t="shared" ca="1" si="14"/>
        <v>#NAME?</v>
      </c>
      <c r="AG11" s="40" t="e">
        <f t="shared" ca="1" si="15"/>
        <v>#NAME?</v>
      </c>
    </row>
    <row r="12" spans="1:33" x14ac:dyDescent="0.35">
      <c r="A12" s="299"/>
      <c r="B12" s="300" t="s">
        <v>686</v>
      </c>
      <c r="C12" s="300" t="s">
        <v>687</v>
      </c>
      <c r="D12" s="300" t="s">
        <v>688</v>
      </c>
      <c r="E12" s="300" t="s">
        <v>689</v>
      </c>
      <c r="L12">
        <f>SUM(L6:L11)</f>
        <v>0.31506849315068491</v>
      </c>
      <c r="M12">
        <f t="shared" ref="M12:O12" si="16">SUM(M6:M11)</f>
        <v>0.28614916286149161</v>
      </c>
      <c r="N12">
        <f t="shared" si="16"/>
        <v>0.15525114155251141</v>
      </c>
      <c r="O12">
        <f t="shared" si="16"/>
        <v>0.24353120243531201</v>
      </c>
      <c r="P12">
        <f>SUM(B4:E9)</f>
        <v>657</v>
      </c>
      <c r="W12" t="str">
        <f>A13</f>
        <v>app</v>
      </c>
      <c r="X12" t="e">
        <f ca="1">AD12+AE12</f>
        <v>#NAME?</v>
      </c>
      <c r="Z12" t="e">
        <f ca="1">SUMPRODUCT((B13:E13/SUM(B13:E13)-L$12:O$12)^2/L$12:O$12)</f>
        <v>#NAME?</v>
      </c>
      <c r="AB12" t="e">
        <f t="array" aca="1" ref="AB12:AC15" ca="1">CARowFactors(B4:E9,B13:E16)</f>
        <v>#NAME?</v>
      </c>
      <c r="AC12" t="e">
        <f ca="1"/>
        <v>#NAME?</v>
      </c>
      <c r="AD12" t="e">
        <f ca="1">AB12^2/Z12</f>
        <v>#NAME?</v>
      </c>
      <c r="AE12" t="e">
        <f ca="1">AC12^2/Z12</f>
        <v>#NAME?</v>
      </c>
    </row>
    <row r="13" spans="1:33" x14ac:dyDescent="0.35">
      <c r="A13" s="299" t="s">
        <v>748</v>
      </c>
      <c r="B13" s="301" t="e">
        <f t="array" aca="1" ref="B13:E16" ca="1">Identity()</f>
        <v>#NAME?</v>
      </c>
      <c r="C13" s="338" t="e">
        <f ca="1"/>
        <v>#NAME?</v>
      </c>
      <c r="D13" s="338" t="e">
        <f ca="1"/>
        <v>#NAME?</v>
      </c>
      <c r="E13" s="339" t="e">
        <f ca="1"/>
        <v>#NAME?</v>
      </c>
      <c r="W13" t="str">
        <f t="shared" ref="W13:W15" si="17">A14</f>
        <v>sam</v>
      </c>
      <c r="X13" t="e">
        <f t="shared" ref="X13:X15" ca="1" si="18">AD13+AE13</f>
        <v>#NAME?</v>
      </c>
      <c r="Z13" t="e">
        <f t="shared" ref="Z13:Z15" ca="1" si="19">SUMPRODUCT((B14:E14/SUM(B14:E14)-L$12:O$12)^2/L$12:O$12)</f>
        <v>#NAME?</v>
      </c>
      <c r="AB13" t="e">
        <f ca="1"/>
        <v>#NAME?</v>
      </c>
      <c r="AC13" t="e">
        <f ca="1"/>
        <v>#NAME?</v>
      </c>
      <c r="AD13" t="e">
        <f t="shared" ref="AD13:AD15" ca="1" si="20">AB13^2/Z13</f>
        <v>#NAME?</v>
      </c>
      <c r="AE13" t="e">
        <f t="shared" ref="AE13:AE15" ca="1" si="21">AC13^2/Z13</f>
        <v>#NAME?</v>
      </c>
    </row>
    <row r="14" spans="1:33" x14ac:dyDescent="0.35">
      <c r="A14" s="299" t="s">
        <v>749</v>
      </c>
      <c r="B14" s="329" t="e">
        <f ca="1"/>
        <v>#NAME?</v>
      </c>
      <c r="C14" s="306" t="e">
        <f ca="1"/>
        <v>#NAME?</v>
      </c>
      <c r="D14" s="306" t="e">
        <f ca="1"/>
        <v>#NAME?</v>
      </c>
      <c r="E14" s="330" t="e">
        <f ca="1"/>
        <v>#NAME?</v>
      </c>
      <c r="W14" t="str">
        <f t="shared" si="17"/>
        <v>nok</v>
      </c>
      <c r="X14" t="e">
        <f t="shared" ca="1" si="18"/>
        <v>#NAME?</v>
      </c>
      <c r="Z14" t="e">
        <f t="shared" ca="1" si="19"/>
        <v>#NAME?</v>
      </c>
      <c r="AB14" t="e">
        <f ca="1"/>
        <v>#NAME?</v>
      </c>
      <c r="AC14" t="e">
        <f ca="1"/>
        <v>#NAME?</v>
      </c>
      <c r="AD14" t="e">
        <f t="shared" ca="1" si="20"/>
        <v>#NAME?</v>
      </c>
      <c r="AE14" t="e">
        <f t="shared" ca="1" si="21"/>
        <v>#NAME?</v>
      </c>
    </row>
    <row r="15" spans="1:33" x14ac:dyDescent="0.35">
      <c r="A15" s="299" t="s">
        <v>750</v>
      </c>
      <c r="B15" s="329" t="e">
        <f ca="1"/>
        <v>#NAME?</v>
      </c>
      <c r="C15" s="306" t="e">
        <f ca="1"/>
        <v>#NAME?</v>
      </c>
      <c r="D15" s="306" t="e">
        <f ca="1"/>
        <v>#NAME?</v>
      </c>
      <c r="E15" s="330" t="e">
        <f ca="1"/>
        <v>#NAME?</v>
      </c>
      <c r="W15" s="40" t="str">
        <f t="shared" si="17"/>
        <v>hua</v>
      </c>
      <c r="X15" s="40" t="e">
        <f t="shared" ca="1" si="18"/>
        <v>#NAME?</v>
      </c>
      <c r="Y15" s="40"/>
      <c r="Z15" s="40" t="e">
        <f t="shared" ca="1" si="19"/>
        <v>#NAME?</v>
      </c>
      <c r="AA15" s="40"/>
      <c r="AB15" s="40" t="e">
        <f ca="1"/>
        <v>#NAME?</v>
      </c>
      <c r="AC15" s="40" t="e">
        <f ca="1"/>
        <v>#NAME?</v>
      </c>
      <c r="AD15" s="40" t="e">
        <f t="shared" ca="1" si="20"/>
        <v>#NAME?</v>
      </c>
      <c r="AE15" s="40" t="e">
        <f t="shared" ca="1" si="21"/>
        <v>#NAME?</v>
      </c>
      <c r="AF15" s="40"/>
      <c r="AG15" s="40"/>
    </row>
    <row r="16" spans="1:33" x14ac:dyDescent="0.35">
      <c r="A16" s="299" t="s">
        <v>751</v>
      </c>
      <c r="B16" s="333" t="e">
        <f ca="1"/>
        <v>#NAME?</v>
      </c>
      <c r="C16" s="334" t="e">
        <f ca="1"/>
        <v>#NAME?</v>
      </c>
      <c r="D16" s="334" t="e">
        <f ca="1"/>
        <v>#NAME?</v>
      </c>
      <c r="E16" s="335" t="e">
        <f ca="1"/>
        <v>#NAME?</v>
      </c>
      <c r="AA16">
        <f>SUMPRODUCT(Y6:Y11,Z6:Z11)</f>
        <v>0.25011805389409564</v>
      </c>
    </row>
    <row r="18" spans="23:33" x14ac:dyDescent="0.35">
      <c r="W18" t="s">
        <v>734</v>
      </c>
    </row>
    <row r="19" spans="23:33" ht="15" thickBot="1" x14ac:dyDescent="0.4"/>
    <row r="20" spans="23:33" ht="15" thickTop="1" x14ac:dyDescent="0.35">
      <c r="W20" s="94"/>
      <c r="X20" s="94" t="s">
        <v>707</v>
      </c>
      <c r="Y20" s="94" t="s">
        <v>708</v>
      </c>
      <c r="Z20" s="94" t="s">
        <v>709</v>
      </c>
      <c r="AA20" s="94" t="s">
        <v>710</v>
      </c>
      <c r="AB20" s="94" t="s">
        <v>715</v>
      </c>
      <c r="AC20" s="94" t="s">
        <v>716</v>
      </c>
      <c r="AD20" s="94" t="s">
        <v>761</v>
      </c>
      <c r="AE20" s="94" t="s">
        <v>762</v>
      </c>
      <c r="AF20" s="94" t="s">
        <v>763</v>
      </c>
      <c r="AG20" s="94" t="s">
        <v>764</v>
      </c>
    </row>
    <row r="21" spans="23:33" x14ac:dyDescent="0.35">
      <c r="W21" t="str">
        <f t="array" ref="W21:W24">TRANSPOSE(L5:O5)</f>
        <v>Apple</v>
      </c>
      <c r="X21" t="e">
        <f ca="1">AD21+AE21</f>
        <v>#NAME?</v>
      </c>
      <c r="Y21">
        <f t="array" ref="Y21:Y24">TRANSPOSE(L12:O12)</f>
        <v>0.31506849315068491</v>
      </c>
      <c r="Z21">
        <f>SUMPRODUCT((L6:L11/L12-P6:P11)^2/P6:P11)</f>
        <v>0.13434157535478899</v>
      </c>
      <c r="AA21">
        <f>(Y21*Z21)/AA$26</f>
        <v>0.16922727910094992</v>
      </c>
      <c r="AB21" t="e">
        <f t="array" aca="1" ref="AB21:AC24" ca="1">CAColFactors(B4:E9)</f>
        <v>#NAME?</v>
      </c>
      <c r="AC21" t="e">
        <f ca="1"/>
        <v>#NAME?</v>
      </c>
      <c r="AD21" t="e">
        <f ca="1">AB21^2/Z21</f>
        <v>#NAME?</v>
      </c>
      <c r="AE21" t="e">
        <f ca="1">AC21^2/Z21</f>
        <v>#NAME?</v>
      </c>
      <c r="AF21" t="e">
        <f ca="1">Y21*AB21^2/S$6</f>
        <v>#NAME?</v>
      </c>
      <c r="AG21" t="e">
        <f ca="1">Y21*AC21^2/S$7</f>
        <v>#NAME?</v>
      </c>
    </row>
    <row r="22" spans="23:33" x14ac:dyDescent="0.35">
      <c r="W22" t="str">
        <v>Samsung</v>
      </c>
      <c r="X22" t="e">
        <f t="shared" ref="X22:X24" ca="1" si="22">AD22+AE22</f>
        <v>#NAME?</v>
      </c>
      <c r="Y22">
        <v>0.28614916286149161</v>
      </c>
      <c r="Z22">
        <f>SUMPRODUCT((M6:M11/M12-P6:P11)^2/P6:P11)</f>
        <v>0.14826828347892551</v>
      </c>
      <c r="AA22">
        <f t="shared" ref="AA22:AA24" si="23">(Y22*Z22)/AA$26</f>
        <v>0.1696272801417571</v>
      </c>
      <c r="AB22" t="e">
        <f ca="1"/>
        <v>#NAME?</v>
      </c>
      <c r="AC22" t="e">
        <f ca="1"/>
        <v>#NAME?</v>
      </c>
      <c r="AD22" t="e">
        <f t="shared" ref="AD22:AD24" ca="1" si="24">AB22^2/Z22</f>
        <v>#NAME?</v>
      </c>
      <c r="AE22" t="e">
        <f t="shared" ref="AE22:AE24" ca="1" si="25">AC22^2/Z22</f>
        <v>#NAME?</v>
      </c>
      <c r="AF22" t="e">
        <f t="shared" ref="AF22:AF24" ca="1" si="26">Y22*AB22^2/S$6</f>
        <v>#NAME?</v>
      </c>
      <c r="AG22" t="e">
        <f t="shared" ref="AG22:AG24" ca="1" si="27">Y22*AC22^2/S$7</f>
        <v>#NAME?</v>
      </c>
    </row>
    <row r="23" spans="23:33" x14ac:dyDescent="0.35">
      <c r="W23" t="str">
        <v>Nokia</v>
      </c>
      <c r="X23" t="e">
        <f t="shared" ca="1" si="22"/>
        <v>#NAME?</v>
      </c>
      <c r="Y23">
        <v>0.15525114155251141</v>
      </c>
      <c r="Z23">
        <f>SUMPRODUCT((N6:N11/N12-P6:P11)^2/P6:P11)</f>
        <v>0.94381770361020201</v>
      </c>
      <c r="AA23">
        <f t="shared" si="23"/>
        <v>0.58583846156501995</v>
      </c>
      <c r="AB23" t="e">
        <f ca="1"/>
        <v>#NAME?</v>
      </c>
      <c r="AC23" t="e">
        <f ca="1"/>
        <v>#NAME?</v>
      </c>
      <c r="AD23" t="e">
        <f t="shared" ca="1" si="24"/>
        <v>#NAME?</v>
      </c>
      <c r="AE23" t="e">
        <f t="shared" ca="1" si="25"/>
        <v>#NAME?</v>
      </c>
      <c r="AF23" t="e">
        <f t="shared" ca="1" si="26"/>
        <v>#NAME?</v>
      </c>
      <c r="AG23" t="e">
        <f t="shared" ca="1" si="27"/>
        <v>#NAME?</v>
      </c>
    </row>
    <row r="24" spans="23:33" x14ac:dyDescent="0.35">
      <c r="W24" s="40" t="str">
        <v>Huawei</v>
      </c>
      <c r="X24" s="40" t="e">
        <f t="shared" ca="1" si="22"/>
        <v>#NAME?</v>
      </c>
      <c r="Y24" s="40">
        <v>0.24353120243531201</v>
      </c>
      <c r="Z24" s="40">
        <f>SUMPRODUCT((O6:O11/O12-P6:P11)^2/P6:P11)</f>
        <v>7.7343826548130656E-2</v>
      </c>
      <c r="AA24" s="40">
        <f t="shared" si="23"/>
        <v>7.5306979192272958E-2</v>
      </c>
      <c r="AB24" s="40" t="e">
        <f ca="1"/>
        <v>#NAME?</v>
      </c>
      <c r="AC24" s="40" t="e">
        <f ca="1"/>
        <v>#NAME?</v>
      </c>
      <c r="AD24" s="40" t="e">
        <f t="shared" ca="1" si="24"/>
        <v>#NAME?</v>
      </c>
      <c r="AE24" s="40" t="e">
        <f t="shared" ca="1" si="25"/>
        <v>#NAME?</v>
      </c>
      <c r="AF24" s="40" t="e">
        <f t="shared" ca="1" si="26"/>
        <v>#NAME?</v>
      </c>
      <c r="AG24" s="40" t="e">
        <f t="shared" ca="1" si="27"/>
        <v>#NAME?</v>
      </c>
    </row>
    <row r="25" spans="23:33" x14ac:dyDescent="0.35">
      <c r="W25" s="147" t="str">
        <f t="array" ref="W25">TRANSPOSE(I3)</f>
        <v>NEW</v>
      </c>
      <c r="X25" s="147" t="e">
        <f ca="1">AD25+AE25</f>
        <v>#NAME?</v>
      </c>
      <c r="Y25" s="147"/>
      <c r="Z25" s="147">
        <f>SUMPRODUCT((I4:I9/SUM(I4:I9)-P6:P11)^2/P6:P11)</f>
        <v>3.5811057885421597E-2</v>
      </c>
      <c r="AA25" s="147"/>
      <c r="AB25" s="147" t="e">
        <f t="array" aca="1" ref="AB25:AC25" ca="1">CAColFactors(B4:E9,I4:I9)</f>
        <v>#NAME?</v>
      </c>
      <c r="AC25" s="147" t="e">
        <f ca="1"/>
        <v>#NAME?</v>
      </c>
      <c r="AD25" s="147" t="e">
        <f ca="1">AB25^2/Z25</f>
        <v>#NAME?</v>
      </c>
      <c r="AE25" s="147" t="e">
        <f ca="1">AC25^2/Z25</f>
        <v>#NAME?</v>
      </c>
      <c r="AF25" s="147"/>
      <c r="AG25" s="147"/>
    </row>
    <row r="26" spans="23:33" x14ac:dyDescent="0.35">
      <c r="AA26">
        <f>SUMPRODUCT(Y21:Y26,Z21:Z26)</f>
        <v>0.25011805389409564</v>
      </c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72"/>
  <dimension ref="A1:AK26"/>
  <sheetViews>
    <sheetView workbookViewId="0"/>
  </sheetViews>
  <sheetFormatPr defaultRowHeight="14.5" x14ac:dyDescent="0.35"/>
  <cols>
    <col min="7" max="7" width="5.453125" customWidth="1"/>
    <col min="18" max="18" width="4.26953125" customWidth="1"/>
  </cols>
  <sheetData>
    <row r="1" spans="1:37" x14ac:dyDescent="0.35">
      <c r="A1" s="298" t="s">
        <v>683</v>
      </c>
      <c r="B1" s="298"/>
      <c r="C1" s="299"/>
      <c r="D1" s="299"/>
      <c r="E1" s="299"/>
      <c r="F1" s="299"/>
      <c r="K1" t="s">
        <v>683</v>
      </c>
    </row>
    <row r="2" spans="1:37" x14ac:dyDescent="0.35">
      <c r="A2" s="299"/>
      <c r="B2" s="299"/>
      <c r="C2" s="299"/>
      <c r="D2" s="299"/>
      <c r="E2" s="299"/>
      <c r="F2" s="299"/>
    </row>
    <row r="3" spans="1:37" x14ac:dyDescent="0.35">
      <c r="A3" s="299"/>
      <c r="B3" s="300" t="s">
        <v>686</v>
      </c>
      <c r="C3" s="300" t="s">
        <v>687</v>
      </c>
      <c r="D3" s="300" t="s">
        <v>688</v>
      </c>
      <c r="E3" s="300" t="s">
        <v>689</v>
      </c>
      <c r="F3" s="299"/>
      <c r="H3" s="299"/>
      <c r="I3" s="300" t="s">
        <v>767</v>
      </c>
      <c r="K3" t="s">
        <v>685</v>
      </c>
      <c r="R3" t="s">
        <v>529</v>
      </c>
      <c r="W3" t="s">
        <v>701</v>
      </c>
      <c r="AI3" t="s">
        <v>768</v>
      </c>
    </row>
    <row r="4" spans="1:37" ht="15" thickBot="1" x14ac:dyDescent="0.4">
      <c r="A4" s="299" t="s">
        <v>693</v>
      </c>
      <c r="B4" s="301">
        <v>36</v>
      </c>
      <c r="C4" s="338">
        <v>42</v>
      </c>
      <c r="D4" s="338">
        <v>7</v>
      </c>
      <c r="E4" s="339">
        <v>22</v>
      </c>
      <c r="F4" s="299">
        <f t="shared" ref="F4:F10" si="0">SUM(B4:E4)</f>
        <v>107</v>
      </c>
      <c r="H4" s="299" t="s">
        <v>693</v>
      </c>
      <c r="I4" s="362">
        <v>30</v>
      </c>
    </row>
    <row r="5" spans="1:37" ht="15" thickTop="1" x14ac:dyDescent="0.35">
      <c r="A5" s="299" t="s">
        <v>694</v>
      </c>
      <c r="B5" s="329">
        <v>3</v>
      </c>
      <c r="C5" s="306">
        <v>5</v>
      </c>
      <c r="D5" s="306">
        <v>43</v>
      </c>
      <c r="E5" s="330">
        <v>32</v>
      </c>
      <c r="F5" s="299">
        <f t="shared" si="0"/>
        <v>83</v>
      </c>
      <c r="H5" s="299" t="s">
        <v>694</v>
      </c>
      <c r="I5" s="363">
        <v>32</v>
      </c>
      <c r="L5" s="32" t="str">
        <f>B3</f>
        <v>Apple</v>
      </c>
      <c r="M5" s="32" t="str">
        <f t="shared" ref="M5:O5" si="1">C3</f>
        <v>Samsung</v>
      </c>
      <c r="N5" s="32" t="str">
        <f t="shared" si="1"/>
        <v>Nokia</v>
      </c>
      <c r="O5" s="32" t="str">
        <f t="shared" si="1"/>
        <v>Huawei</v>
      </c>
      <c r="S5" s="32" t="s">
        <v>386</v>
      </c>
      <c r="T5" s="32" t="s">
        <v>387</v>
      </c>
      <c r="U5" s="32" t="s">
        <v>744</v>
      </c>
      <c r="W5" s="94"/>
      <c r="X5" s="94" t="s">
        <v>707</v>
      </c>
      <c r="Y5" s="94" t="s">
        <v>708</v>
      </c>
      <c r="Z5" s="94" t="s">
        <v>709</v>
      </c>
      <c r="AA5" s="94" t="s">
        <v>710</v>
      </c>
      <c r="AB5" s="94" t="s">
        <v>715</v>
      </c>
      <c r="AC5" s="94" t="s">
        <v>716</v>
      </c>
      <c r="AD5" s="94" t="s">
        <v>761</v>
      </c>
      <c r="AE5" s="94" t="s">
        <v>762</v>
      </c>
      <c r="AF5" s="94" t="s">
        <v>763</v>
      </c>
      <c r="AG5" s="94" t="s">
        <v>764</v>
      </c>
      <c r="AI5" t="str">
        <f>W6</f>
        <v>screen</v>
      </c>
      <c r="AJ5" t="e">
        <f ca="1">AB6</f>
        <v>#NAME?</v>
      </c>
      <c r="AK5" t="e">
        <f ca="1">AC6</f>
        <v>#NAME?</v>
      </c>
    </row>
    <row r="6" spans="1:37" x14ac:dyDescent="0.35">
      <c r="A6" s="299" t="s">
        <v>695</v>
      </c>
      <c r="B6" s="329">
        <v>56</v>
      </c>
      <c r="C6" s="306">
        <v>29</v>
      </c>
      <c r="D6" s="306">
        <v>13</v>
      </c>
      <c r="E6" s="330">
        <v>35</v>
      </c>
      <c r="F6" s="299">
        <f t="shared" si="0"/>
        <v>133</v>
      </c>
      <c r="H6" s="299" t="s">
        <v>695</v>
      </c>
      <c r="I6" s="363">
        <v>30</v>
      </c>
      <c r="K6" t="str">
        <f>A4</f>
        <v>screen</v>
      </c>
      <c r="L6" s="149">
        <f>B4/$P$12</f>
        <v>5.4794520547945202E-2</v>
      </c>
      <c r="M6" s="141">
        <f t="shared" ref="M6:O11" si="2">C4/$P$12</f>
        <v>6.3926940639269403E-2</v>
      </c>
      <c r="N6" s="141">
        <f t="shared" si="2"/>
        <v>1.06544901065449E-2</v>
      </c>
      <c r="O6" s="150">
        <f t="shared" si="2"/>
        <v>3.3485540334855401E-2</v>
      </c>
      <c r="P6">
        <f>SUM(L6:O6)</f>
        <v>0.16286149162861491</v>
      </c>
      <c r="R6">
        <v>1</v>
      </c>
      <c r="S6" s="149" t="e">
        <f t="array" aca="1" ref="S6:S8" ca="1">CAEigen(B4:E9)</f>
        <v>#NAME?</v>
      </c>
      <c r="T6" s="141" t="e">
        <f ca="1">100*S6/S$9</f>
        <v>#NAME?</v>
      </c>
      <c r="U6" s="150" t="e">
        <f ca="1">T6</f>
        <v>#NAME?</v>
      </c>
      <c r="W6" t="str">
        <f>K6</f>
        <v>screen</v>
      </c>
      <c r="X6" t="e">
        <f ca="1">AD6+AE6</f>
        <v>#NAME?</v>
      </c>
      <c r="Y6">
        <f>P6</f>
        <v>0.16286149162861491</v>
      </c>
      <c r="Z6">
        <f>SUMPRODUCT((L6:O6/Y6-L$12:O$12)^2/L$12:O$12)</f>
        <v>9.8877716192090612E-2</v>
      </c>
      <c r="AA6">
        <f>(Y6*Z6)/AA$16</f>
        <v>6.4383086695105896E-2</v>
      </c>
      <c r="AB6" t="e">
        <f t="array" aca="1" ref="AB6:AC11" ca="1">CARowFactors(B4:E9)</f>
        <v>#NAME?</v>
      </c>
      <c r="AC6" t="e">
        <f ca="1"/>
        <v>#NAME?</v>
      </c>
      <c r="AD6" t="e">
        <f ca="1">AB6^2/Z6</f>
        <v>#NAME?</v>
      </c>
      <c r="AE6" t="e">
        <f ca="1">AC6^2/Z6</f>
        <v>#NAME?</v>
      </c>
      <c r="AF6" t="e">
        <f ca="1">Y6*AB6^2/S$6</f>
        <v>#NAME?</v>
      </c>
      <c r="AG6" t="e">
        <f ca="1">Y6*AC6^2/S$7</f>
        <v>#NAME?</v>
      </c>
      <c r="AI6" t="str">
        <f t="shared" ref="AI6:AI10" si="3">W7</f>
        <v>price</v>
      </c>
      <c r="AJ6" t="e">
        <f t="shared" ref="AJ6:AK10" ca="1" si="4">AB7</f>
        <v>#NAME?</v>
      </c>
      <c r="AK6" t="e">
        <f t="shared" ca="1" si="4"/>
        <v>#NAME?</v>
      </c>
    </row>
    <row r="7" spans="1:37" x14ac:dyDescent="0.35">
      <c r="A7" s="299" t="s">
        <v>696</v>
      </c>
      <c r="B7" s="329">
        <v>27</v>
      </c>
      <c r="C7" s="311">
        <v>31</v>
      </c>
      <c r="D7" s="311">
        <v>24</v>
      </c>
      <c r="E7" s="330">
        <v>17</v>
      </c>
      <c r="F7" s="299">
        <f t="shared" si="0"/>
        <v>99</v>
      </c>
      <c r="H7" s="299" t="s">
        <v>696</v>
      </c>
      <c r="I7" s="363">
        <v>30</v>
      </c>
      <c r="K7" t="str">
        <f t="shared" ref="K7:K11" si="5">A5</f>
        <v>price</v>
      </c>
      <c r="L7" s="83">
        <f t="shared" ref="L7:L11" si="6">B5/$P$12</f>
        <v>4.5662100456621002E-3</v>
      </c>
      <c r="M7" s="37">
        <f t="shared" si="2"/>
        <v>7.6103500761035003E-3</v>
      </c>
      <c r="N7" s="37">
        <f t="shared" si="2"/>
        <v>6.5449010654490103E-2</v>
      </c>
      <c r="O7" s="84">
        <f t="shared" si="2"/>
        <v>4.8706240487062402E-2</v>
      </c>
      <c r="P7">
        <f t="shared" ref="P7:P11" si="7">SUM(L7:O7)</f>
        <v>0.12633181126331811</v>
      </c>
      <c r="R7">
        <f>R6+1</f>
        <v>2</v>
      </c>
      <c r="S7" s="83" t="e">
        <f ca="1"/>
        <v>#NAME?</v>
      </c>
      <c r="T7" s="37" t="e">
        <f t="shared" ref="T7:T8" ca="1" si="8">100*S7/S$9</f>
        <v>#NAME?</v>
      </c>
      <c r="U7" s="84" t="e">
        <f ca="1">T7+U6</f>
        <v>#NAME?</v>
      </c>
      <c r="W7" t="str">
        <f t="shared" ref="W7:W11" si="9">K7</f>
        <v>price</v>
      </c>
      <c r="X7" t="e">
        <f t="shared" ref="X7:X11" ca="1" si="10">AD7+AE7</f>
        <v>#NAME?</v>
      </c>
      <c r="Y7">
        <f t="shared" ref="Y7:Y11" si="11">P7</f>
        <v>0.12633181126331811</v>
      </c>
      <c r="Z7">
        <f t="shared" ref="Z7:Z11" si="12">SUMPRODUCT((L7:O7/Y7-L$12:O$12)^2/L$12:O$12)</f>
        <v>1.3559976096364563</v>
      </c>
      <c r="AA7">
        <f t="shared" ref="AA7:AA11" si="13">(Y7*Z7)/AA$16</f>
        <v>0.68489911634542422</v>
      </c>
      <c r="AB7" t="e">
        <f ca="1"/>
        <v>#NAME?</v>
      </c>
      <c r="AC7" t="e">
        <f ca="1"/>
        <v>#NAME?</v>
      </c>
      <c r="AD7" t="e">
        <f t="shared" ref="AD7:AD11" ca="1" si="14">AB7^2/Z7</f>
        <v>#NAME?</v>
      </c>
      <c r="AE7" t="e">
        <f t="shared" ref="AE7:AE11" ca="1" si="15">AC7^2/Z7</f>
        <v>#NAME?</v>
      </c>
      <c r="AF7" t="e">
        <f t="shared" ref="AF7:AF11" ca="1" si="16">Y7*AB7^2/S$6</f>
        <v>#NAME?</v>
      </c>
      <c r="AG7" t="e">
        <f t="shared" ref="AG7:AG11" ca="1" si="17">Y7*AC7^2/S$7</f>
        <v>#NAME?</v>
      </c>
      <c r="AI7" t="str">
        <f t="shared" si="3"/>
        <v>design</v>
      </c>
      <c r="AJ7" t="e">
        <f t="shared" ca="1" si="4"/>
        <v>#NAME?</v>
      </c>
      <c r="AK7" t="e">
        <f t="shared" ca="1" si="4"/>
        <v>#NAME?</v>
      </c>
    </row>
    <row r="8" spans="1:37" x14ac:dyDescent="0.35">
      <c r="A8" s="299" t="s">
        <v>697</v>
      </c>
      <c r="B8" s="329">
        <v>48</v>
      </c>
      <c r="C8" s="306">
        <v>36</v>
      </c>
      <c r="D8" s="306">
        <v>8</v>
      </c>
      <c r="E8" s="330">
        <v>35</v>
      </c>
      <c r="F8" s="299">
        <f t="shared" si="0"/>
        <v>127</v>
      </c>
      <c r="H8" s="299" t="s">
        <v>697</v>
      </c>
      <c r="I8" s="363">
        <v>30</v>
      </c>
      <c r="K8" t="str">
        <f t="shared" si="5"/>
        <v>design</v>
      </c>
      <c r="L8" s="83">
        <f t="shared" si="6"/>
        <v>8.5235920852359204E-2</v>
      </c>
      <c r="M8" s="37">
        <f t="shared" si="2"/>
        <v>4.4140030441400302E-2</v>
      </c>
      <c r="N8" s="37">
        <f t="shared" si="2"/>
        <v>1.9786910197869101E-2</v>
      </c>
      <c r="O8" s="84">
        <f t="shared" si="2"/>
        <v>5.3272450532724502E-2</v>
      </c>
      <c r="P8">
        <f t="shared" si="7"/>
        <v>0.20243531202435311</v>
      </c>
      <c r="R8">
        <f>R7+1</f>
        <v>3</v>
      </c>
      <c r="S8" s="85" t="e">
        <f ca="1"/>
        <v>#NAME?</v>
      </c>
      <c r="T8" s="86" t="e">
        <f t="shared" ca="1" si="8"/>
        <v>#NAME?</v>
      </c>
      <c r="U8" s="87" t="e">
        <f ca="1">T8+U7</f>
        <v>#NAME?</v>
      </c>
      <c r="W8" t="str">
        <f t="shared" si="9"/>
        <v>design</v>
      </c>
      <c r="X8" t="e">
        <f t="shared" ca="1" si="10"/>
        <v>#NAME?</v>
      </c>
      <c r="Y8">
        <f t="shared" si="11"/>
        <v>0.20243531202435311</v>
      </c>
      <c r="Z8">
        <f t="shared" si="12"/>
        <v>7.4743228764877531E-2</v>
      </c>
      <c r="AA8">
        <f t="shared" si="13"/>
        <v>6.0494109086312413E-2</v>
      </c>
      <c r="AB8" t="e">
        <f ca="1"/>
        <v>#NAME?</v>
      </c>
      <c r="AC8" t="e">
        <f ca="1"/>
        <v>#NAME?</v>
      </c>
      <c r="AD8" t="e">
        <f t="shared" ca="1" si="14"/>
        <v>#NAME?</v>
      </c>
      <c r="AE8" t="e">
        <f t="shared" ca="1" si="15"/>
        <v>#NAME?</v>
      </c>
      <c r="AF8" t="e">
        <f t="shared" ca="1" si="16"/>
        <v>#NAME?</v>
      </c>
      <c r="AG8" t="e">
        <f t="shared" ca="1" si="17"/>
        <v>#NAME?</v>
      </c>
      <c r="AI8" t="str">
        <f t="shared" si="3"/>
        <v>battery</v>
      </c>
      <c r="AJ8" t="e">
        <f t="shared" ca="1" si="4"/>
        <v>#NAME?</v>
      </c>
      <c r="AK8" t="e">
        <f t="shared" ca="1" si="4"/>
        <v>#NAME?</v>
      </c>
    </row>
    <row r="9" spans="1:37" x14ac:dyDescent="0.35">
      <c r="A9" s="299" t="s">
        <v>698</v>
      </c>
      <c r="B9" s="333">
        <v>37</v>
      </c>
      <c r="C9" s="334">
        <v>45</v>
      </c>
      <c r="D9" s="334">
        <v>7</v>
      </c>
      <c r="E9" s="335">
        <v>19</v>
      </c>
      <c r="F9" s="299">
        <f t="shared" si="0"/>
        <v>108</v>
      </c>
      <c r="H9" s="299" t="s">
        <v>698</v>
      </c>
      <c r="I9" s="364">
        <v>26</v>
      </c>
      <c r="K9" t="str">
        <f t="shared" si="5"/>
        <v>battery</v>
      </c>
      <c r="L9" s="83">
        <f t="shared" si="6"/>
        <v>4.1095890410958902E-2</v>
      </c>
      <c r="M9" s="37">
        <f t="shared" si="2"/>
        <v>4.7184170471841702E-2</v>
      </c>
      <c r="N9" s="37">
        <f t="shared" si="2"/>
        <v>3.6529680365296802E-2</v>
      </c>
      <c r="O9" s="84">
        <f t="shared" si="2"/>
        <v>2.5875190258751901E-2</v>
      </c>
      <c r="P9">
        <f t="shared" si="7"/>
        <v>0.15068493150684931</v>
      </c>
      <c r="S9" t="e">
        <f ca="1">SUM(S6:S8)</f>
        <v>#NAME?</v>
      </c>
      <c r="W9" t="str">
        <f t="shared" si="9"/>
        <v>battery</v>
      </c>
      <c r="X9" t="e">
        <f t="shared" ca="1" si="10"/>
        <v>#NAME?</v>
      </c>
      <c r="Y9">
        <f t="shared" si="11"/>
        <v>0.15068493150684931</v>
      </c>
      <c r="Z9">
        <f t="shared" si="12"/>
        <v>7.8358820898563039E-2</v>
      </c>
      <c r="AA9">
        <f t="shared" si="13"/>
        <v>4.7207682037446776E-2</v>
      </c>
      <c r="AB9" t="e">
        <f ca="1"/>
        <v>#NAME?</v>
      </c>
      <c r="AC9" t="e">
        <f ca="1"/>
        <v>#NAME?</v>
      </c>
      <c r="AD9" t="e">
        <f t="shared" ca="1" si="14"/>
        <v>#NAME?</v>
      </c>
      <c r="AE9" t="e">
        <f t="shared" ca="1" si="15"/>
        <v>#NAME?</v>
      </c>
      <c r="AF9" t="e">
        <f t="shared" ca="1" si="16"/>
        <v>#NAME?</v>
      </c>
      <c r="AG9" t="e">
        <f t="shared" ca="1" si="17"/>
        <v>#NAME?</v>
      </c>
      <c r="AI9" t="str">
        <f t="shared" si="3"/>
        <v>software</v>
      </c>
      <c r="AJ9" t="e">
        <f t="shared" ca="1" si="4"/>
        <v>#NAME?</v>
      </c>
      <c r="AK9" t="e">
        <f t="shared" ca="1" si="4"/>
        <v>#NAME?</v>
      </c>
    </row>
    <row r="10" spans="1:37" x14ac:dyDescent="0.35">
      <c r="A10" s="299"/>
      <c r="B10" s="299">
        <f>SUM(B4:B9)</f>
        <v>207</v>
      </c>
      <c r="C10" s="299">
        <f>SUM(C4:C9)</f>
        <v>188</v>
      </c>
      <c r="D10" s="299">
        <f>SUM(D4:D9)</f>
        <v>102</v>
      </c>
      <c r="E10" s="299">
        <f>SUM(E4:E9)</f>
        <v>160</v>
      </c>
      <c r="F10" s="299">
        <f t="shared" si="0"/>
        <v>657</v>
      </c>
      <c r="H10" s="299"/>
      <c r="I10" s="300">
        <f>SUM(I4:I9)</f>
        <v>178</v>
      </c>
      <c r="K10" t="str">
        <f t="shared" si="5"/>
        <v>software</v>
      </c>
      <c r="L10" s="83">
        <f t="shared" si="6"/>
        <v>7.3059360730593603E-2</v>
      </c>
      <c r="M10" s="37">
        <f t="shared" si="2"/>
        <v>5.4794520547945202E-2</v>
      </c>
      <c r="N10" s="37">
        <f t="shared" si="2"/>
        <v>1.2176560121765601E-2</v>
      </c>
      <c r="O10" s="84">
        <f t="shared" si="2"/>
        <v>5.3272450532724502E-2</v>
      </c>
      <c r="P10">
        <f t="shared" si="7"/>
        <v>0.19330289193302891</v>
      </c>
      <c r="W10" t="str">
        <f t="shared" si="9"/>
        <v>software</v>
      </c>
      <c r="X10" t="e">
        <f t="shared" ca="1" si="10"/>
        <v>#NAME?</v>
      </c>
      <c r="Y10">
        <f t="shared" si="11"/>
        <v>0.19330289193302891</v>
      </c>
      <c r="Z10">
        <f t="shared" si="12"/>
        <v>7.1622145159047898E-2</v>
      </c>
      <c r="AA10">
        <f t="shared" si="13"/>
        <v>5.5352932625780234E-2</v>
      </c>
      <c r="AB10" t="e">
        <f ca="1"/>
        <v>#NAME?</v>
      </c>
      <c r="AC10" t="e">
        <f ca="1"/>
        <v>#NAME?</v>
      </c>
      <c r="AD10" t="e">
        <f t="shared" ca="1" si="14"/>
        <v>#NAME?</v>
      </c>
      <c r="AE10" t="e">
        <f t="shared" ca="1" si="15"/>
        <v>#NAME?</v>
      </c>
      <c r="AF10" t="e">
        <f t="shared" ca="1" si="16"/>
        <v>#NAME?</v>
      </c>
      <c r="AG10" t="e">
        <f t="shared" ca="1" si="17"/>
        <v>#NAME?</v>
      </c>
      <c r="AI10" t="str">
        <f t="shared" si="3"/>
        <v>camera</v>
      </c>
      <c r="AJ10" t="e">
        <f t="shared" ca="1" si="4"/>
        <v>#NAME?</v>
      </c>
      <c r="AK10" t="e">
        <f t="shared" ca="1" si="4"/>
        <v>#NAME?</v>
      </c>
    </row>
    <row r="11" spans="1:37" x14ac:dyDescent="0.35">
      <c r="K11" t="str">
        <f t="shared" si="5"/>
        <v>camera</v>
      </c>
      <c r="L11" s="85">
        <f t="shared" si="6"/>
        <v>5.6316590563165903E-2</v>
      </c>
      <c r="M11" s="86">
        <f t="shared" si="2"/>
        <v>6.8493150684931503E-2</v>
      </c>
      <c r="N11" s="86">
        <f t="shared" si="2"/>
        <v>1.06544901065449E-2</v>
      </c>
      <c r="O11" s="87">
        <f t="shared" si="2"/>
        <v>2.8919330289193301E-2</v>
      </c>
      <c r="P11">
        <f t="shared" si="7"/>
        <v>0.16438356164383561</v>
      </c>
      <c r="W11" s="40" t="str">
        <f t="shared" si="9"/>
        <v>camera</v>
      </c>
      <c r="X11" s="40" t="e">
        <f t="shared" ca="1" si="10"/>
        <v>#NAME?</v>
      </c>
      <c r="Y11" s="40">
        <f t="shared" si="11"/>
        <v>0.16438356164383561</v>
      </c>
      <c r="Z11" s="40">
        <f t="shared" si="12"/>
        <v>0.13338388005699747</v>
      </c>
      <c r="AA11" s="40">
        <f t="shared" si="13"/>
        <v>8.7663073209930387E-2</v>
      </c>
      <c r="AB11" s="40" t="e">
        <f ca="1"/>
        <v>#NAME?</v>
      </c>
      <c r="AC11" s="40" t="e">
        <f ca="1"/>
        <v>#NAME?</v>
      </c>
      <c r="AD11" s="40" t="e">
        <f t="shared" ca="1" si="14"/>
        <v>#NAME?</v>
      </c>
      <c r="AE11" s="40" t="e">
        <f t="shared" ca="1" si="15"/>
        <v>#NAME?</v>
      </c>
      <c r="AF11" s="40" t="e">
        <f t="shared" ca="1" si="16"/>
        <v>#NAME?</v>
      </c>
      <c r="AG11" s="40" t="e">
        <f t="shared" ca="1" si="17"/>
        <v>#NAME?</v>
      </c>
      <c r="AI11" t="str">
        <f>W21</f>
        <v>Apple</v>
      </c>
      <c r="AJ11" t="e">
        <f ca="1">AB21</f>
        <v>#NAME?</v>
      </c>
      <c r="AK11" t="e">
        <f ca="1">AC21</f>
        <v>#NAME?</v>
      </c>
    </row>
    <row r="12" spans="1:37" x14ac:dyDescent="0.35">
      <c r="A12" s="299"/>
      <c r="B12" s="300" t="s">
        <v>686</v>
      </c>
      <c r="C12" s="300" t="s">
        <v>687</v>
      </c>
      <c r="D12" s="300" t="s">
        <v>688</v>
      </c>
      <c r="E12" s="300" t="s">
        <v>689</v>
      </c>
      <c r="L12">
        <f>SUM(L6:L11)</f>
        <v>0.31506849315068491</v>
      </c>
      <c r="M12">
        <f t="shared" ref="M12:O12" si="18">SUM(M6:M11)</f>
        <v>0.28614916286149161</v>
      </c>
      <c r="N12">
        <f t="shared" si="18"/>
        <v>0.15525114155251141</v>
      </c>
      <c r="O12">
        <f t="shared" si="18"/>
        <v>0.24353120243531201</v>
      </c>
      <c r="P12">
        <f>SUM(B4:E9)</f>
        <v>657</v>
      </c>
      <c r="W12" t="str">
        <f>A13</f>
        <v>app</v>
      </c>
      <c r="X12" t="e">
        <f ca="1">AD12+AE12</f>
        <v>#NAME?</v>
      </c>
      <c r="Z12" t="e">
        <f ca="1">SUMPRODUCT((B13:E13/SUM(B13:E13)-L$12:O$12)^2/L$12:O$12)</f>
        <v>#NAME?</v>
      </c>
      <c r="AB12" t="e">
        <f t="array" aca="1" ref="AB12:AC15" ca="1">CARowFactors(B4:E9,B13:E16)</f>
        <v>#NAME?</v>
      </c>
      <c r="AC12" t="e">
        <f ca="1"/>
        <v>#NAME?</v>
      </c>
      <c r="AD12" t="e">
        <f ca="1">AB12^2/Z12</f>
        <v>#NAME?</v>
      </c>
      <c r="AE12" t="e">
        <f ca="1">AC12^2/Z12</f>
        <v>#NAME?</v>
      </c>
      <c r="AI12" t="str">
        <f t="shared" ref="AI12:AI14" si="19">W22</f>
        <v>Samsung</v>
      </c>
      <c r="AJ12" t="e">
        <f t="shared" ref="AJ12:AK14" ca="1" si="20">AB22</f>
        <v>#NAME?</v>
      </c>
      <c r="AK12" t="e">
        <f t="shared" ca="1" si="20"/>
        <v>#NAME?</v>
      </c>
    </row>
    <row r="13" spans="1:37" x14ac:dyDescent="0.35">
      <c r="A13" s="299" t="s">
        <v>748</v>
      </c>
      <c r="B13" s="301" t="e">
        <f t="array" aca="1" ref="B13:E16" ca="1">Identity()</f>
        <v>#NAME?</v>
      </c>
      <c r="C13" s="338" t="e">
        <f ca="1"/>
        <v>#NAME?</v>
      </c>
      <c r="D13" s="338" t="e">
        <f ca="1"/>
        <v>#NAME?</v>
      </c>
      <c r="E13" s="339" t="e">
        <f ca="1"/>
        <v>#NAME?</v>
      </c>
      <c r="W13" t="str">
        <f t="shared" ref="W13:W15" si="21">A14</f>
        <v>sam</v>
      </c>
      <c r="X13" t="e">
        <f t="shared" ref="X13:X15" ca="1" si="22">AD13+AE13</f>
        <v>#NAME?</v>
      </c>
      <c r="Z13" t="e">
        <f t="shared" ref="Z13:Z15" ca="1" si="23">SUMPRODUCT((B14:E14/SUM(B14:E14)-L$12:O$12)^2/L$12:O$12)</f>
        <v>#NAME?</v>
      </c>
      <c r="AB13" t="e">
        <f ca="1"/>
        <v>#NAME?</v>
      </c>
      <c r="AC13" t="e">
        <f ca="1"/>
        <v>#NAME?</v>
      </c>
      <c r="AD13" t="e">
        <f t="shared" ref="AD13:AD15" ca="1" si="24">AB13^2/Z13</f>
        <v>#NAME?</v>
      </c>
      <c r="AE13" t="e">
        <f t="shared" ref="AE13:AE15" ca="1" si="25">AC13^2/Z13</f>
        <v>#NAME?</v>
      </c>
      <c r="AI13" t="str">
        <f t="shared" si="19"/>
        <v>Nokia</v>
      </c>
      <c r="AJ13" t="e">
        <f t="shared" ca="1" si="20"/>
        <v>#NAME?</v>
      </c>
      <c r="AK13" t="e">
        <f t="shared" ca="1" si="20"/>
        <v>#NAME?</v>
      </c>
    </row>
    <row r="14" spans="1:37" x14ac:dyDescent="0.35">
      <c r="A14" s="299" t="s">
        <v>749</v>
      </c>
      <c r="B14" s="329" t="e">
        <f ca="1"/>
        <v>#NAME?</v>
      </c>
      <c r="C14" s="306" t="e">
        <f ca="1"/>
        <v>#NAME?</v>
      </c>
      <c r="D14" s="306" t="e">
        <f ca="1"/>
        <v>#NAME?</v>
      </c>
      <c r="E14" s="330" t="e">
        <f ca="1"/>
        <v>#NAME?</v>
      </c>
      <c r="W14" t="str">
        <f t="shared" si="21"/>
        <v>nok</v>
      </c>
      <c r="X14" t="e">
        <f t="shared" ca="1" si="22"/>
        <v>#NAME?</v>
      </c>
      <c r="Z14" t="e">
        <f t="shared" ca="1" si="23"/>
        <v>#NAME?</v>
      </c>
      <c r="AB14" t="e">
        <f ca="1"/>
        <v>#NAME?</v>
      </c>
      <c r="AC14" t="e">
        <f ca="1"/>
        <v>#NAME?</v>
      </c>
      <c r="AD14" t="e">
        <f t="shared" ca="1" si="24"/>
        <v>#NAME?</v>
      </c>
      <c r="AE14" t="e">
        <f t="shared" ca="1" si="25"/>
        <v>#NAME?</v>
      </c>
      <c r="AI14" t="str">
        <f t="shared" si="19"/>
        <v>Huawei</v>
      </c>
      <c r="AJ14" t="e">
        <f t="shared" ca="1" si="20"/>
        <v>#NAME?</v>
      </c>
      <c r="AK14" t="e">
        <f t="shared" ca="1" si="20"/>
        <v>#NAME?</v>
      </c>
    </row>
    <row r="15" spans="1:37" x14ac:dyDescent="0.35">
      <c r="A15" s="299" t="s">
        <v>750</v>
      </c>
      <c r="B15" s="329" t="e">
        <f ca="1"/>
        <v>#NAME?</v>
      </c>
      <c r="C15" s="306" t="e">
        <f ca="1"/>
        <v>#NAME?</v>
      </c>
      <c r="D15" s="306" t="e">
        <f ca="1"/>
        <v>#NAME?</v>
      </c>
      <c r="E15" s="330" t="e">
        <f ca="1"/>
        <v>#NAME?</v>
      </c>
      <c r="W15" s="40" t="str">
        <f t="shared" si="21"/>
        <v>hua</v>
      </c>
      <c r="X15" s="40" t="e">
        <f t="shared" ca="1" si="22"/>
        <v>#NAME?</v>
      </c>
      <c r="Y15" s="40"/>
      <c r="Z15" s="40" t="e">
        <f t="shared" ca="1" si="23"/>
        <v>#NAME?</v>
      </c>
      <c r="AA15" s="40"/>
      <c r="AB15" s="40" t="e">
        <f ca="1"/>
        <v>#NAME?</v>
      </c>
      <c r="AC15" s="40" t="e">
        <f ca="1"/>
        <v>#NAME?</v>
      </c>
      <c r="AD15" s="40" t="e">
        <f t="shared" ca="1" si="24"/>
        <v>#NAME?</v>
      </c>
      <c r="AE15" s="40" t="e">
        <f t="shared" ca="1" si="25"/>
        <v>#NAME?</v>
      </c>
      <c r="AF15" s="40"/>
      <c r="AG15" s="40"/>
    </row>
    <row r="16" spans="1:37" x14ac:dyDescent="0.35">
      <c r="A16" s="299" t="s">
        <v>751</v>
      </c>
      <c r="B16" s="333" t="e">
        <f ca="1"/>
        <v>#NAME?</v>
      </c>
      <c r="C16" s="334" t="e">
        <f ca="1"/>
        <v>#NAME?</v>
      </c>
      <c r="D16" s="334" t="e">
        <f ca="1"/>
        <v>#NAME?</v>
      </c>
      <c r="E16" s="335" t="e">
        <f ca="1"/>
        <v>#NAME?</v>
      </c>
      <c r="AA16">
        <f>SUMPRODUCT(Y6:Y11,Z6:Z11)</f>
        <v>0.25011805389409564</v>
      </c>
    </row>
    <row r="18" spans="23:33" x14ac:dyDescent="0.35">
      <c r="W18" t="s">
        <v>734</v>
      </c>
    </row>
    <row r="19" spans="23:33" ht="15" thickBot="1" x14ac:dyDescent="0.4"/>
    <row r="20" spans="23:33" ht="15" thickTop="1" x14ac:dyDescent="0.35">
      <c r="W20" s="94"/>
      <c r="X20" s="94" t="s">
        <v>707</v>
      </c>
      <c r="Y20" s="94" t="s">
        <v>708</v>
      </c>
      <c r="Z20" s="94" t="s">
        <v>709</v>
      </c>
      <c r="AA20" s="94" t="s">
        <v>710</v>
      </c>
      <c r="AB20" s="94" t="s">
        <v>715</v>
      </c>
      <c r="AC20" s="94" t="s">
        <v>716</v>
      </c>
      <c r="AD20" s="94" t="s">
        <v>761</v>
      </c>
      <c r="AE20" s="94" t="s">
        <v>762</v>
      </c>
      <c r="AF20" s="94" t="s">
        <v>763</v>
      </c>
      <c r="AG20" s="94" t="s">
        <v>764</v>
      </c>
    </row>
    <row r="21" spans="23:33" x14ac:dyDescent="0.35">
      <c r="W21" t="str">
        <f t="array" ref="W21:W24">TRANSPOSE(L5:O5)</f>
        <v>Apple</v>
      </c>
      <c r="X21" t="e">
        <f ca="1">AD21+AE21</f>
        <v>#NAME?</v>
      </c>
      <c r="Y21">
        <f t="array" ref="Y21:Y24">TRANSPOSE(L12:O12)</f>
        <v>0.31506849315068491</v>
      </c>
      <c r="Z21">
        <f>SUMPRODUCT((L6:L11/L12-P6:P11)^2/P6:P11)</f>
        <v>0.13434157535478899</v>
      </c>
      <c r="AA21">
        <f>(Y21*Z21)/AA$26</f>
        <v>0.16922727910094992</v>
      </c>
      <c r="AB21" t="e">
        <f t="array" aca="1" ref="AB21:AC24" ca="1">CAColFactors(B4:E9)</f>
        <v>#NAME?</v>
      </c>
      <c r="AC21" t="e">
        <f ca="1"/>
        <v>#NAME?</v>
      </c>
      <c r="AD21" t="e">
        <f ca="1">AB21^2/Z21</f>
        <v>#NAME?</v>
      </c>
      <c r="AE21" t="e">
        <f ca="1">AC21^2/Z21</f>
        <v>#NAME?</v>
      </c>
      <c r="AF21" t="e">
        <f ca="1">Y21*AB21^2/S$6</f>
        <v>#NAME?</v>
      </c>
      <c r="AG21" t="e">
        <f ca="1">Y21*AC21^2/S$7</f>
        <v>#NAME?</v>
      </c>
    </row>
    <row r="22" spans="23:33" x14ac:dyDescent="0.35">
      <c r="W22" t="str">
        <v>Samsung</v>
      </c>
      <c r="X22" t="e">
        <f t="shared" ref="X22:X24" ca="1" si="26">AD22+AE22</f>
        <v>#NAME?</v>
      </c>
      <c r="Y22">
        <v>0.28614916286149161</v>
      </c>
      <c r="Z22">
        <f>SUMPRODUCT((M6:M11/M12-P6:P11)^2/P6:P11)</f>
        <v>0.14826828347892551</v>
      </c>
      <c r="AA22">
        <f t="shared" ref="AA22:AA24" si="27">(Y22*Z22)/AA$26</f>
        <v>0.1696272801417571</v>
      </c>
      <c r="AB22" t="e">
        <f ca="1"/>
        <v>#NAME?</v>
      </c>
      <c r="AC22" t="e">
        <f ca="1"/>
        <v>#NAME?</v>
      </c>
      <c r="AD22" t="e">
        <f t="shared" ref="AD22:AD24" ca="1" si="28">AB22^2/Z22</f>
        <v>#NAME?</v>
      </c>
      <c r="AE22" t="e">
        <f t="shared" ref="AE22:AE24" ca="1" si="29">AC22^2/Z22</f>
        <v>#NAME?</v>
      </c>
      <c r="AF22" t="e">
        <f t="shared" ref="AF22:AF24" ca="1" si="30">Y22*AB22^2/S$6</f>
        <v>#NAME?</v>
      </c>
      <c r="AG22" t="e">
        <f t="shared" ref="AG22:AG24" ca="1" si="31">Y22*AC22^2/S$7</f>
        <v>#NAME?</v>
      </c>
    </row>
    <row r="23" spans="23:33" x14ac:dyDescent="0.35">
      <c r="W23" t="str">
        <v>Nokia</v>
      </c>
      <c r="X23" t="e">
        <f t="shared" ca="1" si="26"/>
        <v>#NAME?</v>
      </c>
      <c r="Y23">
        <v>0.15525114155251141</v>
      </c>
      <c r="Z23">
        <f>SUMPRODUCT((N6:N11/N12-P6:P11)^2/P6:P11)</f>
        <v>0.94381770361020201</v>
      </c>
      <c r="AA23">
        <f t="shared" si="27"/>
        <v>0.58583846156501995</v>
      </c>
      <c r="AB23" t="e">
        <f ca="1"/>
        <v>#NAME?</v>
      </c>
      <c r="AC23" t="e">
        <f ca="1"/>
        <v>#NAME?</v>
      </c>
      <c r="AD23" t="e">
        <f t="shared" ca="1" si="28"/>
        <v>#NAME?</v>
      </c>
      <c r="AE23" t="e">
        <f t="shared" ca="1" si="29"/>
        <v>#NAME?</v>
      </c>
      <c r="AF23" t="e">
        <f t="shared" ca="1" si="30"/>
        <v>#NAME?</v>
      </c>
      <c r="AG23" t="e">
        <f t="shared" ca="1" si="31"/>
        <v>#NAME?</v>
      </c>
    </row>
    <row r="24" spans="23:33" x14ac:dyDescent="0.35">
      <c r="W24" s="40" t="str">
        <v>Huawei</v>
      </c>
      <c r="X24" s="40" t="e">
        <f t="shared" ca="1" si="26"/>
        <v>#NAME?</v>
      </c>
      <c r="Y24" s="40">
        <v>0.24353120243531201</v>
      </c>
      <c r="Z24" s="40">
        <f>SUMPRODUCT((O6:O11/O12-P6:P11)^2/P6:P11)</f>
        <v>7.7343826548130656E-2</v>
      </c>
      <c r="AA24" s="40">
        <f t="shared" si="27"/>
        <v>7.5306979192272958E-2</v>
      </c>
      <c r="AB24" s="40" t="e">
        <f ca="1"/>
        <v>#NAME?</v>
      </c>
      <c r="AC24" s="40" t="e">
        <f ca="1"/>
        <v>#NAME?</v>
      </c>
      <c r="AD24" s="40" t="e">
        <f t="shared" ca="1" si="28"/>
        <v>#NAME?</v>
      </c>
      <c r="AE24" s="40" t="e">
        <f t="shared" ca="1" si="29"/>
        <v>#NAME?</v>
      </c>
      <c r="AF24" s="40" t="e">
        <f t="shared" ca="1" si="30"/>
        <v>#NAME?</v>
      </c>
      <c r="AG24" s="40" t="e">
        <f t="shared" ca="1" si="31"/>
        <v>#NAME?</v>
      </c>
    </row>
    <row r="25" spans="23:33" x14ac:dyDescent="0.35">
      <c r="W25" s="147" t="str">
        <f t="array" ref="W25">TRANSPOSE(I3)</f>
        <v>New</v>
      </c>
      <c r="X25" s="147" t="e">
        <f ca="1">AD25+AE25</f>
        <v>#NAME?</v>
      </c>
      <c r="Y25" s="147"/>
      <c r="Z25" s="147">
        <f>SUMPRODUCT((I4:I9/SUM(I4:I9)-P6:P11)^2/P6:P11)</f>
        <v>3.5811057885421597E-2</v>
      </c>
      <c r="AA25" s="147"/>
      <c r="AB25" s="147" t="e">
        <f t="array" aca="1" ref="AB25:AC25" ca="1">CAColFactors(B4:E9,I4:I9)</f>
        <v>#NAME?</v>
      </c>
      <c r="AC25" s="147" t="e">
        <f ca="1"/>
        <v>#NAME?</v>
      </c>
      <c r="AD25" s="147" t="e">
        <f ca="1">AB25^2/Z25</f>
        <v>#NAME?</v>
      </c>
      <c r="AE25" s="147" t="e">
        <f ca="1">AC25^2/Z25</f>
        <v>#NAME?</v>
      </c>
      <c r="AF25" s="147"/>
      <c r="AG25" s="147"/>
    </row>
    <row r="26" spans="23:33" x14ac:dyDescent="0.35">
      <c r="AA26">
        <f>SUMPRODUCT(Y21:Y26,Z21:Z26)</f>
        <v>0.25011805389409564</v>
      </c>
    </row>
  </sheetData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39"/>
  <dimension ref="A1:W193"/>
  <sheetViews>
    <sheetView zoomScaleNormal="100" workbookViewId="0">
      <selection activeCell="S14" sqref="S14"/>
    </sheetView>
  </sheetViews>
  <sheetFormatPr defaultRowHeight="14.5" x14ac:dyDescent="0.35"/>
  <cols>
    <col min="12" max="12" width="9.453125" customWidth="1"/>
  </cols>
  <sheetData>
    <row r="1" spans="1:21" x14ac:dyDescent="0.35">
      <c r="A1" s="42" t="s">
        <v>493</v>
      </c>
      <c r="L1" t="s">
        <v>472</v>
      </c>
    </row>
    <row r="3" spans="1:21" x14ac:dyDescent="0.3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473</v>
      </c>
    </row>
    <row r="4" spans="1:21" x14ac:dyDescent="0.3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21" x14ac:dyDescent="0.3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</row>
    <row r="6" spans="1:21" x14ac:dyDescent="0.3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">
        <v>34</v>
      </c>
      <c r="M6" s="187">
        <f>AVERAGE(B4:B123)</f>
        <v>3.7083333333333335</v>
      </c>
      <c r="N6" s="188">
        <f t="shared" ref="N6:U6" si="0">AVERAGE(C4:C123)</f>
        <v>8.1666666666666661</v>
      </c>
      <c r="O6" s="188">
        <f t="shared" si="0"/>
        <v>3.45</v>
      </c>
      <c r="P6" s="188">
        <f t="shared" si="0"/>
        <v>3.3833333333333333</v>
      </c>
      <c r="Q6" s="188">
        <f t="shared" si="0"/>
        <v>6.708333333333333</v>
      </c>
      <c r="R6" s="188">
        <f t="shared" si="0"/>
        <v>6.0083333333333337</v>
      </c>
      <c r="S6" s="188">
        <f t="shared" si="0"/>
        <v>4.8416666666666668</v>
      </c>
      <c r="T6" s="188">
        <f t="shared" si="0"/>
        <v>4.7249999999999996</v>
      </c>
      <c r="U6" s="189">
        <f t="shared" si="0"/>
        <v>7.3</v>
      </c>
    </row>
    <row r="7" spans="1:21" x14ac:dyDescent="0.3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">
        <v>474</v>
      </c>
      <c r="M7" s="83">
        <f>STDEV(B4:B123)</f>
        <v>1.2662114027786242</v>
      </c>
      <c r="N7" s="37">
        <f t="shared" ref="N7:U7" si="1">STDEV(C4:C123)</f>
        <v>0.57002629061192933</v>
      </c>
      <c r="O7" s="37">
        <f t="shared" si="1"/>
        <v>1.6492932023224043</v>
      </c>
      <c r="P7" s="37">
        <f t="shared" si="1"/>
        <v>1.0140469991704575</v>
      </c>
      <c r="Q7" s="37">
        <f t="shared" si="1"/>
        <v>0.95614626824273719</v>
      </c>
      <c r="R7" s="37">
        <f t="shared" si="1"/>
        <v>1.3688972027952755</v>
      </c>
      <c r="S7" s="37">
        <f t="shared" si="1"/>
        <v>2.5895583262266895</v>
      </c>
      <c r="T7" s="37">
        <f t="shared" si="1"/>
        <v>0.95233018071950515</v>
      </c>
      <c r="U7" s="84">
        <f t="shared" si="1"/>
        <v>0.58840333734179207</v>
      </c>
    </row>
    <row r="8" spans="1:21" x14ac:dyDescent="0.3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">
        <v>268</v>
      </c>
      <c r="M8" s="83">
        <f>SKEW(B4:B123)</f>
        <v>0.13857831473517168</v>
      </c>
      <c r="N8" s="37">
        <f t="shared" ref="N8:U8" si="2">SKEW(C4:C123)</f>
        <v>0.55879383518869019</v>
      </c>
      <c r="O8" s="37">
        <f t="shared" si="2"/>
        <v>0.60968237468969244</v>
      </c>
      <c r="P8" s="37">
        <f t="shared" si="2"/>
        <v>0.25011903407769448</v>
      </c>
      <c r="Q8" s="37">
        <f t="shared" si="2"/>
        <v>3.0992568092345463E-2</v>
      </c>
      <c r="R8" s="37">
        <f t="shared" si="2"/>
        <v>-0.23512012357640227</v>
      </c>
      <c r="S8" s="37">
        <f t="shared" si="2"/>
        <v>4.7501040439116834E-2</v>
      </c>
      <c r="T8" s="37">
        <f t="shared" si="2"/>
        <v>-7.3874092896665661E-2</v>
      </c>
      <c r="U8" s="84">
        <f t="shared" si="2"/>
        <v>0.32217223907072601</v>
      </c>
    </row>
    <row r="9" spans="1:21" x14ac:dyDescent="0.3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">
        <v>267</v>
      </c>
      <c r="M9" s="85">
        <f>KURT(B4:B123)</f>
        <v>-7.5087531931202989E-2</v>
      </c>
      <c r="N9" s="86">
        <f t="shared" ref="N9:U9" si="3">KURT(C4:C123)</f>
        <v>1.2245729768528379</v>
      </c>
      <c r="O9" s="86">
        <f t="shared" si="3"/>
        <v>-0.37097323594953835</v>
      </c>
      <c r="P9" s="86">
        <f t="shared" si="3"/>
        <v>0.79048099823017459</v>
      </c>
      <c r="Q9" s="86">
        <f t="shared" si="3"/>
        <v>-9.1985537444213339E-2</v>
      </c>
      <c r="R9" s="86">
        <f t="shared" si="3"/>
        <v>-0.42617618904263521</v>
      </c>
      <c r="S9" s="86">
        <f t="shared" si="3"/>
        <v>-0.92188768731537785</v>
      </c>
      <c r="T9" s="86">
        <f t="shared" si="3"/>
        <v>-0.24984145123189316</v>
      </c>
      <c r="U9" s="87">
        <f t="shared" si="3"/>
        <v>0.13488543363239947</v>
      </c>
    </row>
    <row r="10" spans="1:21" x14ac:dyDescent="0.3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</row>
    <row r="11" spans="1:21" x14ac:dyDescent="0.3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">
        <v>39</v>
      </c>
    </row>
    <row r="12" spans="1:21" x14ac:dyDescent="0.3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</row>
    <row r="13" spans="1:21" x14ac:dyDescent="0.3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M13" t="str">
        <f t="array" ref="M13:U13">B3:J3</f>
        <v>Expect</v>
      </c>
      <c r="N13" t="str">
        <v>Entertain</v>
      </c>
      <c r="O13" t="str">
        <v>Comm</v>
      </c>
      <c r="P13" t="str">
        <v>Expert</v>
      </c>
      <c r="Q13" t="str">
        <v>Motivate</v>
      </c>
      <c r="R13" t="str">
        <v>Caring</v>
      </c>
      <c r="S13" t="str">
        <v>Charisma</v>
      </c>
      <c r="T13" t="str">
        <v>Passion</v>
      </c>
      <c r="U13" t="str">
        <v>Friendly</v>
      </c>
    </row>
    <row r="14" spans="1:21" x14ac:dyDescent="0.3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f t="array" ref="L14:L22">TRANSPOSE(B3:J3)</f>
        <v>Expect</v>
      </c>
      <c r="M14" s="187" t="e">
        <f t="array" aca="1" ref="M14:U22" ca="1">CORR(B4:J123)</f>
        <v>#NAME?</v>
      </c>
      <c r="N14" s="188" t="e">
        <f ca="1"/>
        <v>#NAME?</v>
      </c>
      <c r="O14" s="188" t="e">
        <f ca="1"/>
        <v>#NAME?</v>
      </c>
      <c r="P14" s="188" t="e">
        <f ca="1"/>
        <v>#NAME?</v>
      </c>
      <c r="Q14" s="188" t="e">
        <f ca="1"/>
        <v>#NAME?</v>
      </c>
      <c r="R14" s="188" t="e">
        <f ca="1"/>
        <v>#NAME?</v>
      </c>
      <c r="S14" s="188" t="e">
        <f ca="1"/>
        <v>#NAME?</v>
      </c>
      <c r="T14" s="188" t="e">
        <f ca="1"/>
        <v>#NAME?</v>
      </c>
      <c r="U14" s="189" t="e">
        <f ca="1"/>
        <v>#NAME?</v>
      </c>
    </row>
    <row r="15" spans="1:21" x14ac:dyDescent="0.3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L15" t="str">
        <v>Entertain</v>
      </c>
      <c r="M15" s="83" t="e">
        <f ca="1"/>
        <v>#NAME?</v>
      </c>
      <c r="N15" s="37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7" t="e">
        <f ca="1"/>
        <v>#NAME?</v>
      </c>
      <c r="S15" s="37" t="e">
        <f ca="1"/>
        <v>#NAME?</v>
      </c>
      <c r="T15" s="37" t="e">
        <f ca="1"/>
        <v>#NAME?</v>
      </c>
      <c r="U15" s="84" t="e">
        <f ca="1"/>
        <v>#NAME?</v>
      </c>
    </row>
    <row r="16" spans="1:21" x14ac:dyDescent="0.3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t="str">
        <v>Comm</v>
      </c>
      <c r="M16" s="83" t="e">
        <f ca="1"/>
        <v>#NAME?</v>
      </c>
      <c r="N16" s="37" t="e">
        <f ca="1"/>
        <v>#NAME?</v>
      </c>
      <c r="O16" s="37" t="e">
        <f ca="1"/>
        <v>#NAME?</v>
      </c>
      <c r="P16" s="37" t="e">
        <f ca="1"/>
        <v>#NAME?</v>
      </c>
      <c r="Q16" s="37" t="e">
        <f ca="1"/>
        <v>#NAME?</v>
      </c>
      <c r="R16" s="37" t="e">
        <f ca="1"/>
        <v>#NAME?</v>
      </c>
      <c r="S16" s="37" t="e">
        <f ca="1"/>
        <v>#NAME?</v>
      </c>
      <c r="T16" s="37" t="e">
        <f ca="1"/>
        <v>#NAME?</v>
      </c>
      <c r="U16" s="84" t="e">
        <f ca="1"/>
        <v>#NAME?</v>
      </c>
    </row>
    <row r="17" spans="1:23" x14ac:dyDescent="0.3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L17" t="str">
        <v>Expert</v>
      </c>
      <c r="M17" s="83" t="e">
        <f ca="1"/>
        <v>#NAME?</v>
      </c>
      <c r="N17" s="37" t="e">
        <f ca="1"/>
        <v>#NAME?</v>
      </c>
      <c r="O17" s="37" t="e">
        <f ca="1"/>
        <v>#NAME?</v>
      </c>
      <c r="P17" s="37" t="e">
        <f ca="1"/>
        <v>#NAME?</v>
      </c>
      <c r="Q17" s="37" t="e">
        <f ca="1"/>
        <v>#NAME?</v>
      </c>
      <c r="R17" s="37" t="e">
        <f ca="1"/>
        <v>#NAME?</v>
      </c>
      <c r="S17" s="37" t="e">
        <f ca="1"/>
        <v>#NAME?</v>
      </c>
      <c r="T17" s="37" t="e">
        <f ca="1"/>
        <v>#NAME?</v>
      </c>
      <c r="U17" s="84" t="e">
        <f ca="1"/>
        <v>#NAME?</v>
      </c>
    </row>
    <row r="18" spans="1:23" x14ac:dyDescent="0.3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L18" t="str">
        <v>Motivate</v>
      </c>
      <c r="M18" s="83" t="e">
        <f ca="1"/>
        <v>#NAME?</v>
      </c>
      <c r="N18" s="37" t="e">
        <f ca="1"/>
        <v>#NAME?</v>
      </c>
      <c r="O18" s="37" t="e">
        <f ca="1"/>
        <v>#NAME?</v>
      </c>
      <c r="P18" s="37" t="e">
        <f ca="1"/>
        <v>#NAME?</v>
      </c>
      <c r="Q18" s="37" t="e">
        <f ca="1"/>
        <v>#NAME?</v>
      </c>
      <c r="R18" s="37" t="e">
        <f ca="1"/>
        <v>#NAME?</v>
      </c>
      <c r="S18" s="37" t="e">
        <f ca="1"/>
        <v>#NAME?</v>
      </c>
      <c r="T18" s="37" t="e">
        <f ca="1"/>
        <v>#NAME?</v>
      </c>
      <c r="U18" s="84" t="e">
        <f ca="1"/>
        <v>#NAME?</v>
      </c>
    </row>
    <row r="19" spans="1:23" x14ac:dyDescent="0.3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v>Caring</v>
      </c>
      <c r="M19" s="8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84" t="e">
        <f ca="1"/>
        <v>#NAME?</v>
      </c>
    </row>
    <row r="20" spans="1:23" x14ac:dyDescent="0.3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t="str">
        <v>Charisma</v>
      </c>
      <c r="M20" s="8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84" t="e">
        <f ca="1"/>
        <v>#NAME?</v>
      </c>
    </row>
    <row r="21" spans="1:23" x14ac:dyDescent="0.3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Passion</v>
      </c>
      <c r="M21" s="8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84" t="e">
        <f ca="1"/>
        <v>#NAME?</v>
      </c>
    </row>
    <row r="22" spans="1:23" x14ac:dyDescent="0.3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Friendly</v>
      </c>
      <c r="M22" s="85" t="e">
        <f ca="1"/>
        <v>#NAME?</v>
      </c>
      <c r="N22" s="86" t="e">
        <f ca="1"/>
        <v>#NAME?</v>
      </c>
      <c r="O22" s="86" t="e">
        <f ca="1"/>
        <v>#NAME?</v>
      </c>
      <c r="P22" s="86" t="e">
        <f ca="1"/>
        <v>#NAME?</v>
      </c>
      <c r="Q22" s="86" t="e">
        <f ca="1"/>
        <v>#NAME?</v>
      </c>
      <c r="R22" s="86" t="e">
        <f ca="1"/>
        <v>#NAME?</v>
      </c>
      <c r="S22" s="86" t="e">
        <f ca="1"/>
        <v>#NAME?</v>
      </c>
      <c r="T22" s="86" t="e">
        <f ca="1"/>
        <v>#NAME?</v>
      </c>
      <c r="U22" s="87" t="e">
        <f ca="1"/>
        <v>#NAME?</v>
      </c>
    </row>
    <row r="23" spans="1:23" x14ac:dyDescent="0.3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M23" t="e">
        <f ca="1">SUMSQ(M14:M22)-1</f>
        <v>#NAME?</v>
      </c>
      <c r="N23" t="e">
        <f t="shared" ref="N23:U23" ca="1" si="4">SUMSQ(N14:N22)-1</f>
        <v>#NAME?</v>
      </c>
      <c r="O23" t="e">
        <f t="shared" ca="1" si="4"/>
        <v>#NAME?</v>
      </c>
      <c r="P23" t="e">
        <f t="shared" ca="1" si="4"/>
        <v>#NAME?</v>
      </c>
      <c r="Q23" t="e">
        <f t="shared" ca="1" si="4"/>
        <v>#NAME?</v>
      </c>
      <c r="R23" t="e">
        <f t="shared" ca="1" si="4"/>
        <v>#NAME?</v>
      </c>
      <c r="S23" t="e">
        <f t="shared" ca="1" si="4"/>
        <v>#NAME?</v>
      </c>
      <c r="T23" t="e">
        <f t="shared" ca="1" si="4"/>
        <v>#NAME?</v>
      </c>
      <c r="U23" t="e">
        <f t="shared" ca="1" si="4"/>
        <v>#NAME?</v>
      </c>
      <c r="V23" t="e">
        <f ca="1">SUM(M23:U23)</f>
        <v>#NAME?</v>
      </c>
    </row>
    <row r="24" spans="1:23" x14ac:dyDescent="0.3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</row>
    <row r="25" spans="1:23" x14ac:dyDescent="0.3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">
        <v>475</v>
      </c>
    </row>
    <row r="26" spans="1:23" x14ac:dyDescent="0.3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</row>
    <row r="27" spans="1:23" x14ac:dyDescent="0.3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M27" t="str">
        <f t="array" ref="M27:U27">B3:J3</f>
        <v>Expect</v>
      </c>
      <c r="N27" t="str">
        <v>Entertain</v>
      </c>
      <c r="O27" t="str">
        <v>Comm</v>
      </c>
      <c r="P27" t="str">
        <v>Expert</v>
      </c>
      <c r="Q27" t="str">
        <v>Motivate</v>
      </c>
      <c r="R27" t="str">
        <v>Caring</v>
      </c>
      <c r="S27" t="str">
        <v>Charisma</v>
      </c>
      <c r="T27" t="str">
        <v>Passion</v>
      </c>
      <c r="U27" t="str">
        <v>Friendly</v>
      </c>
      <c r="W27" t="s">
        <v>476</v>
      </c>
    </row>
    <row r="28" spans="1:23" x14ac:dyDescent="0.3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L28" t="str">
        <f t="array" ref="L28:L36">TRANSPOSE(B3:J3)</f>
        <v>Expect</v>
      </c>
      <c r="M28" s="187" t="e">
        <f t="array" aca="1" ref="M28:U36" ca="1">MINVERSE(M14:U22)</f>
        <v>#NAME?</v>
      </c>
      <c r="N28" s="188" t="e">
        <f ca="1"/>
        <v>#NAME?</v>
      </c>
      <c r="O28" s="188" t="e">
        <f ca="1"/>
        <v>#NAME?</v>
      </c>
      <c r="P28" s="188" t="e">
        <f ca="1"/>
        <v>#NAME?</v>
      </c>
      <c r="Q28" s="188" t="e">
        <f ca="1"/>
        <v>#NAME?</v>
      </c>
      <c r="R28" s="188" t="e">
        <f ca="1"/>
        <v>#NAME?</v>
      </c>
      <c r="S28" s="188" t="e">
        <f ca="1"/>
        <v>#NAME?</v>
      </c>
      <c r="T28" s="188" t="e">
        <f ca="1"/>
        <v>#NAME?</v>
      </c>
      <c r="U28" s="189" t="e">
        <f ca="1"/>
        <v>#NAME?</v>
      </c>
      <c r="W28" s="190" t="e">
        <f t="array" aca="1" ref="W28:W36" ca="1">SQRT(DIAG(M28:U36))</f>
        <v>#NAME?</v>
      </c>
    </row>
    <row r="29" spans="1:23" x14ac:dyDescent="0.3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t="str">
        <v>Entertain</v>
      </c>
      <c r="M29" s="83" t="e">
        <f ca="1"/>
        <v>#NAME?</v>
      </c>
      <c r="N29" s="37" t="e">
        <f ca="1"/>
        <v>#NAME?</v>
      </c>
      <c r="O29" s="37" t="e">
        <f ca="1"/>
        <v>#NAME?</v>
      </c>
      <c r="P29" s="37" t="e">
        <f ca="1"/>
        <v>#NAME?</v>
      </c>
      <c r="Q29" s="37" t="e">
        <f ca="1"/>
        <v>#NAME?</v>
      </c>
      <c r="R29" s="37" t="e">
        <f ca="1"/>
        <v>#NAME?</v>
      </c>
      <c r="S29" s="37" t="e">
        <f ca="1"/>
        <v>#NAME?</v>
      </c>
      <c r="T29" s="37" t="e">
        <f ca="1"/>
        <v>#NAME?</v>
      </c>
      <c r="U29" s="84" t="e">
        <f ca="1"/>
        <v>#NAME?</v>
      </c>
      <c r="W29" s="98" t="e">
        <f ca="1"/>
        <v>#NAME?</v>
      </c>
    </row>
    <row r="30" spans="1:23" x14ac:dyDescent="0.3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L30" t="str">
        <v>Comm</v>
      </c>
      <c r="M30" s="83" t="e">
        <f ca="1"/>
        <v>#NAME?</v>
      </c>
      <c r="N30" s="37" t="e">
        <f ca="1"/>
        <v>#NAME?</v>
      </c>
      <c r="O30" s="37" t="e">
        <f ca="1"/>
        <v>#NAME?</v>
      </c>
      <c r="P30" s="37" t="e">
        <f ca="1"/>
        <v>#NAME?</v>
      </c>
      <c r="Q30" s="37" t="e">
        <f ca="1"/>
        <v>#NAME?</v>
      </c>
      <c r="R30" s="37" t="e">
        <f ca="1"/>
        <v>#NAME?</v>
      </c>
      <c r="S30" s="37" t="e">
        <f ca="1"/>
        <v>#NAME?</v>
      </c>
      <c r="T30" s="37" t="e">
        <f ca="1"/>
        <v>#NAME?</v>
      </c>
      <c r="U30" s="84" t="e">
        <f ca="1"/>
        <v>#NAME?</v>
      </c>
      <c r="W30" s="98" t="e">
        <f ca="1"/>
        <v>#NAME?</v>
      </c>
    </row>
    <row r="31" spans="1:23" x14ac:dyDescent="0.3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L31" t="str">
        <v>Expert</v>
      </c>
      <c r="M31" s="83" t="e">
        <f ca="1"/>
        <v>#NAME?</v>
      </c>
      <c r="N31" s="37" t="e">
        <f ca="1"/>
        <v>#NAME?</v>
      </c>
      <c r="O31" s="37" t="e">
        <f ca="1"/>
        <v>#NAME?</v>
      </c>
      <c r="P31" s="37" t="e">
        <f ca="1"/>
        <v>#NAME?</v>
      </c>
      <c r="Q31" s="37" t="e">
        <f ca="1"/>
        <v>#NAME?</v>
      </c>
      <c r="R31" s="37" t="e">
        <f ca="1"/>
        <v>#NAME?</v>
      </c>
      <c r="S31" s="37" t="e">
        <f ca="1"/>
        <v>#NAME?</v>
      </c>
      <c r="T31" s="37" t="e">
        <f ca="1"/>
        <v>#NAME?</v>
      </c>
      <c r="U31" s="84" t="e">
        <f ca="1"/>
        <v>#NAME?</v>
      </c>
      <c r="W31" s="98" t="e">
        <f ca="1"/>
        <v>#NAME?</v>
      </c>
    </row>
    <row r="32" spans="1:23" x14ac:dyDescent="0.3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L32" t="str">
        <v>Motivate</v>
      </c>
      <c r="M32" s="83" t="e">
        <f ca="1"/>
        <v>#NAME?</v>
      </c>
      <c r="N32" s="37" t="e">
        <f ca="1"/>
        <v>#NAME?</v>
      </c>
      <c r="O32" s="37" t="e">
        <f ca="1"/>
        <v>#NAME?</v>
      </c>
      <c r="P32" s="37" t="e">
        <f ca="1"/>
        <v>#NAME?</v>
      </c>
      <c r="Q32" s="37" t="e">
        <f ca="1"/>
        <v>#NAME?</v>
      </c>
      <c r="R32" s="37" t="e">
        <f ca="1"/>
        <v>#NAME?</v>
      </c>
      <c r="S32" s="37" t="e">
        <f ca="1"/>
        <v>#NAME?</v>
      </c>
      <c r="T32" s="37" t="e">
        <f ca="1"/>
        <v>#NAME?</v>
      </c>
      <c r="U32" s="84" t="e">
        <f ca="1"/>
        <v>#NAME?</v>
      </c>
      <c r="W32" s="98" t="e">
        <f ca="1"/>
        <v>#NAME?</v>
      </c>
    </row>
    <row r="33" spans="1:23" x14ac:dyDescent="0.3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L33" t="str">
        <v>Caring</v>
      </c>
      <c r="M33" s="83" t="e">
        <f ca="1"/>
        <v>#NAME?</v>
      </c>
      <c r="N33" s="37" t="e">
        <f ca="1"/>
        <v>#NAME?</v>
      </c>
      <c r="O33" s="37" t="e">
        <f ca="1"/>
        <v>#NAME?</v>
      </c>
      <c r="P33" s="37" t="e">
        <f ca="1"/>
        <v>#NAME?</v>
      </c>
      <c r="Q33" s="37" t="e">
        <f ca="1"/>
        <v>#NAME?</v>
      </c>
      <c r="R33" s="37" t="e">
        <f ca="1"/>
        <v>#NAME?</v>
      </c>
      <c r="S33" s="37" t="e">
        <f ca="1"/>
        <v>#NAME?</v>
      </c>
      <c r="T33" s="37" t="e">
        <f ca="1"/>
        <v>#NAME?</v>
      </c>
      <c r="U33" s="84" t="e">
        <f ca="1"/>
        <v>#NAME?</v>
      </c>
      <c r="W33" s="98" t="e">
        <f ca="1"/>
        <v>#NAME?</v>
      </c>
    </row>
    <row r="34" spans="1:23" x14ac:dyDescent="0.3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L34" t="str">
        <v>Charisma</v>
      </c>
      <c r="M34" s="83" t="e">
        <f ca="1"/>
        <v>#NAME?</v>
      </c>
      <c r="N34" s="37" t="e">
        <f ca="1"/>
        <v>#NAME?</v>
      </c>
      <c r="O34" s="37" t="e">
        <f ca="1"/>
        <v>#NAME?</v>
      </c>
      <c r="P34" s="37" t="e">
        <f ca="1"/>
        <v>#NAME?</v>
      </c>
      <c r="Q34" s="37" t="e">
        <f ca="1"/>
        <v>#NAME?</v>
      </c>
      <c r="R34" s="37" t="e">
        <f ca="1"/>
        <v>#NAME?</v>
      </c>
      <c r="S34" s="37" t="e">
        <f ca="1"/>
        <v>#NAME?</v>
      </c>
      <c r="T34" s="37" t="e">
        <f ca="1"/>
        <v>#NAME?</v>
      </c>
      <c r="U34" s="84" t="e">
        <f ca="1"/>
        <v>#NAME?</v>
      </c>
      <c r="W34" s="98" t="e">
        <f ca="1"/>
        <v>#NAME?</v>
      </c>
    </row>
    <row r="35" spans="1:23" x14ac:dyDescent="0.3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L35" t="str">
        <v>Passion</v>
      </c>
      <c r="M35" s="83" t="e">
        <f ca="1"/>
        <v>#NAME?</v>
      </c>
      <c r="N35" s="37" t="e">
        <f ca="1"/>
        <v>#NAME?</v>
      </c>
      <c r="O35" s="37" t="e">
        <f ca="1"/>
        <v>#NAME?</v>
      </c>
      <c r="P35" s="37" t="e">
        <f ca="1"/>
        <v>#NAME?</v>
      </c>
      <c r="Q35" s="37" t="e">
        <f ca="1"/>
        <v>#NAME?</v>
      </c>
      <c r="R35" s="37" t="e">
        <f ca="1"/>
        <v>#NAME?</v>
      </c>
      <c r="S35" s="37" t="e">
        <f ca="1"/>
        <v>#NAME?</v>
      </c>
      <c r="T35" s="37" t="e">
        <f ca="1"/>
        <v>#NAME?</v>
      </c>
      <c r="U35" s="84" t="e">
        <f ca="1"/>
        <v>#NAME?</v>
      </c>
      <c r="W35" s="98" t="e">
        <f ca="1"/>
        <v>#NAME?</v>
      </c>
    </row>
    <row r="36" spans="1:23" x14ac:dyDescent="0.3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L36" t="str">
        <v>Friendly</v>
      </c>
      <c r="M36" s="85" t="e">
        <f ca="1"/>
        <v>#NAME?</v>
      </c>
      <c r="N36" s="86" t="e">
        <f ca="1"/>
        <v>#NAME?</v>
      </c>
      <c r="O36" s="86" t="e">
        <f ca="1"/>
        <v>#NAME?</v>
      </c>
      <c r="P36" s="86" t="e">
        <f ca="1"/>
        <v>#NAME?</v>
      </c>
      <c r="Q36" s="86" t="e">
        <f ca="1"/>
        <v>#NAME?</v>
      </c>
      <c r="R36" s="86" t="e">
        <f ca="1"/>
        <v>#NAME?</v>
      </c>
      <c r="S36" s="86" t="e">
        <f ca="1"/>
        <v>#NAME?</v>
      </c>
      <c r="T36" s="86" t="e">
        <f ca="1"/>
        <v>#NAME?</v>
      </c>
      <c r="U36" s="87" t="e">
        <f ca="1"/>
        <v>#NAME?</v>
      </c>
      <c r="W36" s="99" t="e">
        <f ca="1"/>
        <v>#NAME?</v>
      </c>
    </row>
    <row r="37" spans="1:23" x14ac:dyDescent="0.3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</row>
    <row r="38" spans="1:23" x14ac:dyDescent="0.3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L38" t="s">
        <v>477</v>
      </c>
    </row>
    <row r="39" spans="1:23" x14ac:dyDescent="0.3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</row>
    <row r="40" spans="1:23" x14ac:dyDescent="0.3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t="str">
        <f t="array" ref="M40:U40">B3:J3</f>
        <v>Expect</v>
      </c>
      <c r="N40" t="str">
        <v>Entertain</v>
      </c>
      <c r="O40" t="str">
        <v>Comm</v>
      </c>
      <c r="P40" t="str">
        <v>Expert</v>
      </c>
      <c r="Q40" t="str">
        <v>Motivate</v>
      </c>
      <c r="R40" t="str">
        <v>Caring</v>
      </c>
      <c r="S40" t="str">
        <v>Charisma</v>
      </c>
      <c r="T40" t="str">
        <v>Passion</v>
      </c>
      <c r="U40" t="str">
        <v>Friendly</v>
      </c>
    </row>
    <row r="41" spans="1:23" x14ac:dyDescent="0.3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L41" t="str">
        <f t="array" ref="L41:L49">TRANSPOSE(B3:J3)</f>
        <v>Expect</v>
      </c>
      <c r="M41" s="187" t="e">
        <f t="array" aca="1" ref="M41:U49" ca="1">-M28:U36/MMULT(W28:W36,TRANSPOSE(W28:W36))+2*Identity()</f>
        <v>#NAME?</v>
      </c>
      <c r="N41" s="188" t="e">
        <f ca="1"/>
        <v>#NAME?</v>
      </c>
      <c r="O41" s="188" t="e">
        <f ca="1"/>
        <v>#NAME?</v>
      </c>
      <c r="P41" s="188" t="e">
        <f ca="1"/>
        <v>#NAME?</v>
      </c>
      <c r="Q41" s="188" t="e">
        <f ca="1"/>
        <v>#NAME?</v>
      </c>
      <c r="R41" s="188" t="e">
        <f ca="1"/>
        <v>#NAME?</v>
      </c>
      <c r="S41" s="188" t="e">
        <f ca="1"/>
        <v>#NAME?</v>
      </c>
      <c r="T41" s="188" t="e">
        <f ca="1"/>
        <v>#NAME?</v>
      </c>
      <c r="U41" s="189" t="e">
        <f ca="1"/>
        <v>#NAME?</v>
      </c>
    </row>
    <row r="42" spans="1:23" x14ac:dyDescent="0.3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L42" t="str">
        <v>Entertain</v>
      </c>
      <c r="M42" s="83" t="e">
        <f ca="1"/>
        <v>#NAME?</v>
      </c>
      <c r="N42" s="37" t="e">
        <f ca="1"/>
        <v>#NAME?</v>
      </c>
      <c r="O42" s="37" t="e">
        <f ca="1"/>
        <v>#NAME?</v>
      </c>
      <c r="P42" s="37" t="e">
        <f ca="1"/>
        <v>#NAME?</v>
      </c>
      <c r="Q42" s="37" t="e">
        <f ca="1"/>
        <v>#NAME?</v>
      </c>
      <c r="R42" s="37" t="e">
        <f ca="1"/>
        <v>#NAME?</v>
      </c>
      <c r="S42" s="37" t="e">
        <f ca="1"/>
        <v>#NAME?</v>
      </c>
      <c r="T42" s="37" t="e">
        <f ca="1"/>
        <v>#NAME?</v>
      </c>
      <c r="U42" s="84" t="e">
        <f ca="1"/>
        <v>#NAME?</v>
      </c>
    </row>
    <row r="43" spans="1:23" x14ac:dyDescent="0.3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L43" t="str">
        <v>Comm</v>
      </c>
      <c r="M43" s="83" t="e">
        <f ca="1"/>
        <v>#NAME?</v>
      </c>
      <c r="N43" s="37" t="e">
        <f ca="1"/>
        <v>#NAME?</v>
      </c>
      <c r="O43" s="37" t="e">
        <f ca="1"/>
        <v>#NAME?</v>
      </c>
      <c r="P43" s="37" t="e">
        <f ca="1"/>
        <v>#NAME?</v>
      </c>
      <c r="Q43" s="37" t="e">
        <f ca="1"/>
        <v>#NAME?</v>
      </c>
      <c r="R43" s="37" t="e">
        <f ca="1"/>
        <v>#NAME?</v>
      </c>
      <c r="S43" s="37" t="e">
        <f ca="1"/>
        <v>#NAME?</v>
      </c>
      <c r="T43" s="37" t="e">
        <f ca="1"/>
        <v>#NAME?</v>
      </c>
      <c r="U43" s="84" t="e">
        <f ca="1"/>
        <v>#NAME?</v>
      </c>
    </row>
    <row r="44" spans="1:23" x14ac:dyDescent="0.3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L44" t="str">
        <v>Expert</v>
      </c>
      <c r="M44" s="83" t="e">
        <f ca="1"/>
        <v>#NAME?</v>
      </c>
      <c r="N44" s="37" t="e">
        <f ca="1"/>
        <v>#NAME?</v>
      </c>
      <c r="O44" s="37" t="e">
        <f ca="1"/>
        <v>#NAME?</v>
      </c>
      <c r="P44" s="37" t="e">
        <f ca="1"/>
        <v>#NAME?</v>
      </c>
      <c r="Q44" s="37" t="e">
        <f ca="1"/>
        <v>#NAME?</v>
      </c>
      <c r="R44" s="37" t="e">
        <f ca="1"/>
        <v>#NAME?</v>
      </c>
      <c r="S44" s="37" t="e">
        <f ca="1"/>
        <v>#NAME?</v>
      </c>
      <c r="T44" s="37" t="e">
        <f ca="1"/>
        <v>#NAME?</v>
      </c>
      <c r="U44" s="84" t="e">
        <f ca="1"/>
        <v>#NAME?</v>
      </c>
    </row>
    <row r="45" spans="1:23" x14ac:dyDescent="0.3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L45" t="str">
        <v>Motivate</v>
      </c>
      <c r="M45" s="83" t="e">
        <f ca="1"/>
        <v>#NAME?</v>
      </c>
      <c r="N45" s="37" t="e">
        <f ca="1"/>
        <v>#NAME?</v>
      </c>
      <c r="O45" s="37" t="e">
        <f ca="1"/>
        <v>#NAME?</v>
      </c>
      <c r="P45" s="37" t="e">
        <f ca="1"/>
        <v>#NAME?</v>
      </c>
      <c r="Q45" s="37" t="e">
        <f ca="1"/>
        <v>#NAME?</v>
      </c>
      <c r="R45" s="37" t="e">
        <f ca="1"/>
        <v>#NAME?</v>
      </c>
      <c r="S45" s="37" t="e">
        <f ca="1"/>
        <v>#NAME?</v>
      </c>
      <c r="T45" s="37" t="e">
        <f ca="1"/>
        <v>#NAME?</v>
      </c>
      <c r="U45" s="84" t="e">
        <f ca="1"/>
        <v>#NAME?</v>
      </c>
    </row>
    <row r="46" spans="1:23" x14ac:dyDescent="0.3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L46" t="str">
        <v>Caring</v>
      </c>
      <c r="M46" s="83" t="e">
        <f ca="1"/>
        <v>#NAME?</v>
      </c>
      <c r="N46" s="37" t="e">
        <f ca="1"/>
        <v>#NAME?</v>
      </c>
      <c r="O46" s="37" t="e">
        <f ca="1"/>
        <v>#NAME?</v>
      </c>
      <c r="P46" s="37" t="e">
        <f ca="1"/>
        <v>#NAME?</v>
      </c>
      <c r="Q46" s="37" t="e">
        <f ca="1"/>
        <v>#NAME?</v>
      </c>
      <c r="R46" s="37" t="e">
        <f ca="1"/>
        <v>#NAME?</v>
      </c>
      <c r="S46" s="37" t="e">
        <f ca="1"/>
        <v>#NAME?</v>
      </c>
      <c r="T46" s="37" t="e">
        <f ca="1"/>
        <v>#NAME?</v>
      </c>
      <c r="U46" s="84" t="e">
        <f ca="1"/>
        <v>#NAME?</v>
      </c>
    </row>
    <row r="47" spans="1:23" x14ac:dyDescent="0.3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L47" t="str">
        <v>Charisma</v>
      </c>
      <c r="M47" s="83" t="e">
        <f ca="1"/>
        <v>#NAME?</v>
      </c>
      <c r="N47" s="37" t="e">
        <f ca="1"/>
        <v>#NAME?</v>
      </c>
      <c r="O47" s="37" t="e">
        <f ca="1"/>
        <v>#NAME?</v>
      </c>
      <c r="P47" s="37" t="e">
        <f ca="1"/>
        <v>#NAME?</v>
      </c>
      <c r="Q47" s="37" t="e">
        <f ca="1"/>
        <v>#NAME?</v>
      </c>
      <c r="R47" s="37" t="e">
        <f ca="1"/>
        <v>#NAME?</v>
      </c>
      <c r="S47" s="37" t="e">
        <f ca="1"/>
        <v>#NAME?</v>
      </c>
      <c r="T47" s="37" t="e">
        <f ca="1"/>
        <v>#NAME?</v>
      </c>
      <c r="U47" s="84" t="e">
        <f ca="1"/>
        <v>#NAME?</v>
      </c>
    </row>
    <row r="48" spans="1:23" x14ac:dyDescent="0.3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L48" t="str">
        <v>Passion</v>
      </c>
      <c r="M48" s="83" t="e">
        <f ca="1"/>
        <v>#NAME?</v>
      </c>
      <c r="N48" s="37" t="e">
        <f ca="1"/>
        <v>#NAME?</v>
      </c>
      <c r="O48" s="37" t="e">
        <f ca="1"/>
        <v>#NAME?</v>
      </c>
      <c r="P48" s="37" t="e">
        <f ca="1"/>
        <v>#NAME?</v>
      </c>
      <c r="Q48" s="37" t="e">
        <f ca="1"/>
        <v>#NAME?</v>
      </c>
      <c r="R48" s="37" t="e">
        <f ca="1"/>
        <v>#NAME?</v>
      </c>
      <c r="S48" s="37" t="e">
        <f ca="1"/>
        <v>#NAME?</v>
      </c>
      <c r="T48" s="37" t="e">
        <f ca="1"/>
        <v>#NAME?</v>
      </c>
      <c r="U48" s="84" t="e">
        <f ca="1"/>
        <v>#NAME?</v>
      </c>
    </row>
    <row r="49" spans="1:22" x14ac:dyDescent="0.3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L49" t="str">
        <v>Friendly</v>
      </c>
      <c r="M49" s="85" t="e">
        <f ca="1"/>
        <v>#NAME?</v>
      </c>
      <c r="N49" s="86" t="e">
        <f ca="1"/>
        <v>#NAME?</v>
      </c>
      <c r="O49" s="86" t="e">
        <f ca="1"/>
        <v>#NAME?</v>
      </c>
      <c r="P49" s="86" t="e">
        <f ca="1"/>
        <v>#NAME?</v>
      </c>
      <c r="Q49" s="86" t="e">
        <f ca="1"/>
        <v>#NAME?</v>
      </c>
      <c r="R49" s="86" t="e">
        <f ca="1"/>
        <v>#NAME?</v>
      </c>
      <c r="S49" s="86" t="e">
        <f ca="1"/>
        <v>#NAME?</v>
      </c>
      <c r="T49" s="86" t="e">
        <f ca="1"/>
        <v>#NAME?</v>
      </c>
      <c r="U49" s="87" t="e">
        <f ca="1"/>
        <v>#NAME?</v>
      </c>
    </row>
    <row r="50" spans="1:22" x14ac:dyDescent="0.3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M50" t="e">
        <f ca="1">SUMSQ(M41:M49)-1</f>
        <v>#NAME?</v>
      </c>
      <c r="N50" t="e">
        <f t="shared" ref="N50:U50" ca="1" si="5">SUMSQ(N41:N49)-1</f>
        <v>#NAME?</v>
      </c>
      <c r="O50" t="e">
        <f t="shared" ca="1" si="5"/>
        <v>#NAME?</v>
      </c>
      <c r="P50" t="e">
        <f t="shared" ca="1" si="5"/>
        <v>#NAME?</v>
      </c>
      <c r="Q50" t="e">
        <f t="shared" ca="1" si="5"/>
        <v>#NAME?</v>
      </c>
      <c r="R50" t="e">
        <f t="shared" ca="1" si="5"/>
        <v>#NAME?</v>
      </c>
      <c r="S50" t="e">
        <f t="shared" ca="1" si="5"/>
        <v>#NAME?</v>
      </c>
      <c r="T50" t="e">
        <f t="shared" ca="1" si="5"/>
        <v>#NAME?</v>
      </c>
      <c r="U50" t="e">
        <f t="shared" ca="1" si="5"/>
        <v>#NAME?</v>
      </c>
      <c r="V50" t="e">
        <f ca="1">SUM(M50:U50)</f>
        <v>#NAME?</v>
      </c>
    </row>
    <row r="51" spans="1:22" x14ac:dyDescent="0.3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22" x14ac:dyDescent="0.3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L52" t="s">
        <v>463</v>
      </c>
    </row>
    <row r="53" spans="1:22" x14ac:dyDescent="0.3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22" x14ac:dyDescent="0.3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M54" t="str">
        <f t="array" ref="M54:U54">B3:J3</f>
        <v>Expect</v>
      </c>
      <c r="N54" t="str">
        <v>Entertain</v>
      </c>
      <c r="O54" t="str">
        <v>Comm</v>
      </c>
      <c r="P54" t="str">
        <v>Expert</v>
      </c>
      <c r="Q54" t="str">
        <v>Motivate</v>
      </c>
      <c r="R54" t="str">
        <v>Caring</v>
      </c>
      <c r="S54" t="str">
        <v>Charisma</v>
      </c>
      <c r="T54" t="str">
        <v>Passion</v>
      </c>
      <c r="U54" t="str">
        <v>Friendly</v>
      </c>
    </row>
    <row r="55" spans="1:22" x14ac:dyDescent="0.3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M55" s="191" t="e">
        <f t="array" ref="M55:V55" ca="1">M23:V23/(M23:V23+M50:V50)</f>
        <v>#NAME?</v>
      </c>
      <c r="N55" s="192" t="e">
        <f ca="1"/>
        <v>#NAME?</v>
      </c>
      <c r="O55" s="192" t="e">
        <f ca="1"/>
        <v>#NAME?</v>
      </c>
      <c r="P55" s="192" t="e">
        <f ca="1"/>
        <v>#NAME?</v>
      </c>
      <c r="Q55" s="192" t="e">
        <f ca="1"/>
        <v>#NAME?</v>
      </c>
      <c r="R55" s="192" t="e">
        <f ca="1"/>
        <v>#NAME?</v>
      </c>
      <c r="S55" s="192" t="e">
        <f ca="1"/>
        <v>#NAME?</v>
      </c>
      <c r="T55" s="192" t="e">
        <f ca="1"/>
        <v>#NAME?</v>
      </c>
      <c r="U55" s="192" t="e">
        <f ca="1"/>
        <v>#NAME?</v>
      </c>
      <c r="V55" s="194" t="e">
        <f ca="1"/>
        <v>#NAME?</v>
      </c>
    </row>
    <row r="56" spans="1:22" x14ac:dyDescent="0.3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22" x14ac:dyDescent="0.3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L57" t="s">
        <v>417</v>
      </c>
    </row>
    <row r="58" spans="1:22" x14ac:dyDescent="0.3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22" x14ac:dyDescent="0.3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M59" s="191" t="e">
        <f t="array" aca="1" ref="M59:U68" ca="1">eVECTORS(M14:U22,200,FALSE)</f>
        <v>#NAME?</v>
      </c>
      <c r="N59" s="192" t="e">
        <f ca="1"/>
        <v>#NAME?</v>
      </c>
      <c r="O59" s="192" t="e">
        <f ca="1"/>
        <v>#NAME?</v>
      </c>
      <c r="P59" s="192" t="e">
        <f ca="1"/>
        <v>#NAME?</v>
      </c>
      <c r="Q59" s="192" t="e">
        <f ca="1"/>
        <v>#NAME?</v>
      </c>
      <c r="R59" s="192" t="e">
        <f ca="1"/>
        <v>#NAME?</v>
      </c>
      <c r="S59" s="192" t="e">
        <f ca="1"/>
        <v>#NAME?</v>
      </c>
      <c r="T59" s="192" t="e">
        <f ca="1"/>
        <v>#NAME?</v>
      </c>
      <c r="U59" s="193" t="e">
        <f ca="1"/>
        <v>#NAME?</v>
      </c>
    </row>
    <row r="60" spans="1:22" x14ac:dyDescent="0.3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M60" s="83" t="e">
        <f ca="1"/>
        <v>#NAME?</v>
      </c>
      <c r="N60" s="37" t="e">
        <f ca="1"/>
        <v>#NAME?</v>
      </c>
      <c r="O60" s="37" t="e">
        <f ca="1"/>
        <v>#NAME?</v>
      </c>
      <c r="P60" s="37" t="e">
        <f ca="1"/>
        <v>#NAME?</v>
      </c>
      <c r="Q60" s="37" t="e">
        <f ca="1"/>
        <v>#NAME?</v>
      </c>
      <c r="R60" s="37" t="e">
        <f ca="1"/>
        <v>#NAME?</v>
      </c>
      <c r="S60" s="37" t="e">
        <f ca="1"/>
        <v>#NAME?</v>
      </c>
      <c r="T60" s="37" t="e">
        <f ca="1"/>
        <v>#NAME?</v>
      </c>
      <c r="U60" s="84" t="e">
        <f ca="1"/>
        <v>#NAME?</v>
      </c>
    </row>
    <row r="61" spans="1:22" x14ac:dyDescent="0.3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M61" s="83" t="e">
        <f ca="1"/>
        <v>#NAME?</v>
      </c>
      <c r="N61" s="37" t="e">
        <f ca="1"/>
        <v>#NAME?</v>
      </c>
      <c r="O61" s="37" t="e">
        <f ca="1"/>
        <v>#NAME?</v>
      </c>
      <c r="P61" s="37" t="e">
        <f ca="1"/>
        <v>#NAME?</v>
      </c>
      <c r="Q61" s="37" t="e">
        <f ca="1"/>
        <v>#NAME?</v>
      </c>
      <c r="R61" s="37" t="e">
        <f ca="1"/>
        <v>#NAME?</v>
      </c>
      <c r="S61" s="37" t="e">
        <f ca="1"/>
        <v>#NAME?</v>
      </c>
      <c r="T61" s="37" t="e">
        <f ca="1"/>
        <v>#NAME?</v>
      </c>
      <c r="U61" s="84" t="e">
        <f ca="1"/>
        <v>#NAME?</v>
      </c>
    </row>
    <row r="62" spans="1:22" x14ac:dyDescent="0.3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M62" s="83" t="e">
        <f ca="1"/>
        <v>#NAME?</v>
      </c>
      <c r="N62" s="37" t="e">
        <f ca="1"/>
        <v>#NAME?</v>
      </c>
      <c r="O62" s="37" t="e">
        <f ca="1"/>
        <v>#NAME?</v>
      </c>
      <c r="P62" s="37" t="e">
        <f ca="1"/>
        <v>#NAME?</v>
      </c>
      <c r="Q62" s="37" t="e">
        <f ca="1"/>
        <v>#NAME?</v>
      </c>
      <c r="R62" s="37" t="e">
        <f ca="1"/>
        <v>#NAME?</v>
      </c>
      <c r="S62" s="37" t="e">
        <f ca="1"/>
        <v>#NAME?</v>
      </c>
      <c r="T62" s="37" t="e">
        <f ca="1"/>
        <v>#NAME?</v>
      </c>
      <c r="U62" s="84" t="e">
        <f ca="1"/>
        <v>#NAME?</v>
      </c>
    </row>
    <row r="63" spans="1:22" x14ac:dyDescent="0.3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M63" s="83" t="e">
        <f ca="1"/>
        <v>#NAME?</v>
      </c>
      <c r="N63" s="37" t="e">
        <f ca="1"/>
        <v>#NAME?</v>
      </c>
      <c r="O63" s="37" t="e">
        <f ca="1"/>
        <v>#NAME?</v>
      </c>
      <c r="P63" s="37" t="e">
        <f ca="1"/>
        <v>#NAME?</v>
      </c>
      <c r="Q63" s="37" t="e">
        <f ca="1"/>
        <v>#NAME?</v>
      </c>
      <c r="R63" s="37" t="e">
        <f ca="1"/>
        <v>#NAME?</v>
      </c>
      <c r="S63" s="37" t="e">
        <f ca="1"/>
        <v>#NAME?</v>
      </c>
      <c r="T63" s="37" t="e">
        <f ca="1"/>
        <v>#NAME?</v>
      </c>
      <c r="U63" s="84" t="e">
        <f ca="1"/>
        <v>#NAME?</v>
      </c>
    </row>
    <row r="64" spans="1:22" x14ac:dyDescent="0.3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M64" s="83" t="e">
        <f ca="1"/>
        <v>#NAME?</v>
      </c>
      <c r="N64" s="37" t="e">
        <f ca="1"/>
        <v>#NAME?</v>
      </c>
      <c r="O64" s="37" t="e">
        <f ca="1"/>
        <v>#NAME?</v>
      </c>
      <c r="P64" s="37" t="e">
        <f ca="1"/>
        <v>#NAME?</v>
      </c>
      <c r="Q64" s="37" t="e">
        <f ca="1"/>
        <v>#NAME?</v>
      </c>
      <c r="R64" s="37" t="e">
        <f ca="1"/>
        <v>#NAME?</v>
      </c>
      <c r="S64" s="37" t="e">
        <f ca="1"/>
        <v>#NAME?</v>
      </c>
      <c r="T64" s="37" t="e">
        <f ca="1"/>
        <v>#NAME?</v>
      </c>
      <c r="U64" s="84" t="e">
        <f ca="1"/>
        <v>#NAME?</v>
      </c>
    </row>
    <row r="65" spans="1:23" x14ac:dyDescent="0.3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M65" s="83" t="e">
        <f ca="1"/>
        <v>#NAME?</v>
      </c>
      <c r="N65" s="37" t="e">
        <f ca="1"/>
        <v>#NAME?</v>
      </c>
      <c r="O65" s="37" t="e">
        <f ca="1"/>
        <v>#NAME?</v>
      </c>
      <c r="P65" s="37" t="e">
        <f ca="1"/>
        <v>#NAME?</v>
      </c>
      <c r="Q65" s="37" t="e">
        <f ca="1"/>
        <v>#NAME?</v>
      </c>
      <c r="R65" s="37" t="e">
        <f ca="1"/>
        <v>#NAME?</v>
      </c>
      <c r="S65" s="37" t="e">
        <f ca="1"/>
        <v>#NAME?</v>
      </c>
      <c r="T65" s="37" t="e">
        <f ca="1"/>
        <v>#NAME?</v>
      </c>
      <c r="U65" s="84" t="e">
        <f ca="1"/>
        <v>#NAME?</v>
      </c>
    </row>
    <row r="66" spans="1:23" x14ac:dyDescent="0.3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M66" s="83" t="e">
        <f ca="1"/>
        <v>#NAME?</v>
      </c>
      <c r="N66" s="37" t="e">
        <f ca="1"/>
        <v>#NAME?</v>
      </c>
      <c r="O66" s="37" t="e">
        <f ca="1"/>
        <v>#NAME?</v>
      </c>
      <c r="P66" s="37" t="e">
        <f ca="1"/>
        <v>#NAME?</v>
      </c>
      <c r="Q66" s="37" t="e">
        <f ca="1"/>
        <v>#NAME?</v>
      </c>
      <c r="R66" s="37" t="e">
        <f ca="1"/>
        <v>#NAME?</v>
      </c>
      <c r="S66" s="37" t="e">
        <f ca="1"/>
        <v>#NAME?</v>
      </c>
      <c r="T66" s="37" t="e">
        <f ca="1"/>
        <v>#NAME?</v>
      </c>
      <c r="U66" s="84" t="e">
        <f ca="1"/>
        <v>#NAME?</v>
      </c>
    </row>
    <row r="67" spans="1:23" x14ac:dyDescent="0.3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M67" s="83" t="e">
        <f ca="1"/>
        <v>#NAME?</v>
      </c>
      <c r="N67" s="37" t="e">
        <f ca="1"/>
        <v>#NAME?</v>
      </c>
      <c r="O67" s="37" t="e">
        <f ca="1"/>
        <v>#NAME?</v>
      </c>
      <c r="P67" s="37" t="e">
        <f ca="1"/>
        <v>#NAME?</v>
      </c>
      <c r="Q67" s="37" t="e">
        <f ca="1"/>
        <v>#NAME?</v>
      </c>
      <c r="R67" s="37" t="e">
        <f ca="1"/>
        <v>#NAME?</v>
      </c>
      <c r="S67" s="37" t="e">
        <f ca="1"/>
        <v>#NAME?</v>
      </c>
      <c r="T67" s="37" t="e">
        <f ca="1"/>
        <v>#NAME?</v>
      </c>
      <c r="U67" s="84" t="e">
        <f ca="1"/>
        <v>#NAME?</v>
      </c>
    </row>
    <row r="68" spans="1:23" x14ac:dyDescent="0.3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M68" s="85" t="e">
        <f ca="1"/>
        <v>#NAME?</v>
      </c>
      <c r="N68" s="86" t="e">
        <f ca="1"/>
        <v>#NAME?</v>
      </c>
      <c r="O68" s="86" t="e">
        <f ca="1"/>
        <v>#NAME?</v>
      </c>
      <c r="P68" s="86" t="e">
        <f ca="1"/>
        <v>#NAME?</v>
      </c>
      <c r="Q68" s="86" t="e">
        <f ca="1"/>
        <v>#NAME?</v>
      </c>
      <c r="R68" s="86" t="e">
        <f ca="1"/>
        <v>#NAME?</v>
      </c>
      <c r="S68" s="86" t="e">
        <f ca="1"/>
        <v>#NAME?</v>
      </c>
      <c r="T68" s="86" t="e">
        <f ca="1"/>
        <v>#NAME?</v>
      </c>
      <c r="U68" s="87" t="e">
        <f ca="1"/>
        <v>#NAME?</v>
      </c>
    </row>
    <row r="69" spans="1:23" x14ac:dyDescent="0.3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23" x14ac:dyDescent="0.3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L70" t="s">
        <v>478</v>
      </c>
    </row>
    <row r="71" spans="1:23" x14ac:dyDescent="0.3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23" x14ac:dyDescent="0.3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M72">
        <v>1</v>
      </c>
      <c r="N72">
        <f>M72+1</f>
        <v>2</v>
      </c>
      <c r="O72">
        <f t="shared" ref="O72:U72" si="6">N72+1</f>
        <v>3</v>
      </c>
      <c r="P72">
        <f t="shared" si="6"/>
        <v>4</v>
      </c>
      <c r="Q72">
        <f t="shared" si="6"/>
        <v>5</v>
      </c>
      <c r="R72">
        <f t="shared" si="6"/>
        <v>6</v>
      </c>
      <c r="S72">
        <f t="shared" si="6"/>
        <v>7</v>
      </c>
      <c r="T72">
        <f t="shared" si="6"/>
        <v>8</v>
      </c>
      <c r="U72">
        <f t="shared" si="6"/>
        <v>9</v>
      </c>
      <c r="W72" t="s">
        <v>479</v>
      </c>
    </row>
    <row r="73" spans="1:23" x14ac:dyDescent="0.3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L73" t="str">
        <f t="array" ref="L73:L81">TRANSPOSE(B3:J3)</f>
        <v>Expect</v>
      </c>
      <c r="M73" s="187" t="e">
        <f t="array" ref="M73:U81" ca="1">M60:U68*SQRT(ABS(M59:U59))</f>
        <v>#NAME?</v>
      </c>
      <c r="N73" s="188" t="e">
        <f ca="1"/>
        <v>#NAME?</v>
      </c>
      <c r="O73" s="188" t="e">
        <f ca="1"/>
        <v>#NAME?</v>
      </c>
      <c r="P73" s="188" t="e">
        <f ca="1"/>
        <v>#NAME?</v>
      </c>
      <c r="Q73" s="188" t="e">
        <f ca="1"/>
        <v>#NAME?</v>
      </c>
      <c r="R73" s="188" t="e">
        <f ca="1"/>
        <v>#NAME?</v>
      </c>
      <c r="S73" s="188" t="e">
        <f ca="1"/>
        <v>#NAME?</v>
      </c>
      <c r="T73" s="188" t="e">
        <f ca="1"/>
        <v>#NAME?</v>
      </c>
      <c r="U73" s="189" t="e">
        <f ca="1"/>
        <v>#NAME?</v>
      </c>
      <c r="W73" s="190" t="e">
        <f ca="1">SUMSQ(M73:U73)</f>
        <v>#NAME?</v>
      </c>
    </row>
    <row r="74" spans="1:23" x14ac:dyDescent="0.3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L74" t="str">
        <v>Entertain</v>
      </c>
      <c r="M74" s="83" t="e">
        <f ca="1"/>
        <v>#NAME?</v>
      </c>
      <c r="N74" s="37" t="e">
        <f ca="1"/>
        <v>#NAME?</v>
      </c>
      <c r="O74" s="37" t="e">
        <f ca="1"/>
        <v>#NAME?</v>
      </c>
      <c r="P74" s="37" t="e">
        <f ca="1"/>
        <v>#NAME?</v>
      </c>
      <c r="Q74" s="37" t="e">
        <f ca="1"/>
        <v>#NAME?</v>
      </c>
      <c r="R74" s="37" t="e">
        <f ca="1"/>
        <v>#NAME?</v>
      </c>
      <c r="S74" s="37" t="e">
        <f ca="1"/>
        <v>#NAME?</v>
      </c>
      <c r="T74" s="37" t="e">
        <f ca="1"/>
        <v>#NAME?</v>
      </c>
      <c r="U74" s="84" t="e">
        <f ca="1"/>
        <v>#NAME?</v>
      </c>
      <c r="W74" s="98" t="e">
        <f t="shared" ref="W74:W81" ca="1" si="7">SUMSQ(M74:U74)</f>
        <v>#NAME?</v>
      </c>
    </row>
    <row r="75" spans="1:23" x14ac:dyDescent="0.3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L75" t="str">
        <v>Comm</v>
      </c>
      <c r="M75" s="83" t="e">
        <f ca="1"/>
        <v>#NAME?</v>
      </c>
      <c r="N75" s="37" t="e">
        <f ca="1"/>
        <v>#NAME?</v>
      </c>
      <c r="O75" s="37" t="e">
        <f ca="1"/>
        <v>#NAME?</v>
      </c>
      <c r="P75" s="37" t="e">
        <f ca="1"/>
        <v>#NAME?</v>
      </c>
      <c r="Q75" s="37" t="e">
        <f ca="1"/>
        <v>#NAME?</v>
      </c>
      <c r="R75" s="37" t="e">
        <f ca="1"/>
        <v>#NAME?</v>
      </c>
      <c r="S75" s="37" t="e">
        <f ca="1"/>
        <v>#NAME?</v>
      </c>
      <c r="T75" s="37" t="e">
        <f ca="1"/>
        <v>#NAME?</v>
      </c>
      <c r="U75" s="84" t="e">
        <f ca="1"/>
        <v>#NAME?</v>
      </c>
      <c r="W75" s="98" t="e">
        <f t="shared" ca="1" si="7"/>
        <v>#NAME?</v>
      </c>
    </row>
    <row r="76" spans="1:23" x14ac:dyDescent="0.3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L76" t="str">
        <v>Expert</v>
      </c>
      <c r="M76" s="83" t="e">
        <f ca="1"/>
        <v>#NAME?</v>
      </c>
      <c r="N76" s="37" t="e">
        <f ca="1"/>
        <v>#NAME?</v>
      </c>
      <c r="O76" s="37" t="e">
        <f ca="1"/>
        <v>#NAME?</v>
      </c>
      <c r="P76" s="37" t="e">
        <f ca="1"/>
        <v>#NAME?</v>
      </c>
      <c r="Q76" s="37" t="e">
        <f ca="1"/>
        <v>#NAME?</v>
      </c>
      <c r="R76" s="37" t="e">
        <f ca="1"/>
        <v>#NAME?</v>
      </c>
      <c r="S76" s="37" t="e">
        <f ca="1"/>
        <v>#NAME?</v>
      </c>
      <c r="T76" s="37" t="e">
        <f ca="1"/>
        <v>#NAME?</v>
      </c>
      <c r="U76" s="84" t="e">
        <f ca="1"/>
        <v>#NAME?</v>
      </c>
      <c r="W76" s="98" t="e">
        <f t="shared" ca="1" si="7"/>
        <v>#NAME?</v>
      </c>
    </row>
    <row r="77" spans="1:23" x14ac:dyDescent="0.3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L77" t="str">
        <v>Motivate</v>
      </c>
      <c r="M77" s="83" t="e">
        <f ca="1"/>
        <v>#NAME?</v>
      </c>
      <c r="N77" s="37" t="e">
        <f ca="1"/>
        <v>#NAME?</v>
      </c>
      <c r="O77" s="37" t="e">
        <f ca="1"/>
        <v>#NAME?</v>
      </c>
      <c r="P77" s="37" t="e">
        <f ca="1"/>
        <v>#NAME?</v>
      </c>
      <c r="Q77" s="37" t="e">
        <f ca="1"/>
        <v>#NAME?</v>
      </c>
      <c r="R77" s="37" t="e">
        <f ca="1"/>
        <v>#NAME?</v>
      </c>
      <c r="S77" s="37" t="e">
        <f ca="1"/>
        <v>#NAME?</v>
      </c>
      <c r="T77" s="37" t="e">
        <f ca="1"/>
        <v>#NAME?</v>
      </c>
      <c r="U77" s="84" t="e">
        <f ca="1"/>
        <v>#NAME?</v>
      </c>
      <c r="W77" s="98" t="e">
        <f t="shared" ca="1" si="7"/>
        <v>#NAME?</v>
      </c>
    </row>
    <row r="78" spans="1:23" x14ac:dyDescent="0.3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L78" t="str">
        <v>Caring</v>
      </c>
      <c r="M78" s="83" t="e">
        <f ca="1"/>
        <v>#NAME?</v>
      </c>
      <c r="N78" s="37" t="e">
        <f ca="1"/>
        <v>#NAME?</v>
      </c>
      <c r="O78" s="37" t="e">
        <f ca="1"/>
        <v>#NAME?</v>
      </c>
      <c r="P78" s="37" t="e">
        <f ca="1"/>
        <v>#NAME?</v>
      </c>
      <c r="Q78" s="37" t="e">
        <f ca="1"/>
        <v>#NAME?</v>
      </c>
      <c r="R78" s="37" t="e">
        <f ca="1"/>
        <v>#NAME?</v>
      </c>
      <c r="S78" s="37" t="e">
        <f ca="1"/>
        <v>#NAME?</v>
      </c>
      <c r="T78" s="37" t="e">
        <f ca="1"/>
        <v>#NAME?</v>
      </c>
      <c r="U78" s="84" t="e">
        <f ca="1"/>
        <v>#NAME?</v>
      </c>
      <c r="W78" s="98" t="e">
        <f t="shared" ca="1" si="7"/>
        <v>#NAME?</v>
      </c>
    </row>
    <row r="79" spans="1:23" x14ac:dyDescent="0.3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L79" t="str">
        <v>Charisma</v>
      </c>
      <c r="M79" s="83" t="e">
        <f ca="1"/>
        <v>#NAME?</v>
      </c>
      <c r="N79" s="37" t="e">
        <f ca="1"/>
        <v>#NAME?</v>
      </c>
      <c r="O79" s="37" t="e">
        <f ca="1"/>
        <v>#NAME?</v>
      </c>
      <c r="P79" s="37" t="e">
        <f ca="1"/>
        <v>#NAME?</v>
      </c>
      <c r="Q79" s="37" t="e">
        <f ca="1"/>
        <v>#NAME?</v>
      </c>
      <c r="R79" s="37" t="e">
        <f ca="1"/>
        <v>#NAME?</v>
      </c>
      <c r="S79" s="37" t="e">
        <f ca="1"/>
        <v>#NAME?</v>
      </c>
      <c r="T79" s="37" t="e">
        <f ca="1"/>
        <v>#NAME?</v>
      </c>
      <c r="U79" s="84" t="e">
        <f ca="1"/>
        <v>#NAME?</v>
      </c>
      <c r="W79" s="98" t="e">
        <f t="shared" ca="1" si="7"/>
        <v>#NAME?</v>
      </c>
    </row>
    <row r="80" spans="1:23" x14ac:dyDescent="0.3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L80" t="str">
        <v>Passion</v>
      </c>
      <c r="M80" s="83" t="e">
        <f ca="1"/>
        <v>#NAME?</v>
      </c>
      <c r="N80" s="37" t="e">
        <f ca="1"/>
        <v>#NAME?</v>
      </c>
      <c r="O80" s="37" t="e">
        <f ca="1"/>
        <v>#NAME?</v>
      </c>
      <c r="P80" s="37" t="e">
        <f ca="1"/>
        <v>#NAME?</v>
      </c>
      <c r="Q80" s="37" t="e">
        <f ca="1"/>
        <v>#NAME?</v>
      </c>
      <c r="R80" s="37" t="e">
        <f ca="1"/>
        <v>#NAME?</v>
      </c>
      <c r="S80" s="37" t="e">
        <f ca="1"/>
        <v>#NAME?</v>
      </c>
      <c r="T80" s="37" t="e">
        <f ca="1"/>
        <v>#NAME?</v>
      </c>
      <c r="U80" s="84" t="e">
        <f ca="1"/>
        <v>#NAME?</v>
      </c>
      <c r="W80" s="98" t="e">
        <f t="shared" ca="1" si="7"/>
        <v>#NAME?</v>
      </c>
    </row>
    <row r="81" spans="1:23" x14ac:dyDescent="0.3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L81" t="str">
        <v>Friendly</v>
      </c>
      <c r="M81" s="85" t="e">
        <f ca="1"/>
        <v>#NAME?</v>
      </c>
      <c r="N81" s="86" t="e">
        <f ca="1"/>
        <v>#NAME?</v>
      </c>
      <c r="O81" s="86" t="e">
        <f ca="1"/>
        <v>#NAME?</v>
      </c>
      <c r="P81" s="86" t="e">
        <f ca="1"/>
        <v>#NAME?</v>
      </c>
      <c r="Q81" s="86" t="e">
        <f ca="1"/>
        <v>#NAME?</v>
      </c>
      <c r="R81" s="86" t="e">
        <f ca="1"/>
        <v>#NAME?</v>
      </c>
      <c r="S81" s="86" t="e">
        <f ca="1"/>
        <v>#NAME?</v>
      </c>
      <c r="T81" s="86" t="e">
        <f ca="1"/>
        <v>#NAME?</v>
      </c>
      <c r="U81" s="87" t="e">
        <f ca="1"/>
        <v>#NAME?</v>
      </c>
      <c r="W81" s="99" t="e">
        <f t="shared" ca="1" si="7"/>
        <v>#NAME?</v>
      </c>
    </row>
    <row r="82" spans="1:23" x14ac:dyDescent="0.3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23" x14ac:dyDescent="0.3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L83" t="s">
        <v>396</v>
      </c>
    </row>
    <row r="84" spans="1:23" x14ac:dyDescent="0.3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23" x14ac:dyDescent="0.3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M85" s="32" t="s">
        <v>386</v>
      </c>
      <c r="N85" s="32" t="s">
        <v>387</v>
      </c>
      <c r="O85" s="32" t="s">
        <v>480</v>
      </c>
    </row>
    <row r="86" spans="1:23" x14ac:dyDescent="0.3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M86" s="187" t="e">
        <f t="array" aca="1" ref="M86:M94" ca="1">TRANSPOSE(M59:U59)</f>
        <v>#NAME?</v>
      </c>
      <c r="N86" s="195" t="e">
        <f ca="1">M86/M$95</f>
        <v>#NAME?</v>
      </c>
      <c r="O86" s="196" t="e">
        <f ca="1">N86</f>
        <v>#NAME?</v>
      </c>
    </row>
    <row r="87" spans="1:23" x14ac:dyDescent="0.3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  <c r="M87" s="83" t="e">
        <f ca="1"/>
        <v>#NAME?</v>
      </c>
      <c r="N87" s="197" t="e">
        <f t="shared" ref="N87:N94" ca="1" si="8">M87/M$95</f>
        <v>#NAME?</v>
      </c>
      <c r="O87" s="198" t="e">
        <f ca="1">O86+N87</f>
        <v>#NAME?</v>
      </c>
    </row>
    <row r="88" spans="1:23" x14ac:dyDescent="0.3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M88" s="83" t="e">
        <f ca="1"/>
        <v>#NAME?</v>
      </c>
      <c r="N88" s="197" t="e">
        <f t="shared" ca="1" si="8"/>
        <v>#NAME?</v>
      </c>
      <c r="O88" s="198" t="e">
        <f t="shared" ref="O88:O94" ca="1" si="9">O87+N88</f>
        <v>#NAME?</v>
      </c>
    </row>
    <row r="89" spans="1:23" x14ac:dyDescent="0.3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  <c r="M89" s="83" t="e">
        <f ca="1"/>
        <v>#NAME?</v>
      </c>
      <c r="N89" s="197" t="e">
        <f t="shared" ca="1" si="8"/>
        <v>#NAME?</v>
      </c>
      <c r="O89" s="198" t="e">
        <f t="shared" ca="1" si="9"/>
        <v>#NAME?</v>
      </c>
    </row>
    <row r="90" spans="1:23" x14ac:dyDescent="0.3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M90" s="83" t="e">
        <f ca="1"/>
        <v>#NAME?</v>
      </c>
      <c r="N90" s="197" t="e">
        <f t="shared" ca="1" si="8"/>
        <v>#NAME?</v>
      </c>
      <c r="O90" s="198" t="e">
        <f t="shared" ca="1" si="9"/>
        <v>#NAME?</v>
      </c>
    </row>
    <row r="91" spans="1:23" x14ac:dyDescent="0.3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M91" s="83" t="e">
        <f ca="1"/>
        <v>#NAME?</v>
      </c>
      <c r="N91" s="197" t="e">
        <f t="shared" ca="1" si="8"/>
        <v>#NAME?</v>
      </c>
      <c r="O91" s="198" t="e">
        <f t="shared" ca="1" si="9"/>
        <v>#NAME?</v>
      </c>
    </row>
    <row r="92" spans="1:23" x14ac:dyDescent="0.3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  <c r="M92" s="83" t="e">
        <f ca="1"/>
        <v>#NAME?</v>
      </c>
      <c r="N92" s="197" t="e">
        <f t="shared" ca="1" si="8"/>
        <v>#NAME?</v>
      </c>
      <c r="O92" s="198" t="e">
        <f t="shared" ca="1" si="9"/>
        <v>#NAME?</v>
      </c>
    </row>
    <row r="93" spans="1:23" x14ac:dyDescent="0.3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  <c r="M93" s="83" t="e">
        <f ca="1"/>
        <v>#NAME?</v>
      </c>
      <c r="N93" s="197" t="e">
        <f t="shared" ca="1" si="8"/>
        <v>#NAME?</v>
      </c>
      <c r="O93" s="198" t="e">
        <f t="shared" ca="1" si="9"/>
        <v>#NAME?</v>
      </c>
    </row>
    <row r="94" spans="1:23" x14ac:dyDescent="0.3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  <c r="M94" s="85" t="e">
        <f ca="1"/>
        <v>#NAME?</v>
      </c>
      <c r="N94" s="199" t="e">
        <f t="shared" ca="1" si="8"/>
        <v>#NAME?</v>
      </c>
      <c r="O94" s="200" t="e">
        <f t="shared" ca="1" si="9"/>
        <v>#NAME?</v>
      </c>
    </row>
    <row r="95" spans="1:23" x14ac:dyDescent="0.3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M95" t="e">
        <f ca="1">SUM(M86:M94)</f>
        <v>#NAME?</v>
      </c>
    </row>
    <row r="96" spans="1:23" x14ac:dyDescent="0.3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</row>
    <row r="97" spans="1:19" x14ac:dyDescent="0.3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L97" t="s">
        <v>481</v>
      </c>
    </row>
    <row r="98" spans="1:19" x14ac:dyDescent="0.3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</row>
    <row r="99" spans="1:19" x14ac:dyDescent="0.3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M99">
        <v>1</v>
      </c>
      <c r="N99">
        <f>M99+1</f>
        <v>2</v>
      </c>
      <c r="O99">
        <f>N99+1</f>
        <v>3</v>
      </c>
      <c r="P99">
        <f>O99+1</f>
        <v>4</v>
      </c>
      <c r="R99" t="s">
        <v>479</v>
      </c>
      <c r="S99" t="s">
        <v>482</v>
      </c>
    </row>
    <row r="100" spans="1:19" x14ac:dyDescent="0.3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L100" t="str">
        <f t="array" ref="L100:L108">TRANSPOSE(B3:J3)</f>
        <v>Expect</v>
      </c>
      <c r="M100" s="187" t="e">
        <f t="array" ref="M100:P108" ca="1">M73:P81</f>
        <v>#NAME?</v>
      </c>
      <c r="N100" s="188" t="e">
        <f ca="1"/>
        <v>#NAME?</v>
      </c>
      <c r="O100" s="188" t="e">
        <f ca="1"/>
        <v>#NAME?</v>
      </c>
      <c r="P100" s="189" t="e">
        <f ca="1"/>
        <v>#NAME?</v>
      </c>
      <c r="R100" s="190" t="e">
        <f ca="1">SUMSQ(M100:P100)</f>
        <v>#NAME?</v>
      </c>
      <c r="S100" s="190" t="e">
        <f ca="1">1-R100</f>
        <v>#NAME?</v>
      </c>
    </row>
    <row r="101" spans="1:19" x14ac:dyDescent="0.3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L101" t="str">
        <v>Entertain</v>
      </c>
      <c r="M101" s="83" t="e">
        <f ca="1"/>
        <v>#NAME?</v>
      </c>
      <c r="N101" s="37" t="e">
        <f ca="1"/>
        <v>#NAME?</v>
      </c>
      <c r="O101" s="37" t="e">
        <f ca="1"/>
        <v>#NAME?</v>
      </c>
      <c r="P101" s="84" t="e">
        <f ca="1"/>
        <v>#NAME?</v>
      </c>
      <c r="R101" s="98" t="e">
        <f t="shared" ref="R101:R108" ca="1" si="10">SUMSQ(M101:P101)</f>
        <v>#NAME?</v>
      </c>
      <c r="S101" s="98" t="e">
        <f t="shared" ref="S101:S108" ca="1" si="11">1-R101</f>
        <v>#NAME?</v>
      </c>
    </row>
    <row r="102" spans="1:19" x14ac:dyDescent="0.3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L102" t="str">
        <v>Comm</v>
      </c>
      <c r="M102" s="83" t="e">
        <f ca="1"/>
        <v>#NAME?</v>
      </c>
      <c r="N102" s="37" t="e">
        <f ca="1"/>
        <v>#NAME?</v>
      </c>
      <c r="O102" s="37" t="e">
        <f ca="1"/>
        <v>#NAME?</v>
      </c>
      <c r="P102" s="84" t="e">
        <f ca="1"/>
        <v>#NAME?</v>
      </c>
      <c r="R102" s="98" t="e">
        <f t="shared" ca="1" si="10"/>
        <v>#NAME?</v>
      </c>
      <c r="S102" s="98" t="e">
        <f t="shared" ca="1" si="11"/>
        <v>#NAME?</v>
      </c>
    </row>
    <row r="103" spans="1:19" x14ac:dyDescent="0.3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L103" t="str">
        <v>Expert</v>
      </c>
      <c r="M103" s="83" t="e">
        <f ca="1"/>
        <v>#NAME?</v>
      </c>
      <c r="N103" s="37" t="e">
        <f ca="1"/>
        <v>#NAME?</v>
      </c>
      <c r="O103" s="37" t="e">
        <f ca="1"/>
        <v>#NAME?</v>
      </c>
      <c r="P103" s="84" t="e">
        <f ca="1"/>
        <v>#NAME?</v>
      </c>
      <c r="R103" s="98" t="e">
        <f t="shared" ca="1" si="10"/>
        <v>#NAME?</v>
      </c>
      <c r="S103" s="98" t="e">
        <f t="shared" ca="1" si="11"/>
        <v>#NAME?</v>
      </c>
    </row>
    <row r="104" spans="1:19" x14ac:dyDescent="0.3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L104" t="str">
        <v>Motivate</v>
      </c>
      <c r="M104" s="83" t="e">
        <f ca="1"/>
        <v>#NAME?</v>
      </c>
      <c r="N104" s="37" t="e">
        <f ca="1"/>
        <v>#NAME?</v>
      </c>
      <c r="O104" s="37" t="e">
        <f ca="1"/>
        <v>#NAME?</v>
      </c>
      <c r="P104" s="84" t="e">
        <f ca="1"/>
        <v>#NAME?</v>
      </c>
      <c r="R104" s="98" t="e">
        <f t="shared" ca="1" si="10"/>
        <v>#NAME?</v>
      </c>
      <c r="S104" s="98" t="e">
        <f t="shared" ca="1" si="11"/>
        <v>#NAME?</v>
      </c>
    </row>
    <row r="105" spans="1:19" x14ac:dyDescent="0.35">
      <c r="A105">
        <f t="shared" ref="A105:A123" si="12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  <c r="L105" t="str">
        <v>Caring</v>
      </c>
      <c r="M105" s="83" t="e">
        <f ca="1"/>
        <v>#NAME?</v>
      </c>
      <c r="N105" s="37" t="e">
        <f ca="1"/>
        <v>#NAME?</v>
      </c>
      <c r="O105" s="37" t="e">
        <f ca="1"/>
        <v>#NAME?</v>
      </c>
      <c r="P105" s="84" t="e">
        <f ca="1"/>
        <v>#NAME?</v>
      </c>
      <c r="R105" s="98" t="e">
        <f t="shared" ca="1" si="10"/>
        <v>#NAME?</v>
      </c>
      <c r="S105" s="98" t="e">
        <f t="shared" ca="1" si="11"/>
        <v>#NAME?</v>
      </c>
    </row>
    <row r="106" spans="1:19" x14ac:dyDescent="0.35">
      <c r="A106">
        <f t="shared" si="12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L106" t="str">
        <v>Charisma</v>
      </c>
      <c r="M106" s="83" t="e">
        <f ca="1"/>
        <v>#NAME?</v>
      </c>
      <c r="N106" s="37" t="e">
        <f ca="1"/>
        <v>#NAME?</v>
      </c>
      <c r="O106" s="37" t="e">
        <f ca="1"/>
        <v>#NAME?</v>
      </c>
      <c r="P106" s="84" t="e">
        <f ca="1"/>
        <v>#NAME?</v>
      </c>
      <c r="R106" s="98" t="e">
        <f t="shared" ca="1" si="10"/>
        <v>#NAME?</v>
      </c>
      <c r="S106" s="98" t="e">
        <f t="shared" ca="1" si="11"/>
        <v>#NAME?</v>
      </c>
    </row>
    <row r="107" spans="1:19" x14ac:dyDescent="0.35">
      <c r="A107">
        <f t="shared" si="12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  <c r="L107" t="str">
        <v>Passion</v>
      </c>
      <c r="M107" s="83" t="e">
        <f ca="1"/>
        <v>#NAME?</v>
      </c>
      <c r="N107" s="37" t="e">
        <f ca="1"/>
        <v>#NAME?</v>
      </c>
      <c r="O107" s="37" t="e">
        <f ca="1"/>
        <v>#NAME?</v>
      </c>
      <c r="P107" s="84" t="e">
        <f ca="1"/>
        <v>#NAME?</v>
      </c>
      <c r="R107" s="98" t="e">
        <f t="shared" ca="1" si="10"/>
        <v>#NAME?</v>
      </c>
      <c r="S107" s="98" t="e">
        <f t="shared" ca="1" si="11"/>
        <v>#NAME?</v>
      </c>
    </row>
    <row r="108" spans="1:19" x14ac:dyDescent="0.35">
      <c r="A108">
        <f t="shared" si="12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L108" t="str">
        <v>Friendly</v>
      </c>
      <c r="M108" s="85" t="e">
        <f ca="1"/>
        <v>#NAME?</v>
      </c>
      <c r="N108" s="86" t="e">
        <f ca="1"/>
        <v>#NAME?</v>
      </c>
      <c r="O108" s="86" t="e">
        <f ca="1"/>
        <v>#NAME?</v>
      </c>
      <c r="P108" s="87" t="e">
        <f ca="1"/>
        <v>#NAME?</v>
      </c>
      <c r="R108" s="99" t="e">
        <f t="shared" ca="1" si="10"/>
        <v>#NAME?</v>
      </c>
      <c r="S108" s="99" t="e">
        <f t="shared" ca="1" si="11"/>
        <v>#NAME?</v>
      </c>
    </row>
    <row r="109" spans="1:19" x14ac:dyDescent="0.35">
      <c r="A109">
        <f t="shared" si="12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M109" t="e">
        <f ca="1">SUMSQ(M100:M108)</f>
        <v>#NAME?</v>
      </c>
      <c r="N109" t="e">
        <f ca="1">SUMSQ(N100:N108)</f>
        <v>#NAME?</v>
      </c>
      <c r="O109" t="e">
        <f ca="1">SUMSQ(O100:O108)</f>
        <v>#NAME?</v>
      </c>
      <c r="P109" t="e">
        <f ca="1">SUMSQ(P100:P108)</f>
        <v>#NAME?</v>
      </c>
      <c r="R109" t="e">
        <f ca="1">SUM(R100:R108)</f>
        <v>#NAME?</v>
      </c>
      <c r="S109" t="e">
        <f ca="1">SUM(S100:S108)</f>
        <v>#NAME?</v>
      </c>
    </row>
    <row r="110" spans="1:19" x14ac:dyDescent="0.35">
      <c r="A110">
        <f t="shared" si="12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</row>
    <row r="111" spans="1:19" x14ac:dyDescent="0.35">
      <c r="A111">
        <f t="shared" si="12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L111" t="s">
        <v>483</v>
      </c>
    </row>
    <row r="112" spans="1:19" x14ac:dyDescent="0.35">
      <c r="A112">
        <f t="shared" si="12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</row>
    <row r="113" spans="1:21" x14ac:dyDescent="0.35">
      <c r="A113">
        <f t="shared" si="12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M113">
        <v>1</v>
      </c>
      <c r="N113">
        <f>M113+1</f>
        <v>2</v>
      </c>
      <c r="O113">
        <f>N113+1</f>
        <v>3</v>
      </c>
      <c r="P113">
        <f>O113+1</f>
        <v>4</v>
      </c>
      <c r="R113" t="s">
        <v>479</v>
      </c>
      <c r="S113" t="s">
        <v>482</v>
      </c>
    </row>
    <row r="114" spans="1:21" x14ac:dyDescent="0.35">
      <c r="A114">
        <f t="shared" si="12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L114" t="str">
        <f t="array" ref="L114:L122">TRANSPOSE(B3:J3)</f>
        <v>Expect</v>
      </c>
      <c r="M114" s="187" t="e">
        <f t="array" aca="1" ref="M114:P122" ca="1">VARIMAX(M100:P108,100)</f>
        <v>#NAME?</v>
      </c>
      <c r="N114" s="188" t="e">
        <f ca="1"/>
        <v>#NAME?</v>
      </c>
      <c r="O114" s="188" t="e">
        <f ca="1"/>
        <v>#NAME?</v>
      </c>
      <c r="P114" s="189" t="e">
        <f ca="1"/>
        <v>#NAME?</v>
      </c>
      <c r="R114" s="190" t="e">
        <f ca="1">SUMSQ(M114:P114)</f>
        <v>#NAME?</v>
      </c>
      <c r="S114" s="190" t="e">
        <f ca="1">1-R114</f>
        <v>#NAME?</v>
      </c>
    </row>
    <row r="115" spans="1:21" x14ac:dyDescent="0.35">
      <c r="A115">
        <f t="shared" si="12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L115" t="str">
        <v>Entertain</v>
      </c>
      <c r="M115" s="83" t="e">
        <f ca="1"/>
        <v>#NAME?</v>
      </c>
      <c r="N115" s="37" t="e">
        <f ca="1"/>
        <v>#NAME?</v>
      </c>
      <c r="O115" s="37" t="e">
        <f ca="1"/>
        <v>#NAME?</v>
      </c>
      <c r="P115" s="84" t="e">
        <f ca="1"/>
        <v>#NAME?</v>
      </c>
      <c r="R115" s="98" t="e">
        <f t="shared" ref="R115:R122" ca="1" si="13">SUMSQ(M115:P115)</f>
        <v>#NAME?</v>
      </c>
      <c r="S115" s="98" t="e">
        <f t="shared" ref="S115:S122" ca="1" si="14">1-R115</f>
        <v>#NAME?</v>
      </c>
    </row>
    <row r="116" spans="1:21" x14ac:dyDescent="0.35">
      <c r="A116">
        <f t="shared" si="12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L116" t="str">
        <v>Comm</v>
      </c>
      <c r="M116" s="83" t="e">
        <f ca="1"/>
        <v>#NAME?</v>
      </c>
      <c r="N116" s="37" t="e">
        <f ca="1"/>
        <v>#NAME?</v>
      </c>
      <c r="O116" s="37" t="e">
        <f ca="1"/>
        <v>#NAME?</v>
      </c>
      <c r="P116" s="84" t="e">
        <f ca="1"/>
        <v>#NAME?</v>
      </c>
      <c r="R116" s="98" t="e">
        <f t="shared" ca="1" si="13"/>
        <v>#NAME?</v>
      </c>
      <c r="S116" s="98" t="e">
        <f t="shared" ca="1" si="14"/>
        <v>#NAME?</v>
      </c>
    </row>
    <row r="117" spans="1:21" x14ac:dyDescent="0.35">
      <c r="A117">
        <f t="shared" si="12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L117" t="str">
        <v>Expert</v>
      </c>
      <c r="M117" s="83" t="e">
        <f ca="1"/>
        <v>#NAME?</v>
      </c>
      <c r="N117" s="37" t="e">
        <f ca="1"/>
        <v>#NAME?</v>
      </c>
      <c r="O117" s="37" t="e">
        <f ca="1"/>
        <v>#NAME?</v>
      </c>
      <c r="P117" s="84" t="e">
        <f ca="1"/>
        <v>#NAME?</v>
      </c>
      <c r="R117" s="98" t="e">
        <f t="shared" ca="1" si="13"/>
        <v>#NAME?</v>
      </c>
      <c r="S117" s="98" t="e">
        <f t="shared" ca="1" si="14"/>
        <v>#NAME?</v>
      </c>
    </row>
    <row r="118" spans="1:21" x14ac:dyDescent="0.35">
      <c r="A118">
        <f t="shared" si="12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  <c r="L118" t="str">
        <v>Motivate</v>
      </c>
      <c r="M118" s="83" t="e">
        <f ca="1"/>
        <v>#NAME?</v>
      </c>
      <c r="N118" s="37" t="e">
        <f ca="1"/>
        <v>#NAME?</v>
      </c>
      <c r="O118" s="37" t="e">
        <f ca="1"/>
        <v>#NAME?</v>
      </c>
      <c r="P118" s="84" t="e">
        <f ca="1"/>
        <v>#NAME?</v>
      </c>
      <c r="R118" s="98" t="e">
        <f t="shared" ca="1" si="13"/>
        <v>#NAME?</v>
      </c>
      <c r="S118" s="98" t="e">
        <f t="shared" ca="1" si="14"/>
        <v>#NAME?</v>
      </c>
    </row>
    <row r="119" spans="1:21" x14ac:dyDescent="0.35">
      <c r="A119">
        <f t="shared" si="12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L119" t="str">
        <v>Caring</v>
      </c>
      <c r="M119" s="83" t="e">
        <f ca="1"/>
        <v>#NAME?</v>
      </c>
      <c r="N119" s="37" t="e">
        <f ca="1"/>
        <v>#NAME?</v>
      </c>
      <c r="O119" s="37" t="e">
        <f ca="1"/>
        <v>#NAME?</v>
      </c>
      <c r="P119" s="84" t="e">
        <f ca="1"/>
        <v>#NAME?</v>
      </c>
      <c r="R119" s="98" t="e">
        <f t="shared" ca="1" si="13"/>
        <v>#NAME?</v>
      </c>
      <c r="S119" s="98" t="e">
        <f t="shared" ca="1" si="14"/>
        <v>#NAME?</v>
      </c>
    </row>
    <row r="120" spans="1:21" x14ac:dyDescent="0.35">
      <c r="A120">
        <f t="shared" si="12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  <c r="L120" t="str">
        <v>Charisma</v>
      </c>
      <c r="M120" s="83" t="e">
        <f ca="1"/>
        <v>#NAME?</v>
      </c>
      <c r="N120" s="37" t="e">
        <f ca="1"/>
        <v>#NAME?</v>
      </c>
      <c r="O120" s="37" t="e">
        <f ca="1"/>
        <v>#NAME?</v>
      </c>
      <c r="P120" s="84" t="e">
        <f ca="1"/>
        <v>#NAME?</v>
      </c>
      <c r="R120" s="98" t="e">
        <f t="shared" ca="1" si="13"/>
        <v>#NAME?</v>
      </c>
      <c r="S120" s="98" t="e">
        <f t="shared" ca="1" si="14"/>
        <v>#NAME?</v>
      </c>
    </row>
    <row r="121" spans="1:21" x14ac:dyDescent="0.35">
      <c r="A121">
        <f t="shared" si="12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L121" t="str">
        <v>Passion</v>
      </c>
      <c r="M121" s="83" t="e">
        <f ca="1"/>
        <v>#NAME?</v>
      </c>
      <c r="N121" s="37" t="e">
        <f ca="1"/>
        <v>#NAME?</v>
      </c>
      <c r="O121" s="37" t="e">
        <f ca="1"/>
        <v>#NAME?</v>
      </c>
      <c r="P121" s="84" t="e">
        <f ca="1"/>
        <v>#NAME?</v>
      </c>
      <c r="R121" s="98" t="e">
        <f t="shared" ca="1" si="13"/>
        <v>#NAME?</v>
      </c>
      <c r="S121" s="98" t="e">
        <f t="shared" ca="1" si="14"/>
        <v>#NAME?</v>
      </c>
    </row>
    <row r="122" spans="1:21" x14ac:dyDescent="0.35">
      <c r="A122">
        <f t="shared" si="12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L122" t="str">
        <v>Friendly</v>
      </c>
      <c r="M122" s="85" t="e">
        <f ca="1"/>
        <v>#NAME?</v>
      </c>
      <c r="N122" s="86" t="e">
        <f ca="1"/>
        <v>#NAME?</v>
      </c>
      <c r="O122" s="86" t="e">
        <f ca="1"/>
        <v>#NAME?</v>
      </c>
      <c r="P122" s="87" t="e">
        <f ca="1"/>
        <v>#NAME?</v>
      </c>
      <c r="R122" s="99" t="e">
        <f t="shared" ca="1" si="13"/>
        <v>#NAME?</v>
      </c>
      <c r="S122" s="99" t="e">
        <f t="shared" ca="1" si="14"/>
        <v>#NAME?</v>
      </c>
    </row>
    <row r="123" spans="1:21" x14ac:dyDescent="0.35">
      <c r="A123">
        <f t="shared" si="12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M123" t="e">
        <f ca="1">SUMSQ(M114:M122)</f>
        <v>#NAME?</v>
      </c>
      <c r="N123" t="e">
        <f ca="1">SUMSQ(N114:N122)</f>
        <v>#NAME?</v>
      </c>
      <c r="O123" t="e">
        <f ca="1">SUMSQ(O114:O122)</f>
        <v>#NAME?</v>
      </c>
      <c r="P123" t="e">
        <f ca="1">SUMSQ(P114:P122)</f>
        <v>#NAME?</v>
      </c>
      <c r="R123" t="e">
        <f ca="1">SUM(R114:R122)</f>
        <v>#NAME?</v>
      </c>
      <c r="S123" t="e">
        <f ca="1">SUM(S114:S122)</f>
        <v>#NAME?</v>
      </c>
    </row>
    <row r="124" spans="1:21" x14ac:dyDescent="0.35"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1" x14ac:dyDescent="0.35">
      <c r="B125" s="47" t="str">
        <f>B3</f>
        <v>Expect</v>
      </c>
      <c r="C125" s="47" t="str">
        <f t="shared" ref="C125:J125" si="15">C3</f>
        <v>Entertain</v>
      </c>
      <c r="D125" s="47" t="str">
        <f t="shared" si="15"/>
        <v>Comm</v>
      </c>
      <c r="E125" s="47" t="str">
        <f t="shared" si="15"/>
        <v>Expert</v>
      </c>
      <c r="F125" s="47" t="str">
        <f t="shared" si="15"/>
        <v>Motivate</v>
      </c>
      <c r="G125" s="47" t="str">
        <f t="shared" si="15"/>
        <v>Caring</v>
      </c>
      <c r="H125" s="47" t="str">
        <f t="shared" si="15"/>
        <v>Charisma</v>
      </c>
      <c r="I125" s="47" t="str">
        <f t="shared" si="15"/>
        <v>Passion</v>
      </c>
      <c r="J125" s="47" t="str">
        <f t="shared" si="15"/>
        <v>Friendly</v>
      </c>
      <c r="L125" t="s">
        <v>484</v>
      </c>
    </row>
    <row r="126" spans="1:21" x14ac:dyDescent="0.35">
      <c r="A126" t="s">
        <v>48</v>
      </c>
      <c r="B126" s="156">
        <f>AVERAGE(B4:B123)</f>
        <v>3.7083333333333335</v>
      </c>
      <c r="C126" s="157">
        <f t="shared" ref="C126:J126" si="16">AVERAGE(C4:C123)</f>
        <v>8.1666666666666661</v>
      </c>
      <c r="D126" s="157">
        <f t="shared" si="16"/>
        <v>3.45</v>
      </c>
      <c r="E126" s="157">
        <f t="shared" si="16"/>
        <v>3.3833333333333333</v>
      </c>
      <c r="F126" s="157">
        <f t="shared" si="16"/>
        <v>6.708333333333333</v>
      </c>
      <c r="G126" s="157">
        <f t="shared" si="16"/>
        <v>6.0083333333333337</v>
      </c>
      <c r="H126" s="157">
        <f t="shared" si="16"/>
        <v>4.8416666666666668</v>
      </c>
      <c r="I126" s="157">
        <f t="shared" si="16"/>
        <v>4.7249999999999996</v>
      </c>
      <c r="J126" s="158">
        <f t="shared" si="16"/>
        <v>7.3</v>
      </c>
    </row>
    <row r="127" spans="1:21" x14ac:dyDescent="0.35">
      <c r="A127" t="s">
        <v>49</v>
      </c>
      <c r="B127" s="123">
        <f>STDEV(B4:B123)</f>
        <v>1.2662114027786242</v>
      </c>
      <c r="C127" s="37">
        <f t="shared" ref="C127:J127" si="17">STDEV(C4:C123)</f>
        <v>0.57002629061192933</v>
      </c>
      <c r="D127" s="37">
        <f t="shared" si="17"/>
        <v>1.6492932023224043</v>
      </c>
      <c r="E127" s="37">
        <f t="shared" si="17"/>
        <v>1.0140469991704575</v>
      </c>
      <c r="F127" s="37">
        <f t="shared" si="17"/>
        <v>0.95614626824273719</v>
      </c>
      <c r="G127" s="37">
        <f t="shared" si="17"/>
        <v>1.3688972027952755</v>
      </c>
      <c r="H127" s="37">
        <f t="shared" si="17"/>
        <v>2.5895583262266895</v>
      </c>
      <c r="I127" s="37">
        <f t="shared" si="17"/>
        <v>0.95233018071950515</v>
      </c>
      <c r="J127" s="90">
        <f t="shared" si="17"/>
        <v>0.58840333734179207</v>
      </c>
      <c r="M127" t="str">
        <f t="array" ref="M127:U127">B3:J3</f>
        <v>Expect</v>
      </c>
      <c r="N127" t="str">
        <v>Entertain</v>
      </c>
      <c r="O127" t="str">
        <v>Comm</v>
      </c>
      <c r="P127" t="str">
        <v>Expert</v>
      </c>
      <c r="Q127" t="str">
        <v>Motivate</v>
      </c>
      <c r="R127" t="str">
        <v>Caring</v>
      </c>
      <c r="S127" t="str">
        <v>Charisma</v>
      </c>
      <c r="T127" t="str">
        <v>Passion</v>
      </c>
      <c r="U127" t="str">
        <v>Friendly</v>
      </c>
    </row>
    <row r="128" spans="1:21" x14ac:dyDescent="0.35">
      <c r="A128" t="s">
        <v>394</v>
      </c>
      <c r="B128" s="123">
        <f>SKEW(B4:B123)</f>
        <v>0.13857831473517168</v>
      </c>
      <c r="C128" s="37">
        <f t="shared" ref="C128:J128" si="18">SKEW(C4:C123)</f>
        <v>0.55879383518869019</v>
      </c>
      <c r="D128" s="37">
        <f t="shared" si="18"/>
        <v>0.60968237468969244</v>
      </c>
      <c r="E128" s="37">
        <f t="shared" si="18"/>
        <v>0.25011903407769448</v>
      </c>
      <c r="F128" s="37">
        <f t="shared" si="18"/>
        <v>3.0992568092345463E-2</v>
      </c>
      <c r="G128" s="37">
        <f t="shared" si="18"/>
        <v>-0.23512012357640227</v>
      </c>
      <c r="H128" s="37">
        <f t="shared" si="18"/>
        <v>4.7501040439116834E-2</v>
      </c>
      <c r="I128" s="37">
        <f t="shared" si="18"/>
        <v>-7.3874092896665661E-2</v>
      </c>
      <c r="J128" s="90">
        <f t="shared" si="18"/>
        <v>0.32217223907072601</v>
      </c>
      <c r="L128" t="str">
        <f t="array" ref="L128:L136">TRANSPOSE(B3:J3)</f>
        <v>Expect</v>
      </c>
      <c r="M128" s="187" t="e">
        <f t="array" aca="1" ref="M128:U136" ca="1">MMULT(M100:P108,TRANSPOSE(M100:P108))</f>
        <v>#NAME?</v>
      </c>
      <c r="N128" s="188" t="e">
        <f ca="1"/>
        <v>#NAME?</v>
      </c>
      <c r="O128" s="188" t="e">
        <f ca="1"/>
        <v>#NAME?</v>
      </c>
      <c r="P128" s="188" t="e">
        <f ca="1"/>
        <v>#NAME?</v>
      </c>
      <c r="Q128" s="188" t="e">
        <f ca="1"/>
        <v>#NAME?</v>
      </c>
      <c r="R128" s="188" t="e">
        <f ca="1"/>
        <v>#NAME?</v>
      </c>
      <c r="S128" s="188" t="e">
        <f ca="1"/>
        <v>#NAME?</v>
      </c>
      <c r="T128" s="188" t="e">
        <f ca="1"/>
        <v>#NAME?</v>
      </c>
      <c r="U128" s="189" t="e">
        <f ca="1"/>
        <v>#NAME?</v>
      </c>
    </row>
    <row r="129" spans="1:21" x14ac:dyDescent="0.35">
      <c r="A129" s="60" t="s">
        <v>395</v>
      </c>
      <c r="B129" s="91">
        <f>KURT(B4:B123)</f>
        <v>-7.5087531931202989E-2</v>
      </c>
      <c r="C129" s="92">
        <f t="shared" ref="C129:J129" si="19">KURT(C4:C123)</f>
        <v>1.2245729768528379</v>
      </c>
      <c r="D129" s="92">
        <f t="shared" si="19"/>
        <v>-0.37097323594953835</v>
      </c>
      <c r="E129" s="92">
        <f t="shared" si="19"/>
        <v>0.79048099823017459</v>
      </c>
      <c r="F129" s="92">
        <f t="shared" si="19"/>
        <v>-9.1985537444213339E-2</v>
      </c>
      <c r="G129" s="92">
        <f t="shared" si="19"/>
        <v>-0.42617618904263521</v>
      </c>
      <c r="H129" s="92">
        <f t="shared" si="19"/>
        <v>-0.92188768731537785</v>
      </c>
      <c r="I129" s="92">
        <f t="shared" si="19"/>
        <v>-0.24984145123189316</v>
      </c>
      <c r="J129" s="93">
        <f t="shared" si="19"/>
        <v>0.13488543363239947</v>
      </c>
      <c r="L129" t="str">
        <v>Entertain</v>
      </c>
      <c r="M129" s="83" t="e">
        <f ca="1"/>
        <v>#NAME?</v>
      </c>
      <c r="N129" s="37" t="e">
        <f ca="1"/>
        <v>#NAME?</v>
      </c>
      <c r="O129" s="37" t="e">
        <f ca="1"/>
        <v>#NAME?</v>
      </c>
      <c r="P129" s="37" t="e">
        <f ca="1"/>
        <v>#NAME?</v>
      </c>
      <c r="Q129" s="37" t="e">
        <f ca="1"/>
        <v>#NAME?</v>
      </c>
      <c r="R129" s="37" t="e">
        <f ca="1"/>
        <v>#NAME?</v>
      </c>
      <c r="S129" s="37" t="e">
        <f ca="1"/>
        <v>#NAME?</v>
      </c>
      <c r="T129" s="37" t="e">
        <f ca="1"/>
        <v>#NAME?</v>
      </c>
      <c r="U129" s="84" t="e">
        <f ca="1"/>
        <v>#NAME?</v>
      </c>
    </row>
    <row r="130" spans="1:21" x14ac:dyDescent="0.35">
      <c r="L130" t="str">
        <v>Comm</v>
      </c>
      <c r="M130" s="83" t="e">
        <f ca="1"/>
        <v>#NAME?</v>
      </c>
      <c r="N130" s="37" t="e">
        <f ca="1"/>
        <v>#NAME?</v>
      </c>
      <c r="O130" s="37" t="e">
        <f ca="1"/>
        <v>#NAME?</v>
      </c>
      <c r="P130" s="37" t="e">
        <f ca="1"/>
        <v>#NAME?</v>
      </c>
      <c r="Q130" s="37" t="e">
        <f ca="1"/>
        <v>#NAME?</v>
      </c>
      <c r="R130" s="37" t="e">
        <f ca="1"/>
        <v>#NAME?</v>
      </c>
      <c r="S130" s="37" t="e">
        <f ca="1"/>
        <v>#NAME?</v>
      </c>
      <c r="T130" s="37" t="e">
        <f ca="1"/>
        <v>#NAME?</v>
      </c>
      <c r="U130" s="84" t="e">
        <f ca="1"/>
        <v>#NAME?</v>
      </c>
    </row>
    <row r="131" spans="1:21" x14ac:dyDescent="0.35">
      <c r="L131" t="str">
        <v>Expert</v>
      </c>
      <c r="M131" s="83" t="e">
        <f ca="1"/>
        <v>#NAME?</v>
      </c>
      <c r="N131" s="37" t="e">
        <f ca="1"/>
        <v>#NAME?</v>
      </c>
      <c r="O131" s="37" t="e">
        <f ca="1"/>
        <v>#NAME?</v>
      </c>
      <c r="P131" s="37" t="e">
        <f ca="1"/>
        <v>#NAME?</v>
      </c>
      <c r="Q131" s="37" t="e">
        <f ca="1"/>
        <v>#NAME?</v>
      </c>
      <c r="R131" s="37" t="e">
        <f ca="1"/>
        <v>#NAME?</v>
      </c>
      <c r="S131" s="37" t="e">
        <f ca="1"/>
        <v>#NAME?</v>
      </c>
      <c r="T131" s="37" t="e">
        <f ca="1"/>
        <v>#NAME?</v>
      </c>
      <c r="U131" s="84" t="e">
        <f ca="1"/>
        <v>#NAME?</v>
      </c>
    </row>
    <row r="132" spans="1:21" x14ac:dyDescent="0.35">
      <c r="L132" t="str">
        <v>Motivate</v>
      </c>
      <c r="M132" s="83" t="e">
        <f ca="1"/>
        <v>#NAME?</v>
      </c>
      <c r="N132" s="37" t="e">
        <f ca="1"/>
        <v>#NAME?</v>
      </c>
      <c r="O132" s="37" t="e">
        <f ca="1"/>
        <v>#NAME?</v>
      </c>
      <c r="P132" s="37" t="e">
        <f ca="1"/>
        <v>#NAME?</v>
      </c>
      <c r="Q132" s="37" t="e">
        <f ca="1"/>
        <v>#NAME?</v>
      </c>
      <c r="R132" s="37" t="e">
        <f ca="1"/>
        <v>#NAME?</v>
      </c>
      <c r="S132" s="37" t="e">
        <f ca="1"/>
        <v>#NAME?</v>
      </c>
      <c r="T132" s="37" t="e">
        <f ca="1"/>
        <v>#NAME?</v>
      </c>
      <c r="U132" s="84" t="e">
        <f ca="1"/>
        <v>#NAME?</v>
      </c>
    </row>
    <row r="133" spans="1:21" x14ac:dyDescent="0.35">
      <c r="L133" t="str">
        <v>Caring</v>
      </c>
      <c r="M133" s="83" t="e">
        <f ca="1"/>
        <v>#NAME?</v>
      </c>
      <c r="N133" s="37" t="e">
        <f ca="1"/>
        <v>#NAME?</v>
      </c>
      <c r="O133" s="37" t="e">
        <f ca="1"/>
        <v>#NAME?</v>
      </c>
      <c r="P133" s="37" t="e">
        <f ca="1"/>
        <v>#NAME?</v>
      </c>
      <c r="Q133" s="37" t="e">
        <f ca="1"/>
        <v>#NAME?</v>
      </c>
      <c r="R133" s="37" t="e">
        <f ca="1"/>
        <v>#NAME?</v>
      </c>
      <c r="S133" s="37" t="e">
        <f ca="1"/>
        <v>#NAME?</v>
      </c>
      <c r="T133" s="37" t="e">
        <f ca="1"/>
        <v>#NAME?</v>
      </c>
      <c r="U133" s="84" t="e">
        <f ca="1"/>
        <v>#NAME?</v>
      </c>
    </row>
    <row r="134" spans="1:21" x14ac:dyDescent="0.35">
      <c r="L134" t="str">
        <v>Charisma</v>
      </c>
      <c r="M134" s="83" t="e">
        <f ca="1"/>
        <v>#NAME?</v>
      </c>
      <c r="N134" s="37" t="e">
        <f ca="1"/>
        <v>#NAME?</v>
      </c>
      <c r="O134" s="37" t="e">
        <f ca="1"/>
        <v>#NAME?</v>
      </c>
      <c r="P134" s="37" t="e">
        <f ca="1"/>
        <v>#NAME?</v>
      </c>
      <c r="Q134" s="37" t="e">
        <f ca="1"/>
        <v>#NAME?</v>
      </c>
      <c r="R134" s="37" t="e">
        <f ca="1"/>
        <v>#NAME?</v>
      </c>
      <c r="S134" s="37" t="e">
        <f ca="1"/>
        <v>#NAME?</v>
      </c>
      <c r="T134" s="37" t="e">
        <f ca="1"/>
        <v>#NAME?</v>
      </c>
      <c r="U134" s="84" t="e">
        <f ca="1"/>
        <v>#NAME?</v>
      </c>
    </row>
    <row r="135" spans="1:21" x14ac:dyDescent="0.35">
      <c r="L135" t="str">
        <v>Passion</v>
      </c>
      <c r="M135" s="83" t="e">
        <f ca="1"/>
        <v>#NAME?</v>
      </c>
      <c r="N135" s="37" t="e">
        <f ca="1"/>
        <v>#NAME?</v>
      </c>
      <c r="O135" s="37" t="e">
        <f ca="1"/>
        <v>#NAME?</v>
      </c>
      <c r="P135" s="37" t="e">
        <f ca="1"/>
        <v>#NAME?</v>
      </c>
      <c r="Q135" s="37" t="e">
        <f ca="1"/>
        <v>#NAME?</v>
      </c>
      <c r="R135" s="37" t="e">
        <f ca="1"/>
        <v>#NAME?</v>
      </c>
      <c r="S135" s="37" t="e">
        <f ca="1"/>
        <v>#NAME?</v>
      </c>
      <c r="T135" s="37" t="e">
        <f ca="1"/>
        <v>#NAME?</v>
      </c>
      <c r="U135" s="84" t="e">
        <f ca="1"/>
        <v>#NAME?</v>
      </c>
    </row>
    <row r="136" spans="1:21" x14ac:dyDescent="0.35">
      <c r="L136" t="str">
        <v>Friendly</v>
      </c>
      <c r="M136" s="85" t="e">
        <f ca="1"/>
        <v>#NAME?</v>
      </c>
      <c r="N136" s="86" t="e">
        <f ca="1"/>
        <v>#NAME?</v>
      </c>
      <c r="O136" s="86" t="e">
        <f ca="1"/>
        <v>#NAME?</v>
      </c>
      <c r="P136" s="86" t="e">
        <f ca="1"/>
        <v>#NAME?</v>
      </c>
      <c r="Q136" s="86" t="e">
        <f ca="1"/>
        <v>#NAME?</v>
      </c>
      <c r="R136" s="86" t="e">
        <f ca="1"/>
        <v>#NAME?</v>
      </c>
      <c r="S136" s="86" t="e">
        <f ca="1"/>
        <v>#NAME?</v>
      </c>
      <c r="T136" s="86" t="e">
        <f ca="1"/>
        <v>#NAME?</v>
      </c>
      <c r="U136" s="87" t="e">
        <f ca="1"/>
        <v>#NAME?</v>
      </c>
    </row>
    <row r="138" spans="1:21" x14ac:dyDescent="0.35">
      <c r="L138" t="s">
        <v>485</v>
      </c>
    </row>
    <row r="140" spans="1:21" x14ac:dyDescent="0.35">
      <c r="M140" t="str">
        <f t="array" ref="M140:U140">B3:J3</f>
        <v>Expect</v>
      </c>
      <c r="N140" t="str">
        <v>Entertain</v>
      </c>
      <c r="O140" t="str">
        <v>Comm</v>
      </c>
      <c r="P140" t="str">
        <v>Expert</v>
      </c>
      <c r="Q140" t="str">
        <v>Motivate</v>
      </c>
      <c r="R140" t="str">
        <v>Caring</v>
      </c>
      <c r="S140" t="str">
        <v>Charisma</v>
      </c>
      <c r="T140" t="str">
        <v>Passion</v>
      </c>
      <c r="U140" t="str">
        <v>Friendly</v>
      </c>
    </row>
    <row r="141" spans="1:21" x14ac:dyDescent="0.35">
      <c r="L141" t="str">
        <f t="array" ref="L141:L149">TRANSPOSE(B3:J3)</f>
        <v>Expect</v>
      </c>
      <c r="M141" s="187" t="e">
        <f t="array" ref="M141:U149" ca="1">M14:U22-M128:U136</f>
        <v>#NAME?</v>
      </c>
      <c r="N141" s="188" t="e">
        <f ca="1"/>
        <v>#NAME?</v>
      </c>
      <c r="O141" s="188" t="e">
        <f ca="1"/>
        <v>#NAME?</v>
      </c>
      <c r="P141" s="188" t="e">
        <f ca="1"/>
        <v>#NAME?</v>
      </c>
      <c r="Q141" s="188" t="e">
        <f ca="1"/>
        <v>#NAME?</v>
      </c>
      <c r="R141" s="188" t="e">
        <f ca="1"/>
        <v>#NAME?</v>
      </c>
      <c r="S141" s="188" t="e">
        <f ca="1"/>
        <v>#NAME?</v>
      </c>
      <c r="T141" s="188" t="e">
        <f ca="1"/>
        <v>#NAME?</v>
      </c>
      <c r="U141" s="189" t="e">
        <f ca="1"/>
        <v>#NAME?</v>
      </c>
    </row>
    <row r="142" spans="1:21" x14ac:dyDescent="0.35">
      <c r="L142" t="str">
        <v>Entertain</v>
      </c>
      <c r="M142" s="83" t="e">
        <f ca="1"/>
        <v>#NAME?</v>
      </c>
      <c r="N142" s="37" t="e">
        <f ca="1"/>
        <v>#NAME?</v>
      </c>
      <c r="O142" s="37" t="e">
        <f ca="1"/>
        <v>#NAME?</v>
      </c>
      <c r="P142" s="37" t="e">
        <f ca="1"/>
        <v>#NAME?</v>
      </c>
      <c r="Q142" s="37" t="e">
        <f ca="1"/>
        <v>#NAME?</v>
      </c>
      <c r="R142" s="37" t="e">
        <f ca="1"/>
        <v>#NAME?</v>
      </c>
      <c r="S142" s="37" t="e">
        <f ca="1"/>
        <v>#NAME?</v>
      </c>
      <c r="T142" s="37" t="e">
        <f ca="1"/>
        <v>#NAME?</v>
      </c>
      <c r="U142" s="84" t="e">
        <f ca="1"/>
        <v>#NAME?</v>
      </c>
    </row>
    <row r="143" spans="1:21" x14ac:dyDescent="0.35">
      <c r="L143" t="str">
        <v>Comm</v>
      </c>
      <c r="M143" s="83" t="e">
        <f ca="1"/>
        <v>#NAME?</v>
      </c>
      <c r="N143" s="37" t="e">
        <f ca="1"/>
        <v>#NAME?</v>
      </c>
      <c r="O143" s="37" t="e">
        <f ca="1"/>
        <v>#NAME?</v>
      </c>
      <c r="P143" s="37" t="e">
        <f ca="1"/>
        <v>#NAME?</v>
      </c>
      <c r="Q143" s="37" t="e">
        <f ca="1"/>
        <v>#NAME?</v>
      </c>
      <c r="R143" s="37" t="e">
        <f ca="1"/>
        <v>#NAME?</v>
      </c>
      <c r="S143" s="37" t="e">
        <f ca="1"/>
        <v>#NAME?</v>
      </c>
      <c r="T143" s="37" t="e">
        <f ca="1"/>
        <v>#NAME?</v>
      </c>
      <c r="U143" s="84" t="e">
        <f ca="1"/>
        <v>#NAME?</v>
      </c>
    </row>
    <row r="144" spans="1:21" x14ac:dyDescent="0.35">
      <c r="L144" t="str">
        <v>Expert</v>
      </c>
      <c r="M144" s="83" t="e">
        <f ca="1"/>
        <v>#NAME?</v>
      </c>
      <c r="N144" s="37" t="e">
        <f ca="1"/>
        <v>#NAME?</v>
      </c>
      <c r="O144" s="37" t="e">
        <f ca="1"/>
        <v>#NAME?</v>
      </c>
      <c r="P144" s="37" t="e">
        <f ca="1"/>
        <v>#NAME?</v>
      </c>
      <c r="Q144" s="37" t="e">
        <f ca="1"/>
        <v>#NAME?</v>
      </c>
      <c r="R144" s="37" t="e">
        <f ca="1"/>
        <v>#NAME?</v>
      </c>
      <c r="S144" s="37" t="e">
        <f ca="1"/>
        <v>#NAME?</v>
      </c>
      <c r="T144" s="37" t="e">
        <f ca="1"/>
        <v>#NAME?</v>
      </c>
      <c r="U144" s="84" t="e">
        <f ca="1"/>
        <v>#NAME?</v>
      </c>
    </row>
    <row r="145" spans="12:21" x14ac:dyDescent="0.35">
      <c r="L145" t="str">
        <v>Motivate</v>
      </c>
      <c r="M145" s="83" t="e">
        <f ca="1"/>
        <v>#NAME?</v>
      </c>
      <c r="N145" s="37" t="e">
        <f ca="1"/>
        <v>#NAME?</v>
      </c>
      <c r="O145" s="37" t="e">
        <f ca="1"/>
        <v>#NAME?</v>
      </c>
      <c r="P145" s="37" t="e">
        <f ca="1"/>
        <v>#NAME?</v>
      </c>
      <c r="Q145" s="37" t="e">
        <f ca="1"/>
        <v>#NAME?</v>
      </c>
      <c r="R145" s="37" t="e">
        <f ca="1"/>
        <v>#NAME?</v>
      </c>
      <c r="S145" s="37" t="e">
        <f ca="1"/>
        <v>#NAME?</v>
      </c>
      <c r="T145" s="37" t="e">
        <f ca="1"/>
        <v>#NAME?</v>
      </c>
      <c r="U145" s="84" t="e">
        <f ca="1"/>
        <v>#NAME?</v>
      </c>
    </row>
    <row r="146" spans="12:21" x14ac:dyDescent="0.35">
      <c r="L146" t="str">
        <v>Caring</v>
      </c>
      <c r="M146" s="83" t="e">
        <f ca="1"/>
        <v>#NAME?</v>
      </c>
      <c r="N146" s="37" t="e">
        <f ca="1"/>
        <v>#NAME?</v>
      </c>
      <c r="O146" s="37" t="e">
        <f ca="1"/>
        <v>#NAME?</v>
      </c>
      <c r="P146" s="37" t="e">
        <f ca="1"/>
        <v>#NAME?</v>
      </c>
      <c r="Q146" s="37" t="e">
        <f ca="1"/>
        <v>#NAME?</v>
      </c>
      <c r="R146" s="37" t="e">
        <f ca="1"/>
        <v>#NAME?</v>
      </c>
      <c r="S146" s="37" t="e">
        <f ca="1"/>
        <v>#NAME?</v>
      </c>
      <c r="T146" s="37" t="e">
        <f ca="1"/>
        <v>#NAME?</v>
      </c>
      <c r="U146" s="84" t="e">
        <f ca="1"/>
        <v>#NAME?</v>
      </c>
    </row>
    <row r="147" spans="12:21" x14ac:dyDescent="0.35">
      <c r="L147" t="str">
        <v>Charisma</v>
      </c>
      <c r="M147" s="83" t="e">
        <f ca="1"/>
        <v>#NAME?</v>
      </c>
      <c r="N147" s="37" t="e">
        <f ca="1"/>
        <v>#NAME?</v>
      </c>
      <c r="O147" s="37" t="e">
        <f ca="1"/>
        <v>#NAME?</v>
      </c>
      <c r="P147" s="37" t="e">
        <f ca="1"/>
        <v>#NAME?</v>
      </c>
      <c r="Q147" s="37" t="e">
        <f ca="1"/>
        <v>#NAME?</v>
      </c>
      <c r="R147" s="37" t="e">
        <f ca="1"/>
        <v>#NAME?</v>
      </c>
      <c r="S147" s="37" t="e">
        <f ca="1"/>
        <v>#NAME?</v>
      </c>
      <c r="T147" s="37" t="e">
        <f ca="1"/>
        <v>#NAME?</v>
      </c>
      <c r="U147" s="84" t="e">
        <f ca="1"/>
        <v>#NAME?</v>
      </c>
    </row>
    <row r="148" spans="12:21" x14ac:dyDescent="0.35">
      <c r="L148" t="str">
        <v>Passion</v>
      </c>
      <c r="M148" s="83" t="e">
        <f ca="1"/>
        <v>#NAME?</v>
      </c>
      <c r="N148" s="37" t="e">
        <f ca="1"/>
        <v>#NAME?</v>
      </c>
      <c r="O148" s="37" t="e">
        <f ca="1"/>
        <v>#NAME?</v>
      </c>
      <c r="P148" s="37" t="e">
        <f ca="1"/>
        <v>#NAME?</v>
      </c>
      <c r="Q148" s="37" t="e">
        <f ca="1"/>
        <v>#NAME?</v>
      </c>
      <c r="R148" s="37" t="e">
        <f ca="1"/>
        <v>#NAME?</v>
      </c>
      <c r="S148" s="37" t="e">
        <f ca="1"/>
        <v>#NAME?</v>
      </c>
      <c r="T148" s="37" t="e">
        <f ca="1"/>
        <v>#NAME?</v>
      </c>
      <c r="U148" s="84" t="e">
        <f ca="1"/>
        <v>#NAME?</v>
      </c>
    </row>
    <row r="149" spans="12:21" x14ac:dyDescent="0.35">
      <c r="L149" t="str">
        <v>Friendly</v>
      </c>
      <c r="M149" s="85" t="e">
        <f ca="1"/>
        <v>#NAME?</v>
      </c>
      <c r="N149" s="86" t="e">
        <f ca="1"/>
        <v>#NAME?</v>
      </c>
      <c r="O149" s="86" t="e">
        <f ca="1"/>
        <v>#NAME?</v>
      </c>
      <c r="P149" s="86" t="e">
        <f ca="1"/>
        <v>#NAME?</v>
      </c>
      <c r="Q149" s="86" t="e">
        <f ca="1"/>
        <v>#NAME?</v>
      </c>
      <c r="R149" s="86" t="e">
        <f ca="1"/>
        <v>#NAME?</v>
      </c>
      <c r="S149" s="86" t="e">
        <f ca="1"/>
        <v>#NAME?</v>
      </c>
      <c r="T149" s="86" t="e">
        <f ca="1"/>
        <v>#NAME?</v>
      </c>
      <c r="U149" s="87" t="e">
        <f ca="1"/>
        <v>#NAME?</v>
      </c>
    </row>
    <row r="151" spans="12:21" x14ac:dyDescent="0.35">
      <c r="L151" t="s">
        <v>486</v>
      </c>
    </row>
    <row r="153" spans="12:21" x14ac:dyDescent="0.35">
      <c r="M153">
        <v>1</v>
      </c>
      <c r="N153">
        <f>M153+1</f>
        <v>2</v>
      </c>
      <c r="O153">
        <f>N153+1</f>
        <v>3</v>
      </c>
      <c r="P153">
        <f>O153+1</f>
        <v>4</v>
      </c>
    </row>
    <row r="154" spans="12:21" x14ac:dyDescent="0.35">
      <c r="L154" t="str">
        <f t="array" ref="L154:L162">TRANSPOSE(B3:J3)</f>
        <v>Expect</v>
      </c>
      <c r="M154" s="187" t="e">
        <f t="array" aca="1" ref="M154:P162" ca="1">MMULT(M114:P122,MINVERSE(MMULT(TRANSPOSE(M114:P122),M114:P122)))</f>
        <v>#NAME?</v>
      </c>
      <c r="N154" s="188" t="e">
        <f ca="1"/>
        <v>#NAME?</v>
      </c>
      <c r="O154" s="188" t="e">
        <f ca="1"/>
        <v>#NAME?</v>
      </c>
      <c r="P154" s="189" t="e">
        <f ca="1"/>
        <v>#NAME?</v>
      </c>
    </row>
    <row r="155" spans="12:21" x14ac:dyDescent="0.35">
      <c r="L155" t="str">
        <v>Entertain</v>
      </c>
      <c r="M155" s="83" t="e">
        <f ca="1"/>
        <v>#NAME?</v>
      </c>
      <c r="N155" s="37" t="e">
        <f ca="1"/>
        <v>#NAME?</v>
      </c>
      <c r="O155" s="37" t="e">
        <f ca="1"/>
        <v>#NAME?</v>
      </c>
      <c r="P155" s="84" t="e">
        <f ca="1"/>
        <v>#NAME?</v>
      </c>
    </row>
    <row r="156" spans="12:21" x14ac:dyDescent="0.35">
      <c r="L156" t="str">
        <v>Comm</v>
      </c>
      <c r="M156" s="83" t="e">
        <f ca="1"/>
        <v>#NAME?</v>
      </c>
      <c r="N156" s="37" t="e">
        <f ca="1"/>
        <v>#NAME?</v>
      </c>
      <c r="O156" s="37" t="e">
        <f ca="1"/>
        <v>#NAME?</v>
      </c>
      <c r="P156" s="84" t="e">
        <f ca="1"/>
        <v>#NAME?</v>
      </c>
    </row>
    <row r="157" spans="12:21" x14ac:dyDescent="0.35">
      <c r="L157" t="str">
        <v>Expert</v>
      </c>
      <c r="M157" s="83" t="e">
        <f ca="1"/>
        <v>#NAME?</v>
      </c>
      <c r="N157" s="37" t="e">
        <f ca="1"/>
        <v>#NAME?</v>
      </c>
      <c r="O157" s="37" t="e">
        <f ca="1"/>
        <v>#NAME?</v>
      </c>
      <c r="P157" s="84" t="e">
        <f ca="1"/>
        <v>#NAME?</v>
      </c>
    </row>
    <row r="158" spans="12:21" x14ac:dyDescent="0.35">
      <c r="L158" t="str">
        <v>Motivate</v>
      </c>
      <c r="M158" s="83" t="e">
        <f ca="1"/>
        <v>#NAME?</v>
      </c>
      <c r="N158" s="37" t="e">
        <f ca="1"/>
        <v>#NAME?</v>
      </c>
      <c r="O158" s="37" t="e">
        <f ca="1"/>
        <v>#NAME?</v>
      </c>
      <c r="P158" s="84" t="e">
        <f ca="1"/>
        <v>#NAME?</v>
      </c>
    </row>
    <row r="159" spans="12:21" x14ac:dyDescent="0.35">
      <c r="L159" t="str">
        <v>Caring</v>
      </c>
      <c r="M159" s="83" t="e">
        <f ca="1"/>
        <v>#NAME?</v>
      </c>
      <c r="N159" s="37" t="e">
        <f ca="1"/>
        <v>#NAME?</v>
      </c>
      <c r="O159" s="37" t="e">
        <f ca="1"/>
        <v>#NAME?</v>
      </c>
      <c r="P159" s="84" t="e">
        <f ca="1"/>
        <v>#NAME?</v>
      </c>
    </row>
    <row r="160" spans="12:21" x14ac:dyDescent="0.35">
      <c r="L160" t="str">
        <v>Charisma</v>
      </c>
      <c r="M160" s="83" t="e">
        <f ca="1"/>
        <v>#NAME?</v>
      </c>
      <c r="N160" s="37" t="e">
        <f ca="1"/>
        <v>#NAME?</v>
      </c>
      <c r="O160" s="37" t="e">
        <f ca="1"/>
        <v>#NAME?</v>
      </c>
      <c r="P160" s="84" t="e">
        <f ca="1"/>
        <v>#NAME?</v>
      </c>
    </row>
    <row r="161" spans="12:16" x14ac:dyDescent="0.35">
      <c r="L161" t="str">
        <v>Passion</v>
      </c>
      <c r="M161" s="83" t="e">
        <f ca="1"/>
        <v>#NAME?</v>
      </c>
      <c r="N161" s="37" t="e">
        <f ca="1"/>
        <v>#NAME?</v>
      </c>
      <c r="O161" s="37" t="e">
        <f ca="1"/>
        <v>#NAME?</v>
      </c>
      <c r="P161" s="84" t="e">
        <f ca="1"/>
        <v>#NAME?</v>
      </c>
    </row>
    <row r="162" spans="12:16" x14ac:dyDescent="0.35">
      <c r="L162" t="str">
        <v>Friendly</v>
      </c>
      <c r="M162" s="85" t="e">
        <f ca="1"/>
        <v>#NAME?</v>
      </c>
      <c r="N162" s="86" t="e">
        <f ca="1"/>
        <v>#NAME?</v>
      </c>
      <c r="O162" s="86" t="e">
        <f ca="1"/>
        <v>#NAME?</v>
      </c>
      <c r="P162" s="87" t="e">
        <f ca="1"/>
        <v>#NAME?</v>
      </c>
    </row>
    <row r="164" spans="12:16" x14ac:dyDescent="0.35">
      <c r="L164" t="s">
        <v>487</v>
      </c>
    </row>
    <row r="166" spans="12:16" x14ac:dyDescent="0.35">
      <c r="M166">
        <v>1</v>
      </c>
      <c r="N166">
        <f>M166+1</f>
        <v>2</v>
      </c>
      <c r="O166">
        <f>N166+1</f>
        <v>3</v>
      </c>
      <c r="P166">
        <f>O166+1</f>
        <v>4</v>
      </c>
    </row>
    <row r="167" spans="12:16" x14ac:dyDescent="0.35">
      <c r="L167" t="str">
        <f t="array" ref="L167:L175">TRANSPOSE(B3:J3)</f>
        <v>Expect</v>
      </c>
      <c r="M167" s="187" t="e">
        <f t="array" aca="1" ref="M167:P175" ca="1">TRANSPOSE(MMULT(MINVERSE(MMULT(TRANSPOSE(M114:P122),MMULT(MINVERSE(DIAGONAL(S100:S108)),M114:P122))),MMULT(TRANSPOSE(M114:P122),MINVERSE(DIAGONAL(S100:S108)))))</f>
        <v>#NAME?</v>
      </c>
      <c r="N167" s="188" t="e">
        <f ca="1"/>
        <v>#NAME?</v>
      </c>
      <c r="O167" s="188" t="e">
        <f ca="1"/>
        <v>#NAME?</v>
      </c>
      <c r="P167" s="189" t="e">
        <f ca="1"/>
        <v>#NAME?</v>
      </c>
    </row>
    <row r="168" spans="12:16" x14ac:dyDescent="0.35">
      <c r="L168" t="str">
        <v>Entertain</v>
      </c>
      <c r="M168" s="83" t="e">
        <f ca="1"/>
        <v>#NAME?</v>
      </c>
      <c r="N168" s="37" t="e">
        <f ca="1"/>
        <v>#NAME?</v>
      </c>
      <c r="O168" s="37" t="e">
        <f ca="1"/>
        <v>#NAME?</v>
      </c>
      <c r="P168" s="84" t="e">
        <f ca="1"/>
        <v>#NAME?</v>
      </c>
    </row>
    <row r="169" spans="12:16" x14ac:dyDescent="0.35">
      <c r="L169" t="str">
        <v>Comm</v>
      </c>
      <c r="M169" s="83" t="e">
        <f ca="1"/>
        <v>#NAME?</v>
      </c>
      <c r="N169" s="37" t="e">
        <f ca="1"/>
        <v>#NAME?</v>
      </c>
      <c r="O169" s="37" t="e">
        <f ca="1"/>
        <v>#NAME?</v>
      </c>
      <c r="P169" s="84" t="e">
        <f ca="1"/>
        <v>#NAME?</v>
      </c>
    </row>
    <row r="170" spans="12:16" x14ac:dyDescent="0.35">
      <c r="L170" t="str">
        <v>Expert</v>
      </c>
      <c r="M170" s="83" t="e">
        <f ca="1"/>
        <v>#NAME?</v>
      </c>
      <c r="N170" s="37" t="e">
        <f ca="1"/>
        <v>#NAME?</v>
      </c>
      <c r="O170" s="37" t="e">
        <f ca="1"/>
        <v>#NAME?</v>
      </c>
      <c r="P170" s="84" t="e">
        <f ca="1"/>
        <v>#NAME?</v>
      </c>
    </row>
    <row r="171" spans="12:16" x14ac:dyDescent="0.35">
      <c r="L171" t="str">
        <v>Motivate</v>
      </c>
      <c r="M171" s="83" t="e">
        <f ca="1"/>
        <v>#NAME?</v>
      </c>
      <c r="N171" s="37" t="e">
        <f ca="1"/>
        <v>#NAME?</v>
      </c>
      <c r="O171" s="37" t="e">
        <f ca="1"/>
        <v>#NAME?</v>
      </c>
      <c r="P171" s="84" t="e">
        <f ca="1"/>
        <v>#NAME?</v>
      </c>
    </row>
    <row r="172" spans="12:16" x14ac:dyDescent="0.35">
      <c r="L172" t="str">
        <v>Caring</v>
      </c>
      <c r="M172" s="83" t="e">
        <f ca="1"/>
        <v>#NAME?</v>
      </c>
      <c r="N172" s="37" t="e">
        <f ca="1"/>
        <v>#NAME?</v>
      </c>
      <c r="O172" s="37" t="e">
        <f ca="1"/>
        <v>#NAME?</v>
      </c>
      <c r="P172" s="84" t="e">
        <f ca="1"/>
        <v>#NAME?</v>
      </c>
    </row>
    <row r="173" spans="12:16" x14ac:dyDescent="0.35">
      <c r="L173" t="str">
        <v>Charisma</v>
      </c>
      <c r="M173" s="83" t="e">
        <f ca="1"/>
        <v>#NAME?</v>
      </c>
      <c r="N173" s="37" t="e">
        <f ca="1"/>
        <v>#NAME?</v>
      </c>
      <c r="O173" s="37" t="e">
        <f ca="1"/>
        <v>#NAME?</v>
      </c>
      <c r="P173" s="84" t="e">
        <f ca="1"/>
        <v>#NAME?</v>
      </c>
    </row>
    <row r="174" spans="12:16" x14ac:dyDescent="0.35">
      <c r="L174" t="str">
        <v>Passion</v>
      </c>
      <c r="M174" s="83" t="e">
        <f ca="1"/>
        <v>#NAME?</v>
      </c>
      <c r="N174" s="37" t="e">
        <f ca="1"/>
        <v>#NAME?</v>
      </c>
      <c r="O174" s="37" t="e">
        <f ca="1"/>
        <v>#NAME?</v>
      </c>
      <c r="P174" s="84" t="e">
        <f ca="1"/>
        <v>#NAME?</v>
      </c>
    </row>
    <row r="175" spans="12:16" x14ac:dyDescent="0.35">
      <c r="L175" t="str">
        <v>Friendly</v>
      </c>
      <c r="M175" s="85" t="e">
        <f ca="1"/>
        <v>#NAME?</v>
      </c>
      <c r="N175" s="86" t="e">
        <f ca="1"/>
        <v>#NAME?</v>
      </c>
      <c r="O175" s="86" t="e">
        <f ca="1"/>
        <v>#NAME?</v>
      </c>
      <c r="P175" s="87" t="e">
        <f ca="1"/>
        <v>#NAME?</v>
      </c>
    </row>
    <row r="177" spans="12:16" x14ac:dyDescent="0.35">
      <c r="L177" t="s">
        <v>488</v>
      </c>
    </row>
    <row r="179" spans="12:16" x14ac:dyDescent="0.35">
      <c r="M179" s="187" t="e">
        <f t="array" aca="1" ref="M179:P182" ca="1">MMULT(MMULT(TRANSPOSE(M114:P122),MMULT(MINVERSE(DIAGONAL(S100:S108)),M14:U22)),MMULT(MINVERSE(DIAGONAL(S100:S108)),M114:P122))</f>
        <v>#NAME?</v>
      </c>
      <c r="N179" s="188" t="e">
        <f ca="1"/>
        <v>#NAME?</v>
      </c>
      <c r="O179" s="188" t="e">
        <f ca="1"/>
        <v>#NAME?</v>
      </c>
      <c r="P179" s="189" t="e">
        <f ca="1"/>
        <v>#NAME?</v>
      </c>
    </row>
    <row r="180" spans="12:16" x14ac:dyDescent="0.35">
      <c r="M180" s="83" t="e">
        <f ca="1"/>
        <v>#NAME?</v>
      </c>
      <c r="N180" s="37" t="e">
        <f ca="1"/>
        <v>#NAME?</v>
      </c>
      <c r="O180" s="37" t="e">
        <f ca="1"/>
        <v>#NAME?</v>
      </c>
      <c r="P180" s="84" t="e">
        <f ca="1"/>
        <v>#NAME?</v>
      </c>
    </row>
    <row r="181" spans="12:16" x14ac:dyDescent="0.35">
      <c r="M181" s="83" t="e">
        <f ca="1"/>
        <v>#NAME?</v>
      </c>
      <c r="N181" s="37" t="e">
        <f ca="1"/>
        <v>#NAME?</v>
      </c>
      <c r="O181" s="37" t="e">
        <f ca="1"/>
        <v>#NAME?</v>
      </c>
      <c r="P181" s="84" t="e">
        <f ca="1"/>
        <v>#NAME?</v>
      </c>
    </row>
    <row r="182" spans="12:16" x14ac:dyDescent="0.35">
      <c r="M182" s="85" t="e">
        <f ca="1"/>
        <v>#NAME?</v>
      </c>
      <c r="N182" s="86" t="e">
        <f ca="1"/>
        <v>#NAME?</v>
      </c>
      <c r="O182" s="86" t="e">
        <f ca="1"/>
        <v>#NAME?</v>
      </c>
      <c r="P182" s="87" t="e">
        <f ca="1"/>
        <v>#NAME?</v>
      </c>
    </row>
    <row r="184" spans="12:16" x14ac:dyDescent="0.35">
      <c r="M184">
        <v>1</v>
      </c>
      <c r="N184">
        <f>M184+1</f>
        <v>2</v>
      </c>
      <c r="O184">
        <f>N184+1</f>
        <v>3</v>
      </c>
      <c r="P184">
        <f>O184+1</f>
        <v>4</v>
      </c>
    </row>
    <row r="185" spans="12:16" x14ac:dyDescent="0.35">
      <c r="L185" t="str">
        <f t="array" ref="L185:L193">TRANSPOSE(B3:J3)</f>
        <v>Expect</v>
      </c>
      <c r="M185" s="187" t="e">
        <f t="array" aca="1" ref="M185:P193" ca="1">TRANSPOSE(MMULT(MINVERSE(MSQRT(M179:P182)),MMULT(TRANSPOSE(M114:P122),MINVERSE(DIAGONAL(S100:S108)))))</f>
        <v>#NAME?</v>
      </c>
      <c r="N185" s="188" t="e">
        <f ca="1"/>
        <v>#NAME?</v>
      </c>
      <c r="O185" s="188" t="e">
        <f ca="1"/>
        <v>#NAME?</v>
      </c>
      <c r="P185" s="189" t="e">
        <f ca="1"/>
        <v>#NAME?</v>
      </c>
    </row>
    <row r="186" spans="12:16" x14ac:dyDescent="0.35">
      <c r="L186" t="str">
        <v>Entertain</v>
      </c>
      <c r="M186" s="83" t="e">
        <f ca="1"/>
        <v>#NAME?</v>
      </c>
      <c r="N186" s="37" t="e">
        <f ca="1"/>
        <v>#NAME?</v>
      </c>
      <c r="O186" s="37" t="e">
        <f ca="1"/>
        <v>#NAME?</v>
      </c>
      <c r="P186" s="84" t="e">
        <f ca="1"/>
        <v>#NAME?</v>
      </c>
    </row>
    <row r="187" spans="12:16" x14ac:dyDescent="0.35">
      <c r="L187" t="str">
        <v>Comm</v>
      </c>
      <c r="M187" s="83" t="e">
        <f ca="1"/>
        <v>#NAME?</v>
      </c>
      <c r="N187" s="37" t="e">
        <f ca="1"/>
        <v>#NAME?</v>
      </c>
      <c r="O187" s="37" t="e">
        <f ca="1"/>
        <v>#NAME?</v>
      </c>
      <c r="P187" s="84" t="e">
        <f ca="1"/>
        <v>#NAME?</v>
      </c>
    </row>
    <row r="188" spans="12:16" x14ac:dyDescent="0.35">
      <c r="L188" t="str">
        <v>Expert</v>
      </c>
      <c r="M188" s="83" t="e">
        <f ca="1"/>
        <v>#NAME?</v>
      </c>
      <c r="N188" s="37" t="e">
        <f ca="1"/>
        <v>#NAME?</v>
      </c>
      <c r="O188" s="37" t="e">
        <f ca="1"/>
        <v>#NAME?</v>
      </c>
      <c r="P188" s="84" t="e">
        <f ca="1"/>
        <v>#NAME?</v>
      </c>
    </row>
    <row r="189" spans="12:16" x14ac:dyDescent="0.35">
      <c r="L189" t="str">
        <v>Motivate</v>
      </c>
      <c r="M189" s="83" t="e">
        <f ca="1"/>
        <v>#NAME?</v>
      </c>
      <c r="N189" s="37" t="e">
        <f ca="1"/>
        <v>#NAME?</v>
      </c>
      <c r="O189" s="37" t="e">
        <f ca="1"/>
        <v>#NAME?</v>
      </c>
      <c r="P189" s="84" t="e">
        <f ca="1"/>
        <v>#NAME?</v>
      </c>
    </row>
    <row r="190" spans="12:16" x14ac:dyDescent="0.35">
      <c r="L190" t="str">
        <v>Caring</v>
      </c>
      <c r="M190" s="83" t="e">
        <f ca="1"/>
        <v>#NAME?</v>
      </c>
      <c r="N190" s="37" t="e">
        <f ca="1"/>
        <v>#NAME?</v>
      </c>
      <c r="O190" s="37" t="e">
        <f ca="1"/>
        <v>#NAME?</v>
      </c>
      <c r="P190" s="84" t="e">
        <f ca="1"/>
        <v>#NAME?</v>
      </c>
    </row>
    <row r="191" spans="12:16" x14ac:dyDescent="0.35">
      <c r="L191" t="str">
        <v>Charisma</v>
      </c>
      <c r="M191" s="83" t="e">
        <f ca="1"/>
        <v>#NAME?</v>
      </c>
      <c r="N191" s="37" t="e">
        <f ca="1"/>
        <v>#NAME?</v>
      </c>
      <c r="O191" s="37" t="e">
        <f ca="1"/>
        <v>#NAME?</v>
      </c>
      <c r="P191" s="84" t="e">
        <f ca="1"/>
        <v>#NAME?</v>
      </c>
    </row>
    <row r="192" spans="12:16" x14ac:dyDescent="0.35">
      <c r="L192" t="str">
        <v>Passion</v>
      </c>
      <c r="M192" s="83" t="e">
        <f ca="1"/>
        <v>#NAME?</v>
      </c>
      <c r="N192" s="37" t="e">
        <f ca="1"/>
        <v>#NAME?</v>
      </c>
      <c r="O192" s="37" t="e">
        <f ca="1"/>
        <v>#NAME?</v>
      </c>
      <c r="P192" s="84" t="e">
        <f ca="1"/>
        <v>#NAME?</v>
      </c>
    </row>
    <row r="193" spans="12:16" x14ac:dyDescent="0.35">
      <c r="L193" t="str">
        <v>Friendly</v>
      </c>
      <c r="M193" s="85" t="e">
        <f ca="1"/>
        <v>#NAME?</v>
      </c>
      <c r="N193" s="86" t="e">
        <f ca="1"/>
        <v>#NAME?</v>
      </c>
      <c r="O193" s="86" t="e">
        <f ca="1"/>
        <v>#NAME?</v>
      </c>
      <c r="P193" s="87" t="e">
        <f ca="1"/>
        <v>#NAME?</v>
      </c>
    </row>
  </sheetData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38"/>
  <dimension ref="A1:MT129"/>
  <sheetViews>
    <sheetView zoomScaleNormal="100" workbookViewId="0">
      <selection activeCell="S14" sqref="S14"/>
    </sheetView>
  </sheetViews>
  <sheetFormatPr defaultRowHeight="14.5" x14ac:dyDescent="0.35"/>
  <cols>
    <col min="21" max="21" width="9.1796875" customWidth="1"/>
    <col min="24" max="24" width="11.453125" customWidth="1"/>
  </cols>
  <sheetData>
    <row r="1" spans="1:357" x14ac:dyDescent="0.35">
      <c r="A1" s="42" t="s">
        <v>520</v>
      </c>
      <c r="L1" t="s">
        <v>523</v>
      </c>
      <c r="M1">
        <v>0</v>
      </c>
      <c r="X1" t="s">
        <v>522</v>
      </c>
      <c r="Y1">
        <f>M1+1</f>
        <v>1</v>
      </c>
      <c r="AJ1" t="s">
        <v>522</v>
      </c>
      <c r="AK1">
        <f>Y1+1</f>
        <v>2</v>
      </c>
      <c r="AV1" t="s">
        <v>522</v>
      </c>
      <c r="AW1">
        <f>AK1+1</f>
        <v>3</v>
      </c>
      <c r="BH1" t="s">
        <v>522</v>
      </c>
      <c r="BI1">
        <f>AW1+1</f>
        <v>4</v>
      </c>
      <c r="BT1" t="s">
        <v>522</v>
      </c>
      <c r="BU1">
        <f>BI1+1</f>
        <v>5</v>
      </c>
      <c r="CF1" t="s">
        <v>522</v>
      </c>
      <c r="CG1">
        <f>BU1+1</f>
        <v>6</v>
      </c>
      <c r="CR1" t="s">
        <v>522</v>
      </c>
      <c r="CS1">
        <f>CG1+1</f>
        <v>7</v>
      </c>
      <c r="DD1" t="s">
        <v>522</v>
      </c>
      <c r="DE1">
        <f>CS1+1</f>
        <v>8</v>
      </c>
      <c r="DP1" t="s">
        <v>522</v>
      </c>
      <c r="DQ1">
        <f>DE1+1</f>
        <v>9</v>
      </c>
      <c r="EB1" t="s">
        <v>522</v>
      </c>
      <c r="EC1">
        <f>DQ1+1</f>
        <v>10</v>
      </c>
      <c r="EN1" t="s">
        <v>522</v>
      </c>
      <c r="EO1">
        <f>EC1+1</f>
        <v>11</v>
      </c>
      <c r="EZ1" t="s">
        <v>522</v>
      </c>
      <c r="FA1">
        <f>EO1+1</f>
        <v>12</v>
      </c>
      <c r="FL1" t="s">
        <v>522</v>
      </c>
      <c r="FM1">
        <f>FA1+1</f>
        <v>13</v>
      </c>
      <c r="FX1" t="s">
        <v>522</v>
      </c>
      <c r="FY1">
        <f>FM1+1</f>
        <v>14</v>
      </c>
      <c r="GJ1" t="s">
        <v>522</v>
      </c>
      <c r="GK1">
        <f>FY1+1</f>
        <v>15</v>
      </c>
      <c r="GV1" t="s">
        <v>522</v>
      </c>
      <c r="GW1">
        <f>GK1+1</f>
        <v>16</v>
      </c>
      <c r="HH1" t="s">
        <v>522</v>
      </c>
      <c r="HI1">
        <f>GW1+1</f>
        <v>17</v>
      </c>
      <c r="HT1" t="s">
        <v>522</v>
      </c>
      <c r="HU1">
        <f>HI1+1</f>
        <v>18</v>
      </c>
      <c r="IF1" t="s">
        <v>522</v>
      </c>
      <c r="IG1">
        <f>HU1+1</f>
        <v>19</v>
      </c>
      <c r="IR1" t="s">
        <v>522</v>
      </c>
      <c r="IS1">
        <f>IG1+1</f>
        <v>20</v>
      </c>
      <c r="JD1" t="s">
        <v>522</v>
      </c>
      <c r="JE1">
        <f>IS1+1</f>
        <v>21</v>
      </c>
      <c r="JP1" t="s">
        <v>522</v>
      </c>
      <c r="JQ1">
        <f>JE1+1</f>
        <v>22</v>
      </c>
      <c r="KB1" t="s">
        <v>522</v>
      </c>
      <c r="KC1">
        <f>JQ1+1</f>
        <v>23</v>
      </c>
      <c r="KN1" t="s">
        <v>522</v>
      </c>
      <c r="KO1">
        <f>KC1+1</f>
        <v>24</v>
      </c>
      <c r="KZ1" t="s">
        <v>522</v>
      </c>
      <c r="LA1">
        <f>KO1+1</f>
        <v>25</v>
      </c>
      <c r="LL1" t="s">
        <v>522</v>
      </c>
      <c r="LM1">
        <f>LA1+1</f>
        <v>26</v>
      </c>
      <c r="LX1" t="s">
        <v>522</v>
      </c>
      <c r="LY1">
        <f>LM1+1</f>
        <v>27</v>
      </c>
      <c r="MJ1" t="s">
        <v>522</v>
      </c>
      <c r="MK1">
        <f>LY1+1</f>
        <v>28</v>
      </c>
    </row>
    <row r="3" spans="1:357" x14ac:dyDescent="0.3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39</v>
      </c>
      <c r="X3" t="s">
        <v>39</v>
      </c>
      <c r="AJ3" t="s">
        <v>39</v>
      </c>
      <c r="AV3" t="s">
        <v>39</v>
      </c>
      <c r="BH3" t="s">
        <v>39</v>
      </c>
      <c r="BT3" t="s">
        <v>39</v>
      </c>
      <c r="CF3" t="s">
        <v>39</v>
      </c>
      <c r="CR3" t="s">
        <v>39</v>
      </c>
      <c r="DD3" t="s">
        <v>39</v>
      </c>
      <c r="DP3" t="s">
        <v>39</v>
      </c>
      <c r="EB3" t="s">
        <v>39</v>
      </c>
      <c r="EN3" t="s">
        <v>39</v>
      </c>
      <c r="EZ3" t="s">
        <v>39</v>
      </c>
      <c r="FL3" t="s">
        <v>39</v>
      </c>
      <c r="FX3" t="s">
        <v>39</v>
      </c>
      <c r="GJ3" t="s">
        <v>39</v>
      </c>
      <c r="GV3" t="s">
        <v>39</v>
      </c>
      <c r="HH3" t="s">
        <v>39</v>
      </c>
      <c r="HT3" t="s">
        <v>39</v>
      </c>
      <c r="IF3" t="s">
        <v>39</v>
      </c>
      <c r="IR3" t="s">
        <v>39</v>
      </c>
      <c r="JD3" t="s">
        <v>39</v>
      </c>
      <c r="JP3" t="s">
        <v>39</v>
      </c>
      <c r="KB3" t="s">
        <v>39</v>
      </c>
      <c r="KN3" t="s">
        <v>39</v>
      </c>
      <c r="KZ3" t="s">
        <v>39</v>
      </c>
      <c r="LL3" t="s">
        <v>39</v>
      </c>
      <c r="LX3" t="s">
        <v>39</v>
      </c>
      <c r="MJ3" t="s">
        <v>39</v>
      </c>
    </row>
    <row r="4" spans="1:357" x14ac:dyDescent="0.3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357" x14ac:dyDescent="0.3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  <c r="Y5" t="str">
        <f t="array" ref="Y5:AG5">M5:U6</f>
        <v>Expect</v>
      </c>
      <c r="Z5" t="str">
        <v>Entertain</v>
      </c>
      <c r="AA5" t="str">
        <v>Comm</v>
      </c>
      <c r="AB5" t="str">
        <v>Expert</v>
      </c>
      <c r="AC5" t="str">
        <v>Motivate</v>
      </c>
      <c r="AD5" t="str">
        <v>Caring</v>
      </c>
      <c r="AE5" t="str">
        <v>Charisma</v>
      </c>
      <c r="AF5" t="str">
        <v>Passion</v>
      </c>
      <c r="AG5" t="str">
        <v>Friendly</v>
      </c>
      <c r="AK5" t="str">
        <f t="array" ref="AK5:AS5">Y5:AG6</f>
        <v>Expect</v>
      </c>
      <c r="AL5" t="str">
        <v>Entertain</v>
      </c>
      <c r="AM5" t="str">
        <v>Comm</v>
      </c>
      <c r="AN5" t="str">
        <v>Expert</v>
      </c>
      <c r="AO5" t="str">
        <v>Motivate</v>
      </c>
      <c r="AP5" t="str">
        <v>Caring</v>
      </c>
      <c r="AQ5" t="str">
        <v>Charisma</v>
      </c>
      <c r="AR5" t="str">
        <v>Passion</v>
      </c>
      <c r="AS5" t="str">
        <v>Friendly</v>
      </c>
      <c r="AW5" t="str">
        <f t="array" ref="AW5:BE5">AK5:AS6</f>
        <v>Expect</v>
      </c>
      <c r="AX5" t="str">
        <v>Entertain</v>
      </c>
      <c r="AY5" t="str">
        <v>Comm</v>
      </c>
      <c r="AZ5" t="str">
        <v>Expert</v>
      </c>
      <c r="BA5" t="str">
        <v>Motivate</v>
      </c>
      <c r="BB5" t="str">
        <v>Caring</v>
      </c>
      <c r="BC5" t="str">
        <v>Charisma</v>
      </c>
      <c r="BD5" t="str">
        <v>Passion</v>
      </c>
      <c r="BE5" t="str">
        <v>Friendly</v>
      </c>
      <c r="BI5" t="str">
        <f t="array" ref="BI5:BQ5">AW5:BE6</f>
        <v>Expect</v>
      </c>
      <c r="BJ5" t="str">
        <v>Entertain</v>
      </c>
      <c r="BK5" t="str">
        <v>Comm</v>
      </c>
      <c r="BL5" t="str">
        <v>Expert</v>
      </c>
      <c r="BM5" t="str">
        <v>Motivate</v>
      </c>
      <c r="BN5" t="str">
        <v>Caring</v>
      </c>
      <c r="BO5" t="str">
        <v>Charisma</v>
      </c>
      <c r="BP5" t="str">
        <v>Passion</v>
      </c>
      <c r="BQ5" t="str">
        <v>Friendly</v>
      </c>
      <c r="BU5" t="str">
        <f t="array" ref="BU5:CC5">BI5:BQ6</f>
        <v>Expect</v>
      </c>
      <c r="BV5" t="str">
        <v>Entertain</v>
      </c>
      <c r="BW5" t="str">
        <v>Comm</v>
      </c>
      <c r="BX5" t="str">
        <v>Expert</v>
      </c>
      <c r="BY5" t="str">
        <v>Motivate</v>
      </c>
      <c r="BZ5" t="str">
        <v>Caring</v>
      </c>
      <c r="CA5" t="str">
        <v>Charisma</v>
      </c>
      <c r="CB5" t="str">
        <v>Passion</v>
      </c>
      <c r="CC5" t="str">
        <v>Friendly</v>
      </c>
      <c r="CG5" t="str">
        <f t="array" ref="CG5:CO5">BU5:CC6</f>
        <v>Expect</v>
      </c>
      <c r="CH5" t="str">
        <v>Entertain</v>
      </c>
      <c r="CI5" t="str">
        <v>Comm</v>
      </c>
      <c r="CJ5" t="str">
        <v>Expert</v>
      </c>
      <c r="CK5" t="str">
        <v>Motivate</v>
      </c>
      <c r="CL5" t="str">
        <v>Caring</v>
      </c>
      <c r="CM5" t="str">
        <v>Charisma</v>
      </c>
      <c r="CN5" t="str">
        <v>Passion</v>
      </c>
      <c r="CO5" t="str">
        <v>Friendly</v>
      </c>
      <c r="CS5" t="str">
        <f t="array" ref="CS5:DA5">CG5:CO6</f>
        <v>Expect</v>
      </c>
      <c r="CT5" t="str">
        <v>Entertain</v>
      </c>
      <c r="CU5" t="str">
        <v>Comm</v>
      </c>
      <c r="CV5" t="str">
        <v>Expert</v>
      </c>
      <c r="CW5" t="str">
        <v>Motivate</v>
      </c>
      <c r="CX5" t="str">
        <v>Caring</v>
      </c>
      <c r="CY5" t="str">
        <v>Charisma</v>
      </c>
      <c r="CZ5" t="str">
        <v>Passion</v>
      </c>
      <c r="DA5" t="str">
        <v>Friendly</v>
      </c>
      <c r="DE5" t="str">
        <f t="array" ref="DE5:DM5">CS5:DA6</f>
        <v>Expect</v>
      </c>
      <c r="DF5" t="str">
        <v>Entertain</v>
      </c>
      <c r="DG5" t="str">
        <v>Comm</v>
      </c>
      <c r="DH5" t="str">
        <v>Expert</v>
      </c>
      <c r="DI5" t="str">
        <v>Motivate</v>
      </c>
      <c r="DJ5" t="str">
        <v>Caring</v>
      </c>
      <c r="DK5" t="str">
        <v>Charisma</v>
      </c>
      <c r="DL5" t="str">
        <v>Passion</v>
      </c>
      <c r="DM5" t="str">
        <v>Friendly</v>
      </c>
      <c r="DQ5" t="str">
        <f t="array" ref="DQ5:DY5">DE5:DM6</f>
        <v>Expect</v>
      </c>
      <c r="DR5" t="str">
        <v>Entertain</v>
      </c>
      <c r="DS5" t="str">
        <v>Comm</v>
      </c>
      <c r="DT5" t="str">
        <v>Expert</v>
      </c>
      <c r="DU5" t="str">
        <v>Motivate</v>
      </c>
      <c r="DV5" t="str">
        <v>Caring</v>
      </c>
      <c r="DW5" t="str">
        <v>Charisma</v>
      </c>
      <c r="DX5" t="str">
        <v>Passion</v>
      </c>
      <c r="DY5" t="str">
        <v>Friendly</v>
      </c>
      <c r="EC5" t="str">
        <f t="array" ref="EC5:EK5">DQ5:DY6</f>
        <v>Expect</v>
      </c>
      <c r="ED5" t="str">
        <v>Entertain</v>
      </c>
      <c r="EE5" t="str">
        <v>Comm</v>
      </c>
      <c r="EF5" t="str">
        <v>Expert</v>
      </c>
      <c r="EG5" t="str">
        <v>Motivate</v>
      </c>
      <c r="EH5" t="str">
        <v>Caring</v>
      </c>
      <c r="EI5" t="str">
        <v>Charisma</v>
      </c>
      <c r="EJ5" t="str">
        <v>Passion</v>
      </c>
      <c r="EK5" t="str">
        <v>Friendly</v>
      </c>
      <c r="EO5" t="str">
        <f t="array" ref="EO5:EW5">EC5:EK6</f>
        <v>Expect</v>
      </c>
      <c r="EP5" t="str">
        <v>Entertain</v>
      </c>
      <c r="EQ5" t="str">
        <v>Comm</v>
      </c>
      <c r="ER5" t="str">
        <v>Expert</v>
      </c>
      <c r="ES5" t="str">
        <v>Motivate</v>
      </c>
      <c r="ET5" t="str">
        <v>Caring</v>
      </c>
      <c r="EU5" t="str">
        <v>Charisma</v>
      </c>
      <c r="EV5" t="str">
        <v>Passion</v>
      </c>
      <c r="EW5" t="str">
        <v>Friendly</v>
      </c>
      <c r="FA5" t="str">
        <f t="array" ref="FA5:FI5">EO5:EW6</f>
        <v>Expect</v>
      </c>
      <c r="FB5" t="str">
        <v>Entertain</v>
      </c>
      <c r="FC5" t="str">
        <v>Comm</v>
      </c>
      <c r="FD5" t="str">
        <v>Expert</v>
      </c>
      <c r="FE5" t="str">
        <v>Motivate</v>
      </c>
      <c r="FF5" t="str">
        <v>Caring</v>
      </c>
      <c r="FG5" t="str">
        <v>Charisma</v>
      </c>
      <c r="FH5" t="str">
        <v>Passion</v>
      </c>
      <c r="FI5" t="str">
        <v>Friendly</v>
      </c>
      <c r="FM5" t="str">
        <f t="array" ref="FM5:FU5">FA5:FI6</f>
        <v>Expect</v>
      </c>
      <c r="FN5" t="str">
        <v>Entertain</v>
      </c>
      <c r="FO5" t="str">
        <v>Comm</v>
      </c>
      <c r="FP5" t="str">
        <v>Expert</v>
      </c>
      <c r="FQ5" t="str">
        <v>Motivate</v>
      </c>
      <c r="FR5" t="str">
        <v>Caring</v>
      </c>
      <c r="FS5" t="str">
        <v>Charisma</v>
      </c>
      <c r="FT5" t="str">
        <v>Passion</v>
      </c>
      <c r="FU5" t="str">
        <v>Friendly</v>
      </c>
      <c r="FY5" t="str">
        <f t="array" ref="FY5:GG5">FM5:FU6</f>
        <v>Expect</v>
      </c>
      <c r="FZ5" t="str">
        <v>Entertain</v>
      </c>
      <c r="GA5" t="str">
        <v>Comm</v>
      </c>
      <c r="GB5" t="str">
        <v>Expert</v>
      </c>
      <c r="GC5" t="str">
        <v>Motivate</v>
      </c>
      <c r="GD5" t="str">
        <v>Caring</v>
      </c>
      <c r="GE5" t="str">
        <v>Charisma</v>
      </c>
      <c r="GF5" t="str">
        <v>Passion</v>
      </c>
      <c r="GG5" t="str">
        <v>Friendly</v>
      </c>
      <c r="GK5" t="str">
        <f t="array" ref="GK5:GS5">FY5:GG6</f>
        <v>Expect</v>
      </c>
      <c r="GL5" t="str">
        <v>Entertain</v>
      </c>
      <c r="GM5" t="str">
        <v>Comm</v>
      </c>
      <c r="GN5" t="str">
        <v>Expert</v>
      </c>
      <c r="GO5" t="str">
        <v>Motivate</v>
      </c>
      <c r="GP5" t="str">
        <v>Caring</v>
      </c>
      <c r="GQ5" t="str">
        <v>Charisma</v>
      </c>
      <c r="GR5" t="str">
        <v>Passion</v>
      </c>
      <c r="GS5" t="str">
        <v>Friendly</v>
      </c>
      <c r="GW5" t="str">
        <f t="array" ref="GW5:HE5">GK5:GS6</f>
        <v>Expect</v>
      </c>
      <c r="GX5" t="str">
        <v>Entertain</v>
      </c>
      <c r="GY5" t="str">
        <v>Comm</v>
      </c>
      <c r="GZ5" t="str">
        <v>Expert</v>
      </c>
      <c r="HA5" t="str">
        <v>Motivate</v>
      </c>
      <c r="HB5" t="str">
        <v>Caring</v>
      </c>
      <c r="HC5" t="str">
        <v>Charisma</v>
      </c>
      <c r="HD5" t="str">
        <v>Passion</v>
      </c>
      <c r="HE5" t="str">
        <v>Friendly</v>
      </c>
      <c r="HI5" t="str">
        <f t="array" ref="HI5:HQ5">GW5:HE6</f>
        <v>Expect</v>
      </c>
      <c r="HJ5" t="str">
        <v>Entertain</v>
      </c>
      <c r="HK5" t="str">
        <v>Comm</v>
      </c>
      <c r="HL5" t="str">
        <v>Expert</v>
      </c>
      <c r="HM5" t="str">
        <v>Motivate</v>
      </c>
      <c r="HN5" t="str">
        <v>Caring</v>
      </c>
      <c r="HO5" t="str">
        <v>Charisma</v>
      </c>
      <c r="HP5" t="str">
        <v>Passion</v>
      </c>
      <c r="HQ5" t="str">
        <v>Friendly</v>
      </c>
      <c r="HU5" t="str">
        <f t="array" ref="HU5:IC5">HI5:HQ6</f>
        <v>Expect</v>
      </c>
      <c r="HV5" t="str">
        <v>Entertain</v>
      </c>
      <c r="HW5" t="str">
        <v>Comm</v>
      </c>
      <c r="HX5" t="str">
        <v>Expert</v>
      </c>
      <c r="HY5" t="str">
        <v>Motivate</v>
      </c>
      <c r="HZ5" t="str">
        <v>Caring</v>
      </c>
      <c r="IA5" t="str">
        <v>Charisma</v>
      </c>
      <c r="IB5" t="str">
        <v>Passion</v>
      </c>
      <c r="IC5" t="str">
        <v>Friendly</v>
      </c>
      <c r="IG5" t="str">
        <f t="array" ref="IG5:IO5">HU5:IC6</f>
        <v>Expect</v>
      </c>
      <c r="IH5" t="str">
        <v>Entertain</v>
      </c>
      <c r="II5" t="str">
        <v>Comm</v>
      </c>
      <c r="IJ5" t="str">
        <v>Expert</v>
      </c>
      <c r="IK5" t="str">
        <v>Motivate</v>
      </c>
      <c r="IL5" t="str">
        <v>Caring</v>
      </c>
      <c r="IM5" t="str">
        <v>Charisma</v>
      </c>
      <c r="IN5" t="str">
        <v>Passion</v>
      </c>
      <c r="IO5" t="str">
        <v>Friendly</v>
      </c>
      <c r="IS5" t="str">
        <f t="array" ref="IS5:JA5">IG5:IO6</f>
        <v>Expect</v>
      </c>
      <c r="IT5" t="str">
        <v>Entertain</v>
      </c>
      <c r="IU5" t="str">
        <v>Comm</v>
      </c>
      <c r="IV5" t="str">
        <v>Expert</v>
      </c>
      <c r="IW5" t="str">
        <v>Motivate</v>
      </c>
      <c r="IX5" t="str">
        <v>Caring</v>
      </c>
      <c r="IY5" t="str">
        <v>Charisma</v>
      </c>
      <c r="IZ5" t="str">
        <v>Passion</v>
      </c>
      <c r="JA5" t="str">
        <v>Friendly</v>
      </c>
      <c r="JE5" t="str">
        <f t="array" ref="JE5:JM5">IS5:JA6</f>
        <v>Expect</v>
      </c>
      <c r="JF5" t="str">
        <v>Entertain</v>
      </c>
      <c r="JG5" t="str">
        <v>Comm</v>
      </c>
      <c r="JH5" t="str">
        <v>Expert</v>
      </c>
      <c r="JI5" t="str">
        <v>Motivate</v>
      </c>
      <c r="JJ5" t="str">
        <v>Caring</v>
      </c>
      <c r="JK5" t="str">
        <v>Charisma</v>
      </c>
      <c r="JL5" t="str">
        <v>Passion</v>
      </c>
      <c r="JM5" t="str">
        <v>Friendly</v>
      </c>
      <c r="JQ5" t="str">
        <f t="array" ref="JQ5:JY5">JE5:JM6</f>
        <v>Expect</v>
      </c>
      <c r="JR5" t="str">
        <v>Entertain</v>
      </c>
      <c r="JS5" t="str">
        <v>Comm</v>
      </c>
      <c r="JT5" t="str">
        <v>Expert</v>
      </c>
      <c r="JU5" t="str">
        <v>Motivate</v>
      </c>
      <c r="JV5" t="str">
        <v>Caring</v>
      </c>
      <c r="JW5" t="str">
        <v>Charisma</v>
      </c>
      <c r="JX5" t="str">
        <v>Passion</v>
      </c>
      <c r="JY5" t="str">
        <v>Friendly</v>
      </c>
      <c r="KC5" t="str">
        <f t="array" ref="KC5:KK5">JQ5:JY6</f>
        <v>Expect</v>
      </c>
      <c r="KD5" t="str">
        <v>Entertain</v>
      </c>
      <c r="KE5" t="str">
        <v>Comm</v>
      </c>
      <c r="KF5" t="str">
        <v>Expert</v>
      </c>
      <c r="KG5" t="str">
        <v>Motivate</v>
      </c>
      <c r="KH5" t="str">
        <v>Caring</v>
      </c>
      <c r="KI5" t="str">
        <v>Charisma</v>
      </c>
      <c r="KJ5" t="str">
        <v>Passion</v>
      </c>
      <c r="KK5" t="str">
        <v>Friendly</v>
      </c>
      <c r="KO5" t="str">
        <f t="array" ref="KO5:KW5">KC5:KK6</f>
        <v>Expect</v>
      </c>
      <c r="KP5" t="str">
        <v>Entertain</v>
      </c>
      <c r="KQ5" t="str">
        <v>Comm</v>
      </c>
      <c r="KR5" t="str">
        <v>Expert</v>
      </c>
      <c r="KS5" t="str">
        <v>Motivate</v>
      </c>
      <c r="KT5" t="str">
        <v>Caring</v>
      </c>
      <c r="KU5" t="str">
        <v>Charisma</v>
      </c>
      <c r="KV5" t="str">
        <v>Passion</v>
      </c>
      <c r="KW5" t="str">
        <v>Friendly</v>
      </c>
      <c r="LA5" t="str">
        <f t="array" ref="LA5:LI5">KO5:KW6</f>
        <v>Expect</v>
      </c>
      <c r="LB5" t="str">
        <v>Entertain</v>
      </c>
      <c r="LC5" t="str">
        <v>Comm</v>
      </c>
      <c r="LD5" t="str">
        <v>Expert</v>
      </c>
      <c r="LE5" t="str">
        <v>Motivate</v>
      </c>
      <c r="LF5" t="str">
        <v>Caring</v>
      </c>
      <c r="LG5" t="str">
        <v>Charisma</v>
      </c>
      <c r="LH5" t="str">
        <v>Passion</v>
      </c>
      <c r="LI5" t="str">
        <v>Friendly</v>
      </c>
      <c r="LM5" t="str">
        <f t="array" ref="LM5:LU5">LA5:LI6</f>
        <v>Expect</v>
      </c>
      <c r="LN5" t="str">
        <v>Entertain</v>
      </c>
      <c r="LO5" t="str">
        <v>Comm</v>
      </c>
      <c r="LP5" t="str">
        <v>Expert</v>
      </c>
      <c r="LQ5" t="str">
        <v>Motivate</v>
      </c>
      <c r="LR5" t="str">
        <v>Caring</v>
      </c>
      <c r="LS5" t="str">
        <v>Charisma</v>
      </c>
      <c r="LT5" t="str">
        <v>Passion</v>
      </c>
      <c r="LU5" t="str">
        <v>Friendly</v>
      </c>
      <c r="LY5" t="str">
        <f t="array" ref="LY5:MG5">LM5:LU6</f>
        <v>Expect</v>
      </c>
      <c r="LZ5" t="str">
        <v>Entertain</v>
      </c>
      <c r="MA5" t="str">
        <v>Comm</v>
      </c>
      <c r="MB5" t="str">
        <v>Expert</v>
      </c>
      <c r="MC5" t="str">
        <v>Motivate</v>
      </c>
      <c r="MD5" t="str">
        <v>Caring</v>
      </c>
      <c r="ME5" t="str">
        <v>Charisma</v>
      </c>
      <c r="MF5" t="str">
        <v>Passion</v>
      </c>
      <c r="MG5" t="str">
        <v>Friendly</v>
      </c>
      <c r="MK5" t="str">
        <f t="array" ref="MK5:MS5">LY5:MG6</f>
        <v>Expect</v>
      </c>
      <c r="ML5" t="str">
        <v>Entertain</v>
      </c>
      <c r="MM5" t="str">
        <v>Comm</v>
      </c>
      <c r="MN5" t="str">
        <v>Expert</v>
      </c>
      <c r="MO5" t="str">
        <v>Motivate</v>
      </c>
      <c r="MP5" t="str">
        <v>Caring</v>
      </c>
      <c r="MQ5" t="str">
        <v>Charisma</v>
      </c>
      <c r="MR5" t="str">
        <v>Passion</v>
      </c>
      <c r="MS5" t="str">
        <v>Friendly</v>
      </c>
    </row>
    <row r="6" spans="1:357" x14ac:dyDescent="0.3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tr">
        <f t="array" ref="L6:L14">TRANSPOSE(B3:J3)</f>
        <v>Expect</v>
      </c>
      <c r="M6" s="187" t="e">
        <f t="array" aca="1" ref="M6:U14" ca="1">CORR(B4:J123)</f>
        <v>#NAME?</v>
      </c>
      <c r="N6" s="188" t="e">
        <f ca="1"/>
        <v>#NAME?</v>
      </c>
      <c r="O6" s="188" t="e">
        <f ca="1"/>
        <v>#NAME?</v>
      </c>
      <c r="P6" s="188" t="e">
        <f ca="1"/>
        <v>#NAME?</v>
      </c>
      <c r="Q6" s="188" t="e">
        <f ca="1"/>
        <v>#NAME?</v>
      </c>
      <c r="R6" s="188" t="e">
        <f ca="1"/>
        <v>#NAME?</v>
      </c>
      <c r="S6" s="188" t="e">
        <f ca="1"/>
        <v>#NAME?</v>
      </c>
      <c r="T6" s="188" t="e">
        <f ca="1"/>
        <v>#NAME?</v>
      </c>
      <c r="U6" s="189" t="e">
        <f ca="1"/>
        <v>#NAME?</v>
      </c>
      <c r="X6" t="str">
        <f t="array" ref="X6:X14">TRANSPOSE(Y5:AG5)</f>
        <v>Expect</v>
      </c>
      <c r="Y6" s="201" t="e">
        <f t="array" aca="1" ref="Y6:AG14" ca="1">$M$6:$U$14-Identity()+DIAGONAL(V33:V41)</f>
        <v>#NAME?</v>
      </c>
      <c r="Z6" s="202" t="e">
        <f ca="1"/>
        <v>#NAME?</v>
      </c>
      <c r="AA6" s="202" t="e">
        <f ca="1"/>
        <v>#NAME?</v>
      </c>
      <c r="AB6" s="202" t="e">
        <f ca="1"/>
        <v>#NAME?</v>
      </c>
      <c r="AC6" s="202" t="e">
        <f ca="1"/>
        <v>#NAME?</v>
      </c>
      <c r="AD6" s="202" t="e">
        <f ca="1"/>
        <v>#NAME?</v>
      </c>
      <c r="AE6" s="202" t="e">
        <f ca="1"/>
        <v>#NAME?</v>
      </c>
      <c r="AF6" s="202" t="e">
        <f ca="1"/>
        <v>#NAME?</v>
      </c>
      <c r="AG6" s="203" t="e">
        <f ca="1"/>
        <v>#NAME?</v>
      </c>
      <c r="AJ6" t="str">
        <f t="array" ref="AJ6:AJ14">TRANSPOSE(AK5:AS5)</f>
        <v>Expect</v>
      </c>
      <c r="AK6" s="201" t="e">
        <f t="array" aca="1" ref="AK6:AS14" ca="1">$M$6:$U$14-Identity()+DIAGONAL(AH33:AH41)</f>
        <v>#NAME?</v>
      </c>
      <c r="AL6" s="202" t="e">
        <f ca="1"/>
        <v>#NAME?</v>
      </c>
      <c r="AM6" s="202" t="e">
        <f ca="1"/>
        <v>#NAME?</v>
      </c>
      <c r="AN6" s="202" t="e">
        <f ca="1"/>
        <v>#NAME?</v>
      </c>
      <c r="AO6" s="202" t="e">
        <f ca="1"/>
        <v>#NAME?</v>
      </c>
      <c r="AP6" s="202" t="e">
        <f ca="1"/>
        <v>#NAME?</v>
      </c>
      <c r="AQ6" s="202" t="e">
        <f ca="1"/>
        <v>#NAME?</v>
      </c>
      <c r="AR6" s="202" t="e">
        <f ca="1"/>
        <v>#NAME?</v>
      </c>
      <c r="AS6" s="203" t="e">
        <f ca="1"/>
        <v>#NAME?</v>
      </c>
      <c r="AV6" t="str">
        <f t="array" ref="AV6:AV14">TRANSPOSE(AW5:BE5)</f>
        <v>Expect</v>
      </c>
      <c r="AW6" s="201" t="e">
        <f t="array" aca="1" ref="AW6:BE14" ca="1">$M$6:$U$14-Identity()+DIAGONAL(AT33:AT41)</f>
        <v>#NAME?</v>
      </c>
      <c r="AX6" s="202" t="e">
        <f ca="1"/>
        <v>#NAME?</v>
      </c>
      <c r="AY6" s="202" t="e">
        <f ca="1"/>
        <v>#NAME?</v>
      </c>
      <c r="AZ6" s="202" t="e">
        <f ca="1"/>
        <v>#NAME?</v>
      </c>
      <c r="BA6" s="202" t="e">
        <f ca="1"/>
        <v>#NAME?</v>
      </c>
      <c r="BB6" s="202" t="e">
        <f ca="1"/>
        <v>#NAME?</v>
      </c>
      <c r="BC6" s="202" t="e">
        <f ca="1"/>
        <v>#NAME?</v>
      </c>
      <c r="BD6" s="202" t="e">
        <f ca="1"/>
        <v>#NAME?</v>
      </c>
      <c r="BE6" s="203" t="e">
        <f ca="1"/>
        <v>#NAME?</v>
      </c>
      <c r="BH6" t="str">
        <f t="array" ref="BH6:BH14">TRANSPOSE(BI5:BQ5)</f>
        <v>Expect</v>
      </c>
      <c r="BI6" s="201" t="e">
        <f t="array" aca="1" ref="BI6:BQ14" ca="1">$M$6:$U$14-Identity()+DIAGONAL(BF33:BF41)</f>
        <v>#NAME?</v>
      </c>
      <c r="BJ6" s="202" t="e">
        <f ca="1"/>
        <v>#NAME?</v>
      </c>
      <c r="BK6" s="202" t="e">
        <f ca="1"/>
        <v>#NAME?</v>
      </c>
      <c r="BL6" s="202" t="e">
        <f ca="1"/>
        <v>#NAME?</v>
      </c>
      <c r="BM6" s="202" t="e">
        <f ca="1"/>
        <v>#NAME?</v>
      </c>
      <c r="BN6" s="202" t="e">
        <f ca="1"/>
        <v>#NAME?</v>
      </c>
      <c r="BO6" s="202" t="e">
        <f ca="1"/>
        <v>#NAME?</v>
      </c>
      <c r="BP6" s="202" t="e">
        <f ca="1"/>
        <v>#NAME?</v>
      </c>
      <c r="BQ6" s="203" t="e">
        <f ca="1"/>
        <v>#NAME?</v>
      </c>
      <c r="BT6" t="str">
        <f t="array" ref="BT6:BT14">TRANSPOSE(BU5:CC5)</f>
        <v>Expect</v>
      </c>
      <c r="BU6" s="201" t="e">
        <f t="array" aca="1" ref="BU6:CC14" ca="1">$M$6:$U$14-Identity()+DIAGONAL(BR33:BR41)</f>
        <v>#NAME?</v>
      </c>
      <c r="BV6" s="202" t="e">
        <f ca="1"/>
        <v>#NAME?</v>
      </c>
      <c r="BW6" s="202" t="e">
        <f ca="1"/>
        <v>#NAME?</v>
      </c>
      <c r="BX6" s="202" t="e">
        <f ca="1"/>
        <v>#NAME?</v>
      </c>
      <c r="BY6" s="202" t="e">
        <f ca="1"/>
        <v>#NAME?</v>
      </c>
      <c r="BZ6" s="202" t="e">
        <f ca="1"/>
        <v>#NAME?</v>
      </c>
      <c r="CA6" s="202" t="e">
        <f ca="1"/>
        <v>#NAME?</v>
      </c>
      <c r="CB6" s="202" t="e">
        <f ca="1"/>
        <v>#NAME?</v>
      </c>
      <c r="CC6" s="203" t="e">
        <f ca="1"/>
        <v>#NAME?</v>
      </c>
      <c r="CF6" t="str">
        <f t="array" ref="CF6:CF14">TRANSPOSE(CG5:CO5)</f>
        <v>Expect</v>
      </c>
      <c r="CG6" s="201" t="e">
        <f t="array" aca="1" ref="CG6:CO14" ca="1">$M$6:$U$14-Identity()+DIAGONAL(CD33:CD41)</f>
        <v>#NAME?</v>
      </c>
      <c r="CH6" s="202" t="e">
        <f ca="1"/>
        <v>#NAME?</v>
      </c>
      <c r="CI6" s="202" t="e">
        <f ca="1"/>
        <v>#NAME?</v>
      </c>
      <c r="CJ6" s="202" t="e">
        <f ca="1"/>
        <v>#NAME?</v>
      </c>
      <c r="CK6" s="202" t="e">
        <f ca="1"/>
        <v>#NAME?</v>
      </c>
      <c r="CL6" s="202" t="e">
        <f ca="1"/>
        <v>#NAME?</v>
      </c>
      <c r="CM6" s="202" t="e">
        <f ca="1"/>
        <v>#NAME?</v>
      </c>
      <c r="CN6" s="202" t="e">
        <f ca="1"/>
        <v>#NAME?</v>
      </c>
      <c r="CO6" s="203" t="e">
        <f ca="1"/>
        <v>#NAME?</v>
      </c>
      <c r="CR6" t="str">
        <f t="array" ref="CR6:CR14">TRANSPOSE(CS5:DA5)</f>
        <v>Expect</v>
      </c>
      <c r="CS6" s="201" t="e">
        <f t="array" aca="1" ref="CS6:DA14" ca="1">$M$6:$U$14-Identity()+DIAGONAL(CP33:CP41)</f>
        <v>#NAME?</v>
      </c>
      <c r="CT6" s="202" t="e">
        <f ca="1"/>
        <v>#NAME?</v>
      </c>
      <c r="CU6" s="202" t="e">
        <f ca="1"/>
        <v>#NAME?</v>
      </c>
      <c r="CV6" s="202" t="e">
        <f ca="1"/>
        <v>#NAME?</v>
      </c>
      <c r="CW6" s="202" t="e">
        <f ca="1"/>
        <v>#NAME?</v>
      </c>
      <c r="CX6" s="202" t="e">
        <f ca="1"/>
        <v>#NAME?</v>
      </c>
      <c r="CY6" s="202" t="e">
        <f ca="1"/>
        <v>#NAME?</v>
      </c>
      <c r="CZ6" s="202" t="e">
        <f ca="1"/>
        <v>#NAME?</v>
      </c>
      <c r="DA6" s="203" t="e">
        <f ca="1"/>
        <v>#NAME?</v>
      </c>
      <c r="DD6" t="str">
        <f t="array" ref="DD6:DD14">TRANSPOSE(DE5:DM5)</f>
        <v>Expect</v>
      </c>
      <c r="DE6" s="201" t="e">
        <f t="array" aca="1" ref="DE6:DM14" ca="1">$M$6:$U$14-Identity()+DIAGONAL(DB33:DB41)</f>
        <v>#NAME?</v>
      </c>
      <c r="DF6" s="202" t="e">
        <f ca="1"/>
        <v>#NAME?</v>
      </c>
      <c r="DG6" s="202" t="e">
        <f ca="1"/>
        <v>#NAME?</v>
      </c>
      <c r="DH6" s="202" t="e">
        <f ca="1"/>
        <v>#NAME?</v>
      </c>
      <c r="DI6" s="202" t="e">
        <f ca="1"/>
        <v>#NAME?</v>
      </c>
      <c r="DJ6" s="202" t="e">
        <f ca="1"/>
        <v>#NAME?</v>
      </c>
      <c r="DK6" s="202" t="e">
        <f ca="1"/>
        <v>#NAME?</v>
      </c>
      <c r="DL6" s="202" t="e">
        <f ca="1"/>
        <v>#NAME?</v>
      </c>
      <c r="DM6" s="203" t="e">
        <f ca="1"/>
        <v>#NAME?</v>
      </c>
      <c r="DP6" t="str">
        <f t="array" ref="DP6:DP14">TRANSPOSE(DQ5:DY5)</f>
        <v>Expect</v>
      </c>
      <c r="DQ6" s="201" t="e">
        <f t="array" aca="1" ref="DQ6:DY14" ca="1">$M$6:$U$14-Identity()+DIAGONAL(DN33:DN41)</f>
        <v>#NAME?</v>
      </c>
      <c r="DR6" s="202" t="e">
        <f ca="1"/>
        <v>#NAME?</v>
      </c>
      <c r="DS6" s="202" t="e">
        <f ca="1"/>
        <v>#NAME?</v>
      </c>
      <c r="DT6" s="202" t="e">
        <f ca="1"/>
        <v>#NAME?</v>
      </c>
      <c r="DU6" s="202" t="e">
        <f ca="1"/>
        <v>#NAME?</v>
      </c>
      <c r="DV6" s="202" t="e">
        <f ca="1"/>
        <v>#NAME?</v>
      </c>
      <c r="DW6" s="202" t="e">
        <f ca="1"/>
        <v>#NAME?</v>
      </c>
      <c r="DX6" s="202" t="e">
        <f ca="1"/>
        <v>#NAME?</v>
      </c>
      <c r="DY6" s="203" t="e">
        <f ca="1"/>
        <v>#NAME?</v>
      </c>
      <c r="EB6" t="str">
        <f t="array" ref="EB6:EB14">TRANSPOSE(EC5:EK5)</f>
        <v>Expect</v>
      </c>
      <c r="EC6" s="201" t="e">
        <f t="array" aca="1" ref="EC6:EK14" ca="1">$M$6:$U$14-Identity()+DIAGONAL(DZ33:DZ41)</f>
        <v>#NAME?</v>
      </c>
      <c r="ED6" s="202" t="e">
        <f ca="1"/>
        <v>#NAME?</v>
      </c>
      <c r="EE6" s="202" t="e">
        <f ca="1"/>
        <v>#NAME?</v>
      </c>
      <c r="EF6" s="202" t="e">
        <f ca="1"/>
        <v>#NAME?</v>
      </c>
      <c r="EG6" s="202" t="e">
        <f ca="1"/>
        <v>#NAME?</v>
      </c>
      <c r="EH6" s="202" t="e">
        <f ca="1"/>
        <v>#NAME?</v>
      </c>
      <c r="EI6" s="202" t="e">
        <f ca="1"/>
        <v>#NAME?</v>
      </c>
      <c r="EJ6" s="202" t="e">
        <f ca="1"/>
        <v>#NAME?</v>
      </c>
      <c r="EK6" s="203" t="e">
        <f ca="1"/>
        <v>#NAME?</v>
      </c>
      <c r="EN6" t="str">
        <f t="array" ref="EN6:EN14">TRANSPOSE(EO5:EW5)</f>
        <v>Expect</v>
      </c>
      <c r="EO6" s="201" t="e">
        <f t="array" aca="1" ref="EO6:EW14" ca="1">$M$6:$U$14-Identity()+DIAGONAL(EL33:EL41)</f>
        <v>#NAME?</v>
      </c>
      <c r="EP6" s="202" t="e">
        <f ca="1"/>
        <v>#NAME?</v>
      </c>
      <c r="EQ6" s="202" t="e">
        <f ca="1"/>
        <v>#NAME?</v>
      </c>
      <c r="ER6" s="202" t="e">
        <f ca="1"/>
        <v>#NAME?</v>
      </c>
      <c r="ES6" s="202" t="e">
        <f ca="1"/>
        <v>#NAME?</v>
      </c>
      <c r="ET6" s="202" t="e">
        <f ca="1"/>
        <v>#NAME?</v>
      </c>
      <c r="EU6" s="202" t="e">
        <f ca="1"/>
        <v>#NAME?</v>
      </c>
      <c r="EV6" s="202" t="e">
        <f ca="1"/>
        <v>#NAME?</v>
      </c>
      <c r="EW6" s="203" t="e">
        <f ca="1"/>
        <v>#NAME?</v>
      </c>
      <c r="EZ6" t="str">
        <f t="array" ref="EZ6:EZ14">TRANSPOSE(FA5:FI5)</f>
        <v>Expect</v>
      </c>
      <c r="FA6" s="201" t="e">
        <f t="array" aca="1" ref="FA6:FI14" ca="1">$M$6:$U$14-Identity()+DIAGONAL(EX33:EX41)</f>
        <v>#NAME?</v>
      </c>
      <c r="FB6" s="202" t="e">
        <f ca="1"/>
        <v>#NAME?</v>
      </c>
      <c r="FC6" s="202" t="e">
        <f ca="1"/>
        <v>#NAME?</v>
      </c>
      <c r="FD6" s="202" t="e">
        <f ca="1"/>
        <v>#NAME?</v>
      </c>
      <c r="FE6" s="202" t="e">
        <f ca="1"/>
        <v>#NAME?</v>
      </c>
      <c r="FF6" s="202" t="e">
        <f ca="1"/>
        <v>#NAME?</v>
      </c>
      <c r="FG6" s="202" t="e">
        <f ca="1"/>
        <v>#NAME?</v>
      </c>
      <c r="FH6" s="202" t="e">
        <f ca="1"/>
        <v>#NAME?</v>
      </c>
      <c r="FI6" s="203" t="e">
        <f ca="1"/>
        <v>#NAME?</v>
      </c>
      <c r="FL6" t="str">
        <f t="array" ref="FL6:FL14">TRANSPOSE(FM5:FU5)</f>
        <v>Expect</v>
      </c>
      <c r="FM6" s="201" t="e">
        <f t="array" aca="1" ref="FM6:FU14" ca="1">$M$6:$U$14-Identity()+DIAGONAL(FJ33:FJ41)</f>
        <v>#NAME?</v>
      </c>
      <c r="FN6" s="202" t="e">
        <f ca="1"/>
        <v>#NAME?</v>
      </c>
      <c r="FO6" s="202" t="e">
        <f ca="1"/>
        <v>#NAME?</v>
      </c>
      <c r="FP6" s="202" t="e">
        <f ca="1"/>
        <v>#NAME?</v>
      </c>
      <c r="FQ6" s="202" t="e">
        <f ca="1"/>
        <v>#NAME?</v>
      </c>
      <c r="FR6" s="202" t="e">
        <f ca="1"/>
        <v>#NAME?</v>
      </c>
      <c r="FS6" s="202" t="e">
        <f ca="1"/>
        <v>#NAME?</v>
      </c>
      <c r="FT6" s="202" t="e">
        <f ca="1"/>
        <v>#NAME?</v>
      </c>
      <c r="FU6" s="203" t="e">
        <f ca="1"/>
        <v>#NAME?</v>
      </c>
      <c r="FX6" t="str">
        <f t="array" ref="FX6:FX14">TRANSPOSE(FY5:GG5)</f>
        <v>Expect</v>
      </c>
      <c r="FY6" s="201" t="e">
        <f t="array" aca="1" ref="FY6:GG14" ca="1">$M$6:$U$14-Identity()+DIAGONAL(FV33:FV41)</f>
        <v>#NAME?</v>
      </c>
      <c r="FZ6" s="202" t="e">
        <f ca="1"/>
        <v>#NAME?</v>
      </c>
      <c r="GA6" s="202" t="e">
        <f ca="1"/>
        <v>#NAME?</v>
      </c>
      <c r="GB6" s="202" t="e">
        <f ca="1"/>
        <v>#NAME?</v>
      </c>
      <c r="GC6" s="202" t="e">
        <f ca="1"/>
        <v>#NAME?</v>
      </c>
      <c r="GD6" s="202" t="e">
        <f ca="1"/>
        <v>#NAME?</v>
      </c>
      <c r="GE6" s="202" t="e">
        <f ca="1"/>
        <v>#NAME?</v>
      </c>
      <c r="GF6" s="202" t="e">
        <f ca="1"/>
        <v>#NAME?</v>
      </c>
      <c r="GG6" s="203" t="e">
        <f ca="1"/>
        <v>#NAME?</v>
      </c>
      <c r="GJ6" t="str">
        <f t="array" ref="GJ6:GJ14">TRANSPOSE(GK5:GS5)</f>
        <v>Expect</v>
      </c>
      <c r="GK6" s="201" t="e">
        <f t="array" aca="1" ref="GK6:GS14" ca="1">$M$6:$U$14-Identity()+DIAGONAL(GH33:GH41)</f>
        <v>#NAME?</v>
      </c>
      <c r="GL6" s="202" t="e">
        <f ca="1"/>
        <v>#NAME?</v>
      </c>
      <c r="GM6" s="202" t="e">
        <f ca="1"/>
        <v>#NAME?</v>
      </c>
      <c r="GN6" s="202" t="e">
        <f ca="1"/>
        <v>#NAME?</v>
      </c>
      <c r="GO6" s="202" t="e">
        <f ca="1"/>
        <v>#NAME?</v>
      </c>
      <c r="GP6" s="202" t="e">
        <f ca="1"/>
        <v>#NAME?</v>
      </c>
      <c r="GQ6" s="202" t="e">
        <f ca="1"/>
        <v>#NAME?</v>
      </c>
      <c r="GR6" s="202" t="e">
        <f ca="1"/>
        <v>#NAME?</v>
      </c>
      <c r="GS6" s="203" t="e">
        <f ca="1"/>
        <v>#NAME?</v>
      </c>
      <c r="GV6" t="str">
        <f t="array" ref="GV6:GV14">TRANSPOSE(GW5:HE5)</f>
        <v>Expect</v>
      </c>
      <c r="GW6" s="201" t="e">
        <f t="array" aca="1" ref="GW6:HE14" ca="1">$M$6:$U$14-Identity()+DIAGONAL(GT33:GT41)</f>
        <v>#NAME?</v>
      </c>
      <c r="GX6" s="202" t="e">
        <f ca="1"/>
        <v>#NAME?</v>
      </c>
      <c r="GY6" s="202" t="e">
        <f ca="1"/>
        <v>#NAME?</v>
      </c>
      <c r="GZ6" s="202" t="e">
        <f ca="1"/>
        <v>#NAME?</v>
      </c>
      <c r="HA6" s="202" t="e">
        <f ca="1"/>
        <v>#NAME?</v>
      </c>
      <c r="HB6" s="202" t="e">
        <f ca="1"/>
        <v>#NAME?</v>
      </c>
      <c r="HC6" s="202" t="e">
        <f ca="1"/>
        <v>#NAME?</v>
      </c>
      <c r="HD6" s="202" t="e">
        <f ca="1"/>
        <v>#NAME?</v>
      </c>
      <c r="HE6" s="203" t="e">
        <f ca="1"/>
        <v>#NAME?</v>
      </c>
      <c r="HH6" t="str">
        <f t="array" ref="HH6:HH14">TRANSPOSE(HI5:HQ5)</f>
        <v>Expect</v>
      </c>
      <c r="HI6" s="201" t="e">
        <f t="array" aca="1" ref="HI6:HQ14" ca="1">$M$6:$U$14-Identity()+DIAGONAL(HF33:HF41)</f>
        <v>#NAME?</v>
      </c>
      <c r="HJ6" s="202" t="e">
        <f ca="1"/>
        <v>#NAME?</v>
      </c>
      <c r="HK6" s="202" t="e">
        <f ca="1"/>
        <v>#NAME?</v>
      </c>
      <c r="HL6" s="202" t="e">
        <f ca="1"/>
        <v>#NAME?</v>
      </c>
      <c r="HM6" s="202" t="e">
        <f ca="1"/>
        <v>#NAME?</v>
      </c>
      <c r="HN6" s="202" t="e">
        <f ca="1"/>
        <v>#NAME?</v>
      </c>
      <c r="HO6" s="202" t="e">
        <f ca="1"/>
        <v>#NAME?</v>
      </c>
      <c r="HP6" s="202" t="e">
        <f ca="1"/>
        <v>#NAME?</v>
      </c>
      <c r="HQ6" s="203" t="e">
        <f ca="1"/>
        <v>#NAME?</v>
      </c>
      <c r="HT6" t="str">
        <f t="array" ref="HT6:HT14">TRANSPOSE(HU5:IC5)</f>
        <v>Expect</v>
      </c>
      <c r="HU6" s="201" t="e">
        <f t="array" aca="1" ref="HU6:IC14" ca="1">$M$6:$U$14-Identity()+DIAGONAL(HR33:HR41)</f>
        <v>#NAME?</v>
      </c>
      <c r="HV6" s="202" t="e">
        <f ca="1"/>
        <v>#NAME?</v>
      </c>
      <c r="HW6" s="202" t="e">
        <f ca="1"/>
        <v>#NAME?</v>
      </c>
      <c r="HX6" s="202" t="e">
        <f ca="1"/>
        <v>#NAME?</v>
      </c>
      <c r="HY6" s="202" t="e">
        <f ca="1"/>
        <v>#NAME?</v>
      </c>
      <c r="HZ6" s="202" t="e">
        <f ca="1"/>
        <v>#NAME?</v>
      </c>
      <c r="IA6" s="202" t="e">
        <f ca="1"/>
        <v>#NAME?</v>
      </c>
      <c r="IB6" s="202" t="e">
        <f ca="1"/>
        <v>#NAME?</v>
      </c>
      <c r="IC6" s="203" t="e">
        <f ca="1"/>
        <v>#NAME?</v>
      </c>
      <c r="IF6" t="str">
        <f t="array" ref="IF6:IF14">TRANSPOSE(IG5:IO5)</f>
        <v>Expect</v>
      </c>
      <c r="IG6" s="201" t="e">
        <f t="array" aca="1" ref="IG6:IO14" ca="1">$M$6:$U$14-Identity()+DIAGONAL(ID33:ID41)</f>
        <v>#NAME?</v>
      </c>
      <c r="IH6" s="202" t="e">
        <f ca="1"/>
        <v>#NAME?</v>
      </c>
      <c r="II6" s="202" t="e">
        <f ca="1"/>
        <v>#NAME?</v>
      </c>
      <c r="IJ6" s="202" t="e">
        <f ca="1"/>
        <v>#NAME?</v>
      </c>
      <c r="IK6" s="202" t="e">
        <f ca="1"/>
        <v>#NAME?</v>
      </c>
      <c r="IL6" s="202" t="e">
        <f ca="1"/>
        <v>#NAME?</v>
      </c>
      <c r="IM6" s="202" t="e">
        <f ca="1"/>
        <v>#NAME?</v>
      </c>
      <c r="IN6" s="202" t="e">
        <f ca="1"/>
        <v>#NAME?</v>
      </c>
      <c r="IO6" s="203" t="e">
        <f ca="1"/>
        <v>#NAME?</v>
      </c>
      <c r="IR6" t="str">
        <f t="array" ref="IR6:IR14">TRANSPOSE(IS5:JA5)</f>
        <v>Expect</v>
      </c>
      <c r="IS6" s="201" t="e">
        <f t="array" aca="1" ref="IS6:JA14" ca="1">$M$6:$U$14-Identity()+DIAGONAL(IP33:IP41)</f>
        <v>#NAME?</v>
      </c>
      <c r="IT6" s="202" t="e">
        <f ca="1"/>
        <v>#NAME?</v>
      </c>
      <c r="IU6" s="202" t="e">
        <f ca="1"/>
        <v>#NAME?</v>
      </c>
      <c r="IV6" s="202" t="e">
        <f ca="1"/>
        <v>#NAME?</v>
      </c>
      <c r="IW6" s="202" t="e">
        <f ca="1"/>
        <v>#NAME?</v>
      </c>
      <c r="IX6" s="202" t="e">
        <f ca="1"/>
        <v>#NAME?</v>
      </c>
      <c r="IY6" s="202" t="e">
        <f ca="1"/>
        <v>#NAME?</v>
      </c>
      <c r="IZ6" s="202" t="e">
        <f ca="1"/>
        <v>#NAME?</v>
      </c>
      <c r="JA6" s="203" t="e">
        <f ca="1"/>
        <v>#NAME?</v>
      </c>
      <c r="JD6" t="str">
        <f t="array" ref="JD6:JD14">TRANSPOSE(JE5:JM5)</f>
        <v>Expect</v>
      </c>
      <c r="JE6" s="201" t="e">
        <f t="array" aca="1" ref="JE6:JM14" ca="1">$M$6:$U$14-Identity()+DIAGONAL(JB33:JB41)</f>
        <v>#NAME?</v>
      </c>
      <c r="JF6" s="202" t="e">
        <f ca="1"/>
        <v>#NAME?</v>
      </c>
      <c r="JG6" s="202" t="e">
        <f ca="1"/>
        <v>#NAME?</v>
      </c>
      <c r="JH6" s="202" t="e">
        <f ca="1"/>
        <v>#NAME?</v>
      </c>
      <c r="JI6" s="202" t="e">
        <f ca="1"/>
        <v>#NAME?</v>
      </c>
      <c r="JJ6" s="202" t="e">
        <f ca="1"/>
        <v>#NAME?</v>
      </c>
      <c r="JK6" s="202" t="e">
        <f ca="1"/>
        <v>#NAME?</v>
      </c>
      <c r="JL6" s="202" t="e">
        <f ca="1"/>
        <v>#NAME?</v>
      </c>
      <c r="JM6" s="203" t="e">
        <f ca="1"/>
        <v>#NAME?</v>
      </c>
      <c r="JP6" t="str">
        <f t="array" ref="JP6:JP14">TRANSPOSE(JQ5:JY5)</f>
        <v>Expect</v>
      </c>
      <c r="JQ6" s="201" t="e">
        <f t="array" aca="1" ref="JQ6:JY14" ca="1">$M$6:$U$14-Identity()+DIAGONAL(JN33:JN41)</f>
        <v>#NAME?</v>
      </c>
      <c r="JR6" s="202" t="e">
        <f ca="1"/>
        <v>#NAME?</v>
      </c>
      <c r="JS6" s="202" t="e">
        <f ca="1"/>
        <v>#NAME?</v>
      </c>
      <c r="JT6" s="202" t="e">
        <f ca="1"/>
        <v>#NAME?</v>
      </c>
      <c r="JU6" s="202" t="e">
        <f ca="1"/>
        <v>#NAME?</v>
      </c>
      <c r="JV6" s="202" t="e">
        <f ca="1"/>
        <v>#NAME?</v>
      </c>
      <c r="JW6" s="202" t="e">
        <f ca="1"/>
        <v>#NAME?</v>
      </c>
      <c r="JX6" s="202" t="e">
        <f ca="1"/>
        <v>#NAME?</v>
      </c>
      <c r="JY6" s="203" t="e">
        <f ca="1"/>
        <v>#NAME?</v>
      </c>
      <c r="KB6" t="str">
        <f t="array" ref="KB6:KB14">TRANSPOSE(KC5:KK5)</f>
        <v>Expect</v>
      </c>
      <c r="KC6" s="201" t="e">
        <f t="array" aca="1" ref="KC6:KK14" ca="1">$M$6:$U$14-Identity()+DIAGONAL(JZ33:JZ41)</f>
        <v>#NAME?</v>
      </c>
      <c r="KD6" s="202" t="e">
        <f ca="1"/>
        <v>#NAME?</v>
      </c>
      <c r="KE6" s="202" t="e">
        <f ca="1"/>
        <v>#NAME?</v>
      </c>
      <c r="KF6" s="202" t="e">
        <f ca="1"/>
        <v>#NAME?</v>
      </c>
      <c r="KG6" s="202" t="e">
        <f ca="1"/>
        <v>#NAME?</v>
      </c>
      <c r="KH6" s="202" t="e">
        <f ca="1"/>
        <v>#NAME?</v>
      </c>
      <c r="KI6" s="202" t="e">
        <f ca="1"/>
        <v>#NAME?</v>
      </c>
      <c r="KJ6" s="202" t="e">
        <f ca="1"/>
        <v>#NAME?</v>
      </c>
      <c r="KK6" s="203" t="e">
        <f ca="1"/>
        <v>#NAME?</v>
      </c>
      <c r="KN6" t="str">
        <f t="array" ref="KN6:KN14">TRANSPOSE(KO5:KW5)</f>
        <v>Expect</v>
      </c>
      <c r="KO6" s="201" t="e">
        <f t="array" aca="1" ref="KO6:KW14" ca="1">$M$6:$U$14-Identity()+DIAGONAL(KL33:KL41)</f>
        <v>#NAME?</v>
      </c>
      <c r="KP6" s="202" t="e">
        <f ca="1"/>
        <v>#NAME?</v>
      </c>
      <c r="KQ6" s="202" t="e">
        <f ca="1"/>
        <v>#NAME?</v>
      </c>
      <c r="KR6" s="202" t="e">
        <f ca="1"/>
        <v>#NAME?</v>
      </c>
      <c r="KS6" s="202" t="e">
        <f ca="1"/>
        <v>#NAME?</v>
      </c>
      <c r="KT6" s="202" t="e">
        <f ca="1"/>
        <v>#NAME?</v>
      </c>
      <c r="KU6" s="202" t="e">
        <f ca="1"/>
        <v>#NAME?</v>
      </c>
      <c r="KV6" s="202" t="e">
        <f ca="1"/>
        <v>#NAME?</v>
      </c>
      <c r="KW6" s="203" t="e">
        <f ca="1"/>
        <v>#NAME?</v>
      </c>
      <c r="KZ6" t="str">
        <f t="array" ref="KZ6:KZ14">TRANSPOSE(LA5:LI5)</f>
        <v>Expect</v>
      </c>
      <c r="LA6" s="201" t="e">
        <f t="array" aca="1" ref="LA6:LI14" ca="1">$M$6:$U$14-Identity()+DIAGONAL(KX33:KX41)</f>
        <v>#NAME?</v>
      </c>
      <c r="LB6" s="202" t="e">
        <f ca="1"/>
        <v>#NAME?</v>
      </c>
      <c r="LC6" s="202" t="e">
        <f ca="1"/>
        <v>#NAME?</v>
      </c>
      <c r="LD6" s="202" t="e">
        <f ca="1"/>
        <v>#NAME?</v>
      </c>
      <c r="LE6" s="202" t="e">
        <f ca="1"/>
        <v>#NAME?</v>
      </c>
      <c r="LF6" s="202" t="e">
        <f ca="1"/>
        <v>#NAME?</v>
      </c>
      <c r="LG6" s="202" t="e">
        <f ca="1"/>
        <v>#NAME?</v>
      </c>
      <c r="LH6" s="202" t="e">
        <f ca="1"/>
        <v>#NAME?</v>
      </c>
      <c r="LI6" s="203" t="e">
        <f ca="1"/>
        <v>#NAME?</v>
      </c>
      <c r="LL6" t="str">
        <f t="array" ref="LL6:LL14">TRANSPOSE(LM5:LU5)</f>
        <v>Expect</v>
      </c>
      <c r="LM6" s="201" t="e">
        <f t="array" aca="1" ref="LM6:LU14" ca="1">LA6:LI14-DIAGONAL(DIAG(LA6:LI14))+DIAGONAL(LJ33:LJ41)</f>
        <v>#NAME?</v>
      </c>
      <c r="LN6" s="202" t="e">
        <f ca="1"/>
        <v>#NAME?</v>
      </c>
      <c r="LO6" s="202" t="e">
        <f ca="1"/>
        <v>#NAME?</v>
      </c>
      <c r="LP6" s="202" t="e">
        <f ca="1"/>
        <v>#NAME?</v>
      </c>
      <c r="LQ6" s="202" t="e">
        <f ca="1"/>
        <v>#NAME?</v>
      </c>
      <c r="LR6" s="202" t="e">
        <f ca="1"/>
        <v>#NAME?</v>
      </c>
      <c r="LS6" s="202" t="e">
        <f ca="1"/>
        <v>#NAME?</v>
      </c>
      <c r="LT6" s="202" t="e">
        <f ca="1"/>
        <v>#NAME?</v>
      </c>
      <c r="LU6" s="203" t="e">
        <f ca="1"/>
        <v>#NAME?</v>
      </c>
      <c r="LX6" t="str">
        <f t="array" ref="LX6:LX14">TRANSPOSE(LY5:MG5)</f>
        <v>Expect</v>
      </c>
      <c r="LY6" s="201" t="e">
        <f t="array" aca="1" ref="LY6:MG14" ca="1">LM6:LU14-DIAGONAL(DIAG(LM6:LU14))+DIAGONAL(LV33:LV41)</f>
        <v>#NAME?</v>
      </c>
      <c r="LZ6" s="202" t="e">
        <f ca="1"/>
        <v>#NAME?</v>
      </c>
      <c r="MA6" s="202" t="e">
        <f ca="1"/>
        <v>#NAME?</v>
      </c>
      <c r="MB6" s="202" t="e">
        <f ca="1"/>
        <v>#NAME?</v>
      </c>
      <c r="MC6" s="202" t="e">
        <f ca="1"/>
        <v>#NAME?</v>
      </c>
      <c r="MD6" s="202" t="e">
        <f ca="1"/>
        <v>#NAME?</v>
      </c>
      <c r="ME6" s="202" t="e">
        <f ca="1"/>
        <v>#NAME?</v>
      </c>
      <c r="MF6" s="202" t="e">
        <f ca="1"/>
        <v>#NAME?</v>
      </c>
      <c r="MG6" s="203" t="e">
        <f ca="1"/>
        <v>#NAME?</v>
      </c>
      <c r="MJ6" t="str">
        <f t="array" ref="MJ6:MJ14">TRANSPOSE(MK5:MS5)</f>
        <v>Expect</v>
      </c>
      <c r="MK6" s="201" t="e">
        <f t="array" aca="1" ref="MK6:MS14" ca="1">LY6:MG14-DIAGONAL(DIAG(LY6:MG14))+DIAGONAL(MH33:MH41)</f>
        <v>#NAME?</v>
      </c>
      <c r="ML6" s="202" t="e">
        <f ca="1"/>
        <v>#NAME?</v>
      </c>
      <c r="MM6" s="202" t="e">
        <f ca="1"/>
        <v>#NAME?</v>
      </c>
      <c r="MN6" s="202" t="e">
        <f ca="1"/>
        <v>#NAME?</v>
      </c>
      <c r="MO6" s="202" t="e">
        <f ca="1"/>
        <v>#NAME?</v>
      </c>
      <c r="MP6" s="202" t="e">
        <f ca="1"/>
        <v>#NAME?</v>
      </c>
      <c r="MQ6" s="202" t="e">
        <f ca="1"/>
        <v>#NAME?</v>
      </c>
      <c r="MR6" s="202" t="e">
        <f ca="1"/>
        <v>#NAME?</v>
      </c>
      <c r="MS6" s="203" t="e">
        <f ca="1"/>
        <v>#NAME?</v>
      </c>
    </row>
    <row r="7" spans="1:357" x14ac:dyDescent="0.3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tr">
        <v>Entertain</v>
      </c>
      <c r="M7" s="83" t="e">
        <f ca="1"/>
        <v>#NAME?</v>
      </c>
      <c r="N7" s="37" t="e">
        <f ca="1"/>
        <v>#NAME?</v>
      </c>
      <c r="O7" s="37" t="e">
        <f ca="1"/>
        <v>#NAME?</v>
      </c>
      <c r="P7" s="37" t="e">
        <f ca="1"/>
        <v>#NAME?</v>
      </c>
      <c r="Q7" s="37" t="e">
        <f ca="1"/>
        <v>#NAME?</v>
      </c>
      <c r="R7" s="37" t="e">
        <f ca="1"/>
        <v>#NAME?</v>
      </c>
      <c r="S7" s="37" t="e">
        <f ca="1"/>
        <v>#NAME?</v>
      </c>
      <c r="T7" s="37" t="e">
        <f ca="1"/>
        <v>#NAME?</v>
      </c>
      <c r="U7" s="84" t="e">
        <f ca="1"/>
        <v>#NAME?</v>
      </c>
      <c r="X7" t="str">
        <v>Entertain</v>
      </c>
      <c r="Y7" s="123" t="e">
        <f ca="1"/>
        <v>#NAME?</v>
      </c>
      <c r="Z7" s="37" t="e">
        <f ca="1"/>
        <v>#NAME?</v>
      </c>
      <c r="AA7" s="37" t="e">
        <f ca="1"/>
        <v>#NAME?</v>
      </c>
      <c r="AB7" s="37" t="e">
        <f ca="1"/>
        <v>#NAME?</v>
      </c>
      <c r="AC7" s="37" t="e">
        <f ca="1"/>
        <v>#NAME?</v>
      </c>
      <c r="AD7" s="37" t="e">
        <f ca="1"/>
        <v>#NAME?</v>
      </c>
      <c r="AE7" s="37" t="e">
        <f ca="1"/>
        <v>#NAME?</v>
      </c>
      <c r="AF7" s="37" t="e">
        <f ca="1"/>
        <v>#NAME?</v>
      </c>
      <c r="AG7" s="90" t="e">
        <f ca="1"/>
        <v>#NAME?</v>
      </c>
      <c r="AJ7" t="str">
        <v>Entertain</v>
      </c>
      <c r="AK7" s="123" t="e">
        <f ca="1"/>
        <v>#NAME?</v>
      </c>
      <c r="AL7" s="37" t="e">
        <f ca="1"/>
        <v>#NAME?</v>
      </c>
      <c r="AM7" s="37" t="e">
        <f ca="1"/>
        <v>#NAME?</v>
      </c>
      <c r="AN7" s="37" t="e">
        <f ca="1"/>
        <v>#NAME?</v>
      </c>
      <c r="AO7" s="37" t="e">
        <f ca="1"/>
        <v>#NAME?</v>
      </c>
      <c r="AP7" s="37" t="e">
        <f ca="1"/>
        <v>#NAME?</v>
      </c>
      <c r="AQ7" s="37" t="e">
        <f ca="1"/>
        <v>#NAME?</v>
      </c>
      <c r="AR7" s="37" t="e">
        <f ca="1"/>
        <v>#NAME?</v>
      </c>
      <c r="AS7" s="90" t="e">
        <f ca="1"/>
        <v>#NAME?</v>
      </c>
      <c r="AV7" t="str">
        <v>Entertain</v>
      </c>
      <c r="AW7" s="123" t="e">
        <f ca="1"/>
        <v>#NAME?</v>
      </c>
      <c r="AX7" s="37" t="e">
        <f ca="1"/>
        <v>#NAME?</v>
      </c>
      <c r="AY7" s="37" t="e">
        <f ca="1"/>
        <v>#NAME?</v>
      </c>
      <c r="AZ7" s="37" t="e">
        <f ca="1"/>
        <v>#NAME?</v>
      </c>
      <c r="BA7" s="37" t="e">
        <f ca="1"/>
        <v>#NAME?</v>
      </c>
      <c r="BB7" s="37" t="e">
        <f ca="1"/>
        <v>#NAME?</v>
      </c>
      <c r="BC7" s="37" t="e">
        <f ca="1"/>
        <v>#NAME?</v>
      </c>
      <c r="BD7" s="37" t="e">
        <f ca="1"/>
        <v>#NAME?</v>
      </c>
      <c r="BE7" s="90" t="e">
        <f ca="1"/>
        <v>#NAME?</v>
      </c>
      <c r="BH7" t="str">
        <v>Entertain</v>
      </c>
      <c r="BI7" s="123" t="e">
        <f ca="1"/>
        <v>#NAME?</v>
      </c>
      <c r="BJ7" s="37" t="e">
        <f ca="1"/>
        <v>#NAME?</v>
      </c>
      <c r="BK7" s="37" t="e">
        <f ca="1"/>
        <v>#NAME?</v>
      </c>
      <c r="BL7" s="37" t="e">
        <f ca="1"/>
        <v>#NAME?</v>
      </c>
      <c r="BM7" s="37" t="e">
        <f ca="1"/>
        <v>#NAME?</v>
      </c>
      <c r="BN7" s="37" t="e">
        <f ca="1"/>
        <v>#NAME?</v>
      </c>
      <c r="BO7" s="37" t="e">
        <f ca="1"/>
        <v>#NAME?</v>
      </c>
      <c r="BP7" s="37" t="e">
        <f ca="1"/>
        <v>#NAME?</v>
      </c>
      <c r="BQ7" s="90" t="e">
        <f ca="1"/>
        <v>#NAME?</v>
      </c>
      <c r="BT7" t="str">
        <v>Entertain</v>
      </c>
      <c r="BU7" s="123" t="e">
        <f ca="1"/>
        <v>#NAME?</v>
      </c>
      <c r="BV7" s="37" t="e">
        <f ca="1"/>
        <v>#NAME?</v>
      </c>
      <c r="BW7" s="37" t="e">
        <f ca="1"/>
        <v>#NAME?</v>
      </c>
      <c r="BX7" s="37" t="e">
        <f ca="1"/>
        <v>#NAME?</v>
      </c>
      <c r="BY7" s="37" t="e">
        <f ca="1"/>
        <v>#NAME?</v>
      </c>
      <c r="BZ7" s="37" t="e">
        <f ca="1"/>
        <v>#NAME?</v>
      </c>
      <c r="CA7" s="37" t="e">
        <f ca="1"/>
        <v>#NAME?</v>
      </c>
      <c r="CB7" s="37" t="e">
        <f ca="1"/>
        <v>#NAME?</v>
      </c>
      <c r="CC7" s="90" t="e">
        <f ca="1"/>
        <v>#NAME?</v>
      </c>
      <c r="CF7" t="str">
        <v>Entertain</v>
      </c>
      <c r="CG7" s="123" t="e">
        <f ca="1"/>
        <v>#NAME?</v>
      </c>
      <c r="CH7" s="37" t="e">
        <f ca="1"/>
        <v>#NAME?</v>
      </c>
      <c r="CI7" s="37" t="e">
        <f ca="1"/>
        <v>#NAME?</v>
      </c>
      <c r="CJ7" s="37" t="e">
        <f ca="1"/>
        <v>#NAME?</v>
      </c>
      <c r="CK7" s="37" t="e">
        <f ca="1"/>
        <v>#NAME?</v>
      </c>
      <c r="CL7" s="37" t="e">
        <f ca="1"/>
        <v>#NAME?</v>
      </c>
      <c r="CM7" s="37" t="e">
        <f ca="1"/>
        <v>#NAME?</v>
      </c>
      <c r="CN7" s="37" t="e">
        <f ca="1"/>
        <v>#NAME?</v>
      </c>
      <c r="CO7" s="90" t="e">
        <f ca="1"/>
        <v>#NAME?</v>
      </c>
      <c r="CR7" t="str">
        <v>Entertain</v>
      </c>
      <c r="CS7" s="123" t="e">
        <f ca="1"/>
        <v>#NAME?</v>
      </c>
      <c r="CT7" s="37" t="e">
        <f ca="1"/>
        <v>#NAME?</v>
      </c>
      <c r="CU7" s="37" t="e">
        <f ca="1"/>
        <v>#NAME?</v>
      </c>
      <c r="CV7" s="37" t="e">
        <f ca="1"/>
        <v>#NAME?</v>
      </c>
      <c r="CW7" s="37" t="e">
        <f ca="1"/>
        <v>#NAME?</v>
      </c>
      <c r="CX7" s="37" t="e">
        <f ca="1"/>
        <v>#NAME?</v>
      </c>
      <c r="CY7" s="37" t="e">
        <f ca="1"/>
        <v>#NAME?</v>
      </c>
      <c r="CZ7" s="37" t="e">
        <f ca="1"/>
        <v>#NAME?</v>
      </c>
      <c r="DA7" s="90" t="e">
        <f ca="1"/>
        <v>#NAME?</v>
      </c>
      <c r="DD7" t="str">
        <v>Entertain</v>
      </c>
      <c r="DE7" s="123" t="e">
        <f ca="1"/>
        <v>#NAME?</v>
      </c>
      <c r="DF7" s="37" t="e">
        <f ca="1"/>
        <v>#NAME?</v>
      </c>
      <c r="DG7" s="37" t="e">
        <f ca="1"/>
        <v>#NAME?</v>
      </c>
      <c r="DH7" s="37" t="e">
        <f ca="1"/>
        <v>#NAME?</v>
      </c>
      <c r="DI7" s="37" t="e">
        <f ca="1"/>
        <v>#NAME?</v>
      </c>
      <c r="DJ7" s="37" t="e">
        <f ca="1"/>
        <v>#NAME?</v>
      </c>
      <c r="DK7" s="37" t="e">
        <f ca="1"/>
        <v>#NAME?</v>
      </c>
      <c r="DL7" s="37" t="e">
        <f ca="1"/>
        <v>#NAME?</v>
      </c>
      <c r="DM7" s="90" t="e">
        <f ca="1"/>
        <v>#NAME?</v>
      </c>
      <c r="DP7" t="str">
        <v>Entertain</v>
      </c>
      <c r="DQ7" s="123" t="e">
        <f ca="1"/>
        <v>#NAME?</v>
      </c>
      <c r="DR7" s="37" t="e">
        <f ca="1"/>
        <v>#NAME?</v>
      </c>
      <c r="DS7" s="37" t="e">
        <f ca="1"/>
        <v>#NAME?</v>
      </c>
      <c r="DT7" s="37" t="e">
        <f ca="1"/>
        <v>#NAME?</v>
      </c>
      <c r="DU7" s="37" t="e">
        <f ca="1"/>
        <v>#NAME?</v>
      </c>
      <c r="DV7" s="37" t="e">
        <f ca="1"/>
        <v>#NAME?</v>
      </c>
      <c r="DW7" s="37" t="e">
        <f ca="1"/>
        <v>#NAME?</v>
      </c>
      <c r="DX7" s="37" t="e">
        <f ca="1"/>
        <v>#NAME?</v>
      </c>
      <c r="DY7" s="90" t="e">
        <f ca="1"/>
        <v>#NAME?</v>
      </c>
      <c r="EB7" t="str">
        <v>Entertain</v>
      </c>
      <c r="EC7" s="123" t="e">
        <f ca="1"/>
        <v>#NAME?</v>
      </c>
      <c r="ED7" s="37" t="e">
        <f ca="1"/>
        <v>#NAME?</v>
      </c>
      <c r="EE7" s="37" t="e">
        <f ca="1"/>
        <v>#NAME?</v>
      </c>
      <c r="EF7" s="37" t="e">
        <f ca="1"/>
        <v>#NAME?</v>
      </c>
      <c r="EG7" s="37" t="e">
        <f ca="1"/>
        <v>#NAME?</v>
      </c>
      <c r="EH7" s="37" t="e">
        <f ca="1"/>
        <v>#NAME?</v>
      </c>
      <c r="EI7" s="37" t="e">
        <f ca="1"/>
        <v>#NAME?</v>
      </c>
      <c r="EJ7" s="37" t="e">
        <f ca="1"/>
        <v>#NAME?</v>
      </c>
      <c r="EK7" s="90" t="e">
        <f ca="1"/>
        <v>#NAME?</v>
      </c>
      <c r="EN7" t="str">
        <v>Entertain</v>
      </c>
      <c r="EO7" s="123" t="e">
        <f ca="1"/>
        <v>#NAME?</v>
      </c>
      <c r="EP7" s="37" t="e">
        <f ca="1"/>
        <v>#NAME?</v>
      </c>
      <c r="EQ7" s="37" t="e">
        <f ca="1"/>
        <v>#NAME?</v>
      </c>
      <c r="ER7" s="37" t="e">
        <f ca="1"/>
        <v>#NAME?</v>
      </c>
      <c r="ES7" s="37" t="e">
        <f ca="1"/>
        <v>#NAME?</v>
      </c>
      <c r="ET7" s="37" t="e">
        <f ca="1"/>
        <v>#NAME?</v>
      </c>
      <c r="EU7" s="37" t="e">
        <f ca="1"/>
        <v>#NAME?</v>
      </c>
      <c r="EV7" s="37" t="e">
        <f ca="1"/>
        <v>#NAME?</v>
      </c>
      <c r="EW7" s="90" t="e">
        <f ca="1"/>
        <v>#NAME?</v>
      </c>
      <c r="EZ7" t="str">
        <v>Entertain</v>
      </c>
      <c r="FA7" s="123" t="e">
        <f ca="1"/>
        <v>#NAME?</v>
      </c>
      <c r="FB7" s="37" t="e">
        <f ca="1"/>
        <v>#NAME?</v>
      </c>
      <c r="FC7" s="37" t="e">
        <f ca="1"/>
        <v>#NAME?</v>
      </c>
      <c r="FD7" s="37" t="e">
        <f ca="1"/>
        <v>#NAME?</v>
      </c>
      <c r="FE7" s="37" t="e">
        <f ca="1"/>
        <v>#NAME?</v>
      </c>
      <c r="FF7" s="37" t="e">
        <f ca="1"/>
        <v>#NAME?</v>
      </c>
      <c r="FG7" s="37" t="e">
        <f ca="1"/>
        <v>#NAME?</v>
      </c>
      <c r="FH7" s="37" t="e">
        <f ca="1"/>
        <v>#NAME?</v>
      </c>
      <c r="FI7" s="90" t="e">
        <f ca="1"/>
        <v>#NAME?</v>
      </c>
      <c r="FL7" t="str">
        <v>Entertain</v>
      </c>
      <c r="FM7" s="123" t="e">
        <f ca="1"/>
        <v>#NAME?</v>
      </c>
      <c r="FN7" s="37" t="e">
        <f ca="1"/>
        <v>#NAME?</v>
      </c>
      <c r="FO7" s="37" t="e">
        <f ca="1"/>
        <v>#NAME?</v>
      </c>
      <c r="FP7" s="37" t="e">
        <f ca="1"/>
        <v>#NAME?</v>
      </c>
      <c r="FQ7" s="37" t="e">
        <f ca="1"/>
        <v>#NAME?</v>
      </c>
      <c r="FR7" s="37" t="e">
        <f ca="1"/>
        <v>#NAME?</v>
      </c>
      <c r="FS7" s="37" t="e">
        <f ca="1"/>
        <v>#NAME?</v>
      </c>
      <c r="FT7" s="37" t="e">
        <f ca="1"/>
        <v>#NAME?</v>
      </c>
      <c r="FU7" s="90" t="e">
        <f ca="1"/>
        <v>#NAME?</v>
      </c>
      <c r="FX7" t="str">
        <v>Entertain</v>
      </c>
      <c r="FY7" s="123" t="e">
        <f ca="1"/>
        <v>#NAME?</v>
      </c>
      <c r="FZ7" s="37" t="e">
        <f ca="1"/>
        <v>#NAME?</v>
      </c>
      <c r="GA7" s="37" t="e">
        <f ca="1"/>
        <v>#NAME?</v>
      </c>
      <c r="GB7" s="37" t="e">
        <f ca="1"/>
        <v>#NAME?</v>
      </c>
      <c r="GC7" s="37" t="e">
        <f ca="1"/>
        <v>#NAME?</v>
      </c>
      <c r="GD7" s="37" t="e">
        <f ca="1"/>
        <v>#NAME?</v>
      </c>
      <c r="GE7" s="37" t="e">
        <f ca="1"/>
        <v>#NAME?</v>
      </c>
      <c r="GF7" s="37" t="e">
        <f ca="1"/>
        <v>#NAME?</v>
      </c>
      <c r="GG7" s="90" t="e">
        <f ca="1"/>
        <v>#NAME?</v>
      </c>
      <c r="GJ7" t="str">
        <v>Entertain</v>
      </c>
      <c r="GK7" s="123" t="e">
        <f ca="1"/>
        <v>#NAME?</v>
      </c>
      <c r="GL7" s="37" t="e">
        <f ca="1"/>
        <v>#NAME?</v>
      </c>
      <c r="GM7" s="37" t="e">
        <f ca="1"/>
        <v>#NAME?</v>
      </c>
      <c r="GN7" s="37" t="e">
        <f ca="1"/>
        <v>#NAME?</v>
      </c>
      <c r="GO7" s="37" t="e">
        <f ca="1"/>
        <v>#NAME?</v>
      </c>
      <c r="GP7" s="37" t="e">
        <f ca="1"/>
        <v>#NAME?</v>
      </c>
      <c r="GQ7" s="37" t="e">
        <f ca="1"/>
        <v>#NAME?</v>
      </c>
      <c r="GR7" s="37" t="e">
        <f ca="1"/>
        <v>#NAME?</v>
      </c>
      <c r="GS7" s="90" t="e">
        <f ca="1"/>
        <v>#NAME?</v>
      </c>
      <c r="GV7" t="str">
        <v>Entertain</v>
      </c>
      <c r="GW7" s="123" t="e">
        <f ca="1"/>
        <v>#NAME?</v>
      </c>
      <c r="GX7" s="37" t="e">
        <f ca="1"/>
        <v>#NAME?</v>
      </c>
      <c r="GY7" s="37" t="e">
        <f ca="1"/>
        <v>#NAME?</v>
      </c>
      <c r="GZ7" s="37" t="e">
        <f ca="1"/>
        <v>#NAME?</v>
      </c>
      <c r="HA7" s="37" t="e">
        <f ca="1"/>
        <v>#NAME?</v>
      </c>
      <c r="HB7" s="37" t="e">
        <f ca="1"/>
        <v>#NAME?</v>
      </c>
      <c r="HC7" s="37" t="e">
        <f ca="1"/>
        <v>#NAME?</v>
      </c>
      <c r="HD7" s="37" t="e">
        <f ca="1"/>
        <v>#NAME?</v>
      </c>
      <c r="HE7" s="90" t="e">
        <f ca="1"/>
        <v>#NAME?</v>
      </c>
      <c r="HH7" t="str">
        <v>Entertain</v>
      </c>
      <c r="HI7" s="123" t="e">
        <f ca="1"/>
        <v>#NAME?</v>
      </c>
      <c r="HJ7" s="37" t="e">
        <f ca="1"/>
        <v>#NAME?</v>
      </c>
      <c r="HK7" s="37" t="e">
        <f ca="1"/>
        <v>#NAME?</v>
      </c>
      <c r="HL7" s="37" t="e">
        <f ca="1"/>
        <v>#NAME?</v>
      </c>
      <c r="HM7" s="37" t="e">
        <f ca="1"/>
        <v>#NAME?</v>
      </c>
      <c r="HN7" s="37" t="e">
        <f ca="1"/>
        <v>#NAME?</v>
      </c>
      <c r="HO7" s="37" t="e">
        <f ca="1"/>
        <v>#NAME?</v>
      </c>
      <c r="HP7" s="37" t="e">
        <f ca="1"/>
        <v>#NAME?</v>
      </c>
      <c r="HQ7" s="90" t="e">
        <f ca="1"/>
        <v>#NAME?</v>
      </c>
      <c r="HT7" t="str">
        <v>Entertain</v>
      </c>
      <c r="HU7" s="123" t="e">
        <f ca="1"/>
        <v>#NAME?</v>
      </c>
      <c r="HV7" s="37" t="e">
        <f ca="1"/>
        <v>#NAME?</v>
      </c>
      <c r="HW7" s="37" t="e">
        <f ca="1"/>
        <v>#NAME?</v>
      </c>
      <c r="HX7" s="37" t="e">
        <f ca="1"/>
        <v>#NAME?</v>
      </c>
      <c r="HY7" s="37" t="e">
        <f ca="1"/>
        <v>#NAME?</v>
      </c>
      <c r="HZ7" s="37" t="e">
        <f ca="1"/>
        <v>#NAME?</v>
      </c>
      <c r="IA7" s="37" t="e">
        <f ca="1"/>
        <v>#NAME?</v>
      </c>
      <c r="IB7" s="37" t="e">
        <f ca="1"/>
        <v>#NAME?</v>
      </c>
      <c r="IC7" s="90" t="e">
        <f ca="1"/>
        <v>#NAME?</v>
      </c>
      <c r="IF7" t="str">
        <v>Entertain</v>
      </c>
      <c r="IG7" s="123" t="e">
        <f ca="1"/>
        <v>#NAME?</v>
      </c>
      <c r="IH7" s="37" t="e">
        <f ca="1"/>
        <v>#NAME?</v>
      </c>
      <c r="II7" s="37" t="e">
        <f ca="1"/>
        <v>#NAME?</v>
      </c>
      <c r="IJ7" s="37" t="e">
        <f ca="1"/>
        <v>#NAME?</v>
      </c>
      <c r="IK7" s="37" t="e">
        <f ca="1"/>
        <v>#NAME?</v>
      </c>
      <c r="IL7" s="37" t="e">
        <f ca="1"/>
        <v>#NAME?</v>
      </c>
      <c r="IM7" s="37" t="e">
        <f ca="1"/>
        <v>#NAME?</v>
      </c>
      <c r="IN7" s="37" t="e">
        <f ca="1"/>
        <v>#NAME?</v>
      </c>
      <c r="IO7" s="90" t="e">
        <f ca="1"/>
        <v>#NAME?</v>
      </c>
      <c r="IR7" t="str">
        <v>Entertain</v>
      </c>
      <c r="IS7" s="123" t="e">
        <f ca="1"/>
        <v>#NAME?</v>
      </c>
      <c r="IT7" s="37" t="e">
        <f ca="1"/>
        <v>#NAME?</v>
      </c>
      <c r="IU7" s="37" t="e">
        <f ca="1"/>
        <v>#NAME?</v>
      </c>
      <c r="IV7" s="37" t="e">
        <f ca="1"/>
        <v>#NAME?</v>
      </c>
      <c r="IW7" s="37" t="e">
        <f ca="1"/>
        <v>#NAME?</v>
      </c>
      <c r="IX7" s="37" t="e">
        <f ca="1"/>
        <v>#NAME?</v>
      </c>
      <c r="IY7" s="37" t="e">
        <f ca="1"/>
        <v>#NAME?</v>
      </c>
      <c r="IZ7" s="37" t="e">
        <f ca="1"/>
        <v>#NAME?</v>
      </c>
      <c r="JA7" s="90" t="e">
        <f ca="1"/>
        <v>#NAME?</v>
      </c>
      <c r="JD7" t="str">
        <v>Entertain</v>
      </c>
      <c r="JE7" s="123" t="e">
        <f ca="1"/>
        <v>#NAME?</v>
      </c>
      <c r="JF7" s="37" t="e">
        <f ca="1"/>
        <v>#NAME?</v>
      </c>
      <c r="JG7" s="37" t="e">
        <f ca="1"/>
        <v>#NAME?</v>
      </c>
      <c r="JH7" s="37" t="e">
        <f ca="1"/>
        <v>#NAME?</v>
      </c>
      <c r="JI7" s="37" t="e">
        <f ca="1"/>
        <v>#NAME?</v>
      </c>
      <c r="JJ7" s="37" t="e">
        <f ca="1"/>
        <v>#NAME?</v>
      </c>
      <c r="JK7" s="37" t="e">
        <f ca="1"/>
        <v>#NAME?</v>
      </c>
      <c r="JL7" s="37" t="e">
        <f ca="1"/>
        <v>#NAME?</v>
      </c>
      <c r="JM7" s="90" t="e">
        <f ca="1"/>
        <v>#NAME?</v>
      </c>
      <c r="JP7" t="str">
        <v>Entertain</v>
      </c>
      <c r="JQ7" s="123" t="e">
        <f ca="1"/>
        <v>#NAME?</v>
      </c>
      <c r="JR7" s="37" t="e">
        <f ca="1"/>
        <v>#NAME?</v>
      </c>
      <c r="JS7" s="37" t="e">
        <f ca="1"/>
        <v>#NAME?</v>
      </c>
      <c r="JT7" s="37" t="e">
        <f ca="1"/>
        <v>#NAME?</v>
      </c>
      <c r="JU7" s="37" t="e">
        <f ca="1"/>
        <v>#NAME?</v>
      </c>
      <c r="JV7" s="37" t="e">
        <f ca="1"/>
        <v>#NAME?</v>
      </c>
      <c r="JW7" s="37" t="e">
        <f ca="1"/>
        <v>#NAME?</v>
      </c>
      <c r="JX7" s="37" t="e">
        <f ca="1"/>
        <v>#NAME?</v>
      </c>
      <c r="JY7" s="90" t="e">
        <f ca="1"/>
        <v>#NAME?</v>
      </c>
      <c r="KB7" t="str">
        <v>Entertain</v>
      </c>
      <c r="KC7" s="123" t="e">
        <f ca="1"/>
        <v>#NAME?</v>
      </c>
      <c r="KD7" s="37" t="e">
        <f ca="1"/>
        <v>#NAME?</v>
      </c>
      <c r="KE7" s="37" t="e">
        <f ca="1"/>
        <v>#NAME?</v>
      </c>
      <c r="KF7" s="37" t="e">
        <f ca="1"/>
        <v>#NAME?</v>
      </c>
      <c r="KG7" s="37" t="e">
        <f ca="1"/>
        <v>#NAME?</v>
      </c>
      <c r="KH7" s="37" t="e">
        <f ca="1"/>
        <v>#NAME?</v>
      </c>
      <c r="KI7" s="37" t="e">
        <f ca="1"/>
        <v>#NAME?</v>
      </c>
      <c r="KJ7" s="37" t="e">
        <f ca="1"/>
        <v>#NAME?</v>
      </c>
      <c r="KK7" s="90" t="e">
        <f ca="1"/>
        <v>#NAME?</v>
      </c>
      <c r="KN7" t="str">
        <v>Entertain</v>
      </c>
      <c r="KO7" s="123" t="e">
        <f ca="1"/>
        <v>#NAME?</v>
      </c>
      <c r="KP7" s="37" t="e">
        <f ca="1"/>
        <v>#NAME?</v>
      </c>
      <c r="KQ7" s="37" t="e">
        <f ca="1"/>
        <v>#NAME?</v>
      </c>
      <c r="KR7" s="37" t="e">
        <f ca="1"/>
        <v>#NAME?</v>
      </c>
      <c r="KS7" s="37" t="e">
        <f ca="1"/>
        <v>#NAME?</v>
      </c>
      <c r="KT7" s="37" t="e">
        <f ca="1"/>
        <v>#NAME?</v>
      </c>
      <c r="KU7" s="37" t="e">
        <f ca="1"/>
        <v>#NAME?</v>
      </c>
      <c r="KV7" s="37" t="e">
        <f ca="1"/>
        <v>#NAME?</v>
      </c>
      <c r="KW7" s="90" t="e">
        <f ca="1"/>
        <v>#NAME?</v>
      </c>
      <c r="KZ7" t="str">
        <v>Entertain</v>
      </c>
      <c r="LA7" s="123" t="e">
        <f ca="1"/>
        <v>#NAME?</v>
      </c>
      <c r="LB7" s="37" t="e">
        <f ca="1"/>
        <v>#NAME?</v>
      </c>
      <c r="LC7" s="37" t="e">
        <f ca="1"/>
        <v>#NAME?</v>
      </c>
      <c r="LD7" s="37" t="e">
        <f ca="1"/>
        <v>#NAME?</v>
      </c>
      <c r="LE7" s="37" t="e">
        <f ca="1"/>
        <v>#NAME?</v>
      </c>
      <c r="LF7" s="37" t="e">
        <f ca="1"/>
        <v>#NAME?</v>
      </c>
      <c r="LG7" s="37" t="e">
        <f ca="1"/>
        <v>#NAME?</v>
      </c>
      <c r="LH7" s="37" t="e">
        <f ca="1"/>
        <v>#NAME?</v>
      </c>
      <c r="LI7" s="90" t="e">
        <f ca="1"/>
        <v>#NAME?</v>
      </c>
      <c r="LL7" t="str">
        <v>Entertain</v>
      </c>
      <c r="LM7" s="123" t="e">
        <f ca="1"/>
        <v>#NAME?</v>
      </c>
      <c r="LN7" s="37" t="e">
        <f ca="1"/>
        <v>#NAME?</v>
      </c>
      <c r="LO7" s="37" t="e">
        <f ca="1"/>
        <v>#NAME?</v>
      </c>
      <c r="LP7" s="37" t="e">
        <f ca="1"/>
        <v>#NAME?</v>
      </c>
      <c r="LQ7" s="37" t="e">
        <f ca="1"/>
        <v>#NAME?</v>
      </c>
      <c r="LR7" s="37" t="e">
        <f ca="1"/>
        <v>#NAME?</v>
      </c>
      <c r="LS7" s="37" t="e">
        <f ca="1"/>
        <v>#NAME?</v>
      </c>
      <c r="LT7" s="37" t="e">
        <f ca="1"/>
        <v>#NAME?</v>
      </c>
      <c r="LU7" s="90" t="e">
        <f ca="1"/>
        <v>#NAME?</v>
      </c>
      <c r="LX7" t="str">
        <v>Entertain</v>
      </c>
      <c r="LY7" s="123" t="e">
        <f ca="1"/>
        <v>#NAME?</v>
      </c>
      <c r="LZ7" s="37" t="e">
        <f ca="1"/>
        <v>#NAME?</v>
      </c>
      <c r="MA7" s="37" t="e">
        <f ca="1"/>
        <v>#NAME?</v>
      </c>
      <c r="MB7" s="37" t="e">
        <f ca="1"/>
        <v>#NAME?</v>
      </c>
      <c r="MC7" s="37" t="e">
        <f ca="1"/>
        <v>#NAME?</v>
      </c>
      <c r="MD7" s="37" t="e">
        <f ca="1"/>
        <v>#NAME?</v>
      </c>
      <c r="ME7" s="37" t="e">
        <f ca="1"/>
        <v>#NAME?</v>
      </c>
      <c r="MF7" s="37" t="e">
        <f ca="1"/>
        <v>#NAME?</v>
      </c>
      <c r="MG7" s="90" t="e">
        <f ca="1"/>
        <v>#NAME?</v>
      </c>
      <c r="MJ7" t="str">
        <v>Entertain</v>
      </c>
      <c r="MK7" s="123" t="e">
        <f ca="1"/>
        <v>#NAME?</v>
      </c>
      <c r="ML7" s="37" t="e">
        <f ca="1"/>
        <v>#NAME?</v>
      </c>
      <c r="MM7" s="37" t="e">
        <f ca="1"/>
        <v>#NAME?</v>
      </c>
      <c r="MN7" s="37" t="e">
        <f ca="1"/>
        <v>#NAME?</v>
      </c>
      <c r="MO7" s="37" t="e">
        <f ca="1"/>
        <v>#NAME?</v>
      </c>
      <c r="MP7" s="37" t="e">
        <f ca="1"/>
        <v>#NAME?</v>
      </c>
      <c r="MQ7" s="37" t="e">
        <f ca="1"/>
        <v>#NAME?</v>
      </c>
      <c r="MR7" s="37" t="e">
        <f ca="1"/>
        <v>#NAME?</v>
      </c>
      <c r="MS7" s="90" t="e">
        <f ca="1"/>
        <v>#NAME?</v>
      </c>
    </row>
    <row r="8" spans="1:357" x14ac:dyDescent="0.3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tr">
        <v>Comm</v>
      </c>
      <c r="M8" s="83" t="e">
        <f ca="1"/>
        <v>#NAME?</v>
      </c>
      <c r="N8" s="37" t="e">
        <f ca="1"/>
        <v>#NAME?</v>
      </c>
      <c r="O8" s="37" t="e">
        <f ca="1"/>
        <v>#NAME?</v>
      </c>
      <c r="P8" s="37" t="e">
        <f ca="1"/>
        <v>#NAME?</v>
      </c>
      <c r="Q8" s="37" t="e">
        <f ca="1"/>
        <v>#NAME?</v>
      </c>
      <c r="R8" s="37" t="e">
        <f ca="1"/>
        <v>#NAME?</v>
      </c>
      <c r="S8" s="37" t="e">
        <f ca="1"/>
        <v>#NAME?</v>
      </c>
      <c r="T8" s="37" t="e">
        <f ca="1"/>
        <v>#NAME?</v>
      </c>
      <c r="U8" s="84" t="e">
        <f ca="1"/>
        <v>#NAME?</v>
      </c>
      <c r="X8" t="str">
        <v>Comm</v>
      </c>
      <c r="Y8" s="123" t="e">
        <f ca="1"/>
        <v>#NAME?</v>
      </c>
      <c r="Z8" s="37" t="e">
        <f ca="1"/>
        <v>#NAME?</v>
      </c>
      <c r="AA8" s="37" t="e">
        <f ca="1"/>
        <v>#NAME?</v>
      </c>
      <c r="AB8" s="37" t="e">
        <f ca="1"/>
        <v>#NAME?</v>
      </c>
      <c r="AC8" s="37" t="e">
        <f ca="1"/>
        <v>#NAME?</v>
      </c>
      <c r="AD8" s="37" t="e">
        <f ca="1"/>
        <v>#NAME?</v>
      </c>
      <c r="AE8" s="37" t="e">
        <f ca="1"/>
        <v>#NAME?</v>
      </c>
      <c r="AF8" s="37" t="e">
        <f ca="1"/>
        <v>#NAME?</v>
      </c>
      <c r="AG8" s="90" t="e">
        <f ca="1"/>
        <v>#NAME?</v>
      </c>
      <c r="AJ8" t="str">
        <v>Comm</v>
      </c>
      <c r="AK8" s="123" t="e">
        <f ca="1"/>
        <v>#NAME?</v>
      </c>
      <c r="AL8" s="37" t="e">
        <f ca="1"/>
        <v>#NAME?</v>
      </c>
      <c r="AM8" s="37" t="e">
        <f ca="1"/>
        <v>#NAME?</v>
      </c>
      <c r="AN8" s="37" t="e">
        <f ca="1"/>
        <v>#NAME?</v>
      </c>
      <c r="AO8" s="37" t="e">
        <f ca="1"/>
        <v>#NAME?</v>
      </c>
      <c r="AP8" s="37" t="e">
        <f ca="1"/>
        <v>#NAME?</v>
      </c>
      <c r="AQ8" s="37" t="e">
        <f ca="1"/>
        <v>#NAME?</v>
      </c>
      <c r="AR8" s="37" t="e">
        <f ca="1"/>
        <v>#NAME?</v>
      </c>
      <c r="AS8" s="90" t="e">
        <f ca="1"/>
        <v>#NAME?</v>
      </c>
      <c r="AV8" t="str">
        <v>Comm</v>
      </c>
      <c r="AW8" s="123" t="e">
        <f ca="1"/>
        <v>#NAME?</v>
      </c>
      <c r="AX8" s="37" t="e">
        <f ca="1"/>
        <v>#NAME?</v>
      </c>
      <c r="AY8" s="37" t="e">
        <f ca="1"/>
        <v>#NAME?</v>
      </c>
      <c r="AZ8" s="37" t="e">
        <f ca="1"/>
        <v>#NAME?</v>
      </c>
      <c r="BA8" s="37" t="e">
        <f ca="1"/>
        <v>#NAME?</v>
      </c>
      <c r="BB8" s="37" t="e">
        <f ca="1"/>
        <v>#NAME?</v>
      </c>
      <c r="BC8" s="37" t="e">
        <f ca="1"/>
        <v>#NAME?</v>
      </c>
      <c r="BD8" s="37" t="e">
        <f ca="1"/>
        <v>#NAME?</v>
      </c>
      <c r="BE8" s="90" t="e">
        <f ca="1"/>
        <v>#NAME?</v>
      </c>
      <c r="BH8" t="str">
        <v>Comm</v>
      </c>
      <c r="BI8" s="123" t="e">
        <f ca="1"/>
        <v>#NAME?</v>
      </c>
      <c r="BJ8" s="37" t="e">
        <f ca="1"/>
        <v>#NAME?</v>
      </c>
      <c r="BK8" s="37" t="e">
        <f ca="1"/>
        <v>#NAME?</v>
      </c>
      <c r="BL8" s="37" t="e">
        <f ca="1"/>
        <v>#NAME?</v>
      </c>
      <c r="BM8" s="37" t="e">
        <f ca="1"/>
        <v>#NAME?</v>
      </c>
      <c r="BN8" s="37" t="e">
        <f ca="1"/>
        <v>#NAME?</v>
      </c>
      <c r="BO8" s="37" t="e">
        <f ca="1"/>
        <v>#NAME?</v>
      </c>
      <c r="BP8" s="37" t="e">
        <f ca="1"/>
        <v>#NAME?</v>
      </c>
      <c r="BQ8" s="90" t="e">
        <f ca="1"/>
        <v>#NAME?</v>
      </c>
      <c r="BT8" t="str">
        <v>Comm</v>
      </c>
      <c r="BU8" s="123" t="e">
        <f ca="1"/>
        <v>#NAME?</v>
      </c>
      <c r="BV8" s="37" t="e">
        <f ca="1"/>
        <v>#NAME?</v>
      </c>
      <c r="BW8" s="37" t="e">
        <f ca="1"/>
        <v>#NAME?</v>
      </c>
      <c r="BX8" s="37" t="e">
        <f ca="1"/>
        <v>#NAME?</v>
      </c>
      <c r="BY8" s="37" t="e">
        <f ca="1"/>
        <v>#NAME?</v>
      </c>
      <c r="BZ8" s="37" t="e">
        <f ca="1"/>
        <v>#NAME?</v>
      </c>
      <c r="CA8" s="37" t="e">
        <f ca="1"/>
        <v>#NAME?</v>
      </c>
      <c r="CB8" s="37" t="e">
        <f ca="1"/>
        <v>#NAME?</v>
      </c>
      <c r="CC8" s="90" t="e">
        <f ca="1"/>
        <v>#NAME?</v>
      </c>
      <c r="CF8" t="str">
        <v>Comm</v>
      </c>
      <c r="CG8" s="123" t="e">
        <f ca="1"/>
        <v>#NAME?</v>
      </c>
      <c r="CH8" s="37" t="e">
        <f ca="1"/>
        <v>#NAME?</v>
      </c>
      <c r="CI8" s="37" t="e">
        <f ca="1"/>
        <v>#NAME?</v>
      </c>
      <c r="CJ8" s="37" t="e">
        <f ca="1"/>
        <v>#NAME?</v>
      </c>
      <c r="CK8" s="37" t="e">
        <f ca="1"/>
        <v>#NAME?</v>
      </c>
      <c r="CL8" s="37" t="e">
        <f ca="1"/>
        <v>#NAME?</v>
      </c>
      <c r="CM8" s="37" t="e">
        <f ca="1"/>
        <v>#NAME?</v>
      </c>
      <c r="CN8" s="37" t="e">
        <f ca="1"/>
        <v>#NAME?</v>
      </c>
      <c r="CO8" s="90" t="e">
        <f ca="1"/>
        <v>#NAME?</v>
      </c>
      <c r="CR8" t="str">
        <v>Comm</v>
      </c>
      <c r="CS8" s="123" t="e">
        <f ca="1"/>
        <v>#NAME?</v>
      </c>
      <c r="CT8" s="37" t="e">
        <f ca="1"/>
        <v>#NAME?</v>
      </c>
      <c r="CU8" s="37" t="e">
        <f ca="1"/>
        <v>#NAME?</v>
      </c>
      <c r="CV8" s="37" t="e">
        <f ca="1"/>
        <v>#NAME?</v>
      </c>
      <c r="CW8" s="37" t="e">
        <f ca="1"/>
        <v>#NAME?</v>
      </c>
      <c r="CX8" s="37" t="e">
        <f ca="1"/>
        <v>#NAME?</v>
      </c>
      <c r="CY8" s="37" t="e">
        <f ca="1"/>
        <v>#NAME?</v>
      </c>
      <c r="CZ8" s="37" t="e">
        <f ca="1"/>
        <v>#NAME?</v>
      </c>
      <c r="DA8" s="90" t="e">
        <f ca="1"/>
        <v>#NAME?</v>
      </c>
      <c r="DD8" t="str">
        <v>Comm</v>
      </c>
      <c r="DE8" s="123" t="e">
        <f ca="1"/>
        <v>#NAME?</v>
      </c>
      <c r="DF8" s="37" t="e">
        <f ca="1"/>
        <v>#NAME?</v>
      </c>
      <c r="DG8" s="37" t="e">
        <f ca="1"/>
        <v>#NAME?</v>
      </c>
      <c r="DH8" s="37" t="e">
        <f ca="1"/>
        <v>#NAME?</v>
      </c>
      <c r="DI8" s="37" t="e">
        <f ca="1"/>
        <v>#NAME?</v>
      </c>
      <c r="DJ8" s="37" t="e">
        <f ca="1"/>
        <v>#NAME?</v>
      </c>
      <c r="DK8" s="37" t="e">
        <f ca="1"/>
        <v>#NAME?</v>
      </c>
      <c r="DL8" s="37" t="e">
        <f ca="1"/>
        <v>#NAME?</v>
      </c>
      <c r="DM8" s="90" t="e">
        <f ca="1"/>
        <v>#NAME?</v>
      </c>
      <c r="DP8" t="str">
        <v>Comm</v>
      </c>
      <c r="DQ8" s="123" t="e">
        <f ca="1"/>
        <v>#NAME?</v>
      </c>
      <c r="DR8" s="37" t="e">
        <f ca="1"/>
        <v>#NAME?</v>
      </c>
      <c r="DS8" s="37" t="e">
        <f ca="1"/>
        <v>#NAME?</v>
      </c>
      <c r="DT8" s="37" t="e">
        <f ca="1"/>
        <v>#NAME?</v>
      </c>
      <c r="DU8" s="37" t="e">
        <f ca="1"/>
        <v>#NAME?</v>
      </c>
      <c r="DV8" s="37" t="e">
        <f ca="1"/>
        <v>#NAME?</v>
      </c>
      <c r="DW8" s="37" t="e">
        <f ca="1"/>
        <v>#NAME?</v>
      </c>
      <c r="DX8" s="37" t="e">
        <f ca="1"/>
        <v>#NAME?</v>
      </c>
      <c r="DY8" s="90" t="e">
        <f ca="1"/>
        <v>#NAME?</v>
      </c>
      <c r="EB8" t="str">
        <v>Comm</v>
      </c>
      <c r="EC8" s="123" t="e">
        <f ca="1"/>
        <v>#NAME?</v>
      </c>
      <c r="ED8" s="37" t="e">
        <f ca="1"/>
        <v>#NAME?</v>
      </c>
      <c r="EE8" s="37" t="e">
        <f ca="1"/>
        <v>#NAME?</v>
      </c>
      <c r="EF8" s="37" t="e">
        <f ca="1"/>
        <v>#NAME?</v>
      </c>
      <c r="EG8" s="37" t="e">
        <f ca="1"/>
        <v>#NAME?</v>
      </c>
      <c r="EH8" s="37" t="e">
        <f ca="1"/>
        <v>#NAME?</v>
      </c>
      <c r="EI8" s="37" t="e">
        <f ca="1"/>
        <v>#NAME?</v>
      </c>
      <c r="EJ8" s="37" t="e">
        <f ca="1"/>
        <v>#NAME?</v>
      </c>
      <c r="EK8" s="90" t="e">
        <f ca="1"/>
        <v>#NAME?</v>
      </c>
      <c r="EN8" t="str">
        <v>Comm</v>
      </c>
      <c r="EO8" s="123" t="e">
        <f ca="1"/>
        <v>#NAME?</v>
      </c>
      <c r="EP8" s="37" t="e">
        <f ca="1"/>
        <v>#NAME?</v>
      </c>
      <c r="EQ8" s="37" t="e">
        <f ca="1"/>
        <v>#NAME?</v>
      </c>
      <c r="ER8" s="37" t="e">
        <f ca="1"/>
        <v>#NAME?</v>
      </c>
      <c r="ES8" s="37" t="e">
        <f ca="1"/>
        <v>#NAME?</v>
      </c>
      <c r="ET8" s="37" t="e">
        <f ca="1"/>
        <v>#NAME?</v>
      </c>
      <c r="EU8" s="37" t="e">
        <f ca="1"/>
        <v>#NAME?</v>
      </c>
      <c r="EV8" s="37" t="e">
        <f ca="1"/>
        <v>#NAME?</v>
      </c>
      <c r="EW8" s="90" t="e">
        <f ca="1"/>
        <v>#NAME?</v>
      </c>
      <c r="EZ8" t="str">
        <v>Comm</v>
      </c>
      <c r="FA8" s="123" t="e">
        <f ca="1"/>
        <v>#NAME?</v>
      </c>
      <c r="FB8" s="37" t="e">
        <f ca="1"/>
        <v>#NAME?</v>
      </c>
      <c r="FC8" s="37" t="e">
        <f ca="1"/>
        <v>#NAME?</v>
      </c>
      <c r="FD8" s="37" t="e">
        <f ca="1"/>
        <v>#NAME?</v>
      </c>
      <c r="FE8" s="37" t="e">
        <f ca="1"/>
        <v>#NAME?</v>
      </c>
      <c r="FF8" s="37" t="e">
        <f ca="1"/>
        <v>#NAME?</v>
      </c>
      <c r="FG8" s="37" t="e">
        <f ca="1"/>
        <v>#NAME?</v>
      </c>
      <c r="FH8" s="37" t="e">
        <f ca="1"/>
        <v>#NAME?</v>
      </c>
      <c r="FI8" s="90" t="e">
        <f ca="1"/>
        <v>#NAME?</v>
      </c>
      <c r="FL8" t="str">
        <v>Comm</v>
      </c>
      <c r="FM8" s="123" t="e">
        <f ca="1"/>
        <v>#NAME?</v>
      </c>
      <c r="FN8" s="37" t="e">
        <f ca="1"/>
        <v>#NAME?</v>
      </c>
      <c r="FO8" s="37" t="e">
        <f ca="1"/>
        <v>#NAME?</v>
      </c>
      <c r="FP8" s="37" t="e">
        <f ca="1"/>
        <v>#NAME?</v>
      </c>
      <c r="FQ8" s="37" t="e">
        <f ca="1"/>
        <v>#NAME?</v>
      </c>
      <c r="FR8" s="37" t="e">
        <f ca="1"/>
        <v>#NAME?</v>
      </c>
      <c r="FS8" s="37" t="e">
        <f ca="1"/>
        <v>#NAME?</v>
      </c>
      <c r="FT8" s="37" t="e">
        <f ca="1"/>
        <v>#NAME?</v>
      </c>
      <c r="FU8" s="90" t="e">
        <f ca="1"/>
        <v>#NAME?</v>
      </c>
      <c r="FX8" t="str">
        <v>Comm</v>
      </c>
      <c r="FY8" s="123" t="e">
        <f ca="1"/>
        <v>#NAME?</v>
      </c>
      <c r="FZ8" s="37" t="e">
        <f ca="1"/>
        <v>#NAME?</v>
      </c>
      <c r="GA8" s="37" t="e">
        <f ca="1"/>
        <v>#NAME?</v>
      </c>
      <c r="GB8" s="37" t="e">
        <f ca="1"/>
        <v>#NAME?</v>
      </c>
      <c r="GC8" s="37" t="e">
        <f ca="1"/>
        <v>#NAME?</v>
      </c>
      <c r="GD8" s="37" t="e">
        <f ca="1"/>
        <v>#NAME?</v>
      </c>
      <c r="GE8" s="37" t="e">
        <f ca="1"/>
        <v>#NAME?</v>
      </c>
      <c r="GF8" s="37" t="e">
        <f ca="1"/>
        <v>#NAME?</v>
      </c>
      <c r="GG8" s="90" t="e">
        <f ca="1"/>
        <v>#NAME?</v>
      </c>
      <c r="GJ8" t="str">
        <v>Comm</v>
      </c>
      <c r="GK8" s="123" t="e">
        <f ca="1"/>
        <v>#NAME?</v>
      </c>
      <c r="GL8" s="37" t="e">
        <f ca="1"/>
        <v>#NAME?</v>
      </c>
      <c r="GM8" s="37" t="e">
        <f ca="1"/>
        <v>#NAME?</v>
      </c>
      <c r="GN8" s="37" t="e">
        <f ca="1"/>
        <v>#NAME?</v>
      </c>
      <c r="GO8" s="37" t="e">
        <f ca="1"/>
        <v>#NAME?</v>
      </c>
      <c r="GP8" s="37" t="e">
        <f ca="1"/>
        <v>#NAME?</v>
      </c>
      <c r="GQ8" s="37" t="e">
        <f ca="1"/>
        <v>#NAME?</v>
      </c>
      <c r="GR8" s="37" t="e">
        <f ca="1"/>
        <v>#NAME?</v>
      </c>
      <c r="GS8" s="90" t="e">
        <f ca="1"/>
        <v>#NAME?</v>
      </c>
      <c r="GV8" t="str">
        <v>Comm</v>
      </c>
      <c r="GW8" s="123" t="e">
        <f ca="1"/>
        <v>#NAME?</v>
      </c>
      <c r="GX8" s="37" t="e">
        <f ca="1"/>
        <v>#NAME?</v>
      </c>
      <c r="GY8" s="37" t="e">
        <f ca="1"/>
        <v>#NAME?</v>
      </c>
      <c r="GZ8" s="37" t="e">
        <f ca="1"/>
        <v>#NAME?</v>
      </c>
      <c r="HA8" s="37" t="e">
        <f ca="1"/>
        <v>#NAME?</v>
      </c>
      <c r="HB8" s="37" t="e">
        <f ca="1"/>
        <v>#NAME?</v>
      </c>
      <c r="HC8" s="37" t="e">
        <f ca="1"/>
        <v>#NAME?</v>
      </c>
      <c r="HD8" s="37" t="e">
        <f ca="1"/>
        <v>#NAME?</v>
      </c>
      <c r="HE8" s="90" t="e">
        <f ca="1"/>
        <v>#NAME?</v>
      </c>
      <c r="HH8" t="str">
        <v>Comm</v>
      </c>
      <c r="HI8" s="123" t="e">
        <f ca="1"/>
        <v>#NAME?</v>
      </c>
      <c r="HJ8" s="37" t="e">
        <f ca="1"/>
        <v>#NAME?</v>
      </c>
      <c r="HK8" s="37" t="e">
        <f ca="1"/>
        <v>#NAME?</v>
      </c>
      <c r="HL8" s="37" t="e">
        <f ca="1"/>
        <v>#NAME?</v>
      </c>
      <c r="HM8" s="37" t="e">
        <f ca="1"/>
        <v>#NAME?</v>
      </c>
      <c r="HN8" s="37" t="e">
        <f ca="1"/>
        <v>#NAME?</v>
      </c>
      <c r="HO8" s="37" t="e">
        <f ca="1"/>
        <v>#NAME?</v>
      </c>
      <c r="HP8" s="37" t="e">
        <f ca="1"/>
        <v>#NAME?</v>
      </c>
      <c r="HQ8" s="90" t="e">
        <f ca="1"/>
        <v>#NAME?</v>
      </c>
      <c r="HT8" t="str">
        <v>Comm</v>
      </c>
      <c r="HU8" s="123" t="e">
        <f ca="1"/>
        <v>#NAME?</v>
      </c>
      <c r="HV8" s="37" t="e">
        <f ca="1"/>
        <v>#NAME?</v>
      </c>
      <c r="HW8" s="37" t="e">
        <f ca="1"/>
        <v>#NAME?</v>
      </c>
      <c r="HX8" s="37" t="e">
        <f ca="1"/>
        <v>#NAME?</v>
      </c>
      <c r="HY8" s="37" t="e">
        <f ca="1"/>
        <v>#NAME?</v>
      </c>
      <c r="HZ8" s="37" t="e">
        <f ca="1"/>
        <v>#NAME?</v>
      </c>
      <c r="IA8" s="37" t="e">
        <f ca="1"/>
        <v>#NAME?</v>
      </c>
      <c r="IB8" s="37" t="e">
        <f ca="1"/>
        <v>#NAME?</v>
      </c>
      <c r="IC8" s="90" t="e">
        <f ca="1"/>
        <v>#NAME?</v>
      </c>
      <c r="IF8" t="str">
        <v>Comm</v>
      </c>
      <c r="IG8" s="123" t="e">
        <f ca="1"/>
        <v>#NAME?</v>
      </c>
      <c r="IH8" s="37" t="e">
        <f ca="1"/>
        <v>#NAME?</v>
      </c>
      <c r="II8" s="37" t="e">
        <f ca="1"/>
        <v>#NAME?</v>
      </c>
      <c r="IJ8" s="37" t="e">
        <f ca="1"/>
        <v>#NAME?</v>
      </c>
      <c r="IK8" s="37" t="e">
        <f ca="1"/>
        <v>#NAME?</v>
      </c>
      <c r="IL8" s="37" t="e">
        <f ca="1"/>
        <v>#NAME?</v>
      </c>
      <c r="IM8" s="37" t="e">
        <f ca="1"/>
        <v>#NAME?</v>
      </c>
      <c r="IN8" s="37" t="e">
        <f ca="1"/>
        <v>#NAME?</v>
      </c>
      <c r="IO8" s="90" t="e">
        <f ca="1"/>
        <v>#NAME?</v>
      </c>
      <c r="IR8" t="str">
        <v>Comm</v>
      </c>
      <c r="IS8" s="123" t="e">
        <f ca="1"/>
        <v>#NAME?</v>
      </c>
      <c r="IT8" s="37" t="e">
        <f ca="1"/>
        <v>#NAME?</v>
      </c>
      <c r="IU8" s="37" t="e">
        <f ca="1"/>
        <v>#NAME?</v>
      </c>
      <c r="IV8" s="37" t="e">
        <f ca="1"/>
        <v>#NAME?</v>
      </c>
      <c r="IW8" s="37" t="e">
        <f ca="1"/>
        <v>#NAME?</v>
      </c>
      <c r="IX8" s="37" t="e">
        <f ca="1"/>
        <v>#NAME?</v>
      </c>
      <c r="IY8" s="37" t="e">
        <f ca="1"/>
        <v>#NAME?</v>
      </c>
      <c r="IZ8" s="37" t="e">
        <f ca="1"/>
        <v>#NAME?</v>
      </c>
      <c r="JA8" s="90" t="e">
        <f ca="1"/>
        <v>#NAME?</v>
      </c>
      <c r="JD8" t="str">
        <v>Comm</v>
      </c>
      <c r="JE8" s="123" t="e">
        <f ca="1"/>
        <v>#NAME?</v>
      </c>
      <c r="JF8" s="37" t="e">
        <f ca="1"/>
        <v>#NAME?</v>
      </c>
      <c r="JG8" s="37" t="e">
        <f ca="1"/>
        <v>#NAME?</v>
      </c>
      <c r="JH8" s="37" t="e">
        <f ca="1"/>
        <v>#NAME?</v>
      </c>
      <c r="JI8" s="37" t="e">
        <f ca="1"/>
        <v>#NAME?</v>
      </c>
      <c r="JJ8" s="37" t="e">
        <f ca="1"/>
        <v>#NAME?</v>
      </c>
      <c r="JK8" s="37" t="e">
        <f ca="1"/>
        <v>#NAME?</v>
      </c>
      <c r="JL8" s="37" t="e">
        <f ca="1"/>
        <v>#NAME?</v>
      </c>
      <c r="JM8" s="90" t="e">
        <f ca="1"/>
        <v>#NAME?</v>
      </c>
      <c r="JP8" t="str">
        <v>Comm</v>
      </c>
      <c r="JQ8" s="123" t="e">
        <f ca="1"/>
        <v>#NAME?</v>
      </c>
      <c r="JR8" s="37" t="e">
        <f ca="1"/>
        <v>#NAME?</v>
      </c>
      <c r="JS8" s="37" t="e">
        <f ca="1"/>
        <v>#NAME?</v>
      </c>
      <c r="JT8" s="37" t="e">
        <f ca="1"/>
        <v>#NAME?</v>
      </c>
      <c r="JU8" s="37" t="e">
        <f ca="1"/>
        <v>#NAME?</v>
      </c>
      <c r="JV8" s="37" t="e">
        <f ca="1"/>
        <v>#NAME?</v>
      </c>
      <c r="JW8" s="37" t="e">
        <f ca="1"/>
        <v>#NAME?</v>
      </c>
      <c r="JX8" s="37" t="e">
        <f ca="1"/>
        <v>#NAME?</v>
      </c>
      <c r="JY8" s="90" t="e">
        <f ca="1"/>
        <v>#NAME?</v>
      </c>
      <c r="KB8" t="str">
        <v>Comm</v>
      </c>
      <c r="KC8" s="123" t="e">
        <f ca="1"/>
        <v>#NAME?</v>
      </c>
      <c r="KD8" s="37" t="e">
        <f ca="1"/>
        <v>#NAME?</v>
      </c>
      <c r="KE8" s="37" t="e">
        <f ca="1"/>
        <v>#NAME?</v>
      </c>
      <c r="KF8" s="37" t="e">
        <f ca="1"/>
        <v>#NAME?</v>
      </c>
      <c r="KG8" s="37" t="e">
        <f ca="1"/>
        <v>#NAME?</v>
      </c>
      <c r="KH8" s="37" t="e">
        <f ca="1"/>
        <v>#NAME?</v>
      </c>
      <c r="KI8" s="37" t="e">
        <f ca="1"/>
        <v>#NAME?</v>
      </c>
      <c r="KJ8" s="37" t="e">
        <f ca="1"/>
        <v>#NAME?</v>
      </c>
      <c r="KK8" s="90" t="e">
        <f ca="1"/>
        <v>#NAME?</v>
      </c>
      <c r="KN8" t="str">
        <v>Comm</v>
      </c>
      <c r="KO8" s="123" t="e">
        <f ca="1"/>
        <v>#NAME?</v>
      </c>
      <c r="KP8" s="37" t="e">
        <f ca="1"/>
        <v>#NAME?</v>
      </c>
      <c r="KQ8" s="37" t="e">
        <f ca="1"/>
        <v>#NAME?</v>
      </c>
      <c r="KR8" s="37" t="e">
        <f ca="1"/>
        <v>#NAME?</v>
      </c>
      <c r="KS8" s="37" t="e">
        <f ca="1"/>
        <v>#NAME?</v>
      </c>
      <c r="KT8" s="37" t="e">
        <f ca="1"/>
        <v>#NAME?</v>
      </c>
      <c r="KU8" s="37" t="e">
        <f ca="1"/>
        <v>#NAME?</v>
      </c>
      <c r="KV8" s="37" t="e">
        <f ca="1"/>
        <v>#NAME?</v>
      </c>
      <c r="KW8" s="90" t="e">
        <f ca="1"/>
        <v>#NAME?</v>
      </c>
      <c r="KZ8" t="str">
        <v>Comm</v>
      </c>
      <c r="LA8" s="123" t="e">
        <f ca="1"/>
        <v>#NAME?</v>
      </c>
      <c r="LB8" s="37" t="e">
        <f ca="1"/>
        <v>#NAME?</v>
      </c>
      <c r="LC8" s="37" t="e">
        <f ca="1"/>
        <v>#NAME?</v>
      </c>
      <c r="LD8" s="37" t="e">
        <f ca="1"/>
        <v>#NAME?</v>
      </c>
      <c r="LE8" s="37" t="e">
        <f ca="1"/>
        <v>#NAME?</v>
      </c>
      <c r="LF8" s="37" t="e">
        <f ca="1"/>
        <v>#NAME?</v>
      </c>
      <c r="LG8" s="37" t="e">
        <f ca="1"/>
        <v>#NAME?</v>
      </c>
      <c r="LH8" s="37" t="e">
        <f ca="1"/>
        <v>#NAME?</v>
      </c>
      <c r="LI8" s="90" t="e">
        <f ca="1"/>
        <v>#NAME?</v>
      </c>
      <c r="LL8" t="str">
        <v>Comm</v>
      </c>
      <c r="LM8" s="123" t="e">
        <f ca="1"/>
        <v>#NAME?</v>
      </c>
      <c r="LN8" s="37" t="e">
        <f ca="1"/>
        <v>#NAME?</v>
      </c>
      <c r="LO8" s="37" t="e">
        <f ca="1"/>
        <v>#NAME?</v>
      </c>
      <c r="LP8" s="37" t="e">
        <f ca="1"/>
        <v>#NAME?</v>
      </c>
      <c r="LQ8" s="37" t="e">
        <f ca="1"/>
        <v>#NAME?</v>
      </c>
      <c r="LR8" s="37" t="e">
        <f ca="1"/>
        <v>#NAME?</v>
      </c>
      <c r="LS8" s="37" t="e">
        <f ca="1"/>
        <v>#NAME?</v>
      </c>
      <c r="LT8" s="37" t="e">
        <f ca="1"/>
        <v>#NAME?</v>
      </c>
      <c r="LU8" s="90" t="e">
        <f ca="1"/>
        <v>#NAME?</v>
      </c>
      <c r="LX8" t="str">
        <v>Comm</v>
      </c>
      <c r="LY8" s="123" t="e">
        <f ca="1"/>
        <v>#NAME?</v>
      </c>
      <c r="LZ8" s="37" t="e">
        <f ca="1"/>
        <v>#NAME?</v>
      </c>
      <c r="MA8" s="37" t="e">
        <f ca="1"/>
        <v>#NAME?</v>
      </c>
      <c r="MB8" s="37" t="e">
        <f ca="1"/>
        <v>#NAME?</v>
      </c>
      <c r="MC8" s="37" t="e">
        <f ca="1"/>
        <v>#NAME?</v>
      </c>
      <c r="MD8" s="37" t="e">
        <f ca="1"/>
        <v>#NAME?</v>
      </c>
      <c r="ME8" s="37" t="e">
        <f ca="1"/>
        <v>#NAME?</v>
      </c>
      <c r="MF8" s="37" t="e">
        <f ca="1"/>
        <v>#NAME?</v>
      </c>
      <c r="MG8" s="90" t="e">
        <f ca="1"/>
        <v>#NAME?</v>
      </c>
      <c r="MJ8" t="str">
        <v>Comm</v>
      </c>
      <c r="MK8" s="123" t="e">
        <f ca="1"/>
        <v>#NAME?</v>
      </c>
      <c r="ML8" s="37" t="e">
        <f ca="1"/>
        <v>#NAME?</v>
      </c>
      <c r="MM8" s="37" t="e">
        <f ca="1"/>
        <v>#NAME?</v>
      </c>
      <c r="MN8" s="37" t="e">
        <f ca="1"/>
        <v>#NAME?</v>
      </c>
      <c r="MO8" s="37" t="e">
        <f ca="1"/>
        <v>#NAME?</v>
      </c>
      <c r="MP8" s="37" t="e">
        <f ca="1"/>
        <v>#NAME?</v>
      </c>
      <c r="MQ8" s="37" t="e">
        <f ca="1"/>
        <v>#NAME?</v>
      </c>
      <c r="MR8" s="37" t="e">
        <f ca="1"/>
        <v>#NAME?</v>
      </c>
      <c r="MS8" s="90" t="e">
        <f ca="1"/>
        <v>#NAME?</v>
      </c>
    </row>
    <row r="9" spans="1:357" x14ac:dyDescent="0.3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tr">
        <v>Expert</v>
      </c>
      <c r="M9" s="83" t="e">
        <f ca="1"/>
        <v>#NAME?</v>
      </c>
      <c r="N9" s="37" t="e">
        <f ca="1"/>
        <v>#NAME?</v>
      </c>
      <c r="O9" s="37" t="e">
        <f ca="1"/>
        <v>#NAME?</v>
      </c>
      <c r="P9" s="37" t="e">
        <f ca="1"/>
        <v>#NAME?</v>
      </c>
      <c r="Q9" s="37" t="e">
        <f ca="1"/>
        <v>#NAME?</v>
      </c>
      <c r="R9" s="37" t="e">
        <f ca="1"/>
        <v>#NAME?</v>
      </c>
      <c r="S9" s="37" t="e">
        <f ca="1"/>
        <v>#NAME?</v>
      </c>
      <c r="T9" s="37" t="e">
        <f ca="1"/>
        <v>#NAME?</v>
      </c>
      <c r="U9" s="84" t="e">
        <f ca="1"/>
        <v>#NAME?</v>
      </c>
      <c r="X9" t="str">
        <v>Expert</v>
      </c>
      <c r="Y9" s="123" t="e">
        <f ca="1"/>
        <v>#NAME?</v>
      </c>
      <c r="Z9" s="37" t="e">
        <f ca="1"/>
        <v>#NAME?</v>
      </c>
      <c r="AA9" s="37" t="e">
        <f ca="1"/>
        <v>#NAME?</v>
      </c>
      <c r="AB9" s="37" t="e">
        <f ca="1"/>
        <v>#NAME?</v>
      </c>
      <c r="AC9" s="37" t="e">
        <f ca="1"/>
        <v>#NAME?</v>
      </c>
      <c r="AD9" s="37" t="e">
        <f ca="1"/>
        <v>#NAME?</v>
      </c>
      <c r="AE9" s="37" t="e">
        <f ca="1"/>
        <v>#NAME?</v>
      </c>
      <c r="AF9" s="37" t="e">
        <f ca="1"/>
        <v>#NAME?</v>
      </c>
      <c r="AG9" s="90" t="e">
        <f ca="1"/>
        <v>#NAME?</v>
      </c>
      <c r="AJ9" t="str">
        <v>Expert</v>
      </c>
      <c r="AK9" s="123" t="e">
        <f ca="1"/>
        <v>#NAME?</v>
      </c>
      <c r="AL9" s="37" t="e">
        <f ca="1"/>
        <v>#NAME?</v>
      </c>
      <c r="AM9" s="37" t="e">
        <f ca="1"/>
        <v>#NAME?</v>
      </c>
      <c r="AN9" s="37" t="e">
        <f ca="1"/>
        <v>#NAME?</v>
      </c>
      <c r="AO9" s="37" t="e">
        <f ca="1"/>
        <v>#NAME?</v>
      </c>
      <c r="AP9" s="37" t="e">
        <f ca="1"/>
        <v>#NAME?</v>
      </c>
      <c r="AQ9" s="37" t="e">
        <f ca="1"/>
        <v>#NAME?</v>
      </c>
      <c r="AR9" s="37" t="e">
        <f ca="1"/>
        <v>#NAME?</v>
      </c>
      <c r="AS9" s="90" t="e">
        <f ca="1"/>
        <v>#NAME?</v>
      </c>
      <c r="AV9" t="str">
        <v>Expert</v>
      </c>
      <c r="AW9" s="123" t="e">
        <f ca="1"/>
        <v>#NAME?</v>
      </c>
      <c r="AX9" s="37" t="e">
        <f ca="1"/>
        <v>#NAME?</v>
      </c>
      <c r="AY9" s="37" t="e">
        <f ca="1"/>
        <v>#NAME?</v>
      </c>
      <c r="AZ9" s="37" t="e">
        <f ca="1"/>
        <v>#NAME?</v>
      </c>
      <c r="BA9" s="37" t="e">
        <f ca="1"/>
        <v>#NAME?</v>
      </c>
      <c r="BB9" s="37" t="e">
        <f ca="1"/>
        <v>#NAME?</v>
      </c>
      <c r="BC9" s="37" t="e">
        <f ca="1"/>
        <v>#NAME?</v>
      </c>
      <c r="BD9" s="37" t="e">
        <f ca="1"/>
        <v>#NAME?</v>
      </c>
      <c r="BE9" s="90" t="e">
        <f ca="1"/>
        <v>#NAME?</v>
      </c>
      <c r="BH9" t="str">
        <v>Expert</v>
      </c>
      <c r="BI9" s="123" t="e">
        <f ca="1"/>
        <v>#NAME?</v>
      </c>
      <c r="BJ9" s="37" t="e">
        <f ca="1"/>
        <v>#NAME?</v>
      </c>
      <c r="BK9" s="37" t="e">
        <f ca="1"/>
        <v>#NAME?</v>
      </c>
      <c r="BL9" s="37" t="e">
        <f ca="1"/>
        <v>#NAME?</v>
      </c>
      <c r="BM9" s="37" t="e">
        <f ca="1"/>
        <v>#NAME?</v>
      </c>
      <c r="BN9" s="37" t="e">
        <f ca="1"/>
        <v>#NAME?</v>
      </c>
      <c r="BO9" s="37" t="e">
        <f ca="1"/>
        <v>#NAME?</v>
      </c>
      <c r="BP9" s="37" t="e">
        <f ca="1"/>
        <v>#NAME?</v>
      </c>
      <c r="BQ9" s="90" t="e">
        <f ca="1"/>
        <v>#NAME?</v>
      </c>
      <c r="BT9" t="str">
        <v>Expert</v>
      </c>
      <c r="BU9" s="123" t="e">
        <f ca="1"/>
        <v>#NAME?</v>
      </c>
      <c r="BV9" s="37" t="e">
        <f ca="1"/>
        <v>#NAME?</v>
      </c>
      <c r="BW9" s="37" t="e">
        <f ca="1"/>
        <v>#NAME?</v>
      </c>
      <c r="BX9" s="37" t="e">
        <f ca="1"/>
        <v>#NAME?</v>
      </c>
      <c r="BY9" s="37" t="e">
        <f ca="1"/>
        <v>#NAME?</v>
      </c>
      <c r="BZ9" s="37" t="e">
        <f ca="1"/>
        <v>#NAME?</v>
      </c>
      <c r="CA9" s="37" t="e">
        <f ca="1"/>
        <v>#NAME?</v>
      </c>
      <c r="CB9" s="37" t="e">
        <f ca="1"/>
        <v>#NAME?</v>
      </c>
      <c r="CC9" s="90" t="e">
        <f ca="1"/>
        <v>#NAME?</v>
      </c>
      <c r="CF9" t="str">
        <v>Expert</v>
      </c>
      <c r="CG9" s="123" t="e">
        <f ca="1"/>
        <v>#NAME?</v>
      </c>
      <c r="CH9" s="37" t="e">
        <f ca="1"/>
        <v>#NAME?</v>
      </c>
      <c r="CI9" s="37" t="e">
        <f ca="1"/>
        <v>#NAME?</v>
      </c>
      <c r="CJ9" s="37" t="e">
        <f ca="1"/>
        <v>#NAME?</v>
      </c>
      <c r="CK9" s="37" t="e">
        <f ca="1"/>
        <v>#NAME?</v>
      </c>
      <c r="CL9" s="37" t="e">
        <f ca="1"/>
        <v>#NAME?</v>
      </c>
      <c r="CM9" s="37" t="e">
        <f ca="1"/>
        <v>#NAME?</v>
      </c>
      <c r="CN9" s="37" t="e">
        <f ca="1"/>
        <v>#NAME?</v>
      </c>
      <c r="CO9" s="90" t="e">
        <f ca="1"/>
        <v>#NAME?</v>
      </c>
      <c r="CR9" t="str">
        <v>Expert</v>
      </c>
      <c r="CS9" s="123" t="e">
        <f ca="1"/>
        <v>#NAME?</v>
      </c>
      <c r="CT9" s="37" t="e">
        <f ca="1"/>
        <v>#NAME?</v>
      </c>
      <c r="CU9" s="37" t="e">
        <f ca="1"/>
        <v>#NAME?</v>
      </c>
      <c r="CV9" s="37" t="e">
        <f ca="1"/>
        <v>#NAME?</v>
      </c>
      <c r="CW9" s="37" t="e">
        <f ca="1"/>
        <v>#NAME?</v>
      </c>
      <c r="CX9" s="37" t="e">
        <f ca="1"/>
        <v>#NAME?</v>
      </c>
      <c r="CY9" s="37" t="e">
        <f ca="1"/>
        <v>#NAME?</v>
      </c>
      <c r="CZ9" s="37" t="e">
        <f ca="1"/>
        <v>#NAME?</v>
      </c>
      <c r="DA9" s="90" t="e">
        <f ca="1"/>
        <v>#NAME?</v>
      </c>
      <c r="DD9" t="str">
        <v>Expert</v>
      </c>
      <c r="DE9" s="123" t="e">
        <f ca="1"/>
        <v>#NAME?</v>
      </c>
      <c r="DF9" s="37" t="e">
        <f ca="1"/>
        <v>#NAME?</v>
      </c>
      <c r="DG9" s="37" t="e">
        <f ca="1"/>
        <v>#NAME?</v>
      </c>
      <c r="DH9" s="37" t="e">
        <f ca="1"/>
        <v>#NAME?</v>
      </c>
      <c r="DI9" s="37" t="e">
        <f ca="1"/>
        <v>#NAME?</v>
      </c>
      <c r="DJ9" s="37" t="e">
        <f ca="1"/>
        <v>#NAME?</v>
      </c>
      <c r="DK9" s="37" t="e">
        <f ca="1"/>
        <v>#NAME?</v>
      </c>
      <c r="DL9" s="37" t="e">
        <f ca="1"/>
        <v>#NAME?</v>
      </c>
      <c r="DM9" s="90" t="e">
        <f ca="1"/>
        <v>#NAME?</v>
      </c>
      <c r="DP9" t="str">
        <v>Expert</v>
      </c>
      <c r="DQ9" s="123" t="e">
        <f ca="1"/>
        <v>#NAME?</v>
      </c>
      <c r="DR9" s="37" t="e">
        <f ca="1"/>
        <v>#NAME?</v>
      </c>
      <c r="DS9" s="37" t="e">
        <f ca="1"/>
        <v>#NAME?</v>
      </c>
      <c r="DT9" s="37" t="e">
        <f ca="1"/>
        <v>#NAME?</v>
      </c>
      <c r="DU9" s="37" t="e">
        <f ca="1"/>
        <v>#NAME?</v>
      </c>
      <c r="DV9" s="37" t="e">
        <f ca="1"/>
        <v>#NAME?</v>
      </c>
      <c r="DW9" s="37" t="e">
        <f ca="1"/>
        <v>#NAME?</v>
      </c>
      <c r="DX9" s="37" t="e">
        <f ca="1"/>
        <v>#NAME?</v>
      </c>
      <c r="DY9" s="90" t="e">
        <f ca="1"/>
        <v>#NAME?</v>
      </c>
      <c r="EB9" t="str">
        <v>Expert</v>
      </c>
      <c r="EC9" s="123" t="e">
        <f ca="1"/>
        <v>#NAME?</v>
      </c>
      <c r="ED9" s="37" t="e">
        <f ca="1"/>
        <v>#NAME?</v>
      </c>
      <c r="EE9" s="37" t="e">
        <f ca="1"/>
        <v>#NAME?</v>
      </c>
      <c r="EF9" s="37" t="e">
        <f ca="1"/>
        <v>#NAME?</v>
      </c>
      <c r="EG9" s="37" t="e">
        <f ca="1"/>
        <v>#NAME?</v>
      </c>
      <c r="EH9" s="37" t="e">
        <f ca="1"/>
        <v>#NAME?</v>
      </c>
      <c r="EI9" s="37" t="e">
        <f ca="1"/>
        <v>#NAME?</v>
      </c>
      <c r="EJ9" s="37" t="e">
        <f ca="1"/>
        <v>#NAME?</v>
      </c>
      <c r="EK9" s="90" t="e">
        <f ca="1"/>
        <v>#NAME?</v>
      </c>
      <c r="EN9" t="str">
        <v>Expert</v>
      </c>
      <c r="EO9" s="123" t="e">
        <f ca="1"/>
        <v>#NAME?</v>
      </c>
      <c r="EP9" s="37" t="e">
        <f ca="1"/>
        <v>#NAME?</v>
      </c>
      <c r="EQ9" s="37" t="e">
        <f ca="1"/>
        <v>#NAME?</v>
      </c>
      <c r="ER9" s="37" t="e">
        <f ca="1"/>
        <v>#NAME?</v>
      </c>
      <c r="ES9" s="37" t="e">
        <f ca="1"/>
        <v>#NAME?</v>
      </c>
      <c r="ET9" s="37" t="e">
        <f ca="1"/>
        <v>#NAME?</v>
      </c>
      <c r="EU9" s="37" t="e">
        <f ca="1"/>
        <v>#NAME?</v>
      </c>
      <c r="EV9" s="37" t="e">
        <f ca="1"/>
        <v>#NAME?</v>
      </c>
      <c r="EW9" s="90" t="e">
        <f ca="1"/>
        <v>#NAME?</v>
      </c>
      <c r="EZ9" t="str">
        <v>Expert</v>
      </c>
      <c r="FA9" s="123" t="e">
        <f ca="1"/>
        <v>#NAME?</v>
      </c>
      <c r="FB9" s="37" t="e">
        <f ca="1"/>
        <v>#NAME?</v>
      </c>
      <c r="FC9" s="37" t="e">
        <f ca="1"/>
        <v>#NAME?</v>
      </c>
      <c r="FD9" s="37" t="e">
        <f ca="1"/>
        <v>#NAME?</v>
      </c>
      <c r="FE9" s="37" t="e">
        <f ca="1"/>
        <v>#NAME?</v>
      </c>
      <c r="FF9" s="37" t="e">
        <f ca="1"/>
        <v>#NAME?</v>
      </c>
      <c r="FG9" s="37" t="e">
        <f ca="1"/>
        <v>#NAME?</v>
      </c>
      <c r="FH9" s="37" t="e">
        <f ca="1"/>
        <v>#NAME?</v>
      </c>
      <c r="FI9" s="90" t="e">
        <f ca="1"/>
        <v>#NAME?</v>
      </c>
      <c r="FL9" t="str">
        <v>Expert</v>
      </c>
      <c r="FM9" s="123" t="e">
        <f ca="1"/>
        <v>#NAME?</v>
      </c>
      <c r="FN9" s="37" t="e">
        <f ca="1"/>
        <v>#NAME?</v>
      </c>
      <c r="FO9" s="37" t="e">
        <f ca="1"/>
        <v>#NAME?</v>
      </c>
      <c r="FP9" s="37" t="e">
        <f ca="1"/>
        <v>#NAME?</v>
      </c>
      <c r="FQ9" s="37" t="e">
        <f ca="1"/>
        <v>#NAME?</v>
      </c>
      <c r="FR9" s="37" t="e">
        <f ca="1"/>
        <v>#NAME?</v>
      </c>
      <c r="FS9" s="37" t="e">
        <f ca="1"/>
        <v>#NAME?</v>
      </c>
      <c r="FT9" s="37" t="e">
        <f ca="1"/>
        <v>#NAME?</v>
      </c>
      <c r="FU9" s="90" t="e">
        <f ca="1"/>
        <v>#NAME?</v>
      </c>
      <c r="FX9" t="str">
        <v>Expert</v>
      </c>
      <c r="FY9" s="123" t="e">
        <f ca="1"/>
        <v>#NAME?</v>
      </c>
      <c r="FZ9" s="37" t="e">
        <f ca="1"/>
        <v>#NAME?</v>
      </c>
      <c r="GA9" s="37" t="e">
        <f ca="1"/>
        <v>#NAME?</v>
      </c>
      <c r="GB9" s="37" t="e">
        <f ca="1"/>
        <v>#NAME?</v>
      </c>
      <c r="GC9" s="37" t="e">
        <f ca="1"/>
        <v>#NAME?</v>
      </c>
      <c r="GD9" s="37" t="e">
        <f ca="1"/>
        <v>#NAME?</v>
      </c>
      <c r="GE9" s="37" t="e">
        <f ca="1"/>
        <v>#NAME?</v>
      </c>
      <c r="GF9" s="37" t="e">
        <f ca="1"/>
        <v>#NAME?</v>
      </c>
      <c r="GG9" s="90" t="e">
        <f ca="1"/>
        <v>#NAME?</v>
      </c>
      <c r="GJ9" t="str">
        <v>Expert</v>
      </c>
      <c r="GK9" s="123" t="e">
        <f ca="1"/>
        <v>#NAME?</v>
      </c>
      <c r="GL9" s="37" t="e">
        <f ca="1"/>
        <v>#NAME?</v>
      </c>
      <c r="GM9" s="37" t="e">
        <f ca="1"/>
        <v>#NAME?</v>
      </c>
      <c r="GN9" s="37" t="e">
        <f ca="1"/>
        <v>#NAME?</v>
      </c>
      <c r="GO9" s="37" t="e">
        <f ca="1"/>
        <v>#NAME?</v>
      </c>
      <c r="GP9" s="37" t="e">
        <f ca="1"/>
        <v>#NAME?</v>
      </c>
      <c r="GQ9" s="37" t="e">
        <f ca="1"/>
        <v>#NAME?</v>
      </c>
      <c r="GR9" s="37" t="e">
        <f ca="1"/>
        <v>#NAME?</v>
      </c>
      <c r="GS9" s="90" t="e">
        <f ca="1"/>
        <v>#NAME?</v>
      </c>
      <c r="GV9" t="str">
        <v>Expert</v>
      </c>
      <c r="GW9" s="123" t="e">
        <f ca="1"/>
        <v>#NAME?</v>
      </c>
      <c r="GX9" s="37" t="e">
        <f ca="1"/>
        <v>#NAME?</v>
      </c>
      <c r="GY9" s="37" t="e">
        <f ca="1"/>
        <v>#NAME?</v>
      </c>
      <c r="GZ9" s="37" t="e">
        <f ca="1"/>
        <v>#NAME?</v>
      </c>
      <c r="HA9" s="37" t="e">
        <f ca="1"/>
        <v>#NAME?</v>
      </c>
      <c r="HB9" s="37" t="e">
        <f ca="1"/>
        <v>#NAME?</v>
      </c>
      <c r="HC9" s="37" t="e">
        <f ca="1"/>
        <v>#NAME?</v>
      </c>
      <c r="HD9" s="37" t="e">
        <f ca="1"/>
        <v>#NAME?</v>
      </c>
      <c r="HE9" s="90" t="e">
        <f ca="1"/>
        <v>#NAME?</v>
      </c>
      <c r="HH9" t="str">
        <v>Expert</v>
      </c>
      <c r="HI9" s="123" t="e">
        <f ca="1"/>
        <v>#NAME?</v>
      </c>
      <c r="HJ9" s="37" t="e">
        <f ca="1"/>
        <v>#NAME?</v>
      </c>
      <c r="HK9" s="37" t="e">
        <f ca="1"/>
        <v>#NAME?</v>
      </c>
      <c r="HL9" s="37" t="e">
        <f ca="1"/>
        <v>#NAME?</v>
      </c>
      <c r="HM9" s="37" t="e">
        <f ca="1"/>
        <v>#NAME?</v>
      </c>
      <c r="HN9" s="37" t="e">
        <f ca="1"/>
        <v>#NAME?</v>
      </c>
      <c r="HO9" s="37" t="e">
        <f ca="1"/>
        <v>#NAME?</v>
      </c>
      <c r="HP9" s="37" t="e">
        <f ca="1"/>
        <v>#NAME?</v>
      </c>
      <c r="HQ9" s="90" t="e">
        <f ca="1"/>
        <v>#NAME?</v>
      </c>
      <c r="HT9" t="str">
        <v>Expert</v>
      </c>
      <c r="HU9" s="123" t="e">
        <f ca="1"/>
        <v>#NAME?</v>
      </c>
      <c r="HV9" s="37" t="e">
        <f ca="1"/>
        <v>#NAME?</v>
      </c>
      <c r="HW9" s="37" t="e">
        <f ca="1"/>
        <v>#NAME?</v>
      </c>
      <c r="HX9" s="37" t="e">
        <f ca="1"/>
        <v>#NAME?</v>
      </c>
      <c r="HY9" s="37" t="e">
        <f ca="1"/>
        <v>#NAME?</v>
      </c>
      <c r="HZ9" s="37" t="e">
        <f ca="1"/>
        <v>#NAME?</v>
      </c>
      <c r="IA9" s="37" t="e">
        <f ca="1"/>
        <v>#NAME?</v>
      </c>
      <c r="IB9" s="37" t="e">
        <f ca="1"/>
        <v>#NAME?</v>
      </c>
      <c r="IC9" s="90" t="e">
        <f ca="1"/>
        <v>#NAME?</v>
      </c>
      <c r="IF9" t="str">
        <v>Expert</v>
      </c>
      <c r="IG9" s="123" t="e">
        <f ca="1"/>
        <v>#NAME?</v>
      </c>
      <c r="IH9" s="37" t="e">
        <f ca="1"/>
        <v>#NAME?</v>
      </c>
      <c r="II9" s="37" t="e">
        <f ca="1"/>
        <v>#NAME?</v>
      </c>
      <c r="IJ9" s="37" t="e">
        <f ca="1"/>
        <v>#NAME?</v>
      </c>
      <c r="IK9" s="37" t="e">
        <f ca="1"/>
        <v>#NAME?</v>
      </c>
      <c r="IL9" s="37" t="e">
        <f ca="1"/>
        <v>#NAME?</v>
      </c>
      <c r="IM9" s="37" t="e">
        <f ca="1"/>
        <v>#NAME?</v>
      </c>
      <c r="IN9" s="37" t="e">
        <f ca="1"/>
        <v>#NAME?</v>
      </c>
      <c r="IO9" s="90" t="e">
        <f ca="1"/>
        <v>#NAME?</v>
      </c>
      <c r="IR9" t="str">
        <v>Expert</v>
      </c>
      <c r="IS9" s="123" t="e">
        <f ca="1"/>
        <v>#NAME?</v>
      </c>
      <c r="IT9" s="37" t="e">
        <f ca="1"/>
        <v>#NAME?</v>
      </c>
      <c r="IU9" s="37" t="e">
        <f ca="1"/>
        <v>#NAME?</v>
      </c>
      <c r="IV9" s="37" t="e">
        <f ca="1"/>
        <v>#NAME?</v>
      </c>
      <c r="IW9" s="37" t="e">
        <f ca="1"/>
        <v>#NAME?</v>
      </c>
      <c r="IX9" s="37" t="e">
        <f ca="1"/>
        <v>#NAME?</v>
      </c>
      <c r="IY9" s="37" t="e">
        <f ca="1"/>
        <v>#NAME?</v>
      </c>
      <c r="IZ9" s="37" t="e">
        <f ca="1"/>
        <v>#NAME?</v>
      </c>
      <c r="JA9" s="90" t="e">
        <f ca="1"/>
        <v>#NAME?</v>
      </c>
      <c r="JD9" t="str">
        <v>Expert</v>
      </c>
      <c r="JE9" s="123" t="e">
        <f ca="1"/>
        <v>#NAME?</v>
      </c>
      <c r="JF9" s="37" t="e">
        <f ca="1"/>
        <v>#NAME?</v>
      </c>
      <c r="JG9" s="37" t="e">
        <f ca="1"/>
        <v>#NAME?</v>
      </c>
      <c r="JH9" s="37" t="e">
        <f ca="1"/>
        <v>#NAME?</v>
      </c>
      <c r="JI9" s="37" t="e">
        <f ca="1"/>
        <v>#NAME?</v>
      </c>
      <c r="JJ9" s="37" t="e">
        <f ca="1"/>
        <v>#NAME?</v>
      </c>
      <c r="JK9" s="37" t="e">
        <f ca="1"/>
        <v>#NAME?</v>
      </c>
      <c r="JL9" s="37" t="e">
        <f ca="1"/>
        <v>#NAME?</v>
      </c>
      <c r="JM9" s="90" t="e">
        <f ca="1"/>
        <v>#NAME?</v>
      </c>
      <c r="JP9" t="str">
        <v>Expert</v>
      </c>
      <c r="JQ9" s="123" t="e">
        <f ca="1"/>
        <v>#NAME?</v>
      </c>
      <c r="JR9" s="37" t="e">
        <f ca="1"/>
        <v>#NAME?</v>
      </c>
      <c r="JS9" s="37" t="e">
        <f ca="1"/>
        <v>#NAME?</v>
      </c>
      <c r="JT9" s="37" t="e">
        <f ca="1"/>
        <v>#NAME?</v>
      </c>
      <c r="JU9" s="37" t="e">
        <f ca="1"/>
        <v>#NAME?</v>
      </c>
      <c r="JV9" s="37" t="e">
        <f ca="1"/>
        <v>#NAME?</v>
      </c>
      <c r="JW9" s="37" t="e">
        <f ca="1"/>
        <v>#NAME?</v>
      </c>
      <c r="JX9" s="37" t="e">
        <f ca="1"/>
        <v>#NAME?</v>
      </c>
      <c r="JY9" s="90" t="e">
        <f ca="1"/>
        <v>#NAME?</v>
      </c>
      <c r="KB9" t="str">
        <v>Expert</v>
      </c>
      <c r="KC9" s="123" t="e">
        <f ca="1"/>
        <v>#NAME?</v>
      </c>
      <c r="KD9" s="37" t="e">
        <f ca="1"/>
        <v>#NAME?</v>
      </c>
      <c r="KE9" s="37" t="e">
        <f ca="1"/>
        <v>#NAME?</v>
      </c>
      <c r="KF9" s="37" t="e">
        <f ca="1"/>
        <v>#NAME?</v>
      </c>
      <c r="KG9" s="37" t="e">
        <f ca="1"/>
        <v>#NAME?</v>
      </c>
      <c r="KH9" s="37" t="e">
        <f ca="1"/>
        <v>#NAME?</v>
      </c>
      <c r="KI9" s="37" t="e">
        <f ca="1"/>
        <v>#NAME?</v>
      </c>
      <c r="KJ9" s="37" t="e">
        <f ca="1"/>
        <v>#NAME?</v>
      </c>
      <c r="KK9" s="90" t="e">
        <f ca="1"/>
        <v>#NAME?</v>
      </c>
      <c r="KN9" t="str">
        <v>Expert</v>
      </c>
      <c r="KO9" s="123" t="e">
        <f ca="1"/>
        <v>#NAME?</v>
      </c>
      <c r="KP9" s="37" t="e">
        <f ca="1"/>
        <v>#NAME?</v>
      </c>
      <c r="KQ9" s="37" t="e">
        <f ca="1"/>
        <v>#NAME?</v>
      </c>
      <c r="KR9" s="37" t="e">
        <f ca="1"/>
        <v>#NAME?</v>
      </c>
      <c r="KS9" s="37" t="e">
        <f ca="1"/>
        <v>#NAME?</v>
      </c>
      <c r="KT9" s="37" t="e">
        <f ca="1"/>
        <v>#NAME?</v>
      </c>
      <c r="KU9" s="37" t="e">
        <f ca="1"/>
        <v>#NAME?</v>
      </c>
      <c r="KV9" s="37" t="e">
        <f ca="1"/>
        <v>#NAME?</v>
      </c>
      <c r="KW9" s="90" t="e">
        <f ca="1"/>
        <v>#NAME?</v>
      </c>
      <c r="KZ9" t="str">
        <v>Expert</v>
      </c>
      <c r="LA9" s="123" t="e">
        <f ca="1"/>
        <v>#NAME?</v>
      </c>
      <c r="LB9" s="37" t="e">
        <f ca="1"/>
        <v>#NAME?</v>
      </c>
      <c r="LC9" s="37" t="e">
        <f ca="1"/>
        <v>#NAME?</v>
      </c>
      <c r="LD9" s="37" t="e">
        <f ca="1"/>
        <v>#NAME?</v>
      </c>
      <c r="LE9" s="37" t="e">
        <f ca="1"/>
        <v>#NAME?</v>
      </c>
      <c r="LF9" s="37" t="e">
        <f ca="1"/>
        <v>#NAME?</v>
      </c>
      <c r="LG9" s="37" t="e">
        <f ca="1"/>
        <v>#NAME?</v>
      </c>
      <c r="LH9" s="37" t="e">
        <f ca="1"/>
        <v>#NAME?</v>
      </c>
      <c r="LI9" s="90" t="e">
        <f ca="1"/>
        <v>#NAME?</v>
      </c>
      <c r="LL9" t="str">
        <v>Expert</v>
      </c>
      <c r="LM9" s="123" t="e">
        <f ca="1"/>
        <v>#NAME?</v>
      </c>
      <c r="LN9" s="37" t="e">
        <f ca="1"/>
        <v>#NAME?</v>
      </c>
      <c r="LO9" s="37" t="e">
        <f ca="1"/>
        <v>#NAME?</v>
      </c>
      <c r="LP9" s="37" t="e">
        <f ca="1"/>
        <v>#NAME?</v>
      </c>
      <c r="LQ9" s="37" t="e">
        <f ca="1"/>
        <v>#NAME?</v>
      </c>
      <c r="LR9" s="37" t="e">
        <f ca="1"/>
        <v>#NAME?</v>
      </c>
      <c r="LS9" s="37" t="e">
        <f ca="1"/>
        <v>#NAME?</v>
      </c>
      <c r="LT9" s="37" t="e">
        <f ca="1"/>
        <v>#NAME?</v>
      </c>
      <c r="LU9" s="90" t="e">
        <f ca="1"/>
        <v>#NAME?</v>
      </c>
      <c r="LX9" t="str">
        <v>Expert</v>
      </c>
      <c r="LY9" s="123" t="e">
        <f ca="1"/>
        <v>#NAME?</v>
      </c>
      <c r="LZ9" s="37" t="e">
        <f ca="1"/>
        <v>#NAME?</v>
      </c>
      <c r="MA9" s="37" t="e">
        <f ca="1"/>
        <v>#NAME?</v>
      </c>
      <c r="MB9" s="37" t="e">
        <f ca="1"/>
        <v>#NAME?</v>
      </c>
      <c r="MC9" s="37" t="e">
        <f ca="1"/>
        <v>#NAME?</v>
      </c>
      <c r="MD9" s="37" t="e">
        <f ca="1"/>
        <v>#NAME?</v>
      </c>
      <c r="ME9" s="37" t="e">
        <f ca="1"/>
        <v>#NAME?</v>
      </c>
      <c r="MF9" s="37" t="e">
        <f ca="1"/>
        <v>#NAME?</v>
      </c>
      <c r="MG9" s="90" t="e">
        <f ca="1"/>
        <v>#NAME?</v>
      </c>
      <c r="MJ9" t="str">
        <v>Expert</v>
      </c>
      <c r="MK9" s="123" t="e">
        <f ca="1"/>
        <v>#NAME?</v>
      </c>
      <c r="ML9" s="37" t="e">
        <f ca="1"/>
        <v>#NAME?</v>
      </c>
      <c r="MM9" s="37" t="e">
        <f ca="1"/>
        <v>#NAME?</v>
      </c>
      <c r="MN9" s="37" t="e">
        <f ca="1"/>
        <v>#NAME?</v>
      </c>
      <c r="MO9" s="37" t="e">
        <f ca="1"/>
        <v>#NAME?</v>
      </c>
      <c r="MP9" s="37" t="e">
        <f ca="1"/>
        <v>#NAME?</v>
      </c>
      <c r="MQ9" s="37" t="e">
        <f ca="1"/>
        <v>#NAME?</v>
      </c>
      <c r="MR9" s="37" t="e">
        <f ca="1"/>
        <v>#NAME?</v>
      </c>
      <c r="MS9" s="90" t="e">
        <f ca="1"/>
        <v>#NAME?</v>
      </c>
    </row>
    <row r="10" spans="1:357" x14ac:dyDescent="0.3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  <c r="L10" t="str">
        <v>Motivate</v>
      </c>
      <c r="M10" s="83" t="e">
        <f ca="1"/>
        <v>#NAME?</v>
      </c>
      <c r="N10" s="37" t="e">
        <f ca="1"/>
        <v>#NAME?</v>
      </c>
      <c r="O10" s="37" t="e">
        <f ca="1"/>
        <v>#NAME?</v>
      </c>
      <c r="P10" s="37" t="e">
        <f ca="1"/>
        <v>#NAME?</v>
      </c>
      <c r="Q10" s="37" t="e">
        <f ca="1"/>
        <v>#NAME?</v>
      </c>
      <c r="R10" s="37" t="e">
        <f ca="1"/>
        <v>#NAME?</v>
      </c>
      <c r="S10" s="37" t="e">
        <f ca="1"/>
        <v>#NAME?</v>
      </c>
      <c r="T10" s="37" t="e">
        <f ca="1"/>
        <v>#NAME?</v>
      </c>
      <c r="U10" s="84" t="e">
        <f ca="1"/>
        <v>#NAME?</v>
      </c>
      <c r="X10" t="str">
        <v>Motivate</v>
      </c>
      <c r="Y10" s="123" t="e">
        <f ca="1"/>
        <v>#NAME?</v>
      </c>
      <c r="Z10" s="37" t="e">
        <f ca="1"/>
        <v>#NAME?</v>
      </c>
      <c r="AA10" s="37" t="e">
        <f ca="1"/>
        <v>#NAME?</v>
      </c>
      <c r="AB10" s="37" t="e">
        <f ca="1"/>
        <v>#NAME?</v>
      </c>
      <c r="AC10" s="37" t="e">
        <f ca="1"/>
        <v>#NAME?</v>
      </c>
      <c r="AD10" s="37" t="e">
        <f ca="1"/>
        <v>#NAME?</v>
      </c>
      <c r="AE10" s="37" t="e">
        <f ca="1"/>
        <v>#NAME?</v>
      </c>
      <c r="AF10" s="37" t="e">
        <f ca="1"/>
        <v>#NAME?</v>
      </c>
      <c r="AG10" s="90" t="e">
        <f ca="1"/>
        <v>#NAME?</v>
      </c>
      <c r="AJ10" t="str">
        <v>Motivate</v>
      </c>
      <c r="AK10" s="123" t="e">
        <f ca="1"/>
        <v>#NAME?</v>
      </c>
      <c r="AL10" s="37" t="e">
        <f ca="1"/>
        <v>#NAME?</v>
      </c>
      <c r="AM10" s="37" t="e">
        <f ca="1"/>
        <v>#NAME?</v>
      </c>
      <c r="AN10" s="37" t="e">
        <f ca="1"/>
        <v>#NAME?</v>
      </c>
      <c r="AO10" s="37" t="e">
        <f ca="1"/>
        <v>#NAME?</v>
      </c>
      <c r="AP10" s="37" t="e">
        <f ca="1"/>
        <v>#NAME?</v>
      </c>
      <c r="AQ10" s="37" t="e">
        <f ca="1"/>
        <v>#NAME?</v>
      </c>
      <c r="AR10" s="37" t="e">
        <f ca="1"/>
        <v>#NAME?</v>
      </c>
      <c r="AS10" s="90" t="e">
        <f ca="1"/>
        <v>#NAME?</v>
      </c>
      <c r="AV10" t="str">
        <v>Motivate</v>
      </c>
      <c r="AW10" s="123" t="e">
        <f ca="1"/>
        <v>#NAME?</v>
      </c>
      <c r="AX10" s="37" t="e">
        <f ca="1"/>
        <v>#NAME?</v>
      </c>
      <c r="AY10" s="37" t="e">
        <f ca="1"/>
        <v>#NAME?</v>
      </c>
      <c r="AZ10" s="37" t="e">
        <f ca="1"/>
        <v>#NAME?</v>
      </c>
      <c r="BA10" s="37" t="e">
        <f ca="1"/>
        <v>#NAME?</v>
      </c>
      <c r="BB10" s="37" t="e">
        <f ca="1"/>
        <v>#NAME?</v>
      </c>
      <c r="BC10" s="37" t="e">
        <f ca="1"/>
        <v>#NAME?</v>
      </c>
      <c r="BD10" s="37" t="e">
        <f ca="1"/>
        <v>#NAME?</v>
      </c>
      <c r="BE10" s="90" t="e">
        <f ca="1"/>
        <v>#NAME?</v>
      </c>
      <c r="BH10" t="str">
        <v>Motivate</v>
      </c>
      <c r="BI10" s="123" t="e">
        <f ca="1"/>
        <v>#NAME?</v>
      </c>
      <c r="BJ10" s="37" t="e">
        <f ca="1"/>
        <v>#NAME?</v>
      </c>
      <c r="BK10" s="37" t="e">
        <f ca="1"/>
        <v>#NAME?</v>
      </c>
      <c r="BL10" s="37" t="e">
        <f ca="1"/>
        <v>#NAME?</v>
      </c>
      <c r="BM10" s="37" t="e">
        <f ca="1"/>
        <v>#NAME?</v>
      </c>
      <c r="BN10" s="37" t="e">
        <f ca="1"/>
        <v>#NAME?</v>
      </c>
      <c r="BO10" s="37" t="e">
        <f ca="1"/>
        <v>#NAME?</v>
      </c>
      <c r="BP10" s="37" t="e">
        <f ca="1"/>
        <v>#NAME?</v>
      </c>
      <c r="BQ10" s="90" t="e">
        <f ca="1"/>
        <v>#NAME?</v>
      </c>
      <c r="BT10" t="str">
        <v>Motivate</v>
      </c>
      <c r="BU10" s="123" t="e">
        <f ca="1"/>
        <v>#NAME?</v>
      </c>
      <c r="BV10" s="37" t="e">
        <f ca="1"/>
        <v>#NAME?</v>
      </c>
      <c r="BW10" s="37" t="e">
        <f ca="1"/>
        <v>#NAME?</v>
      </c>
      <c r="BX10" s="37" t="e">
        <f ca="1"/>
        <v>#NAME?</v>
      </c>
      <c r="BY10" s="37" t="e">
        <f ca="1"/>
        <v>#NAME?</v>
      </c>
      <c r="BZ10" s="37" t="e">
        <f ca="1"/>
        <v>#NAME?</v>
      </c>
      <c r="CA10" s="37" t="e">
        <f ca="1"/>
        <v>#NAME?</v>
      </c>
      <c r="CB10" s="37" t="e">
        <f ca="1"/>
        <v>#NAME?</v>
      </c>
      <c r="CC10" s="90" t="e">
        <f ca="1"/>
        <v>#NAME?</v>
      </c>
      <c r="CF10" t="str">
        <v>Motivate</v>
      </c>
      <c r="CG10" s="123" t="e">
        <f ca="1"/>
        <v>#NAME?</v>
      </c>
      <c r="CH10" s="37" t="e">
        <f ca="1"/>
        <v>#NAME?</v>
      </c>
      <c r="CI10" s="37" t="e">
        <f ca="1"/>
        <v>#NAME?</v>
      </c>
      <c r="CJ10" s="37" t="e">
        <f ca="1"/>
        <v>#NAME?</v>
      </c>
      <c r="CK10" s="37" t="e">
        <f ca="1"/>
        <v>#NAME?</v>
      </c>
      <c r="CL10" s="37" t="e">
        <f ca="1"/>
        <v>#NAME?</v>
      </c>
      <c r="CM10" s="37" t="e">
        <f ca="1"/>
        <v>#NAME?</v>
      </c>
      <c r="CN10" s="37" t="e">
        <f ca="1"/>
        <v>#NAME?</v>
      </c>
      <c r="CO10" s="90" t="e">
        <f ca="1"/>
        <v>#NAME?</v>
      </c>
      <c r="CR10" t="str">
        <v>Motivate</v>
      </c>
      <c r="CS10" s="123" t="e">
        <f ca="1"/>
        <v>#NAME?</v>
      </c>
      <c r="CT10" s="37" t="e">
        <f ca="1"/>
        <v>#NAME?</v>
      </c>
      <c r="CU10" s="37" t="e">
        <f ca="1"/>
        <v>#NAME?</v>
      </c>
      <c r="CV10" s="37" t="e">
        <f ca="1"/>
        <v>#NAME?</v>
      </c>
      <c r="CW10" s="37" t="e">
        <f ca="1"/>
        <v>#NAME?</v>
      </c>
      <c r="CX10" s="37" t="e">
        <f ca="1"/>
        <v>#NAME?</v>
      </c>
      <c r="CY10" s="37" t="e">
        <f ca="1"/>
        <v>#NAME?</v>
      </c>
      <c r="CZ10" s="37" t="e">
        <f ca="1"/>
        <v>#NAME?</v>
      </c>
      <c r="DA10" s="90" t="e">
        <f ca="1"/>
        <v>#NAME?</v>
      </c>
      <c r="DD10" t="str">
        <v>Motivate</v>
      </c>
      <c r="DE10" s="123" t="e">
        <f ca="1"/>
        <v>#NAME?</v>
      </c>
      <c r="DF10" s="37" t="e">
        <f ca="1"/>
        <v>#NAME?</v>
      </c>
      <c r="DG10" s="37" t="e">
        <f ca="1"/>
        <v>#NAME?</v>
      </c>
      <c r="DH10" s="37" t="e">
        <f ca="1"/>
        <v>#NAME?</v>
      </c>
      <c r="DI10" s="37" t="e">
        <f ca="1"/>
        <v>#NAME?</v>
      </c>
      <c r="DJ10" s="37" t="e">
        <f ca="1"/>
        <v>#NAME?</v>
      </c>
      <c r="DK10" s="37" t="e">
        <f ca="1"/>
        <v>#NAME?</v>
      </c>
      <c r="DL10" s="37" t="e">
        <f ca="1"/>
        <v>#NAME?</v>
      </c>
      <c r="DM10" s="90" t="e">
        <f ca="1"/>
        <v>#NAME?</v>
      </c>
      <c r="DP10" t="str">
        <v>Motivate</v>
      </c>
      <c r="DQ10" s="123" t="e">
        <f ca="1"/>
        <v>#NAME?</v>
      </c>
      <c r="DR10" s="37" t="e">
        <f ca="1"/>
        <v>#NAME?</v>
      </c>
      <c r="DS10" s="37" t="e">
        <f ca="1"/>
        <v>#NAME?</v>
      </c>
      <c r="DT10" s="37" t="e">
        <f ca="1"/>
        <v>#NAME?</v>
      </c>
      <c r="DU10" s="37" t="e">
        <f ca="1"/>
        <v>#NAME?</v>
      </c>
      <c r="DV10" s="37" t="e">
        <f ca="1"/>
        <v>#NAME?</v>
      </c>
      <c r="DW10" s="37" t="e">
        <f ca="1"/>
        <v>#NAME?</v>
      </c>
      <c r="DX10" s="37" t="e">
        <f ca="1"/>
        <v>#NAME?</v>
      </c>
      <c r="DY10" s="90" t="e">
        <f ca="1"/>
        <v>#NAME?</v>
      </c>
      <c r="EB10" t="str">
        <v>Motivate</v>
      </c>
      <c r="EC10" s="123" t="e">
        <f ca="1"/>
        <v>#NAME?</v>
      </c>
      <c r="ED10" s="37" t="e">
        <f ca="1"/>
        <v>#NAME?</v>
      </c>
      <c r="EE10" s="37" t="e">
        <f ca="1"/>
        <v>#NAME?</v>
      </c>
      <c r="EF10" s="37" t="e">
        <f ca="1"/>
        <v>#NAME?</v>
      </c>
      <c r="EG10" s="37" t="e">
        <f ca="1"/>
        <v>#NAME?</v>
      </c>
      <c r="EH10" s="37" t="e">
        <f ca="1"/>
        <v>#NAME?</v>
      </c>
      <c r="EI10" s="37" t="e">
        <f ca="1"/>
        <v>#NAME?</v>
      </c>
      <c r="EJ10" s="37" t="e">
        <f ca="1"/>
        <v>#NAME?</v>
      </c>
      <c r="EK10" s="90" t="e">
        <f ca="1"/>
        <v>#NAME?</v>
      </c>
      <c r="EN10" t="str">
        <v>Motivate</v>
      </c>
      <c r="EO10" s="123" t="e">
        <f ca="1"/>
        <v>#NAME?</v>
      </c>
      <c r="EP10" s="37" t="e">
        <f ca="1"/>
        <v>#NAME?</v>
      </c>
      <c r="EQ10" s="37" t="e">
        <f ca="1"/>
        <v>#NAME?</v>
      </c>
      <c r="ER10" s="37" t="e">
        <f ca="1"/>
        <v>#NAME?</v>
      </c>
      <c r="ES10" s="37" t="e">
        <f ca="1"/>
        <v>#NAME?</v>
      </c>
      <c r="ET10" s="37" t="e">
        <f ca="1"/>
        <v>#NAME?</v>
      </c>
      <c r="EU10" s="37" t="e">
        <f ca="1"/>
        <v>#NAME?</v>
      </c>
      <c r="EV10" s="37" t="e">
        <f ca="1"/>
        <v>#NAME?</v>
      </c>
      <c r="EW10" s="90" t="e">
        <f ca="1"/>
        <v>#NAME?</v>
      </c>
      <c r="EZ10" t="str">
        <v>Motivate</v>
      </c>
      <c r="FA10" s="123" t="e">
        <f ca="1"/>
        <v>#NAME?</v>
      </c>
      <c r="FB10" s="37" t="e">
        <f ca="1"/>
        <v>#NAME?</v>
      </c>
      <c r="FC10" s="37" t="e">
        <f ca="1"/>
        <v>#NAME?</v>
      </c>
      <c r="FD10" s="37" t="e">
        <f ca="1"/>
        <v>#NAME?</v>
      </c>
      <c r="FE10" s="37" t="e">
        <f ca="1"/>
        <v>#NAME?</v>
      </c>
      <c r="FF10" s="37" t="e">
        <f ca="1"/>
        <v>#NAME?</v>
      </c>
      <c r="FG10" s="37" t="e">
        <f ca="1"/>
        <v>#NAME?</v>
      </c>
      <c r="FH10" s="37" t="e">
        <f ca="1"/>
        <v>#NAME?</v>
      </c>
      <c r="FI10" s="90" t="e">
        <f ca="1"/>
        <v>#NAME?</v>
      </c>
      <c r="FL10" t="str">
        <v>Motivate</v>
      </c>
      <c r="FM10" s="123" t="e">
        <f ca="1"/>
        <v>#NAME?</v>
      </c>
      <c r="FN10" s="37" t="e">
        <f ca="1"/>
        <v>#NAME?</v>
      </c>
      <c r="FO10" s="37" t="e">
        <f ca="1"/>
        <v>#NAME?</v>
      </c>
      <c r="FP10" s="37" t="e">
        <f ca="1"/>
        <v>#NAME?</v>
      </c>
      <c r="FQ10" s="37" t="e">
        <f ca="1"/>
        <v>#NAME?</v>
      </c>
      <c r="FR10" s="37" t="e">
        <f ca="1"/>
        <v>#NAME?</v>
      </c>
      <c r="FS10" s="37" t="e">
        <f ca="1"/>
        <v>#NAME?</v>
      </c>
      <c r="FT10" s="37" t="e">
        <f ca="1"/>
        <v>#NAME?</v>
      </c>
      <c r="FU10" s="90" t="e">
        <f ca="1"/>
        <v>#NAME?</v>
      </c>
      <c r="FX10" t="str">
        <v>Motivate</v>
      </c>
      <c r="FY10" s="123" t="e">
        <f ca="1"/>
        <v>#NAME?</v>
      </c>
      <c r="FZ10" s="37" t="e">
        <f ca="1"/>
        <v>#NAME?</v>
      </c>
      <c r="GA10" s="37" t="e">
        <f ca="1"/>
        <v>#NAME?</v>
      </c>
      <c r="GB10" s="37" t="e">
        <f ca="1"/>
        <v>#NAME?</v>
      </c>
      <c r="GC10" s="37" t="e">
        <f ca="1"/>
        <v>#NAME?</v>
      </c>
      <c r="GD10" s="37" t="e">
        <f ca="1"/>
        <v>#NAME?</v>
      </c>
      <c r="GE10" s="37" t="e">
        <f ca="1"/>
        <v>#NAME?</v>
      </c>
      <c r="GF10" s="37" t="e">
        <f ca="1"/>
        <v>#NAME?</v>
      </c>
      <c r="GG10" s="90" t="e">
        <f ca="1"/>
        <v>#NAME?</v>
      </c>
      <c r="GJ10" t="str">
        <v>Motivate</v>
      </c>
      <c r="GK10" s="123" t="e">
        <f ca="1"/>
        <v>#NAME?</v>
      </c>
      <c r="GL10" s="37" t="e">
        <f ca="1"/>
        <v>#NAME?</v>
      </c>
      <c r="GM10" s="37" t="e">
        <f ca="1"/>
        <v>#NAME?</v>
      </c>
      <c r="GN10" s="37" t="e">
        <f ca="1"/>
        <v>#NAME?</v>
      </c>
      <c r="GO10" s="37" t="e">
        <f ca="1"/>
        <v>#NAME?</v>
      </c>
      <c r="GP10" s="37" t="e">
        <f ca="1"/>
        <v>#NAME?</v>
      </c>
      <c r="GQ10" s="37" t="e">
        <f ca="1"/>
        <v>#NAME?</v>
      </c>
      <c r="GR10" s="37" t="e">
        <f ca="1"/>
        <v>#NAME?</v>
      </c>
      <c r="GS10" s="90" t="e">
        <f ca="1"/>
        <v>#NAME?</v>
      </c>
      <c r="GV10" t="str">
        <v>Motivate</v>
      </c>
      <c r="GW10" s="123" t="e">
        <f ca="1"/>
        <v>#NAME?</v>
      </c>
      <c r="GX10" s="37" t="e">
        <f ca="1"/>
        <v>#NAME?</v>
      </c>
      <c r="GY10" s="37" t="e">
        <f ca="1"/>
        <v>#NAME?</v>
      </c>
      <c r="GZ10" s="37" t="e">
        <f ca="1"/>
        <v>#NAME?</v>
      </c>
      <c r="HA10" s="37" t="e">
        <f ca="1"/>
        <v>#NAME?</v>
      </c>
      <c r="HB10" s="37" t="e">
        <f ca="1"/>
        <v>#NAME?</v>
      </c>
      <c r="HC10" s="37" t="e">
        <f ca="1"/>
        <v>#NAME?</v>
      </c>
      <c r="HD10" s="37" t="e">
        <f ca="1"/>
        <v>#NAME?</v>
      </c>
      <c r="HE10" s="90" t="e">
        <f ca="1"/>
        <v>#NAME?</v>
      </c>
      <c r="HH10" t="str">
        <v>Motivate</v>
      </c>
      <c r="HI10" s="123" t="e">
        <f ca="1"/>
        <v>#NAME?</v>
      </c>
      <c r="HJ10" s="37" t="e">
        <f ca="1"/>
        <v>#NAME?</v>
      </c>
      <c r="HK10" s="37" t="e">
        <f ca="1"/>
        <v>#NAME?</v>
      </c>
      <c r="HL10" s="37" t="e">
        <f ca="1"/>
        <v>#NAME?</v>
      </c>
      <c r="HM10" s="37" t="e">
        <f ca="1"/>
        <v>#NAME?</v>
      </c>
      <c r="HN10" s="37" t="e">
        <f ca="1"/>
        <v>#NAME?</v>
      </c>
      <c r="HO10" s="37" t="e">
        <f ca="1"/>
        <v>#NAME?</v>
      </c>
      <c r="HP10" s="37" t="e">
        <f ca="1"/>
        <v>#NAME?</v>
      </c>
      <c r="HQ10" s="90" t="e">
        <f ca="1"/>
        <v>#NAME?</v>
      </c>
      <c r="HT10" t="str">
        <v>Motivate</v>
      </c>
      <c r="HU10" s="123" t="e">
        <f ca="1"/>
        <v>#NAME?</v>
      </c>
      <c r="HV10" s="37" t="e">
        <f ca="1"/>
        <v>#NAME?</v>
      </c>
      <c r="HW10" s="37" t="e">
        <f ca="1"/>
        <v>#NAME?</v>
      </c>
      <c r="HX10" s="37" t="e">
        <f ca="1"/>
        <v>#NAME?</v>
      </c>
      <c r="HY10" s="37" t="e">
        <f ca="1"/>
        <v>#NAME?</v>
      </c>
      <c r="HZ10" s="37" t="e">
        <f ca="1"/>
        <v>#NAME?</v>
      </c>
      <c r="IA10" s="37" t="e">
        <f ca="1"/>
        <v>#NAME?</v>
      </c>
      <c r="IB10" s="37" t="e">
        <f ca="1"/>
        <v>#NAME?</v>
      </c>
      <c r="IC10" s="90" t="e">
        <f ca="1"/>
        <v>#NAME?</v>
      </c>
      <c r="IF10" t="str">
        <v>Motivate</v>
      </c>
      <c r="IG10" s="123" t="e">
        <f ca="1"/>
        <v>#NAME?</v>
      </c>
      <c r="IH10" s="37" t="e">
        <f ca="1"/>
        <v>#NAME?</v>
      </c>
      <c r="II10" s="37" t="e">
        <f ca="1"/>
        <v>#NAME?</v>
      </c>
      <c r="IJ10" s="37" t="e">
        <f ca="1"/>
        <v>#NAME?</v>
      </c>
      <c r="IK10" s="37" t="e">
        <f ca="1"/>
        <v>#NAME?</v>
      </c>
      <c r="IL10" s="37" t="e">
        <f ca="1"/>
        <v>#NAME?</v>
      </c>
      <c r="IM10" s="37" t="e">
        <f ca="1"/>
        <v>#NAME?</v>
      </c>
      <c r="IN10" s="37" t="e">
        <f ca="1"/>
        <v>#NAME?</v>
      </c>
      <c r="IO10" s="90" t="e">
        <f ca="1"/>
        <v>#NAME?</v>
      </c>
      <c r="IR10" t="str">
        <v>Motivate</v>
      </c>
      <c r="IS10" s="123" t="e">
        <f ca="1"/>
        <v>#NAME?</v>
      </c>
      <c r="IT10" s="37" t="e">
        <f ca="1"/>
        <v>#NAME?</v>
      </c>
      <c r="IU10" s="37" t="e">
        <f ca="1"/>
        <v>#NAME?</v>
      </c>
      <c r="IV10" s="37" t="e">
        <f ca="1"/>
        <v>#NAME?</v>
      </c>
      <c r="IW10" s="37" t="e">
        <f ca="1"/>
        <v>#NAME?</v>
      </c>
      <c r="IX10" s="37" t="e">
        <f ca="1"/>
        <v>#NAME?</v>
      </c>
      <c r="IY10" s="37" t="e">
        <f ca="1"/>
        <v>#NAME?</v>
      </c>
      <c r="IZ10" s="37" t="e">
        <f ca="1"/>
        <v>#NAME?</v>
      </c>
      <c r="JA10" s="90" t="e">
        <f ca="1"/>
        <v>#NAME?</v>
      </c>
      <c r="JD10" t="str">
        <v>Motivate</v>
      </c>
      <c r="JE10" s="123" t="e">
        <f ca="1"/>
        <v>#NAME?</v>
      </c>
      <c r="JF10" s="37" t="e">
        <f ca="1"/>
        <v>#NAME?</v>
      </c>
      <c r="JG10" s="37" t="e">
        <f ca="1"/>
        <v>#NAME?</v>
      </c>
      <c r="JH10" s="37" t="e">
        <f ca="1"/>
        <v>#NAME?</v>
      </c>
      <c r="JI10" s="37" t="e">
        <f ca="1"/>
        <v>#NAME?</v>
      </c>
      <c r="JJ10" s="37" t="e">
        <f ca="1"/>
        <v>#NAME?</v>
      </c>
      <c r="JK10" s="37" t="e">
        <f ca="1"/>
        <v>#NAME?</v>
      </c>
      <c r="JL10" s="37" t="e">
        <f ca="1"/>
        <v>#NAME?</v>
      </c>
      <c r="JM10" s="90" t="e">
        <f ca="1"/>
        <v>#NAME?</v>
      </c>
      <c r="JP10" t="str">
        <v>Motivate</v>
      </c>
      <c r="JQ10" s="123" t="e">
        <f ca="1"/>
        <v>#NAME?</v>
      </c>
      <c r="JR10" s="37" t="e">
        <f ca="1"/>
        <v>#NAME?</v>
      </c>
      <c r="JS10" s="37" t="e">
        <f ca="1"/>
        <v>#NAME?</v>
      </c>
      <c r="JT10" s="37" t="e">
        <f ca="1"/>
        <v>#NAME?</v>
      </c>
      <c r="JU10" s="37" t="e">
        <f ca="1"/>
        <v>#NAME?</v>
      </c>
      <c r="JV10" s="37" t="e">
        <f ca="1"/>
        <v>#NAME?</v>
      </c>
      <c r="JW10" s="37" t="e">
        <f ca="1"/>
        <v>#NAME?</v>
      </c>
      <c r="JX10" s="37" t="e">
        <f ca="1"/>
        <v>#NAME?</v>
      </c>
      <c r="JY10" s="90" t="e">
        <f ca="1"/>
        <v>#NAME?</v>
      </c>
      <c r="KB10" t="str">
        <v>Motivate</v>
      </c>
      <c r="KC10" s="123" t="e">
        <f ca="1"/>
        <v>#NAME?</v>
      </c>
      <c r="KD10" s="37" t="e">
        <f ca="1"/>
        <v>#NAME?</v>
      </c>
      <c r="KE10" s="37" t="e">
        <f ca="1"/>
        <v>#NAME?</v>
      </c>
      <c r="KF10" s="37" t="e">
        <f ca="1"/>
        <v>#NAME?</v>
      </c>
      <c r="KG10" s="37" t="e">
        <f ca="1"/>
        <v>#NAME?</v>
      </c>
      <c r="KH10" s="37" t="e">
        <f ca="1"/>
        <v>#NAME?</v>
      </c>
      <c r="KI10" s="37" t="e">
        <f ca="1"/>
        <v>#NAME?</v>
      </c>
      <c r="KJ10" s="37" t="e">
        <f ca="1"/>
        <v>#NAME?</v>
      </c>
      <c r="KK10" s="90" t="e">
        <f ca="1"/>
        <v>#NAME?</v>
      </c>
      <c r="KN10" t="str">
        <v>Motivate</v>
      </c>
      <c r="KO10" s="123" t="e">
        <f ca="1"/>
        <v>#NAME?</v>
      </c>
      <c r="KP10" s="37" t="e">
        <f ca="1"/>
        <v>#NAME?</v>
      </c>
      <c r="KQ10" s="37" t="e">
        <f ca="1"/>
        <v>#NAME?</v>
      </c>
      <c r="KR10" s="37" t="e">
        <f ca="1"/>
        <v>#NAME?</v>
      </c>
      <c r="KS10" s="37" t="e">
        <f ca="1"/>
        <v>#NAME?</v>
      </c>
      <c r="KT10" s="37" t="e">
        <f ca="1"/>
        <v>#NAME?</v>
      </c>
      <c r="KU10" s="37" t="e">
        <f ca="1"/>
        <v>#NAME?</v>
      </c>
      <c r="KV10" s="37" t="e">
        <f ca="1"/>
        <v>#NAME?</v>
      </c>
      <c r="KW10" s="90" t="e">
        <f ca="1"/>
        <v>#NAME?</v>
      </c>
      <c r="KZ10" t="str">
        <v>Motivate</v>
      </c>
      <c r="LA10" s="123" t="e">
        <f ca="1"/>
        <v>#NAME?</v>
      </c>
      <c r="LB10" s="37" t="e">
        <f ca="1"/>
        <v>#NAME?</v>
      </c>
      <c r="LC10" s="37" t="e">
        <f ca="1"/>
        <v>#NAME?</v>
      </c>
      <c r="LD10" s="37" t="e">
        <f ca="1"/>
        <v>#NAME?</v>
      </c>
      <c r="LE10" s="37" t="e">
        <f ca="1"/>
        <v>#NAME?</v>
      </c>
      <c r="LF10" s="37" t="e">
        <f ca="1"/>
        <v>#NAME?</v>
      </c>
      <c r="LG10" s="37" t="e">
        <f ca="1"/>
        <v>#NAME?</v>
      </c>
      <c r="LH10" s="37" t="e">
        <f ca="1"/>
        <v>#NAME?</v>
      </c>
      <c r="LI10" s="90" t="e">
        <f ca="1"/>
        <v>#NAME?</v>
      </c>
      <c r="LL10" t="str">
        <v>Motivate</v>
      </c>
      <c r="LM10" s="123" t="e">
        <f ca="1"/>
        <v>#NAME?</v>
      </c>
      <c r="LN10" s="37" t="e">
        <f ca="1"/>
        <v>#NAME?</v>
      </c>
      <c r="LO10" s="37" t="e">
        <f ca="1"/>
        <v>#NAME?</v>
      </c>
      <c r="LP10" s="37" t="e">
        <f ca="1"/>
        <v>#NAME?</v>
      </c>
      <c r="LQ10" s="37" t="e">
        <f ca="1"/>
        <v>#NAME?</v>
      </c>
      <c r="LR10" s="37" t="e">
        <f ca="1"/>
        <v>#NAME?</v>
      </c>
      <c r="LS10" s="37" t="e">
        <f ca="1"/>
        <v>#NAME?</v>
      </c>
      <c r="LT10" s="37" t="e">
        <f ca="1"/>
        <v>#NAME?</v>
      </c>
      <c r="LU10" s="90" t="e">
        <f ca="1"/>
        <v>#NAME?</v>
      </c>
      <c r="LX10" t="str">
        <v>Motivate</v>
      </c>
      <c r="LY10" s="123" t="e">
        <f ca="1"/>
        <v>#NAME?</v>
      </c>
      <c r="LZ10" s="37" t="e">
        <f ca="1"/>
        <v>#NAME?</v>
      </c>
      <c r="MA10" s="37" t="e">
        <f ca="1"/>
        <v>#NAME?</v>
      </c>
      <c r="MB10" s="37" t="e">
        <f ca="1"/>
        <v>#NAME?</v>
      </c>
      <c r="MC10" s="37" t="e">
        <f ca="1"/>
        <v>#NAME?</v>
      </c>
      <c r="MD10" s="37" t="e">
        <f ca="1"/>
        <v>#NAME?</v>
      </c>
      <c r="ME10" s="37" t="e">
        <f ca="1"/>
        <v>#NAME?</v>
      </c>
      <c r="MF10" s="37" t="e">
        <f ca="1"/>
        <v>#NAME?</v>
      </c>
      <c r="MG10" s="90" t="e">
        <f ca="1"/>
        <v>#NAME?</v>
      </c>
      <c r="MJ10" t="str">
        <v>Motivate</v>
      </c>
      <c r="MK10" s="123" t="e">
        <f ca="1"/>
        <v>#NAME?</v>
      </c>
      <c r="ML10" s="37" t="e">
        <f ca="1"/>
        <v>#NAME?</v>
      </c>
      <c r="MM10" s="37" t="e">
        <f ca="1"/>
        <v>#NAME?</v>
      </c>
      <c r="MN10" s="37" t="e">
        <f ca="1"/>
        <v>#NAME?</v>
      </c>
      <c r="MO10" s="37" t="e">
        <f ca="1"/>
        <v>#NAME?</v>
      </c>
      <c r="MP10" s="37" t="e">
        <f ca="1"/>
        <v>#NAME?</v>
      </c>
      <c r="MQ10" s="37" t="e">
        <f ca="1"/>
        <v>#NAME?</v>
      </c>
      <c r="MR10" s="37" t="e">
        <f ca="1"/>
        <v>#NAME?</v>
      </c>
      <c r="MS10" s="90" t="e">
        <f ca="1"/>
        <v>#NAME?</v>
      </c>
    </row>
    <row r="11" spans="1:357" x14ac:dyDescent="0.3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tr">
        <v>Caring</v>
      </c>
      <c r="M11" s="83" t="e">
        <f ca="1"/>
        <v>#NAME?</v>
      </c>
      <c r="N11" s="37" t="e">
        <f ca="1"/>
        <v>#NAME?</v>
      </c>
      <c r="O11" s="37" t="e">
        <f ca="1"/>
        <v>#NAME?</v>
      </c>
      <c r="P11" s="37" t="e">
        <f ca="1"/>
        <v>#NAME?</v>
      </c>
      <c r="Q11" s="37" t="e">
        <f ca="1"/>
        <v>#NAME?</v>
      </c>
      <c r="R11" s="37" t="e">
        <f ca="1"/>
        <v>#NAME?</v>
      </c>
      <c r="S11" s="37" t="e">
        <f ca="1"/>
        <v>#NAME?</v>
      </c>
      <c r="T11" s="37" t="e">
        <f ca="1"/>
        <v>#NAME?</v>
      </c>
      <c r="U11" s="84" t="e">
        <f ca="1"/>
        <v>#NAME?</v>
      </c>
      <c r="X11" t="str">
        <v>Caring</v>
      </c>
      <c r="Y11" s="123" t="e">
        <f ca="1"/>
        <v>#NAME?</v>
      </c>
      <c r="Z11" s="37" t="e">
        <f ca="1"/>
        <v>#NAME?</v>
      </c>
      <c r="AA11" s="37" t="e">
        <f ca="1"/>
        <v>#NAME?</v>
      </c>
      <c r="AB11" s="37" t="e">
        <f ca="1"/>
        <v>#NAME?</v>
      </c>
      <c r="AC11" s="37" t="e">
        <f ca="1"/>
        <v>#NAME?</v>
      </c>
      <c r="AD11" s="37" t="e">
        <f ca="1"/>
        <v>#NAME?</v>
      </c>
      <c r="AE11" s="37" t="e">
        <f ca="1"/>
        <v>#NAME?</v>
      </c>
      <c r="AF11" s="37" t="e">
        <f ca="1"/>
        <v>#NAME?</v>
      </c>
      <c r="AG11" s="90" t="e">
        <f ca="1"/>
        <v>#NAME?</v>
      </c>
      <c r="AJ11" t="str">
        <v>Caring</v>
      </c>
      <c r="AK11" s="123" t="e">
        <f ca="1"/>
        <v>#NAME?</v>
      </c>
      <c r="AL11" s="37" t="e">
        <f ca="1"/>
        <v>#NAME?</v>
      </c>
      <c r="AM11" s="37" t="e">
        <f ca="1"/>
        <v>#NAME?</v>
      </c>
      <c r="AN11" s="37" t="e">
        <f ca="1"/>
        <v>#NAME?</v>
      </c>
      <c r="AO11" s="37" t="e">
        <f ca="1"/>
        <v>#NAME?</v>
      </c>
      <c r="AP11" s="37" t="e">
        <f ca="1"/>
        <v>#NAME?</v>
      </c>
      <c r="AQ11" s="37" t="e">
        <f ca="1"/>
        <v>#NAME?</v>
      </c>
      <c r="AR11" s="37" t="e">
        <f ca="1"/>
        <v>#NAME?</v>
      </c>
      <c r="AS11" s="90" t="e">
        <f ca="1"/>
        <v>#NAME?</v>
      </c>
      <c r="AV11" t="str">
        <v>Caring</v>
      </c>
      <c r="AW11" s="123" t="e">
        <f ca="1"/>
        <v>#NAME?</v>
      </c>
      <c r="AX11" s="37" t="e">
        <f ca="1"/>
        <v>#NAME?</v>
      </c>
      <c r="AY11" s="37" t="e">
        <f ca="1"/>
        <v>#NAME?</v>
      </c>
      <c r="AZ11" s="37" t="e">
        <f ca="1"/>
        <v>#NAME?</v>
      </c>
      <c r="BA11" s="37" t="e">
        <f ca="1"/>
        <v>#NAME?</v>
      </c>
      <c r="BB11" s="37" t="e">
        <f ca="1"/>
        <v>#NAME?</v>
      </c>
      <c r="BC11" s="37" t="e">
        <f ca="1"/>
        <v>#NAME?</v>
      </c>
      <c r="BD11" s="37" t="e">
        <f ca="1"/>
        <v>#NAME?</v>
      </c>
      <c r="BE11" s="90" t="e">
        <f ca="1"/>
        <v>#NAME?</v>
      </c>
      <c r="BH11" t="str">
        <v>Caring</v>
      </c>
      <c r="BI11" s="123" t="e">
        <f ca="1"/>
        <v>#NAME?</v>
      </c>
      <c r="BJ11" s="37" t="e">
        <f ca="1"/>
        <v>#NAME?</v>
      </c>
      <c r="BK11" s="37" t="e">
        <f ca="1"/>
        <v>#NAME?</v>
      </c>
      <c r="BL11" s="37" t="e">
        <f ca="1"/>
        <v>#NAME?</v>
      </c>
      <c r="BM11" s="37" t="e">
        <f ca="1"/>
        <v>#NAME?</v>
      </c>
      <c r="BN11" s="37" t="e">
        <f ca="1"/>
        <v>#NAME?</v>
      </c>
      <c r="BO11" s="37" t="e">
        <f ca="1"/>
        <v>#NAME?</v>
      </c>
      <c r="BP11" s="37" t="e">
        <f ca="1"/>
        <v>#NAME?</v>
      </c>
      <c r="BQ11" s="90" t="e">
        <f ca="1"/>
        <v>#NAME?</v>
      </c>
      <c r="BT11" t="str">
        <v>Caring</v>
      </c>
      <c r="BU11" s="123" t="e">
        <f ca="1"/>
        <v>#NAME?</v>
      </c>
      <c r="BV11" s="37" t="e">
        <f ca="1"/>
        <v>#NAME?</v>
      </c>
      <c r="BW11" s="37" t="e">
        <f ca="1"/>
        <v>#NAME?</v>
      </c>
      <c r="BX11" s="37" t="e">
        <f ca="1"/>
        <v>#NAME?</v>
      </c>
      <c r="BY11" s="37" t="e">
        <f ca="1"/>
        <v>#NAME?</v>
      </c>
      <c r="BZ11" s="37" t="e">
        <f ca="1"/>
        <v>#NAME?</v>
      </c>
      <c r="CA11" s="37" t="e">
        <f ca="1"/>
        <v>#NAME?</v>
      </c>
      <c r="CB11" s="37" t="e">
        <f ca="1"/>
        <v>#NAME?</v>
      </c>
      <c r="CC11" s="90" t="e">
        <f ca="1"/>
        <v>#NAME?</v>
      </c>
      <c r="CF11" t="str">
        <v>Caring</v>
      </c>
      <c r="CG11" s="123" t="e">
        <f ca="1"/>
        <v>#NAME?</v>
      </c>
      <c r="CH11" s="37" t="e">
        <f ca="1"/>
        <v>#NAME?</v>
      </c>
      <c r="CI11" s="37" t="e">
        <f ca="1"/>
        <v>#NAME?</v>
      </c>
      <c r="CJ11" s="37" t="e">
        <f ca="1"/>
        <v>#NAME?</v>
      </c>
      <c r="CK11" s="37" t="e">
        <f ca="1"/>
        <v>#NAME?</v>
      </c>
      <c r="CL11" s="37" t="e">
        <f ca="1"/>
        <v>#NAME?</v>
      </c>
      <c r="CM11" s="37" t="e">
        <f ca="1"/>
        <v>#NAME?</v>
      </c>
      <c r="CN11" s="37" t="e">
        <f ca="1"/>
        <v>#NAME?</v>
      </c>
      <c r="CO11" s="90" t="e">
        <f ca="1"/>
        <v>#NAME?</v>
      </c>
      <c r="CR11" t="str">
        <v>Caring</v>
      </c>
      <c r="CS11" s="123" t="e">
        <f ca="1"/>
        <v>#NAME?</v>
      </c>
      <c r="CT11" s="37" t="e">
        <f ca="1"/>
        <v>#NAME?</v>
      </c>
      <c r="CU11" s="37" t="e">
        <f ca="1"/>
        <v>#NAME?</v>
      </c>
      <c r="CV11" s="37" t="e">
        <f ca="1"/>
        <v>#NAME?</v>
      </c>
      <c r="CW11" s="37" t="e">
        <f ca="1"/>
        <v>#NAME?</v>
      </c>
      <c r="CX11" s="37" t="e">
        <f ca="1"/>
        <v>#NAME?</v>
      </c>
      <c r="CY11" s="37" t="e">
        <f ca="1"/>
        <v>#NAME?</v>
      </c>
      <c r="CZ11" s="37" t="e">
        <f ca="1"/>
        <v>#NAME?</v>
      </c>
      <c r="DA11" s="90" t="e">
        <f ca="1"/>
        <v>#NAME?</v>
      </c>
      <c r="DD11" t="str">
        <v>Caring</v>
      </c>
      <c r="DE11" s="123" t="e">
        <f ca="1"/>
        <v>#NAME?</v>
      </c>
      <c r="DF11" s="37" t="e">
        <f ca="1"/>
        <v>#NAME?</v>
      </c>
      <c r="DG11" s="37" t="e">
        <f ca="1"/>
        <v>#NAME?</v>
      </c>
      <c r="DH11" s="37" t="e">
        <f ca="1"/>
        <v>#NAME?</v>
      </c>
      <c r="DI11" s="37" t="e">
        <f ca="1"/>
        <v>#NAME?</v>
      </c>
      <c r="DJ11" s="37" t="e">
        <f ca="1"/>
        <v>#NAME?</v>
      </c>
      <c r="DK11" s="37" t="e">
        <f ca="1"/>
        <v>#NAME?</v>
      </c>
      <c r="DL11" s="37" t="e">
        <f ca="1"/>
        <v>#NAME?</v>
      </c>
      <c r="DM11" s="90" t="e">
        <f ca="1"/>
        <v>#NAME?</v>
      </c>
      <c r="DP11" t="str">
        <v>Caring</v>
      </c>
      <c r="DQ11" s="123" t="e">
        <f ca="1"/>
        <v>#NAME?</v>
      </c>
      <c r="DR11" s="37" t="e">
        <f ca="1"/>
        <v>#NAME?</v>
      </c>
      <c r="DS11" s="37" t="e">
        <f ca="1"/>
        <v>#NAME?</v>
      </c>
      <c r="DT11" s="37" t="e">
        <f ca="1"/>
        <v>#NAME?</v>
      </c>
      <c r="DU11" s="37" t="e">
        <f ca="1"/>
        <v>#NAME?</v>
      </c>
      <c r="DV11" s="37" t="e">
        <f ca="1"/>
        <v>#NAME?</v>
      </c>
      <c r="DW11" s="37" t="e">
        <f ca="1"/>
        <v>#NAME?</v>
      </c>
      <c r="DX11" s="37" t="e">
        <f ca="1"/>
        <v>#NAME?</v>
      </c>
      <c r="DY11" s="90" t="e">
        <f ca="1"/>
        <v>#NAME?</v>
      </c>
      <c r="EB11" t="str">
        <v>Caring</v>
      </c>
      <c r="EC11" s="123" t="e">
        <f ca="1"/>
        <v>#NAME?</v>
      </c>
      <c r="ED11" s="37" t="e">
        <f ca="1"/>
        <v>#NAME?</v>
      </c>
      <c r="EE11" s="37" t="e">
        <f ca="1"/>
        <v>#NAME?</v>
      </c>
      <c r="EF11" s="37" t="e">
        <f ca="1"/>
        <v>#NAME?</v>
      </c>
      <c r="EG11" s="37" t="e">
        <f ca="1"/>
        <v>#NAME?</v>
      </c>
      <c r="EH11" s="37" t="e">
        <f ca="1"/>
        <v>#NAME?</v>
      </c>
      <c r="EI11" s="37" t="e">
        <f ca="1"/>
        <v>#NAME?</v>
      </c>
      <c r="EJ11" s="37" t="e">
        <f ca="1"/>
        <v>#NAME?</v>
      </c>
      <c r="EK11" s="90" t="e">
        <f ca="1"/>
        <v>#NAME?</v>
      </c>
      <c r="EN11" t="str">
        <v>Caring</v>
      </c>
      <c r="EO11" s="123" t="e">
        <f ca="1"/>
        <v>#NAME?</v>
      </c>
      <c r="EP11" s="37" t="e">
        <f ca="1"/>
        <v>#NAME?</v>
      </c>
      <c r="EQ11" s="37" t="e">
        <f ca="1"/>
        <v>#NAME?</v>
      </c>
      <c r="ER11" s="37" t="e">
        <f ca="1"/>
        <v>#NAME?</v>
      </c>
      <c r="ES11" s="37" t="e">
        <f ca="1"/>
        <v>#NAME?</v>
      </c>
      <c r="ET11" s="37" t="e">
        <f ca="1"/>
        <v>#NAME?</v>
      </c>
      <c r="EU11" s="37" t="e">
        <f ca="1"/>
        <v>#NAME?</v>
      </c>
      <c r="EV11" s="37" t="e">
        <f ca="1"/>
        <v>#NAME?</v>
      </c>
      <c r="EW11" s="90" t="e">
        <f ca="1"/>
        <v>#NAME?</v>
      </c>
      <c r="EZ11" t="str">
        <v>Caring</v>
      </c>
      <c r="FA11" s="123" t="e">
        <f ca="1"/>
        <v>#NAME?</v>
      </c>
      <c r="FB11" s="37" t="e">
        <f ca="1"/>
        <v>#NAME?</v>
      </c>
      <c r="FC11" s="37" t="e">
        <f ca="1"/>
        <v>#NAME?</v>
      </c>
      <c r="FD11" s="37" t="e">
        <f ca="1"/>
        <v>#NAME?</v>
      </c>
      <c r="FE11" s="37" t="e">
        <f ca="1"/>
        <v>#NAME?</v>
      </c>
      <c r="FF11" s="37" t="e">
        <f ca="1"/>
        <v>#NAME?</v>
      </c>
      <c r="FG11" s="37" t="e">
        <f ca="1"/>
        <v>#NAME?</v>
      </c>
      <c r="FH11" s="37" t="e">
        <f ca="1"/>
        <v>#NAME?</v>
      </c>
      <c r="FI11" s="90" t="e">
        <f ca="1"/>
        <v>#NAME?</v>
      </c>
      <c r="FL11" t="str">
        <v>Caring</v>
      </c>
      <c r="FM11" s="123" t="e">
        <f ca="1"/>
        <v>#NAME?</v>
      </c>
      <c r="FN11" s="37" t="e">
        <f ca="1"/>
        <v>#NAME?</v>
      </c>
      <c r="FO11" s="37" t="e">
        <f ca="1"/>
        <v>#NAME?</v>
      </c>
      <c r="FP11" s="37" t="e">
        <f ca="1"/>
        <v>#NAME?</v>
      </c>
      <c r="FQ11" s="37" t="e">
        <f ca="1"/>
        <v>#NAME?</v>
      </c>
      <c r="FR11" s="37" t="e">
        <f ca="1"/>
        <v>#NAME?</v>
      </c>
      <c r="FS11" s="37" t="e">
        <f ca="1"/>
        <v>#NAME?</v>
      </c>
      <c r="FT11" s="37" t="e">
        <f ca="1"/>
        <v>#NAME?</v>
      </c>
      <c r="FU11" s="90" t="e">
        <f ca="1"/>
        <v>#NAME?</v>
      </c>
      <c r="FX11" t="str">
        <v>Caring</v>
      </c>
      <c r="FY11" s="123" t="e">
        <f ca="1"/>
        <v>#NAME?</v>
      </c>
      <c r="FZ11" s="37" t="e">
        <f ca="1"/>
        <v>#NAME?</v>
      </c>
      <c r="GA11" s="37" t="e">
        <f ca="1"/>
        <v>#NAME?</v>
      </c>
      <c r="GB11" s="37" t="e">
        <f ca="1"/>
        <v>#NAME?</v>
      </c>
      <c r="GC11" s="37" t="e">
        <f ca="1"/>
        <v>#NAME?</v>
      </c>
      <c r="GD11" s="37" t="e">
        <f ca="1"/>
        <v>#NAME?</v>
      </c>
      <c r="GE11" s="37" t="e">
        <f ca="1"/>
        <v>#NAME?</v>
      </c>
      <c r="GF11" s="37" t="e">
        <f ca="1"/>
        <v>#NAME?</v>
      </c>
      <c r="GG11" s="90" t="e">
        <f ca="1"/>
        <v>#NAME?</v>
      </c>
      <c r="GJ11" t="str">
        <v>Caring</v>
      </c>
      <c r="GK11" s="123" t="e">
        <f ca="1"/>
        <v>#NAME?</v>
      </c>
      <c r="GL11" s="37" t="e">
        <f ca="1"/>
        <v>#NAME?</v>
      </c>
      <c r="GM11" s="37" t="e">
        <f ca="1"/>
        <v>#NAME?</v>
      </c>
      <c r="GN11" s="37" t="e">
        <f ca="1"/>
        <v>#NAME?</v>
      </c>
      <c r="GO11" s="37" t="e">
        <f ca="1"/>
        <v>#NAME?</v>
      </c>
      <c r="GP11" s="37" t="e">
        <f ca="1"/>
        <v>#NAME?</v>
      </c>
      <c r="GQ11" s="37" t="e">
        <f ca="1"/>
        <v>#NAME?</v>
      </c>
      <c r="GR11" s="37" t="e">
        <f ca="1"/>
        <v>#NAME?</v>
      </c>
      <c r="GS11" s="90" t="e">
        <f ca="1"/>
        <v>#NAME?</v>
      </c>
      <c r="GV11" t="str">
        <v>Caring</v>
      </c>
      <c r="GW11" s="123" t="e">
        <f ca="1"/>
        <v>#NAME?</v>
      </c>
      <c r="GX11" s="37" t="e">
        <f ca="1"/>
        <v>#NAME?</v>
      </c>
      <c r="GY11" s="37" t="e">
        <f ca="1"/>
        <v>#NAME?</v>
      </c>
      <c r="GZ11" s="37" t="e">
        <f ca="1"/>
        <v>#NAME?</v>
      </c>
      <c r="HA11" s="37" t="e">
        <f ca="1"/>
        <v>#NAME?</v>
      </c>
      <c r="HB11" s="37" t="e">
        <f ca="1"/>
        <v>#NAME?</v>
      </c>
      <c r="HC11" s="37" t="e">
        <f ca="1"/>
        <v>#NAME?</v>
      </c>
      <c r="HD11" s="37" t="e">
        <f ca="1"/>
        <v>#NAME?</v>
      </c>
      <c r="HE11" s="90" t="e">
        <f ca="1"/>
        <v>#NAME?</v>
      </c>
      <c r="HH11" t="str">
        <v>Caring</v>
      </c>
      <c r="HI11" s="123" t="e">
        <f ca="1"/>
        <v>#NAME?</v>
      </c>
      <c r="HJ11" s="37" t="e">
        <f ca="1"/>
        <v>#NAME?</v>
      </c>
      <c r="HK11" s="37" t="e">
        <f ca="1"/>
        <v>#NAME?</v>
      </c>
      <c r="HL11" s="37" t="e">
        <f ca="1"/>
        <v>#NAME?</v>
      </c>
      <c r="HM11" s="37" t="e">
        <f ca="1"/>
        <v>#NAME?</v>
      </c>
      <c r="HN11" s="37" t="e">
        <f ca="1"/>
        <v>#NAME?</v>
      </c>
      <c r="HO11" s="37" t="e">
        <f ca="1"/>
        <v>#NAME?</v>
      </c>
      <c r="HP11" s="37" t="e">
        <f ca="1"/>
        <v>#NAME?</v>
      </c>
      <c r="HQ11" s="90" t="e">
        <f ca="1"/>
        <v>#NAME?</v>
      </c>
      <c r="HT11" t="str">
        <v>Caring</v>
      </c>
      <c r="HU11" s="123" t="e">
        <f ca="1"/>
        <v>#NAME?</v>
      </c>
      <c r="HV11" s="37" t="e">
        <f ca="1"/>
        <v>#NAME?</v>
      </c>
      <c r="HW11" s="37" t="e">
        <f ca="1"/>
        <v>#NAME?</v>
      </c>
      <c r="HX11" s="37" t="e">
        <f ca="1"/>
        <v>#NAME?</v>
      </c>
      <c r="HY11" s="37" t="e">
        <f ca="1"/>
        <v>#NAME?</v>
      </c>
      <c r="HZ11" s="37" t="e">
        <f ca="1"/>
        <v>#NAME?</v>
      </c>
      <c r="IA11" s="37" t="e">
        <f ca="1"/>
        <v>#NAME?</v>
      </c>
      <c r="IB11" s="37" t="e">
        <f ca="1"/>
        <v>#NAME?</v>
      </c>
      <c r="IC11" s="90" t="e">
        <f ca="1"/>
        <v>#NAME?</v>
      </c>
      <c r="IF11" t="str">
        <v>Caring</v>
      </c>
      <c r="IG11" s="123" t="e">
        <f ca="1"/>
        <v>#NAME?</v>
      </c>
      <c r="IH11" s="37" t="e">
        <f ca="1"/>
        <v>#NAME?</v>
      </c>
      <c r="II11" s="37" t="e">
        <f ca="1"/>
        <v>#NAME?</v>
      </c>
      <c r="IJ11" s="37" t="e">
        <f ca="1"/>
        <v>#NAME?</v>
      </c>
      <c r="IK11" s="37" t="e">
        <f ca="1"/>
        <v>#NAME?</v>
      </c>
      <c r="IL11" s="37" t="e">
        <f ca="1"/>
        <v>#NAME?</v>
      </c>
      <c r="IM11" s="37" t="e">
        <f ca="1"/>
        <v>#NAME?</v>
      </c>
      <c r="IN11" s="37" t="e">
        <f ca="1"/>
        <v>#NAME?</v>
      </c>
      <c r="IO11" s="90" t="e">
        <f ca="1"/>
        <v>#NAME?</v>
      </c>
      <c r="IR11" t="str">
        <v>Caring</v>
      </c>
      <c r="IS11" s="123" t="e">
        <f ca="1"/>
        <v>#NAME?</v>
      </c>
      <c r="IT11" s="37" t="e">
        <f ca="1"/>
        <v>#NAME?</v>
      </c>
      <c r="IU11" s="37" t="e">
        <f ca="1"/>
        <v>#NAME?</v>
      </c>
      <c r="IV11" s="37" t="e">
        <f ca="1"/>
        <v>#NAME?</v>
      </c>
      <c r="IW11" s="37" t="e">
        <f ca="1"/>
        <v>#NAME?</v>
      </c>
      <c r="IX11" s="37" t="e">
        <f ca="1"/>
        <v>#NAME?</v>
      </c>
      <c r="IY11" s="37" t="e">
        <f ca="1"/>
        <v>#NAME?</v>
      </c>
      <c r="IZ11" s="37" t="e">
        <f ca="1"/>
        <v>#NAME?</v>
      </c>
      <c r="JA11" s="90" t="e">
        <f ca="1"/>
        <v>#NAME?</v>
      </c>
      <c r="JD11" t="str">
        <v>Caring</v>
      </c>
      <c r="JE11" s="123" t="e">
        <f ca="1"/>
        <v>#NAME?</v>
      </c>
      <c r="JF11" s="37" t="e">
        <f ca="1"/>
        <v>#NAME?</v>
      </c>
      <c r="JG11" s="37" t="e">
        <f ca="1"/>
        <v>#NAME?</v>
      </c>
      <c r="JH11" s="37" t="e">
        <f ca="1"/>
        <v>#NAME?</v>
      </c>
      <c r="JI11" s="37" t="e">
        <f ca="1"/>
        <v>#NAME?</v>
      </c>
      <c r="JJ11" s="37" t="e">
        <f ca="1"/>
        <v>#NAME?</v>
      </c>
      <c r="JK11" s="37" t="e">
        <f ca="1"/>
        <v>#NAME?</v>
      </c>
      <c r="JL11" s="37" t="e">
        <f ca="1"/>
        <v>#NAME?</v>
      </c>
      <c r="JM11" s="90" t="e">
        <f ca="1"/>
        <v>#NAME?</v>
      </c>
      <c r="JP11" t="str">
        <v>Caring</v>
      </c>
      <c r="JQ11" s="123" t="e">
        <f ca="1"/>
        <v>#NAME?</v>
      </c>
      <c r="JR11" s="37" t="e">
        <f ca="1"/>
        <v>#NAME?</v>
      </c>
      <c r="JS11" s="37" t="e">
        <f ca="1"/>
        <v>#NAME?</v>
      </c>
      <c r="JT11" s="37" t="e">
        <f ca="1"/>
        <v>#NAME?</v>
      </c>
      <c r="JU11" s="37" t="e">
        <f ca="1"/>
        <v>#NAME?</v>
      </c>
      <c r="JV11" s="37" t="e">
        <f ca="1"/>
        <v>#NAME?</v>
      </c>
      <c r="JW11" s="37" t="e">
        <f ca="1"/>
        <v>#NAME?</v>
      </c>
      <c r="JX11" s="37" t="e">
        <f ca="1"/>
        <v>#NAME?</v>
      </c>
      <c r="JY11" s="90" t="e">
        <f ca="1"/>
        <v>#NAME?</v>
      </c>
      <c r="KB11" t="str">
        <v>Caring</v>
      </c>
      <c r="KC11" s="123" t="e">
        <f ca="1"/>
        <v>#NAME?</v>
      </c>
      <c r="KD11" s="37" t="e">
        <f ca="1"/>
        <v>#NAME?</v>
      </c>
      <c r="KE11" s="37" t="e">
        <f ca="1"/>
        <v>#NAME?</v>
      </c>
      <c r="KF11" s="37" t="e">
        <f ca="1"/>
        <v>#NAME?</v>
      </c>
      <c r="KG11" s="37" t="e">
        <f ca="1"/>
        <v>#NAME?</v>
      </c>
      <c r="KH11" s="37" t="e">
        <f ca="1"/>
        <v>#NAME?</v>
      </c>
      <c r="KI11" s="37" t="e">
        <f ca="1"/>
        <v>#NAME?</v>
      </c>
      <c r="KJ11" s="37" t="e">
        <f ca="1"/>
        <v>#NAME?</v>
      </c>
      <c r="KK11" s="90" t="e">
        <f ca="1"/>
        <v>#NAME?</v>
      </c>
      <c r="KN11" t="str">
        <v>Caring</v>
      </c>
      <c r="KO11" s="123" t="e">
        <f ca="1"/>
        <v>#NAME?</v>
      </c>
      <c r="KP11" s="37" t="e">
        <f ca="1"/>
        <v>#NAME?</v>
      </c>
      <c r="KQ11" s="37" t="e">
        <f ca="1"/>
        <v>#NAME?</v>
      </c>
      <c r="KR11" s="37" t="e">
        <f ca="1"/>
        <v>#NAME?</v>
      </c>
      <c r="KS11" s="37" t="e">
        <f ca="1"/>
        <v>#NAME?</v>
      </c>
      <c r="KT11" s="37" t="e">
        <f ca="1"/>
        <v>#NAME?</v>
      </c>
      <c r="KU11" s="37" t="e">
        <f ca="1"/>
        <v>#NAME?</v>
      </c>
      <c r="KV11" s="37" t="e">
        <f ca="1"/>
        <v>#NAME?</v>
      </c>
      <c r="KW11" s="90" t="e">
        <f ca="1"/>
        <v>#NAME?</v>
      </c>
      <c r="KZ11" t="str">
        <v>Caring</v>
      </c>
      <c r="LA11" s="123" t="e">
        <f ca="1"/>
        <v>#NAME?</v>
      </c>
      <c r="LB11" s="37" t="e">
        <f ca="1"/>
        <v>#NAME?</v>
      </c>
      <c r="LC11" s="37" t="e">
        <f ca="1"/>
        <v>#NAME?</v>
      </c>
      <c r="LD11" s="37" t="e">
        <f ca="1"/>
        <v>#NAME?</v>
      </c>
      <c r="LE11" s="37" t="e">
        <f ca="1"/>
        <v>#NAME?</v>
      </c>
      <c r="LF11" s="37" t="e">
        <f ca="1"/>
        <v>#NAME?</v>
      </c>
      <c r="LG11" s="37" t="e">
        <f ca="1"/>
        <v>#NAME?</v>
      </c>
      <c r="LH11" s="37" t="e">
        <f ca="1"/>
        <v>#NAME?</v>
      </c>
      <c r="LI11" s="90" t="e">
        <f ca="1"/>
        <v>#NAME?</v>
      </c>
      <c r="LL11" t="str">
        <v>Caring</v>
      </c>
      <c r="LM11" s="123" t="e">
        <f ca="1"/>
        <v>#NAME?</v>
      </c>
      <c r="LN11" s="37" t="e">
        <f ca="1"/>
        <v>#NAME?</v>
      </c>
      <c r="LO11" s="37" t="e">
        <f ca="1"/>
        <v>#NAME?</v>
      </c>
      <c r="LP11" s="37" t="e">
        <f ca="1"/>
        <v>#NAME?</v>
      </c>
      <c r="LQ11" s="37" t="e">
        <f ca="1"/>
        <v>#NAME?</v>
      </c>
      <c r="LR11" s="37" t="e">
        <f ca="1"/>
        <v>#NAME?</v>
      </c>
      <c r="LS11" s="37" t="e">
        <f ca="1"/>
        <v>#NAME?</v>
      </c>
      <c r="LT11" s="37" t="e">
        <f ca="1"/>
        <v>#NAME?</v>
      </c>
      <c r="LU11" s="90" t="e">
        <f ca="1"/>
        <v>#NAME?</v>
      </c>
      <c r="LX11" t="str">
        <v>Caring</v>
      </c>
      <c r="LY11" s="123" t="e">
        <f ca="1"/>
        <v>#NAME?</v>
      </c>
      <c r="LZ11" s="37" t="e">
        <f ca="1"/>
        <v>#NAME?</v>
      </c>
      <c r="MA11" s="37" t="e">
        <f ca="1"/>
        <v>#NAME?</v>
      </c>
      <c r="MB11" s="37" t="e">
        <f ca="1"/>
        <v>#NAME?</v>
      </c>
      <c r="MC11" s="37" t="e">
        <f ca="1"/>
        <v>#NAME?</v>
      </c>
      <c r="MD11" s="37" t="e">
        <f ca="1"/>
        <v>#NAME?</v>
      </c>
      <c r="ME11" s="37" t="e">
        <f ca="1"/>
        <v>#NAME?</v>
      </c>
      <c r="MF11" s="37" t="e">
        <f ca="1"/>
        <v>#NAME?</v>
      </c>
      <c r="MG11" s="90" t="e">
        <f ca="1"/>
        <v>#NAME?</v>
      </c>
      <c r="MJ11" t="str">
        <v>Caring</v>
      </c>
      <c r="MK11" s="123" t="e">
        <f ca="1"/>
        <v>#NAME?</v>
      </c>
      <c r="ML11" s="37" t="e">
        <f ca="1"/>
        <v>#NAME?</v>
      </c>
      <c r="MM11" s="37" t="e">
        <f ca="1"/>
        <v>#NAME?</v>
      </c>
      <c r="MN11" s="37" t="e">
        <f ca="1"/>
        <v>#NAME?</v>
      </c>
      <c r="MO11" s="37" t="e">
        <f ca="1"/>
        <v>#NAME?</v>
      </c>
      <c r="MP11" s="37" t="e">
        <f ca="1"/>
        <v>#NAME?</v>
      </c>
      <c r="MQ11" s="37" t="e">
        <f ca="1"/>
        <v>#NAME?</v>
      </c>
      <c r="MR11" s="37" t="e">
        <f ca="1"/>
        <v>#NAME?</v>
      </c>
      <c r="MS11" s="90" t="e">
        <f ca="1"/>
        <v>#NAME?</v>
      </c>
    </row>
    <row r="12" spans="1:357" x14ac:dyDescent="0.3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  <c r="L12" t="str">
        <v>Charisma</v>
      </c>
      <c r="M12" s="83" t="e">
        <f ca="1"/>
        <v>#NAME?</v>
      </c>
      <c r="N12" s="37" t="e">
        <f ca="1"/>
        <v>#NAME?</v>
      </c>
      <c r="O12" s="37" t="e">
        <f ca="1"/>
        <v>#NAME?</v>
      </c>
      <c r="P12" s="37" t="e">
        <f ca="1"/>
        <v>#NAME?</v>
      </c>
      <c r="Q12" s="37" t="e">
        <f ca="1"/>
        <v>#NAME?</v>
      </c>
      <c r="R12" s="37" t="e">
        <f ca="1"/>
        <v>#NAME?</v>
      </c>
      <c r="S12" s="37" t="e">
        <f ca="1"/>
        <v>#NAME?</v>
      </c>
      <c r="T12" s="37" t="e">
        <f ca="1"/>
        <v>#NAME?</v>
      </c>
      <c r="U12" s="84" t="e">
        <f ca="1"/>
        <v>#NAME?</v>
      </c>
      <c r="X12" t="str">
        <v>Charisma</v>
      </c>
      <c r="Y12" s="123" t="e">
        <f ca="1"/>
        <v>#NAME?</v>
      </c>
      <c r="Z12" s="37" t="e">
        <f ca="1"/>
        <v>#NAME?</v>
      </c>
      <c r="AA12" s="37" t="e">
        <f ca="1"/>
        <v>#NAME?</v>
      </c>
      <c r="AB12" s="37" t="e">
        <f ca="1"/>
        <v>#NAME?</v>
      </c>
      <c r="AC12" s="37" t="e">
        <f ca="1"/>
        <v>#NAME?</v>
      </c>
      <c r="AD12" s="37" t="e">
        <f ca="1"/>
        <v>#NAME?</v>
      </c>
      <c r="AE12" s="37" t="e">
        <f ca="1"/>
        <v>#NAME?</v>
      </c>
      <c r="AF12" s="37" t="e">
        <f ca="1"/>
        <v>#NAME?</v>
      </c>
      <c r="AG12" s="90" t="e">
        <f ca="1"/>
        <v>#NAME?</v>
      </c>
      <c r="AJ12" t="str">
        <v>Charisma</v>
      </c>
      <c r="AK12" s="123" t="e">
        <f ca="1"/>
        <v>#NAME?</v>
      </c>
      <c r="AL12" s="37" t="e">
        <f ca="1"/>
        <v>#NAME?</v>
      </c>
      <c r="AM12" s="37" t="e">
        <f ca="1"/>
        <v>#NAME?</v>
      </c>
      <c r="AN12" s="37" t="e">
        <f ca="1"/>
        <v>#NAME?</v>
      </c>
      <c r="AO12" s="37" t="e">
        <f ca="1"/>
        <v>#NAME?</v>
      </c>
      <c r="AP12" s="37" t="e">
        <f ca="1"/>
        <v>#NAME?</v>
      </c>
      <c r="AQ12" s="37" t="e">
        <f ca="1"/>
        <v>#NAME?</v>
      </c>
      <c r="AR12" s="37" t="e">
        <f ca="1"/>
        <v>#NAME?</v>
      </c>
      <c r="AS12" s="90" t="e">
        <f ca="1"/>
        <v>#NAME?</v>
      </c>
      <c r="AV12" t="str">
        <v>Charisma</v>
      </c>
      <c r="AW12" s="123" t="e">
        <f ca="1"/>
        <v>#NAME?</v>
      </c>
      <c r="AX12" s="37" t="e">
        <f ca="1"/>
        <v>#NAME?</v>
      </c>
      <c r="AY12" s="37" t="e">
        <f ca="1"/>
        <v>#NAME?</v>
      </c>
      <c r="AZ12" s="37" t="e">
        <f ca="1"/>
        <v>#NAME?</v>
      </c>
      <c r="BA12" s="37" t="e">
        <f ca="1"/>
        <v>#NAME?</v>
      </c>
      <c r="BB12" s="37" t="e">
        <f ca="1"/>
        <v>#NAME?</v>
      </c>
      <c r="BC12" s="37" t="e">
        <f ca="1"/>
        <v>#NAME?</v>
      </c>
      <c r="BD12" s="37" t="e">
        <f ca="1"/>
        <v>#NAME?</v>
      </c>
      <c r="BE12" s="90" t="e">
        <f ca="1"/>
        <v>#NAME?</v>
      </c>
      <c r="BH12" t="str">
        <v>Charisma</v>
      </c>
      <c r="BI12" s="123" t="e">
        <f ca="1"/>
        <v>#NAME?</v>
      </c>
      <c r="BJ12" s="37" t="e">
        <f ca="1"/>
        <v>#NAME?</v>
      </c>
      <c r="BK12" s="37" t="e">
        <f ca="1"/>
        <v>#NAME?</v>
      </c>
      <c r="BL12" s="37" t="e">
        <f ca="1"/>
        <v>#NAME?</v>
      </c>
      <c r="BM12" s="37" t="e">
        <f ca="1"/>
        <v>#NAME?</v>
      </c>
      <c r="BN12" s="37" t="e">
        <f ca="1"/>
        <v>#NAME?</v>
      </c>
      <c r="BO12" s="37" t="e">
        <f ca="1"/>
        <v>#NAME?</v>
      </c>
      <c r="BP12" s="37" t="e">
        <f ca="1"/>
        <v>#NAME?</v>
      </c>
      <c r="BQ12" s="90" t="e">
        <f ca="1"/>
        <v>#NAME?</v>
      </c>
      <c r="BT12" t="str">
        <v>Charisma</v>
      </c>
      <c r="BU12" s="123" t="e">
        <f ca="1"/>
        <v>#NAME?</v>
      </c>
      <c r="BV12" s="37" t="e">
        <f ca="1"/>
        <v>#NAME?</v>
      </c>
      <c r="BW12" s="37" t="e">
        <f ca="1"/>
        <v>#NAME?</v>
      </c>
      <c r="BX12" s="37" t="e">
        <f ca="1"/>
        <v>#NAME?</v>
      </c>
      <c r="BY12" s="37" t="e">
        <f ca="1"/>
        <v>#NAME?</v>
      </c>
      <c r="BZ12" s="37" t="e">
        <f ca="1"/>
        <v>#NAME?</v>
      </c>
      <c r="CA12" s="37" t="e">
        <f ca="1"/>
        <v>#NAME?</v>
      </c>
      <c r="CB12" s="37" t="e">
        <f ca="1"/>
        <v>#NAME?</v>
      </c>
      <c r="CC12" s="90" t="e">
        <f ca="1"/>
        <v>#NAME?</v>
      </c>
      <c r="CF12" t="str">
        <v>Charisma</v>
      </c>
      <c r="CG12" s="123" t="e">
        <f ca="1"/>
        <v>#NAME?</v>
      </c>
      <c r="CH12" s="37" t="e">
        <f ca="1"/>
        <v>#NAME?</v>
      </c>
      <c r="CI12" s="37" t="e">
        <f ca="1"/>
        <v>#NAME?</v>
      </c>
      <c r="CJ12" s="37" t="e">
        <f ca="1"/>
        <v>#NAME?</v>
      </c>
      <c r="CK12" s="37" t="e">
        <f ca="1"/>
        <v>#NAME?</v>
      </c>
      <c r="CL12" s="37" t="e">
        <f ca="1"/>
        <v>#NAME?</v>
      </c>
      <c r="CM12" s="37" t="e">
        <f ca="1"/>
        <v>#NAME?</v>
      </c>
      <c r="CN12" s="37" t="e">
        <f ca="1"/>
        <v>#NAME?</v>
      </c>
      <c r="CO12" s="90" t="e">
        <f ca="1"/>
        <v>#NAME?</v>
      </c>
      <c r="CR12" t="str">
        <v>Charisma</v>
      </c>
      <c r="CS12" s="123" t="e">
        <f ca="1"/>
        <v>#NAME?</v>
      </c>
      <c r="CT12" s="37" t="e">
        <f ca="1"/>
        <v>#NAME?</v>
      </c>
      <c r="CU12" s="37" t="e">
        <f ca="1"/>
        <v>#NAME?</v>
      </c>
      <c r="CV12" s="37" t="e">
        <f ca="1"/>
        <v>#NAME?</v>
      </c>
      <c r="CW12" s="37" t="e">
        <f ca="1"/>
        <v>#NAME?</v>
      </c>
      <c r="CX12" s="37" t="e">
        <f ca="1"/>
        <v>#NAME?</v>
      </c>
      <c r="CY12" s="37" t="e">
        <f ca="1"/>
        <v>#NAME?</v>
      </c>
      <c r="CZ12" s="37" t="e">
        <f ca="1"/>
        <v>#NAME?</v>
      </c>
      <c r="DA12" s="90" t="e">
        <f ca="1"/>
        <v>#NAME?</v>
      </c>
      <c r="DD12" t="str">
        <v>Charisma</v>
      </c>
      <c r="DE12" s="123" t="e">
        <f ca="1"/>
        <v>#NAME?</v>
      </c>
      <c r="DF12" s="37" t="e">
        <f ca="1"/>
        <v>#NAME?</v>
      </c>
      <c r="DG12" s="37" t="e">
        <f ca="1"/>
        <v>#NAME?</v>
      </c>
      <c r="DH12" s="37" t="e">
        <f ca="1"/>
        <v>#NAME?</v>
      </c>
      <c r="DI12" s="37" t="e">
        <f ca="1"/>
        <v>#NAME?</v>
      </c>
      <c r="DJ12" s="37" t="e">
        <f ca="1"/>
        <v>#NAME?</v>
      </c>
      <c r="DK12" s="37" t="e">
        <f ca="1"/>
        <v>#NAME?</v>
      </c>
      <c r="DL12" s="37" t="e">
        <f ca="1"/>
        <v>#NAME?</v>
      </c>
      <c r="DM12" s="90" t="e">
        <f ca="1"/>
        <v>#NAME?</v>
      </c>
      <c r="DP12" t="str">
        <v>Charisma</v>
      </c>
      <c r="DQ12" s="123" t="e">
        <f ca="1"/>
        <v>#NAME?</v>
      </c>
      <c r="DR12" s="37" t="e">
        <f ca="1"/>
        <v>#NAME?</v>
      </c>
      <c r="DS12" s="37" t="e">
        <f ca="1"/>
        <v>#NAME?</v>
      </c>
      <c r="DT12" s="37" t="e">
        <f ca="1"/>
        <v>#NAME?</v>
      </c>
      <c r="DU12" s="37" t="e">
        <f ca="1"/>
        <v>#NAME?</v>
      </c>
      <c r="DV12" s="37" t="e">
        <f ca="1"/>
        <v>#NAME?</v>
      </c>
      <c r="DW12" s="37" t="e">
        <f ca="1"/>
        <v>#NAME?</v>
      </c>
      <c r="DX12" s="37" t="e">
        <f ca="1"/>
        <v>#NAME?</v>
      </c>
      <c r="DY12" s="90" t="e">
        <f ca="1"/>
        <v>#NAME?</v>
      </c>
      <c r="EB12" t="str">
        <v>Charisma</v>
      </c>
      <c r="EC12" s="123" t="e">
        <f ca="1"/>
        <v>#NAME?</v>
      </c>
      <c r="ED12" s="37" t="e">
        <f ca="1"/>
        <v>#NAME?</v>
      </c>
      <c r="EE12" s="37" t="e">
        <f ca="1"/>
        <v>#NAME?</v>
      </c>
      <c r="EF12" s="37" t="e">
        <f ca="1"/>
        <v>#NAME?</v>
      </c>
      <c r="EG12" s="37" t="e">
        <f ca="1"/>
        <v>#NAME?</v>
      </c>
      <c r="EH12" s="37" t="e">
        <f ca="1"/>
        <v>#NAME?</v>
      </c>
      <c r="EI12" s="37" t="e">
        <f ca="1"/>
        <v>#NAME?</v>
      </c>
      <c r="EJ12" s="37" t="e">
        <f ca="1"/>
        <v>#NAME?</v>
      </c>
      <c r="EK12" s="90" t="e">
        <f ca="1"/>
        <v>#NAME?</v>
      </c>
      <c r="EN12" t="str">
        <v>Charisma</v>
      </c>
      <c r="EO12" s="123" t="e">
        <f ca="1"/>
        <v>#NAME?</v>
      </c>
      <c r="EP12" s="37" t="e">
        <f ca="1"/>
        <v>#NAME?</v>
      </c>
      <c r="EQ12" s="37" t="e">
        <f ca="1"/>
        <v>#NAME?</v>
      </c>
      <c r="ER12" s="37" t="e">
        <f ca="1"/>
        <v>#NAME?</v>
      </c>
      <c r="ES12" s="37" t="e">
        <f ca="1"/>
        <v>#NAME?</v>
      </c>
      <c r="ET12" s="37" t="e">
        <f ca="1"/>
        <v>#NAME?</v>
      </c>
      <c r="EU12" s="37" t="e">
        <f ca="1"/>
        <v>#NAME?</v>
      </c>
      <c r="EV12" s="37" t="e">
        <f ca="1"/>
        <v>#NAME?</v>
      </c>
      <c r="EW12" s="90" t="e">
        <f ca="1"/>
        <v>#NAME?</v>
      </c>
      <c r="EZ12" t="str">
        <v>Charisma</v>
      </c>
      <c r="FA12" s="123" t="e">
        <f ca="1"/>
        <v>#NAME?</v>
      </c>
      <c r="FB12" s="37" t="e">
        <f ca="1"/>
        <v>#NAME?</v>
      </c>
      <c r="FC12" s="37" t="e">
        <f ca="1"/>
        <v>#NAME?</v>
      </c>
      <c r="FD12" s="37" t="e">
        <f ca="1"/>
        <v>#NAME?</v>
      </c>
      <c r="FE12" s="37" t="e">
        <f ca="1"/>
        <v>#NAME?</v>
      </c>
      <c r="FF12" s="37" t="e">
        <f ca="1"/>
        <v>#NAME?</v>
      </c>
      <c r="FG12" s="37" t="e">
        <f ca="1"/>
        <v>#NAME?</v>
      </c>
      <c r="FH12" s="37" t="e">
        <f ca="1"/>
        <v>#NAME?</v>
      </c>
      <c r="FI12" s="90" t="e">
        <f ca="1"/>
        <v>#NAME?</v>
      </c>
      <c r="FL12" t="str">
        <v>Charisma</v>
      </c>
      <c r="FM12" s="123" t="e">
        <f ca="1"/>
        <v>#NAME?</v>
      </c>
      <c r="FN12" s="37" t="e">
        <f ca="1"/>
        <v>#NAME?</v>
      </c>
      <c r="FO12" s="37" t="e">
        <f ca="1"/>
        <v>#NAME?</v>
      </c>
      <c r="FP12" s="37" t="e">
        <f ca="1"/>
        <v>#NAME?</v>
      </c>
      <c r="FQ12" s="37" t="e">
        <f ca="1"/>
        <v>#NAME?</v>
      </c>
      <c r="FR12" s="37" t="e">
        <f ca="1"/>
        <v>#NAME?</v>
      </c>
      <c r="FS12" s="37" t="e">
        <f ca="1"/>
        <v>#NAME?</v>
      </c>
      <c r="FT12" s="37" t="e">
        <f ca="1"/>
        <v>#NAME?</v>
      </c>
      <c r="FU12" s="90" t="e">
        <f ca="1"/>
        <v>#NAME?</v>
      </c>
      <c r="FX12" t="str">
        <v>Charisma</v>
      </c>
      <c r="FY12" s="123" t="e">
        <f ca="1"/>
        <v>#NAME?</v>
      </c>
      <c r="FZ12" s="37" t="e">
        <f ca="1"/>
        <v>#NAME?</v>
      </c>
      <c r="GA12" s="37" t="e">
        <f ca="1"/>
        <v>#NAME?</v>
      </c>
      <c r="GB12" s="37" t="e">
        <f ca="1"/>
        <v>#NAME?</v>
      </c>
      <c r="GC12" s="37" t="e">
        <f ca="1"/>
        <v>#NAME?</v>
      </c>
      <c r="GD12" s="37" t="e">
        <f ca="1"/>
        <v>#NAME?</v>
      </c>
      <c r="GE12" s="37" t="e">
        <f ca="1"/>
        <v>#NAME?</v>
      </c>
      <c r="GF12" s="37" t="e">
        <f ca="1"/>
        <v>#NAME?</v>
      </c>
      <c r="GG12" s="90" t="e">
        <f ca="1"/>
        <v>#NAME?</v>
      </c>
      <c r="GJ12" t="str">
        <v>Charisma</v>
      </c>
      <c r="GK12" s="123" t="e">
        <f ca="1"/>
        <v>#NAME?</v>
      </c>
      <c r="GL12" s="37" t="e">
        <f ca="1"/>
        <v>#NAME?</v>
      </c>
      <c r="GM12" s="37" t="e">
        <f ca="1"/>
        <v>#NAME?</v>
      </c>
      <c r="GN12" s="37" t="e">
        <f ca="1"/>
        <v>#NAME?</v>
      </c>
      <c r="GO12" s="37" t="e">
        <f ca="1"/>
        <v>#NAME?</v>
      </c>
      <c r="GP12" s="37" t="e">
        <f ca="1"/>
        <v>#NAME?</v>
      </c>
      <c r="GQ12" s="37" t="e">
        <f ca="1"/>
        <v>#NAME?</v>
      </c>
      <c r="GR12" s="37" t="e">
        <f ca="1"/>
        <v>#NAME?</v>
      </c>
      <c r="GS12" s="90" t="e">
        <f ca="1"/>
        <v>#NAME?</v>
      </c>
      <c r="GV12" t="str">
        <v>Charisma</v>
      </c>
      <c r="GW12" s="123" t="e">
        <f ca="1"/>
        <v>#NAME?</v>
      </c>
      <c r="GX12" s="37" t="e">
        <f ca="1"/>
        <v>#NAME?</v>
      </c>
      <c r="GY12" s="37" t="e">
        <f ca="1"/>
        <v>#NAME?</v>
      </c>
      <c r="GZ12" s="37" t="e">
        <f ca="1"/>
        <v>#NAME?</v>
      </c>
      <c r="HA12" s="37" t="e">
        <f ca="1"/>
        <v>#NAME?</v>
      </c>
      <c r="HB12" s="37" t="e">
        <f ca="1"/>
        <v>#NAME?</v>
      </c>
      <c r="HC12" s="37" t="e">
        <f ca="1"/>
        <v>#NAME?</v>
      </c>
      <c r="HD12" s="37" t="e">
        <f ca="1"/>
        <v>#NAME?</v>
      </c>
      <c r="HE12" s="90" t="e">
        <f ca="1"/>
        <v>#NAME?</v>
      </c>
      <c r="HH12" t="str">
        <v>Charisma</v>
      </c>
      <c r="HI12" s="123" t="e">
        <f ca="1"/>
        <v>#NAME?</v>
      </c>
      <c r="HJ12" s="37" t="e">
        <f ca="1"/>
        <v>#NAME?</v>
      </c>
      <c r="HK12" s="37" t="e">
        <f ca="1"/>
        <v>#NAME?</v>
      </c>
      <c r="HL12" s="37" t="e">
        <f ca="1"/>
        <v>#NAME?</v>
      </c>
      <c r="HM12" s="37" t="e">
        <f ca="1"/>
        <v>#NAME?</v>
      </c>
      <c r="HN12" s="37" t="e">
        <f ca="1"/>
        <v>#NAME?</v>
      </c>
      <c r="HO12" s="37" t="e">
        <f ca="1"/>
        <v>#NAME?</v>
      </c>
      <c r="HP12" s="37" t="e">
        <f ca="1"/>
        <v>#NAME?</v>
      </c>
      <c r="HQ12" s="90" t="e">
        <f ca="1"/>
        <v>#NAME?</v>
      </c>
      <c r="HT12" t="str">
        <v>Charisma</v>
      </c>
      <c r="HU12" s="123" t="e">
        <f ca="1"/>
        <v>#NAME?</v>
      </c>
      <c r="HV12" s="37" t="e">
        <f ca="1"/>
        <v>#NAME?</v>
      </c>
      <c r="HW12" s="37" t="e">
        <f ca="1"/>
        <v>#NAME?</v>
      </c>
      <c r="HX12" s="37" t="e">
        <f ca="1"/>
        <v>#NAME?</v>
      </c>
      <c r="HY12" s="37" t="e">
        <f ca="1"/>
        <v>#NAME?</v>
      </c>
      <c r="HZ12" s="37" t="e">
        <f ca="1"/>
        <v>#NAME?</v>
      </c>
      <c r="IA12" s="37" t="e">
        <f ca="1"/>
        <v>#NAME?</v>
      </c>
      <c r="IB12" s="37" t="e">
        <f ca="1"/>
        <v>#NAME?</v>
      </c>
      <c r="IC12" s="90" t="e">
        <f ca="1"/>
        <v>#NAME?</v>
      </c>
      <c r="IF12" t="str">
        <v>Charisma</v>
      </c>
      <c r="IG12" s="123" t="e">
        <f ca="1"/>
        <v>#NAME?</v>
      </c>
      <c r="IH12" s="37" t="e">
        <f ca="1"/>
        <v>#NAME?</v>
      </c>
      <c r="II12" s="37" t="e">
        <f ca="1"/>
        <v>#NAME?</v>
      </c>
      <c r="IJ12" s="37" t="e">
        <f ca="1"/>
        <v>#NAME?</v>
      </c>
      <c r="IK12" s="37" t="e">
        <f ca="1"/>
        <v>#NAME?</v>
      </c>
      <c r="IL12" s="37" t="e">
        <f ca="1"/>
        <v>#NAME?</v>
      </c>
      <c r="IM12" s="37" t="e">
        <f ca="1"/>
        <v>#NAME?</v>
      </c>
      <c r="IN12" s="37" t="e">
        <f ca="1"/>
        <v>#NAME?</v>
      </c>
      <c r="IO12" s="90" t="e">
        <f ca="1"/>
        <v>#NAME?</v>
      </c>
      <c r="IR12" t="str">
        <v>Charisma</v>
      </c>
      <c r="IS12" s="123" t="e">
        <f ca="1"/>
        <v>#NAME?</v>
      </c>
      <c r="IT12" s="37" t="e">
        <f ca="1"/>
        <v>#NAME?</v>
      </c>
      <c r="IU12" s="37" t="e">
        <f ca="1"/>
        <v>#NAME?</v>
      </c>
      <c r="IV12" s="37" t="e">
        <f ca="1"/>
        <v>#NAME?</v>
      </c>
      <c r="IW12" s="37" t="e">
        <f ca="1"/>
        <v>#NAME?</v>
      </c>
      <c r="IX12" s="37" t="e">
        <f ca="1"/>
        <v>#NAME?</v>
      </c>
      <c r="IY12" s="37" t="e">
        <f ca="1"/>
        <v>#NAME?</v>
      </c>
      <c r="IZ12" s="37" t="e">
        <f ca="1"/>
        <v>#NAME?</v>
      </c>
      <c r="JA12" s="90" t="e">
        <f ca="1"/>
        <v>#NAME?</v>
      </c>
      <c r="JD12" t="str">
        <v>Charisma</v>
      </c>
      <c r="JE12" s="123" t="e">
        <f ca="1"/>
        <v>#NAME?</v>
      </c>
      <c r="JF12" s="37" t="e">
        <f ca="1"/>
        <v>#NAME?</v>
      </c>
      <c r="JG12" s="37" t="e">
        <f ca="1"/>
        <v>#NAME?</v>
      </c>
      <c r="JH12" s="37" t="e">
        <f ca="1"/>
        <v>#NAME?</v>
      </c>
      <c r="JI12" s="37" t="e">
        <f ca="1"/>
        <v>#NAME?</v>
      </c>
      <c r="JJ12" s="37" t="e">
        <f ca="1"/>
        <v>#NAME?</v>
      </c>
      <c r="JK12" s="37" t="e">
        <f ca="1"/>
        <v>#NAME?</v>
      </c>
      <c r="JL12" s="37" t="e">
        <f ca="1"/>
        <v>#NAME?</v>
      </c>
      <c r="JM12" s="90" t="e">
        <f ca="1"/>
        <v>#NAME?</v>
      </c>
      <c r="JP12" t="str">
        <v>Charisma</v>
      </c>
      <c r="JQ12" s="123" t="e">
        <f ca="1"/>
        <v>#NAME?</v>
      </c>
      <c r="JR12" s="37" t="e">
        <f ca="1"/>
        <v>#NAME?</v>
      </c>
      <c r="JS12" s="37" t="e">
        <f ca="1"/>
        <v>#NAME?</v>
      </c>
      <c r="JT12" s="37" t="e">
        <f ca="1"/>
        <v>#NAME?</v>
      </c>
      <c r="JU12" s="37" t="e">
        <f ca="1"/>
        <v>#NAME?</v>
      </c>
      <c r="JV12" s="37" t="e">
        <f ca="1"/>
        <v>#NAME?</v>
      </c>
      <c r="JW12" s="37" t="e">
        <f ca="1"/>
        <v>#NAME?</v>
      </c>
      <c r="JX12" s="37" t="e">
        <f ca="1"/>
        <v>#NAME?</v>
      </c>
      <c r="JY12" s="90" t="e">
        <f ca="1"/>
        <v>#NAME?</v>
      </c>
      <c r="KB12" t="str">
        <v>Charisma</v>
      </c>
      <c r="KC12" s="123" t="e">
        <f ca="1"/>
        <v>#NAME?</v>
      </c>
      <c r="KD12" s="37" t="e">
        <f ca="1"/>
        <v>#NAME?</v>
      </c>
      <c r="KE12" s="37" t="e">
        <f ca="1"/>
        <v>#NAME?</v>
      </c>
      <c r="KF12" s="37" t="e">
        <f ca="1"/>
        <v>#NAME?</v>
      </c>
      <c r="KG12" s="37" t="e">
        <f ca="1"/>
        <v>#NAME?</v>
      </c>
      <c r="KH12" s="37" t="e">
        <f ca="1"/>
        <v>#NAME?</v>
      </c>
      <c r="KI12" s="37" t="e">
        <f ca="1"/>
        <v>#NAME?</v>
      </c>
      <c r="KJ12" s="37" t="e">
        <f ca="1"/>
        <v>#NAME?</v>
      </c>
      <c r="KK12" s="90" t="e">
        <f ca="1"/>
        <v>#NAME?</v>
      </c>
      <c r="KN12" t="str">
        <v>Charisma</v>
      </c>
      <c r="KO12" s="123" t="e">
        <f ca="1"/>
        <v>#NAME?</v>
      </c>
      <c r="KP12" s="37" t="e">
        <f ca="1"/>
        <v>#NAME?</v>
      </c>
      <c r="KQ12" s="37" t="e">
        <f ca="1"/>
        <v>#NAME?</v>
      </c>
      <c r="KR12" s="37" t="e">
        <f ca="1"/>
        <v>#NAME?</v>
      </c>
      <c r="KS12" s="37" t="e">
        <f ca="1"/>
        <v>#NAME?</v>
      </c>
      <c r="KT12" s="37" t="e">
        <f ca="1"/>
        <v>#NAME?</v>
      </c>
      <c r="KU12" s="37" t="e">
        <f ca="1"/>
        <v>#NAME?</v>
      </c>
      <c r="KV12" s="37" t="e">
        <f ca="1"/>
        <v>#NAME?</v>
      </c>
      <c r="KW12" s="90" t="e">
        <f ca="1"/>
        <v>#NAME?</v>
      </c>
      <c r="KZ12" t="str">
        <v>Charisma</v>
      </c>
      <c r="LA12" s="123" t="e">
        <f ca="1"/>
        <v>#NAME?</v>
      </c>
      <c r="LB12" s="37" t="e">
        <f ca="1"/>
        <v>#NAME?</v>
      </c>
      <c r="LC12" s="37" t="e">
        <f ca="1"/>
        <v>#NAME?</v>
      </c>
      <c r="LD12" s="37" t="e">
        <f ca="1"/>
        <v>#NAME?</v>
      </c>
      <c r="LE12" s="37" t="e">
        <f ca="1"/>
        <v>#NAME?</v>
      </c>
      <c r="LF12" s="37" t="e">
        <f ca="1"/>
        <v>#NAME?</v>
      </c>
      <c r="LG12" s="37" t="e">
        <f ca="1"/>
        <v>#NAME?</v>
      </c>
      <c r="LH12" s="37" t="e">
        <f ca="1"/>
        <v>#NAME?</v>
      </c>
      <c r="LI12" s="90" t="e">
        <f ca="1"/>
        <v>#NAME?</v>
      </c>
      <c r="LL12" t="str">
        <v>Charisma</v>
      </c>
      <c r="LM12" s="123" t="e">
        <f ca="1"/>
        <v>#NAME?</v>
      </c>
      <c r="LN12" s="37" t="e">
        <f ca="1"/>
        <v>#NAME?</v>
      </c>
      <c r="LO12" s="37" t="e">
        <f ca="1"/>
        <v>#NAME?</v>
      </c>
      <c r="LP12" s="37" t="e">
        <f ca="1"/>
        <v>#NAME?</v>
      </c>
      <c r="LQ12" s="37" t="e">
        <f ca="1"/>
        <v>#NAME?</v>
      </c>
      <c r="LR12" s="37" t="e">
        <f ca="1"/>
        <v>#NAME?</v>
      </c>
      <c r="LS12" s="37" t="e">
        <f ca="1"/>
        <v>#NAME?</v>
      </c>
      <c r="LT12" s="37" t="e">
        <f ca="1"/>
        <v>#NAME?</v>
      </c>
      <c r="LU12" s="90" t="e">
        <f ca="1"/>
        <v>#NAME?</v>
      </c>
      <c r="LX12" t="str">
        <v>Charisma</v>
      </c>
      <c r="LY12" s="123" t="e">
        <f ca="1"/>
        <v>#NAME?</v>
      </c>
      <c r="LZ12" s="37" t="e">
        <f ca="1"/>
        <v>#NAME?</v>
      </c>
      <c r="MA12" s="37" t="e">
        <f ca="1"/>
        <v>#NAME?</v>
      </c>
      <c r="MB12" s="37" t="e">
        <f ca="1"/>
        <v>#NAME?</v>
      </c>
      <c r="MC12" s="37" t="e">
        <f ca="1"/>
        <v>#NAME?</v>
      </c>
      <c r="MD12" s="37" t="e">
        <f ca="1"/>
        <v>#NAME?</v>
      </c>
      <c r="ME12" s="37" t="e">
        <f ca="1"/>
        <v>#NAME?</v>
      </c>
      <c r="MF12" s="37" t="e">
        <f ca="1"/>
        <v>#NAME?</v>
      </c>
      <c r="MG12" s="90" t="e">
        <f ca="1"/>
        <v>#NAME?</v>
      </c>
      <c r="MJ12" t="str">
        <v>Charisma</v>
      </c>
      <c r="MK12" s="123" t="e">
        <f ca="1"/>
        <v>#NAME?</v>
      </c>
      <c r="ML12" s="37" t="e">
        <f ca="1"/>
        <v>#NAME?</v>
      </c>
      <c r="MM12" s="37" t="e">
        <f ca="1"/>
        <v>#NAME?</v>
      </c>
      <c r="MN12" s="37" t="e">
        <f ca="1"/>
        <v>#NAME?</v>
      </c>
      <c r="MO12" s="37" t="e">
        <f ca="1"/>
        <v>#NAME?</v>
      </c>
      <c r="MP12" s="37" t="e">
        <f ca="1"/>
        <v>#NAME?</v>
      </c>
      <c r="MQ12" s="37" t="e">
        <f ca="1"/>
        <v>#NAME?</v>
      </c>
      <c r="MR12" s="37" t="e">
        <f ca="1"/>
        <v>#NAME?</v>
      </c>
      <c r="MS12" s="90" t="e">
        <f ca="1"/>
        <v>#NAME?</v>
      </c>
    </row>
    <row r="13" spans="1:357" x14ac:dyDescent="0.3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L13" t="str">
        <v>Passion</v>
      </c>
      <c r="M13" s="83" t="e">
        <f ca="1"/>
        <v>#NAME?</v>
      </c>
      <c r="N13" s="37" t="e">
        <f ca="1"/>
        <v>#NAME?</v>
      </c>
      <c r="O13" s="37" t="e">
        <f ca="1"/>
        <v>#NAME?</v>
      </c>
      <c r="P13" s="37" t="e">
        <f ca="1"/>
        <v>#NAME?</v>
      </c>
      <c r="Q13" s="37" t="e">
        <f ca="1"/>
        <v>#NAME?</v>
      </c>
      <c r="R13" s="37" t="e">
        <f ca="1"/>
        <v>#NAME?</v>
      </c>
      <c r="S13" s="37" t="e">
        <f ca="1"/>
        <v>#NAME?</v>
      </c>
      <c r="T13" s="37" t="e">
        <f ca="1"/>
        <v>#NAME?</v>
      </c>
      <c r="U13" s="84" t="e">
        <f ca="1"/>
        <v>#NAME?</v>
      </c>
      <c r="X13" t="str">
        <v>Passion</v>
      </c>
      <c r="Y13" s="123" t="e">
        <f ca="1"/>
        <v>#NAME?</v>
      </c>
      <c r="Z13" s="37" t="e">
        <f ca="1"/>
        <v>#NAME?</v>
      </c>
      <c r="AA13" s="37" t="e">
        <f ca="1"/>
        <v>#NAME?</v>
      </c>
      <c r="AB13" s="37" t="e">
        <f ca="1"/>
        <v>#NAME?</v>
      </c>
      <c r="AC13" s="37" t="e">
        <f ca="1"/>
        <v>#NAME?</v>
      </c>
      <c r="AD13" s="37" t="e">
        <f ca="1"/>
        <v>#NAME?</v>
      </c>
      <c r="AE13" s="37" t="e">
        <f ca="1"/>
        <v>#NAME?</v>
      </c>
      <c r="AF13" s="37" t="e">
        <f ca="1"/>
        <v>#NAME?</v>
      </c>
      <c r="AG13" s="90" t="e">
        <f ca="1"/>
        <v>#NAME?</v>
      </c>
      <c r="AJ13" t="str">
        <v>Passion</v>
      </c>
      <c r="AK13" s="123" t="e">
        <f ca="1"/>
        <v>#NAME?</v>
      </c>
      <c r="AL13" s="37" t="e">
        <f ca="1"/>
        <v>#NAME?</v>
      </c>
      <c r="AM13" s="37" t="e">
        <f ca="1"/>
        <v>#NAME?</v>
      </c>
      <c r="AN13" s="37" t="e">
        <f ca="1"/>
        <v>#NAME?</v>
      </c>
      <c r="AO13" s="37" t="e">
        <f ca="1"/>
        <v>#NAME?</v>
      </c>
      <c r="AP13" s="37" t="e">
        <f ca="1"/>
        <v>#NAME?</v>
      </c>
      <c r="AQ13" s="37" t="e">
        <f ca="1"/>
        <v>#NAME?</v>
      </c>
      <c r="AR13" s="37" t="e">
        <f ca="1"/>
        <v>#NAME?</v>
      </c>
      <c r="AS13" s="90" t="e">
        <f ca="1"/>
        <v>#NAME?</v>
      </c>
      <c r="AV13" t="str">
        <v>Passion</v>
      </c>
      <c r="AW13" s="123" t="e">
        <f ca="1"/>
        <v>#NAME?</v>
      </c>
      <c r="AX13" s="37" t="e">
        <f ca="1"/>
        <v>#NAME?</v>
      </c>
      <c r="AY13" s="37" t="e">
        <f ca="1"/>
        <v>#NAME?</v>
      </c>
      <c r="AZ13" s="37" t="e">
        <f ca="1"/>
        <v>#NAME?</v>
      </c>
      <c r="BA13" s="37" t="e">
        <f ca="1"/>
        <v>#NAME?</v>
      </c>
      <c r="BB13" s="37" t="e">
        <f ca="1"/>
        <v>#NAME?</v>
      </c>
      <c r="BC13" s="37" t="e">
        <f ca="1"/>
        <v>#NAME?</v>
      </c>
      <c r="BD13" s="37" t="e">
        <f ca="1"/>
        <v>#NAME?</v>
      </c>
      <c r="BE13" s="90" t="e">
        <f ca="1"/>
        <v>#NAME?</v>
      </c>
      <c r="BH13" t="str">
        <v>Passion</v>
      </c>
      <c r="BI13" s="123" t="e">
        <f ca="1"/>
        <v>#NAME?</v>
      </c>
      <c r="BJ13" s="37" t="e">
        <f ca="1"/>
        <v>#NAME?</v>
      </c>
      <c r="BK13" s="37" t="e">
        <f ca="1"/>
        <v>#NAME?</v>
      </c>
      <c r="BL13" s="37" t="e">
        <f ca="1"/>
        <v>#NAME?</v>
      </c>
      <c r="BM13" s="37" t="e">
        <f ca="1"/>
        <v>#NAME?</v>
      </c>
      <c r="BN13" s="37" t="e">
        <f ca="1"/>
        <v>#NAME?</v>
      </c>
      <c r="BO13" s="37" t="e">
        <f ca="1"/>
        <v>#NAME?</v>
      </c>
      <c r="BP13" s="37" t="e">
        <f ca="1"/>
        <v>#NAME?</v>
      </c>
      <c r="BQ13" s="90" t="e">
        <f ca="1"/>
        <v>#NAME?</v>
      </c>
      <c r="BT13" t="str">
        <v>Passion</v>
      </c>
      <c r="BU13" s="123" t="e">
        <f ca="1"/>
        <v>#NAME?</v>
      </c>
      <c r="BV13" s="37" t="e">
        <f ca="1"/>
        <v>#NAME?</v>
      </c>
      <c r="BW13" s="37" t="e">
        <f ca="1"/>
        <v>#NAME?</v>
      </c>
      <c r="BX13" s="37" t="e">
        <f ca="1"/>
        <v>#NAME?</v>
      </c>
      <c r="BY13" s="37" t="e">
        <f ca="1"/>
        <v>#NAME?</v>
      </c>
      <c r="BZ13" s="37" t="e">
        <f ca="1"/>
        <v>#NAME?</v>
      </c>
      <c r="CA13" s="37" t="e">
        <f ca="1"/>
        <v>#NAME?</v>
      </c>
      <c r="CB13" s="37" t="e">
        <f ca="1"/>
        <v>#NAME?</v>
      </c>
      <c r="CC13" s="90" t="e">
        <f ca="1"/>
        <v>#NAME?</v>
      </c>
      <c r="CF13" t="str">
        <v>Passion</v>
      </c>
      <c r="CG13" s="123" t="e">
        <f ca="1"/>
        <v>#NAME?</v>
      </c>
      <c r="CH13" s="37" t="e">
        <f ca="1"/>
        <v>#NAME?</v>
      </c>
      <c r="CI13" s="37" t="e">
        <f ca="1"/>
        <v>#NAME?</v>
      </c>
      <c r="CJ13" s="37" t="e">
        <f ca="1"/>
        <v>#NAME?</v>
      </c>
      <c r="CK13" s="37" t="e">
        <f ca="1"/>
        <v>#NAME?</v>
      </c>
      <c r="CL13" s="37" t="e">
        <f ca="1"/>
        <v>#NAME?</v>
      </c>
      <c r="CM13" s="37" t="e">
        <f ca="1"/>
        <v>#NAME?</v>
      </c>
      <c r="CN13" s="37" t="e">
        <f ca="1"/>
        <v>#NAME?</v>
      </c>
      <c r="CO13" s="90" t="e">
        <f ca="1"/>
        <v>#NAME?</v>
      </c>
      <c r="CR13" t="str">
        <v>Passion</v>
      </c>
      <c r="CS13" s="123" t="e">
        <f ca="1"/>
        <v>#NAME?</v>
      </c>
      <c r="CT13" s="37" t="e">
        <f ca="1"/>
        <v>#NAME?</v>
      </c>
      <c r="CU13" s="37" t="e">
        <f ca="1"/>
        <v>#NAME?</v>
      </c>
      <c r="CV13" s="37" t="e">
        <f ca="1"/>
        <v>#NAME?</v>
      </c>
      <c r="CW13" s="37" t="e">
        <f ca="1"/>
        <v>#NAME?</v>
      </c>
      <c r="CX13" s="37" t="e">
        <f ca="1"/>
        <v>#NAME?</v>
      </c>
      <c r="CY13" s="37" t="e">
        <f ca="1"/>
        <v>#NAME?</v>
      </c>
      <c r="CZ13" s="37" t="e">
        <f ca="1"/>
        <v>#NAME?</v>
      </c>
      <c r="DA13" s="90" t="e">
        <f ca="1"/>
        <v>#NAME?</v>
      </c>
      <c r="DD13" t="str">
        <v>Passion</v>
      </c>
      <c r="DE13" s="123" t="e">
        <f ca="1"/>
        <v>#NAME?</v>
      </c>
      <c r="DF13" s="37" t="e">
        <f ca="1"/>
        <v>#NAME?</v>
      </c>
      <c r="DG13" s="37" t="e">
        <f ca="1"/>
        <v>#NAME?</v>
      </c>
      <c r="DH13" s="37" t="e">
        <f ca="1"/>
        <v>#NAME?</v>
      </c>
      <c r="DI13" s="37" t="e">
        <f ca="1"/>
        <v>#NAME?</v>
      </c>
      <c r="DJ13" s="37" t="e">
        <f ca="1"/>
        <v>#NAME?</v>
      </c>
      <c r="DK13" s="37" t="e">
        <f ca="1"/>
        <v>#NAME?</v>
      </c>
      <c r="DL13" s="37" t="e">
        <f ca="1"/>
        <v>#NAME?</v>
      </c>
      <c r="DM13" s="90" t="e">
        <f ca="1"/>
        <v>#NAME?</v>
      </c>
      <c r="DP13" t="str">
        <v>Passion</v>
      </c>
      <c r="DQ13" s="123" t="e">
        <f ca="1"/>
        <v>#NAME?</v>
      </c>
      <c r="DR13" s="37" t="e">
        <f ca="1"/>
        <v>#NAME?</v>
      </c>
      <c r="DS13" s="37" t="e">
        <f ca="1"/>
        <v>#NAME?</v>
      </c>
      <c r="DT13" s="37" t="e">
        <f ca="1"/>
        <v>#NAME?</v>
      </c>
      <c r="DU13" s="37" t="e">
        <f ca="1"/>
        <v>#NAME?</v>
      </c>
      <c r="DV13" s="37" t="e">
        <f ca="1"/>
        <v>#NAME?</v>
      </c>
      <c r="DW13" s="37" t="e">
        <f ca="1"/>
        <v>#NAME?</v>
      </c>
      <c r="DX13" s="37" t="e">
        <f ca="1"/>
        <v>#NAME?</v>
      </c>
      <c r="DY13" s="90" t="e">
        <f ca="1"/>
        <v>#NAME?</v>
      </c>
      <c r="EB13" t="str">
        <v>Passion</v>
      </c>
      <c r="EC13" s="123" t="e">
        <f ca="1"/>
        <v>#NAME?</v>
      </c>
      <c r="ED13" s="37" t="e">
        <f ca="1"/>
        <v>#NAME?</v>
      </c>
      <c r="EE13" s="37" t="e">
        <f ca="1"/>
        <v>#NAME?</v>
      </c>
      <c r="EF13" s="37" t="e">
        <f ca="1"/>
        <v>#NAME?</v>
      </c>
      <c r="EG13" s="37" t="e">
        <f ca="1"/>
        <v>#NAME?</v>
      </c>
      <c r="EH13" s="37" t="e">
        <f ca="1"/>
        <v>#NAME?</v>
      </c>
      <c r="EI13" s="37" t="e">
        <f ca="1"/>
        <v>#NAME?</v>
      </c>
      <c r="EJ13" s="37" t="e">
        <f ca="1"/>
        <v>#NAME?</v>
      </c>
      <c r="EK13" s="90" t="e">
        <f ca="1"/>
        <v>#NAME?</v>
      </c>
      <c r="EN13" t="str">
        <v>Passion</v>
      </c>
      <c r="EO13" s="123" t="e">
        <f ca="1"/>
        <v>#NAME?</v>
      </c>
      <c r="EP13" s="37" t="e">
        <f ca="1"/>
        <v>#NAME?</v>
      </c>
      <c r="EQ13" s="37" t="e">
        <f ca="1"/>
        <v>#NAME?</v>
      </c>
      <c r="ER13" s="37" t="e">
        <f ca="1"/>
        <v>#NAME?</v>
      </c>
      <c r="ES13" s="37" t="e">
        <f ca="1"/>
        <v>#NAME?</v>
      </c>
      <c r="ET13" s="37" t="e">
        <f ca="1"/>
        <v>#NAME?</v>
      </c>
      <c r="EU13" s="37" t="e">
        <f ca="1"/>
        <v>#NAME?</v>
      </c>
      <c r="EV13" s="37" t="e">
        <f ca="1"/>
        <v>#NAME?</v>
      </c>
      <c r="EW13" s="90" t="e">
        <f ca="1"/>
        <v>#NAME?</v>
      </c>
      <c r="EZ13" t="str">
        <v>Passion</v>
      </c>
      <c r="FA13" s="123" t="e">
        <f ca="1"/>
        <v>#NAME?</v>
      </c>
      <c r="FB13" s="37" t="e">
        <f ca="1"/>
        <v>#NAME?</v>
      </c>
      <c r="FC13" s="37" t="e">
        <f ca="1"/>
        <v>#NAME?</v>
      </c>
      <c r="FD13" s="37" t="e">
        <f ca="1"/>
        <v>#NAME?</v>
      </c>
      <c r="FE13" s="37" t="e">
        <f ca="1"/>
        <v>#NAME?</v>
      </c>
      <c r="FF13" s="37" t="e">
        <f ca="1"/>
        <v>#NAME?</v>
      </c>
      <c r="FG13" s="37" t="e">
        <f ca="1"/>
        <v>#NAME?</v>
      </c>
      <c r="FH13" s="37" t="e">
        <f ca="1"/>
        <v>#NAME?</v>
      </c>
      <c r="FI13" s="90" t="e">
        <f ca="1"/>
        <v>#NAME?</v>
      </c>
      <c r="FL13" t="str">
        <v>Passion</v>
      </c>
      <c r="FM13" s="123" t="e">
        <f ca="1"/>
        <v>#NAME?</v>
      </c>
      <c r="FN13" s="37" t="e">
        <f ca="1"/>
        <v>#NAME?</v>
      </c>
      <c r="FO13" s="37" t="e">
        <f ca="1"/>
        <v>#NAME?</v>
      </c>
      <c r="FP13" s="37" t="e">
        <f ca="1"/>
        <v>#NAME?</v>
      </c>
      <c r="FQ13" s="37" t="e">
        <f ca="1"/>
        <v>#NAME?</v>
      </c>
      <c r="FR13" s="37" t="e">
        <f ca="1"/>
        <v>#NAME?</v>
      </c>
      <c r="FS13" s="37" t="e">
        <f ca="1"/>
        <v>#NAME?</v>
      </c>
      <c r="FT13" s="37" t="e">
        <f ca="1"/>
        <v>#NAME?</v>
      </c>
      <c r="FU13" s="90" t="e">
        <f ca="1"/>
        <v>#NAME?</v>
      </c>
      <c r="FX13" t="str">
        <v>Passion</v>
      </c>
      <c r="FY13" s="123" t="e">
        <f ca="1"/>
        <v>#NAME?</v>
      </c>
      <c r="FZ13" s="37" t="e">
        <f ca="1"/>
        <v>#NAME?</v>
      </c>
      <c r="GA13" s="37" t="e">
        <f ca="1"/>
        <v>#NAME?</v>
      </c>
      <c r="GB13" s="37" t="e">
        <f ca="1"/>
        <v>#NAME?</v>
      </c>
      <c r="GC13" s="37" t="e">
        <f ca="1"/>
        <v>#NAME?</v>
      </c>
      <c r="GD13" s="37" t="e">
        <f ca="1"/>
        <v>#NAME?</v>
      </c>
      <c r="GE13" s="37" t="e">
        <f ca="1"/>
        <v>#NAME?</v>
      </c>
      <c r="GF13" s="37" t="e">
        <f ca="1"/>
        <v>#NAME?</v>
      </c>
      <c r="GG13" s="90" t="e">
        <f ca="1"/>
        <v>#NAME?</v>
      </c>
      <c r="GJ13" t="str">
        <v>Passion</v>
      </c>
      <c r="GK13" s="123" t="e">
        <f ca="1"/>
        <v>#NAME?</v>
      </c>
      <c r="GL13" s="37" t="e">
        <f ca="1"/>
        <v>#NAME?</v>
      </c>
      <c r="GM13" s="37" t="e">
        <f ca="1"/>
        <v>#NAME?</v>
      </c>
      <c r="GN13" s="37" t="e">
        <f ca="1"/>
        <v>#NAME?</v>
      </c>
      <c r="GO13" s="37" t="e">
        <f ca="1"/>
        <v>#NAME?</v>
      </c>
      <c r="GP13" s="37" t="e">
        <f ca="1"/>
        <v>#NAME?</v>
      </c>
      <c r="GQ13" s="37" t="e">
        <f ca="1"/>
        <v>#NAME?</v>
      </c>
      <c r="GR13" s="37" t="e">
        <f ca="1"/>
        <v>#NAME?</v>
      </c>
      <c r="GS13" s="90" t="e">
        <f ca="1"/>
        <v>#NAME?</v>
      </c>
      <c r="GV13" t="str">
        <v>Passion</v>
      </c>
      <c r="GW13" s="123" t="e">
        <f ca="1"/>
        <v>#NAME?</v>
      </c>
      <c r="GX13" s="37" t="e">
        <f ca="1"/>
        <v>#NAME?</v>
      </c>
      <c r="GY13" s="37" t="e">
        <f ca="1"/>
        <v>#NAME?</v>
      </c>
      <c r="GZ13" s="37" t="e">
        <f ca="1"/>
        <v>#NAME?</v>
      </c>
      <c r="HA13" s="37" t="e">
        <f ca="1"/>
        <v>#NAME?</v>
      </c>
      <c r="HB13" s="37" t="e">
        <f ca="1"/>
        <v>#NAME?</v>
      </c>
      <c r="HC13" s="37" t="e">
        <f ca="1"/>
        <v>#NAME?</v>
      </c>
      <c r="HD13" s="37" t="e">
        <f ca="1"/>
        <v>#NAME?</v>
      </c>
      <c r="HE13" s="90" t="e">
        <f ca="1"/>
        <v>#NAME?</v>
      </c>
      <c r="HH13" t="str">
        <v>Passion</v>
      </c>
      <c r="HI13" s="123" t="e">
        <f ca="1"/>
        <v>#NAME?</v>
      </c>
      <c r="HJ13" s="37" t="e">
        <f ca="1"/>
        <v>#NAME?</v>
      </c>
      <c r="HK13" s="37" t="e">
        <f ca="1"/>
        <v>#NAME?</v>
      </c>
      <c r="HL13" s="37" t="e">
        <f ca="1"/>
        <v>#NAME?</v>
      </c>
      <c r="HM13" s="37" t="e">
        <f ca="1"/>
        <v>#NAME?</v>
      </c>
      <c r="HN13" s="37" t="e">
        <f ca="1"/>
        <v>#NAME?</v>
      </c>
      <c r="HO13" s="37" t="e">
        <f ca="1"/>
        <v>#NAME?</v>
      </c>
      <c r="HP13" s="37" t="e">
        <f ca="1"/>
        <v>#NAME?</v>
      </c>
      <c r="HQ13" s="90" t="e">
        <f ca="1"/>
        <v>#NAME?</v>
      </c>
      <c r="HT13" t="str">
        <v>Passion</v>
      </c>
      <c r="HU13" s="123" t="e">
        <f ca="1"/>
        <v>#NAME?</v>
      </c>
      <c r="HV13" s="37" t="e">
        <f ca="1"/>
        <v>#NAME?</v>
      </c>
      <c r="HW13" s="37" t="e">
        <f ca="1"/>
        <v>#NAME?</v>
      </c>
      <c r="HX13" s="37" t="e">
        <f ca="1"/>
        <v>#NAME?</v>
      </c>
      <c r="HY13" s="37" t="e">
        <f ca="1"/>
        <v>#NAME?</v>
      </c>
      <c r="HZ13" s="37" t="e">
        <f ca="1"/>
        <v>#NAME?</v>
      </c>
      <c r="IA13" s="37" t="e">
        <f ca="1"/>
        <v>#NAME?</v>
      </c>
      <c r="IB13" s="37" t="e">
        <f ca="1"/>
        <v>#NAME?</v>
      </c>
      <c r="IC13" s="90" t="e">
        <f ca="1"/>
        <v>#NAME?</v>
      </c>
      <c r="IF13" t="str">
        <v>Passion</v>
      </c>
      <c r="IG13" s="123" t="e">
        <f ca="1"/>
        <v>#NAME?</v>
      </c>
      <c r="IH13" s="37" t="e">
        <f ca="1"/>
        <v>#NAME?</v>
      </c>
      <c r="II13" s="37" t="e">
        <f ca="1"/>
        <v>#NAME?</v>
      </c>
      <c r="IJ13" s="37" t="e">
        <f ca="1"/>
        <v>#NAME?</v>
      </c>
      <c r="IK13" s="37" t="e">
        <f ca="1"/>
        <v>#NAME?</v>
      </c>
      <c r="IL13" s="37" t="e">
        <f ca="1"/>
        <v>#NAME?</v>
      </c>
      <c r="IM13" s="37" t="e">
        <f ca="1"/>
        <v>#NAME?</v>
      </c>
      <c r="IN13" s="37" t="e">
        <f ca="1"/>
        <v>#NAME?</v>
      </c>
      <c r="IO13" s="90" t="e">
        <f ca="1"/>
        <v>#NAME?</v>
      </c>
      <c r="IR13" t="str">
        <v>Passion</v>
      </c>
      <c r="IS13" s="123" t="e">
        <f ca="1"/>
        <v>#NAME?</v>
      </c>
      <c r="IT13" s="37" t="e">
        <f ca="1"/>
        <v>#NAME?</v>
      </c>
      <c r="IU13" s="37" t="e">
        <f ca="1"/>
        <v>#NAME?</v>
      </c>
      <c r="IV13" s="37" t="e">
        <f ca="1"/>
        <v>#NAME?</v>
      </c>
      <c r="IW13" s="37" t="e">
        <f ca="1"/>
        <v>#NAME?</v>
      </c>
      <c r="IX13" s="37" t="e">
        <f ca="1"/>
        <v>#NAME?</v>
      </c>
      <c r="IY13" s="37" t="e">
        <f ca="1"/>
        <v>#NAME?</v>
      </c>
      <c r="IZ13" s="37" t="e">
        <f ca="1"/>
        <v>#NAME?</v>
      </c>
      <c r="JA13" s="90" t="e">
        <f ca="1"/>
        <v>#NAME?</v>
      </c>
      <c r="JD13" t="str">
        <v>Passion</v>
      </c>
      <c r="JE13" s="123" t="e">
        <f ca="1"/>
        <v>#NAME?</v>
      </c>
      <c r="JF13" s="37" t="e">
        <f ca="1"/>
        <v>#NAME?</v>
      </c>
      <c r="JG13" s="37" t="e">
        <f ca="1"/>
        <v>#NAME?</v>
      </c>
      <c r="JH13" s="37" t="e">
        <f ca="1"/>
        <v>#NAME?</v>
      </c>
      <c r="JI13" s="37" t="e">
        <f ca="1"/>
        <v>#NAME?</v>
      </c>
      <c r="JJ13" s="37" t="e">
        <f ca="1"/>
        <v>#NAME?</v>
      </c>
      <c r="JK13" s="37" t="e">
        <f ca="1"/>
        <v>#NAME?</v>
      </c>
      <c r="JL13" s="37" t="e">
        <f ca="1"/>
        <v>#NAME?</v>
      </c>
      <c r="JM13" s="90" t="e">
        <f ca="1"/>
        <v>#NAME?</v>
      </c>
      <c r="JP13" t="str">
        <v>Passion</v>
      </c>
      <c r="JQ13" s="123" t="e">
        <f ca="1"/>
        <v>#NAME?</v>
      </c>
      <c r="JR13" s="37" t="e">
        <f ca="1"/>
        <v>#NAME?</v>
      </c>
      <c r="JS13" s="37" t="e">
        <f ca="1"/>
        <v>#NAME?</v>
      </c>
      <c r="JT13" s="37" t="e">
        <f ca="1"/>
        <v>#NAME?</v>
      </c>
      <c r="JU13" s="37" t="e">
        <f ca="1"/>
        <v>#NAME?</v>
      </c>
      <c r="JV13" s="37" t="e">
        <f ca="1"/>
        <v>#NAME?</v>
      </c>
      <c r="JW13" s="37" t="e">
        <f ca="1"/>
        <v>#NAME?</v>
      </c>
      <c r="JX13" s="37" t="e">
        <f ca="1"/>
        <v>#NAME?</v>
      </c>
      <c r="JY13" s="90" t="e">
        <f ca="1"/>
        <v>#NAME?</v>
      </c>
      <c r="KB13" t="str">
        <v>Passion</v>
      </c>
      <c r="KC13" s="123" t="e">
        <f ca="1"/>
        <v>#NAME?</v>
      </c>
      <c r="KD13" s="37" t="e">
        <f ca="1"/>
        <v>#NAME?</v>
      </c>
      <c r="KE13" s="37" t="e">
        <f ca="1"/>
        <v>#NAME?</v>
      </c>
      <c r="KF13" s="37" t="e">
        <f ca="1"/>
        <v>#NAME?</v>
      </c>
      <c r="KG13" s="37" t="e">
        <f ca="1"/>
        <v>#NAME?</v>
      </c>
      <c r="KH13" s="37" t="e">
        <f ca="1"/>
        <v>#NAME?</v>
      </c>
      <c r="KI13" s="37" t="e">
        <f ca="1"/>
        <v>#NAME?</v>
      </c>
      <c r="KJ13" s="37" t="e">
        <f ca="1"/>
        <v>#NAME?</v>
      </c>
      <c r="KK13" s="90" t="e">
        <f ca="1"/>
        <v>#NAME?</v>
      </c>
      <c r="KN13" t="str">
        <v>Passion</v>
      </c>
      <c r="KO13" s="123" t="e">
        <f ca="1"/>
        <v>#NAME?</v>
      </c>
      <c r="KP13" s="37" t="e">
        <f ca="1"/>
        <v>#NAME?</v>
      </c>
      <c r="KQ13" s="37" t="e">
        <f ca="1"/>
        <v>#NAME?</v>
      </c>
      <c r="KR13" s="37" t="e">
        <f ca="1"/>
        <v>#NAME?</v>
      </c>
      <c r="KS13" s="37" t="e">
        <f ca="1"/>
        <v>#NAME?</v>
      </c>
      <c r="KT13" s="37" t="e">
        <f ca="1"/>
        <v>#NAME?</v>
      </c>
      <c r="KU13" s="37" t="e">
        <f ca="1"/>
        <v>#NAME?</v>
      </c>
      <c r="KV13" s="37" t="e">
        <f ca="1"/>
        <v>#NAME?</v>
      </c>
      <c r="KW13" s="90" t="e">
        <f ca="1"/>
        <v>#NAME?</v>
      </c>
      <c r="KZ13" t="str">
        <v>Passion</v>
      </c>
      <c r="LA13" s="123" t="e">
        <f ca="1"/>
        <v>#NAME?</v>
      </c>
      <c r="LB13" s="37" t="e">
        <f ca="1"/>
        <v>#NAME?</v>
      </c>
      <c r="LC13" s="37" t="e">
        <f ca="1"/>
        <v>#NAME?</v>
      </c>
      <c r="LD13" s="37" t="e">
        <f ca="1"/>
        <v>#NAME?</v>
      </c>
      <c r="LE13" s="37" t="e">
        <f ca="1"/>
        <v>#NAME?</v>
      </c>
      <c r="LF13" s="37" t="e">
        <f ca="1"/>
        <v>#NAME?</v>
      </c>
      <c r="LG13" s="37" t="e">
        <f ca="1"/>
        <v>#NAME?</v>
      </c>
      <c r="LH13" s="37" t="e">
        <f ca="1"/>
        <v>#NAME?</v>
      </c>
      <c r="LI13" s="90" t="e">
        <f ca="1"/>
        <v>#NAME?</v>
      </c>
      <c r="LL13" t="str">
        <v>Passion</v>
      </c>
      <c r="LM13" s="123" t="e">
        <f ca="1"/>
        <v>#NAME?</v>
      </c>
      <c r="LN13" s="37" t="e">
        <f ca="1"/>
        <v>#NAME?</v>
      </c>
      <c r="LO13" s="37" t="e">
        <f ca="1"/>
        <v>#NAME?</v>
      </c>
      <c r="LP13" s="37" t="e">
        <f ca="1"/>
        <v>#NAME?</v>
      </c>
      <c r="LQ13" s="37" t="e">
        <f ca="1"/>
        <v>#NAME?</v>
      </c>
      <c r="LR13" s="37" t="e">
        <f ca="1"/>
        <v>#NAME?</v>
      </c>
      <c r="LS13" s="37" t="e">
        <f ca="1"/>
        <v>#NAME?</v>
      </c>
      <c r="LT13" s="37" t="e">
        <f ca="1"/>
        <v>#NAME?</v>
      </c>
      <c r="LU13" s="90" t="e">
        <f ca="1"/>
        <v>#NAME?</v>
      </c>
      <c r="LX13" t="str">
        <v>Passion</v>
      </c>
      <c r="LY13" s="123" t="e">
        <f ca="1"/>
        <v>#NAME?</v>
      </c>
      <c r="LZ13" s="37" t="e">
        <f ca="1"/>
        <v>#NAME?</v>
      </c>
      <c r="MA13" s="37" t="e">
        <f ca="1"/>
        <v>#NAME?</v>
      </c>
      <c r="MB13" s="37" t="e">
        <f ca="1"/>
        <v>#NAME?</v>
      </c>
      <c r="MC13" s="37" t="e">
        <f ca="1"/>
        <v>#NAME?</v>
      </c>
      <c r="MD13" s="37" t="e">
        <f ca="1"/>
        <v>#NAME?</v>
      </c>
      <c r="ME13" s="37" t="e">
        <f ca="1"/>
        <v>#NAME?</v>
      </c>
      <c r="MF13" s="37" t="e">
        <f ca="1"/>
        <v>#NAME?</v>
      </c>
      <c r="MG13" s="90" t="e">
        <f ca="1"/>
        <v>#NAME?</v>
      </c>
      <c r="MJ13" t="str">
        <v>Passion</v>
      </c>
      <c r="MK13" s="123" t="e">
        <f ca="1"/>
        <v>#NAME?</v>
      </c>
      <c r="ML13" s="37" t="e">
        <f ca="1"/>
        <v>#NAME?</v>
      </c>
      <c r="MM13" s="37" t="e">
        <f ca="1"/>
        <v>#NAME?</v>
      </c>
      <c r="MN13" s="37" t="e">
        <f ca="1"/>
        <v>#NAME?</v>
      </c>
      <c r="MO13" s="37" t="e">
        <f ca="1"/>
        <v>#NAME?</v>
      </c>
      <c r="MP13" s="37" t="e">
        <f ca="1"/>
        <v>#NAME?</v>
      </c>
      <c r="MQ13" s="37" t="e">
        <f ca="1"/>
        <v>#NAME?</v>
      </c>
      <c r="MR13" s="37" t="e">
        <f ca="1"/>
        <v>#NAME?</v>
      </c>
      <c r="MS13" s="90" t="e">
        <f ca="1"/>
        <v>#NAME?</v>
      </c>
    </row>
    <row r="14" spans="1:357" x14ac:dyDescent="0.3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v>Friendly</v>
      </c>
      <c r="M14" s="85" t="e">
        <f ca="1"/>
        <v>#NAME?</v>
      </c>
      <c r="N14" s="86" t="e">
        <f ca="1"/>
        <v>#NAME?</v>
      </c>
      <c r="O14" s="86" t="e">
        <f ca="1"/>
        <v>#NAME?</v>
      </c>
      <c r="P14" s="86" t="e">
        <f ca="1"/>
        <v>#NAME?</v>
      </c>
      <c r="Q14" s="86" t="e">
        <f ca="1"/>
        <v>#NAME?</v>
      </c>
      <c r="R14" s="86" t="e">
        <f ca="1"/>
        <v>#NAME?</v>
      </c>
      <c r="S14" s="86" t="e">
        <f ca="1"/>
        <v>#NAME?</v>
      </c>
      <c r="T14" s="86" t="e">
        <f ca="1"/>
        <v>#NAME?</v>
      </c>
      <c r="U14" s="87" t="e">
        <f ca="1"/>
        <v>#NAME?</v>
      </c>
      <c r="X14" t="str">
        <v>Friendly</v>
      </c>
      <c r="Y14" s="91" t="e">
        <f ca="1"/>
        <v>#NAME?</v>
      </c>
      <c r="Z14" s="92" t="e">
        <f ca="1"/>
        <v>#NAME?</v>
      </c>
      <c r="AA14" s="92" t="e">
        <f ca="1"/>
        <v>#NAME?</v>
      </c>
      <c r="AB14" s="92" t="e">
        <f ca="1"/>
        <v>#NAME?</v>
      </c>
      <c r="AC14" s="92" t="e">
        <f ca="1"/>
        <v>#NAME?</v>
      </c>
      <c r="AD14" s="92" t="e">
        <f ca="1"/>
        <v>#NAME?</v>
      </c>
      <c r="AE14" s="92" t="e">
        <f ca="1"/>
        <v>#NAME?</v>
      </c>
      <c r="AF14" s="92" t="e">
        <f ca="1"/>
        <v>#NAME?</v>
      </c>
      <c r="AG14" s="93" t="e">
        <f ca="1"/>
        <v>#NAME?</v>
      </c>
      <c r="AJ14" t="str">
        <v>Friendly</v>
      </c>
      <c r="AK14" s="91" t="e">
        <f ca="1"/>
        <v>#NAME?</v>
      </c>
      <c r="AL14" s="92" t="e">
        <f ca="1"/>
        <v>#NAME?</v>
      </c>
      <c r="AM14" s="92" t="e">
        <f ca="1"/>
        <v>#NAME?</v>
      </c>
      <c r="AN14" s="92" t="e">
        <f ca="1"/>
        <v>#NAME?</v>
      </c>
      <c r="AO14" s="92" t="e">
        <f ca="1"/>
        <v>#NAME?</v>
      </c>
      <c r="AP14" s="92" t="e">
        <f ca="1"/>
        <v>#NAME?</v>
      </c>
      <c r="AQ14" s="92" t="e">
        <f ca="1"/>
        <v>#NAME?</v>
      </c>
      <c r="AR14" s="92" t="e">
        <f ca="1"/>
        <v>#NAME?</v>
      </c>
      <c r="AS14" s="93" t="e">
        <f ca="1"/>
        <v>#NAME?</v>
      </c>
      <c r="AV14" t="str">
        <v>Friendly</v>
      </c>
      <c r="AW14" s="91" t="e">
        <f ca="1"/>
        <v>#NAME?</v>
      </c>
      <c r="AX14" s="92" t="e">
        <f ca="1"/>
        <v>#NAME?</v>
      </c>
      <c r="AY14" s="92" t="e">
        <f ca="1"/>
        <v>#NAME?</v>
      </c>
      <c r="AZ14" s="92" t="e">
        <f ca="1"/>
        <v>#NAME?</v>
      </c>
      <c r="BA14" s="92" t="e">
        <f ca="1"/>
        <v>#NAME?</v>
      </c>
      <c r="BB14" s="92" t="e">
        <f ca="1"/>
        <v>#NAME?</v>
      </c>
      <c r="BC14" s="92" t="e">
        <f ca="1"/>
        <v>#NAME?</v>
      </c>
      <c r="BD14" s="92" t="e">
        <f ca="1"/>
        <v>#NAME?</v>
      </c>
      <c r="BE14" s="93" t="e">
        <f ca="1"/>
        <v>#NAME?</v>
      </c>
      <c r="BH14" t="str">
        <v>Friendly</v>
      </c>
      <c r="BI14" s="91" t="e">
        <f ca="1"/>
        <v>#NAME?</v>
      </c>
      <c r="BJ14" s="92" t="e">
        <f ca="1"/>
        <v>#NAME?</v>
      </c>
      <c r="BK14" s="92" t="e">
        <f ca="1"/>
        <v>#NAME?</v>
      </c>
      <c r="BL14" s="92" t="e">
        <f ca="1"/>
        <v>#NAME?</v>
      </c>
      <c r="BM14" s="92" t="e">
        <f ca="1"/>
        <v>#NAME?</v>
      </c>
      <c r="BN14" s="92" t="e">
        <f ca="1"/>
        <v>#NAME?</v>
      </c>
      <c r="BO14" s="92" t="e">
        <f ca="1"/>
        <v>#NAME?</v>
      </c>
      <c r="BP14" s="92" t="e">
        <f ca="1"/>
        <v>#NAME?</v>
      </c>
      <c r="BQ14" s="93" t="e">
        <f ca="1"/>
        <v>#NAME?</v>
      </c>
      <c r="BT14" t="str">
        <v>Friendly</v>
      </c>
      <c r="BU14" s="91" t="e">
        <f ca="1"/>
        <v>#NAME?</v>
      </c>
      <c r="BV14" s="92" t="e">
        <f ca="1"/>
        <v>#NAME?</v>
      </c>
      <c r="BW14" s="92" t="e">
        <f ca="1"/>
        <v>#NAME?</v>
      </c>
      <c r="BX14" s="92" t="e">
        <f ca="1"/>
        <v>#NAME?</v>
      </c>
      <c r="BY14" s="92" t="e">
        <f ca="1"/>
        <v>#NAME?</v>
      </c>
      <c r="BZ14" s="92" t="e">
        <f ca="1"/>
        <v>#NAME?</v>
      </c>
      <c r="CA14" s="92" t="e">
        <f ca="1"/>
        <v>#NAME?</v>
      </c>
      <c r="CB14" s="92" t="e">
        <f ca="1"/>
        <v>#NAME?</v>
      </c>
      <c r="CC14" s="93" t="e">
        <f ca="1"/>
        <v>#NAME?</v>
      </c>
      <c r="CF14" t="str">
        <v>Friendly</v>
      </c>
      <c r="CG14" s="91" t="e">
        <f ca="1"/>
        <v>#NAME?</v>
      </c>
      <c r="CH14" s="92" t="e">
        <f ca="1"/>
        <v>#NAME?</v>
      </c>
      <c r="CI14" s="92" t="e">
        <f ca="1"/>
        <v>#NAME?</v>
      </c>
      <c r="CJ14" s="92" t="e">
        <f ca="1"/>
        <v>#NAME?</v>
      </c>
      <c r="CK14" s="92" t="e">
        <f ca="1"/>
        <v>#NAME?</v>
      </c>
      <c r="CL14" s="92" t="e">
        <f ca="1"/>
        <v>#NAME?</v>
      </c>
      <c r="CM14" s="92" t="e">
        <f ca="1"/>
        <v>#NAME?</v>
      </c>
      <c r="CN14" s="92" t="e">
        <f ca="1"/>
        <v>#NAME?</v>
      </c>
      <c r="CO14" s="93" t="e">
        <f ca="1"/>
        <v>#NAME?</v>
      </c>
      <c r="CR14" t="str">
        <v>Friendly</v>
      </c>
      <c r="CS14" s="91" t="e">
        <f ca="1"/>
        <v>#NAME?</v>
      </c>
      <c r="CT14" s="92" t="e">
        <f ca="1"/>
        <v>#NAME?</v>
      </c>
      <c r="CU14" s="92" t="e">
        <f ca="1"/>
        <v>#NAME?</v>
      </c>
      <c r="CV14" s="92" t="e">
        <f ca="1"/>
        <v>#NAME?</v>
      </c>
      <c r="CW14" s="92" t="e">
        <f ca="1"/>
        <v>#NAME?</v>
      </c>
      <c r="CX14" s="92" t="e">
        <f ca="1"/>
        <v>#NAME?</v>
      </c>
      <c r="CY14" s="92" t="e">
        <f ca="1"/>
        <v>#NAME?</v>
      </c>
      <c r="CZ14" s="92" t="e">
        <f ca="1"/>
        <v>#NAME?</v>
      </c>
      <c r="DA14" s="93" t="e">
        <f ca="1"/>
        <v>#NAME?</v>
      </c>
      <c r="DD14" t="str">
        <v>Friendly</v>
      </c>
      <c r="DE14" s="91" t="e">
        <f ca="1"/>
        <v>#NAME?</v>
      </c>
      <c r="DF14" s="92" t="e">
        <f ca="1"/>
        <v>#NAME?</v>
      </c>
      <c r="DG14" s="92" t="e">
        <f ca="1"/>
        <v>#NAME?</v>
      </c>
      <c r="DH14" s="92" t="e">
        <f ca="1"/>
        <v>#NAME?</v>
      </c>
      <c r="DI14" s="92" t="e">
        <f ca="1"/>
        <v>#NAME?</v>
      </c>
      <c r="DJ14" s="92" t="e">
        <f ca="1"/>
        <v>#NAME?</v>
      </c>
      <c r="DK14" s="92" t="e">
        <f ca="1"/>
        <v>#NAME?</v>
      </c>
      <c r="DL14" s="92" t="e">
        <f ca="1"/>
        <v>#NAME?</v>
      </c>
      <c r="DM14" s="93" t="e">
        <f ca="1"/>
        <v>#NAME?</v>
      </c>
      <c r="DP14" t="str">
        <v>Friendly</v>
      </c>
      <c r="DQ14" s="91" t="e">
        <f ca="1"/>
        <v>#NAME?</v>
      </c>
      <c r="DR14" s="92" t="e">
        <f ca="1"/>
        <v>#NAME?</v>
      </c>
      <c r="DS14" s="92" t="e">
        <f ca="1"/>
        <v>#NAME?</v>
      </c>
      <c r="DT14" s="92" t="e">
        <f ca="1"/>
        <v>#NAME?</v>
      </c>
      <c r="DU14" s="92" t="e">
        <f ca="1"/>
        <v>#NAME?</v>
      </c>
      <c r="DV14" s="92" t="e">
        <f ca="1"/>
        <v>#NAME?</v>
      </c>
      <c r="DW14" s="92" t="e">
        <f ca="1"/>
        <v>#NAME?</v>
      </c>
      <c r="DX14" s="92" t="e">
        <f ca="1"/>
        <v>#NAME?</v>
      </c>
      <c r="DY14" s="93" t="e">
        <f ca="1"/>
        <v>#NAME?</v>
      </c>
      <c r="EB14" t="str">
        <v>Friendly</v>
      </c>
      <c r="EC14" s="91" t="e">
        <f ca="1"/>
        <v>#NAME?</v>
      </c>
      <c r="ED14" s="92" t="e">
        <f ca="1"/>
        <v>#NAME?</v>
      </c>
      <c r="EE14" s="92" t="e">
        <f ca="1"/>
        <v>#NAME?</v>
      </c>
      <c r="EF14" s="92" t="e">
        <f ca="1"/>
        <v>#NAME?</v>
      </c>
      <c r="EG14" s="92" t="e">
        <f ca="1"/>
        <v>#NAME?</v>
      </c>
      <c r="EH14" s="92" t="e">
        <f ca="1"/>
        <v>#NAME?</v>
      </c>
      <c r="EI14" s="92" t="e">
        <f ca="1"/>
        <v>#NAME?</v>
      </c>
      <c r="EJ14" s="92" t="e">
        <f ca="1"/>
        <v>#NAME?</v>
      </c>
      <c r="EK14" s="93" t="e">
        <f ca="1"/>
        <v>#NAME?</v>
      </c>
      <c r="EN14" t="str">
        <v>Friendly</v>
      </c>
      <c r="EO14" s="91" t="e">
        <f ca="1"/>
        <v>#NAME?</v>
      </c>
      <c r="EP14" s="92" t="e">
        <f ca="1"/>
        <v>#NAME?</v>
      </c>
      <c r="EQ14" s="92" t="e">
        <f ca="1"/>
        <v>#NAME?</v>
      </c>
      <c r="ER14" s="92" t="e">
        <f ca="1"/>
        <v>#NAME?</v>
      </c>
      <c r="ES14" s="92" t="e">
        <f ca="1"/>
        <v>#NAME?</v>
      </c>
      <c r="ET14" s="92" t="e">
        <f ca="1"/>
        <v>#NAME?</v>
      </c>
      <c r="EU14" s="92" t="e">
        <f ca="1"/>
        <v>#NAME?</v>
      </c>
      <c r="EV14" s="92" t="e">
        <f ca="1"/>
        <v>#NAME?</v>
      </c>
      <c r="EW14" s="93" t="e">
        <f ca="1"/>
        <v>#NAME?</v>
      </c>
      <c r="EZ14" t="str">
        <v>Friendly</v>
      </c>
      <c r="FA14" s="91" t="e">
        <f ca="1"/>
        <v>#NAME?</v>
      </c>
      <c r="FB14" s="92" t="e">
        <f ca="1"/>
        <v>#NAME?</v>
      </c>
      <c r="FC14" s="92" t="e">
        <f ca="1"/>
        <v>#NAME?</v>
      </c>
      <c r="FD14" s="92" t="e">
        <f ca="1"/>
        <v>#NAME?</v>
      </c>
      <c r="FE14" s="92" t="e">
        <f ca="1"/>
        <v>#NAME?</v>
      </c>
      <c r="FF14" s="92" t="e">
        <f ca="1"/>
        <v>#NAME?</v>
      </c>
      <c r="FG14" s="92" t="e">
        <f ca="1"/>
        <v>#NAME?</v>
      </c>
      <c r="FH14" s="92" t="e">
        <f ca="1"/>
        <v>#NAME?</v>
      </c>
      <c r="FI14" s="93" t="e">
        <f ca="1"/>
        <v>#NAME?</v>
      </c>
      <c r="FL14" t="str">
        <v>Friendly</v>
      </c>
      <c r="FM14" s="91" t="e">
        <f ca="1"/>
        <v>#NAME?</v>
      </c>
      <c r="FN14" s="92" t="e">
        <f ca="1"/>
        <v>#NAME?</v>
      </c>
      <c r="FO14" s="92" t="e">
        <f ca="1"/>
        <v>#NAME?</v>
      </c>
      <c r="FP14" s="92" t="e">
        <f ca="1"/>
        <v>#NAME?</v>
      </c>
      <c r="FQ14" s="92" t="e">
        <f ca="1"/>
        <v>#NAME?</v>
      </c>
      <c r="FR14" s="92" t="e">
        <f ca="1"/>
        <v>#NAME?</v>
      </c>
      <c r="FS14" s="92" t="e">
        <f ca="1"/>
        <v>#NAME?</v>
      </c>
      <c r="FT14" s="92" t="e">
        <f ca="1"/>
        <v>#NAME?</v>
      </c>
      <c r="FU14" s="93" t="e">
        <f ca="1"/>
        <v>#NAME?</v>
      </c>
      <c r="FX14" t="str">
        <v>Friendly</v>
      </c>
      <c r="FY14" s="91" t="e">
        <f ca="1"/>
        <v>#NAME?</v>
      </c>
      <c r="FZ14" s="92" t="e">
        <f ca="1"/>
        <v>#NAME?</v>
      </c>
      <c r="GA14" s="92" t="e">
        <f ca="1"/>
        <v>#NAME?</v>
      </c>
      <c r="GB14" s="92" t="e">
        <f ca="1"/>
        <v>#NAME?</v>
      </c>
      <c r="GC14" s="92" t="e">
        <f ca="1"/>
        <v>#NAME?</v>
      </c>
      <c r="GD14" s="92" t="e">
        <f ca="1"/>
        <v>#NAME?</v>
      </c>
      <c r="GE14" s="92" t="e">
        <f ca="1"/>
        <v>#NAME?</v>
      </c>
      <c r="GF14" s="92" t="e">
        <f ca="1"/>
        <v>#NAME?</v>
      </c>
      <c r="GG14" s="93" t="e">
        <f ca="1"/>
        <v>#NAME?</v>
      </c>
      <c r="GJ14" t="str">
        <v>Friendly</v>
      </c>
      <c r="GK14" s="91" t="e">
        <f ca="1"/>
        <v>#NAME?</v>
      </c>
      <c r="GL14" s="92" t="e">
        <f ca="1"/>
        <v>#NAME?</v>
      </c>
      <c r="GM14" s="92" t="e">
        <f ca="1"/>
        <v>#NAME?</v>
      </c>
      <c r="GN14" s="92" t="e">
        <f ca="1"/>
        <v>#NAME?</v>
      </c>
      <c r="GO14" s="92" t="e">
        <f ca="1"/>
        <v>#NAME?</v>
      </c>
      <c r="GP14" s="92" t="e">
        <f ca="1"/>
        <v>#NAME?</v>
      </c>
      <c r="GQ14" s="92" t="e">
        <f ca="1"/>
        <v>#NAME?</v>
      </c>
      <c r="GR14" s="92" t="e">
        <f ca="1"/>
        <v>#NAME?</v>
      </c>
      <c r="GS14" s="93" t="e">
        <f ca="1"/>
        <v>#NAME?</v>
      </c>
      <c r="GV14" t="str">
        <v>Friendly</v>
      </c>
      <c r="GW14" s="91" t="e">
        <f ca="1"/>
        <v>#NAME?</v>
      </c>
      <c r="GX14" s="92" t="e">
        <f ca="1"/>
        <v>#NAME?</v>
      </c>
      <c r="GY14" s="92" t="e">
        <f ca="1"/>
        <v>#NAME?</v>
      </c>
      <c r="GZ14" s="92" t="e">
        <f ca="1"/>
        <v>#NAME?</v>
      </c>
      <c r="HA14" s="92" t="e">
        <f ca="1"/>
        <v>#NAME?</v>
      </c>
      <c r="HB14" s="92" t="e">
        <f ca="1"/>
        <v>#NAME?</v>
      </c>
      <c r="HC14" s="92" t="e">
        <f ca="1"/>
        <v>#NAME?</v>
      </c>
      <c r="HD14" s="92" t="e">
        <f ca="1"/>
        <v>#NAME?</v>
      </c>
      <c r="HE14" s="93" t="e">
        <f ca="1"/>
        <v>#NAME?</v>
      </c>
      <c r="HH14" t="str">
        <v>Friendly</v>
      </c>
      <c r="HI14" s="91" t="e">
        <f ca="1"/>
        <v>#NAME?</v>
      </c>
      <c r="HJ14" s="92" t="e">
        <f ca="1"/>
        <v>#NAME?</v>
      </c>
      <c r="HK14" s="92" t="e">
        <f ca="1"/>
        <v>#NAME?</v>
      </c>
      <c r="HL14" s="92" t="e">
        <f ca="1"/>
        <v>#NAME?</v>
      </c>
      <c r="HM14" s="92" t="e">
        <f ca="1"/>
        <v>#NAME?</v>
      </c>
      <c r="HN14" s="92" t="e">
        <f ca="1"/>
        <v>#NAME?</v>
      </c>
      <c r="HO14" s="92" t="e">
        <f ca="1"/>
        <v>#NAME?</v>
      </c>
      <c r="HP14" s="92" t="e">
        <f ca="1"/>
        <v>#NAME?</v>
      </c>
      <c r="HQ14" s="93" t="e">
        <f ca="1"/>
        <v>#NAME?</v>
      </c>
      <c r="HT14" t="str">
        <v>Friendly</v>
      </c>
      <c r="HU14" s="91" t="e">
        <f ca="1"/>
        <v>#NAME?</v>
      </c>
      <c r="HV14" s="92" t="e">
        <f ca="1"/>
        <v>#NAME?</v>
      </c>
      <c r="HW14" s="92" t="e">
        <f ca="1"/>
        <v>#NAME?</v>
      </c>
      <c r="HX14" s="92" t="e">
        <f ca="1"/>
        <v>#NAME?</v>
      </c>
      <c r="HY14" s="92" t="e">
        <f ca="1"/>
        <v>#NAME?</v>
      </c>
      <c r="HZ14" s="92" t="e">
        <f ca="1"/>
        <v>#NAME?</v>
      </c>
      <c r="IA14" s="92" t="e">
        <f ca="1"/>
        <v>#NAME?</v>
      </c>
      <c r="IB14" s="92" t="e">
        <f ca="1"/>
        <v>#NAME?</v>
      </c>
      <c r="IC14" s="93" t="e">
        <f ca="1"/>
        <v>#NAME?</v>
      </c>
      <c r="IF14" t="str">
        <v>Friendly</v>
      </c>
      <c r="IG14" s="91" t="e">
        <f ca="1"/>
        <v>#NAME?</v>
      </c>
      <c r="IH14" s="92" t="e">
        <f ca="1"/>
        <v>#NAME?</v>
      </c>
      <c r="II14" s="92" t="e">
        <f ca="1"/>
        <v>#NAME?</v>
      </c>
      <c r="IJ14" s="92" t="e">
        <f ca="1"/>
        <v>#NAME?</v>
      </c>
      <c r="IK14" s="92" t="e">
        <f ca="1"/>
        <v>#NAME?</v>
      </c>
      <c r="IL14" s="92" t="e">
        <f ca="1"/>
        <v>#NAME?</v>
      </c>
      <c r="IM14" s="92" t="e">
        <f ca="1"/>
        <v>#NAME?</v>
      </c>
      <c r="IN14" s="92" t="e">
        <f ca="1"/>
        <v>#NAME?</v>
      </c>
      <c r="IO14" s="93" t="e">
        <f ca="1"/>
        <v>#NAME?</v>
      </c>
      <c r="IR14" t="str">
        <v>Friendly</v>
      </c>
      <c r="IS14" s="91" t="e">
        <f ca="1"/>
        <v>#NAME?</v>
      </c>
      <c r="IT14" s="92" t="e">
        <f ca="1"/>
        <v>#NAME?</v>
      </c>
      <c r="IU14" s="92" t="e">
        <f ca="1"/>
        <v>#NAME?</v>
      </c>
      <c r="IV14" s="92" t="e">
        <f ca="1"/>
        <v>#NAME?</v>
      </c>
      <c r="IW14" s="92" t="e">
        <f ca="1"/>
        <v>#NAME?</v>
      </c>
      <c r="IX14" s="92" t="e">
        <f ca="1"/>
        <v>#NAME?</v>
      </c>
      <c r="IY14" s="92" t="e">
        <f ca="1"/>
        <v>#NAME?</v>
      </c>
      <c r="IZ14" s="92" t="e">
        <f ca="1"/>
        <v>#NAME?</v>
      </c>
      <c r="JA14" s="93" t="e">
        <f ca="1"/>
        <v>#NAME?</v>
      </c>
      <c r="JD14" t="str">
        <v>Friendly</v>
      </c>
      <c r="JE14" s="91" t="e">
        <f ca="1"/>
        <v>#NAME?</v>
      </c>
      <c r="JF14" s="92" t="e">
        <f ca="1"/>
        <v>#NAME?</v>
      </c>
      <c r="JG14" s="92" t="e">
        <f ca="1"/>
        <v>#NAME?</v>
      </c>
      <c r="JH14" s="92" t="e">
        <f ca="1"/>
        <v>#NAME?</v>
      </c>
      <c r="JI14" s="92" t="e">
        <f ca="1"/>
        <v>#NAME?</v>
      </c>
      <c r="JJ14" s="92" t="e">
        <f ca="1"/>
        <v>#NAME?</v>
      </c>
      <c r="JK14" s="92" t="e">
        <f ca="1"/>
        <v>#NAME?</v>
      </c>
      <c r="JL14" s="92" t="e">
        <f ca="1"/>
        <v>#NAME?</v>
      </c>
      <c r="JM14" s="93" t="e">
        <f ca="1"/>
        <v>#NAME?</v>
      </c>
      <c r="JP14" t="str">
        <v>Friendly</v>
      </c>
      <c r="JQ14" s="91" t="e">
        <f ca="1"/>
        <v>#NAME?</v>
      </c>
      <c r="JR14" s="92" t="e">
        <f ca="1"/>
        <v>#NAME?</v>
      </c>
      <c r="JS14" s="92" t="e">
        <f ca="1"/>
        <v>#NAME?</v>
      </c>
      <c r="JT14" s="92" t="e">
        <f ca="1"/>
        <v>#NAME?</v>
      </c>
      <c r="JU14" s="92" t="e">
        <f ca="1"/>
        <v>#NAME?</v>
      </c>
      <c r="JV14" s="92" t="e">
        <f ca="1"/>
        <v>#NAME?</v>
      </c>
      <c r="JW14" s="92" t="e">
        <f ca="1"/>
        <v>#NAME?</v>
      </c>
      <c r="JX14" s="92" t="e">
        <f ca="1"/>
        <v>#NAME?</v>
      </c>
      <c r="JY14" s="93" t="e">
        <f ca="1"/>
        <v>#NAME?</v>
      </c>
      <c r="KB14" t="str">
        <v>Friendly</v>
      </c>
      <c r="KC14" s="91" t="e">
        <f ca="1"/>
        <v>#NAME?</v>
      </c>
      <c r="KD14" s="92" t="e">
        <f ca="1"/>
        <v>#NAME?</v>
      </c>
      <c r="KE14" s="92" t="e">
        <f ca="1"/>
        <v>#NAME?</v>
      </c>
      <c r="KF14" s="92" t="e">
        <f ca="1"/>
        <v>#NAME?</v>
      </c>
      <c r="KG14" s="92" t="e">
        <f ca="1"/>
        <v>#NAME?</v>
      </c>
      <c r="KH14" s="92" t="e">
        <f ca="1"/>
        <v>#NAME?</v>
      </c>
      <c r="KI14" s="92" t="e">
        <f ca="1"/>
        <v>#NAME?</v>
      </c>
      <c r="KJ14" s="92" t="e">
        <f ca="1"/>
        <v>#NAME?</v>
      </c>
      <c r="KK14" s="93" t="e">
        <f ca="1"/>
        <v>#NAME?</v>
      </c>
      <c r="KN14" t="str">
        <v>Friendly</v>
      </c>
      <c r="KO14" s="91" t="e">
        <f ca="1"/>
        <v>#NAME?</v>
      </c>
      <c r="KP14" s="92" t="e">
        <f ca="1"/>
        <v>#NAME?</v>
      </c>
      <c r="KQ14" s="92" t="e">
        <f ca="1"/>
        <v>#NAME?</v>
      </c>
      <c r="KR14" s="92" t="e">
        <f ca="1"/>
        <v>#NAME?</v>
      </c>
      <c r="KS14" s="92" t="e">
        <f ca="1"/>
        <v>#NAME?</v>
      </c>
      <c r="KT14" s="92" t="e">
        <f ca="1"/>
        <v>#NAME?</v>
      </c>
      <c r="KU14" s="92" t="e">
        <f ca="1"/>
        <v>#NAME?</v>
      </c>
      <c r="KV14" s="92" t="e">
        <f ca="1"/>
        <v>#NAME?</v>
      </c>
      <c r="KW14" s="93" t="e">
        <f ca="1"/>
        <v>#NAME?</v>
      </c>
      <c r="KZ14" t="str">
        <v>Friendly</v>
      </c>
      <c r="LA14" s="91" t="e">
        <f ca="1"/>
        <v>#NAME?</v>
      </c>
      <c r="LB14" s="92" t="e">
        <f ca="1"/>
        <v>#NAME?</v>
      </c>
      <c r="LC14" s="92" t="e">
        <f ca="1"/>
        <v>#NAME?</v>
      </c>
      <c r="LD14" s="92" t="e">
        <f ca="1"/>
        <v>#NAME?</v>
      </c>
      <c r="LE14" s="92" t="e">
        <f ca="1"/>
        <v>#NAME?</v>
      </c>
      <c r="LF14" s="92" t="e">
        <f ca="1"/>
        <v>#NAME?</v>
      </c>
      <c r="LG14" s="92" t="e">
        <f ca="1"/>
        <v>#NAME?</v>
      </c>
      <c r="LH14" s="92" t="e">
        <f ca="1"/>
        <v>#NAME?</v>
      </c>
      <c r="LI14" s="93" t="e">
        <f ca="1"/>
        <v>#NAME?</v>
      </c>
      <c r="LL14" t="str">
        <v>Friendly</v>
      </c>
      <c r="LM14" s="91" t="e">
        <f ca="1"/>
        <v>#NAME?</v>
      </c>
      <c r="LN14" s="92" t="e">
        <f ca="1"/>
        <v>#NAME?</v>
      </c>
      <c r="LO14" s="92" t="e">
        <f ca="1"/>
        <v>#NAME?</v>
      </c>
      <c r="LP14" s="92" t="e">
        <f ca="1"/>
        <v>#NAME?</v>
      </c>
      <c r="LQ14" s="92" t="e">
        <f ca="1"/>
        <v>#NAME?</v>
      </c>
      <c r="LR14" s="92" t="e">
        <f ca="1"/>
        <v>#NAME?</v>
      </c>
      <c r="LS14" s="92" t="e">
        <f ca="1"/>
        <v>#NAME?</v>
      </c>
      <c r="LT14" s="92" t="e">
        <f ca="1"/>
        <v>#NAME?</v>
      </c>
      <c r="LU14" s="93" t="e">
        <f ca="1"/>
        <v>#NAME?</v>
      </c>
      <c r="LX14" t="str">
        <v>Friendly</v>
      </c>
      <c r="LY14" s="91" t="e">
        <f ca="1"/>
        <v>#NAME?</v>
      </c>
      <c r="LZ14" s="92" t="e">
        <f ca="1"/>
        <v>#NAME?</v>
      </c>
      <c r="MA14" s="92" t="e">
        <f ca="1"/>
        <v>#NAME?</v>
      </c>
      <c r="MB14" s="92" t="e">
        <f ca="1"/>
        <v>#NAME?</v>
      </c>
      <c r="MC14" s="92" t="e">
        <f ca="1"/>
        <v>#NAME?</v>
      </c>
      <c r="MD14" s="92" t="e">
        <f ca="1"/>
        <v>#NAME?</v>
      </c>
      <c r="ME14" s="92" t="e">
        <f ca="1"/>
        <v>#NAME?</v>
      </c>
      <c r="MF14" s="92" t="e">
        <f ca="1"/>
        <v>#NAME?</v>
      </c>
      <c r="MG14" s="93" t="e">
        <f ca="1"/>
        <v>#NAME?</v>
      </c>
      <c r="MJ14" t="str">
        <v>Friendly</v>
      </c>
      <c r="MK14" s="91" t="e">
        <f ca="1"/>
        <v>#NAME?</v>
      </c>
      <c r="ML14" s="92" t="e">
        <f ca="1"/>
        <v>#NAME?</v>
      </c>
      <c r="MM14" s="92" t="e">
        <f ca="1"/>
        <v>#NAME?</v>
      </c>
      <c r="MN14" s="92" t="e">
        <f ca="1"/>
        <v>#NAME?</v>
      </c>
      <c r="MO14" s="92" t="e">
        <f ca="1"/>
        <v>#NAME?</v>
      </c>
      <c r="MP14" s="92" t="e">
        <f ca="1"/>
        <v>#NAME?</v>
      </c>
      <c r="MQ14" s="92" t="e">
        <f ca="1"/>
        <v>#NAME?</v>
      </c>
      <c r="MR14" s="92" t="e">
        <f ca="1"/>
        <v>#NAME?</v>
      </c>
      <c r="MS14" s="93" t="e">
        <f ca="1"/>
        <v>#NAME?</v>
      </c>
    </row>
    <row r="15" spans="1:357" x14ac:dyDescent="0.3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</row>
    <row r="16" spans="1:357" x14ac:dyDescent="0.3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</row>
    <row r="17" spans="1:358" x14ac:dyDescent="0.3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X17" t="s">
        <v>417</v>
      </c>
      <c r="AJ17" t="s">
        <v>417</v>
      </c>
      <c r="AV17" t="s">
        <v>417</v>
      </c>
      <c r="BH17" t="s">
        <v>417</v>
      </c>
      <c r="BT17" t="s">
        <v>417</v>
      </c>
      <c r="CF17" t="s">
        <v>417</v>
      </c>
      <c r="CR17" t="s">
        <v>417</v>
      </c>
      <c r="DD17" t="s">
        <v>417</v>
      </c>
      <c r="DP17" t="s">
        <v>417</v>
      </c>
      <c r="EB17" t="s">
        <v>417</v>
      </c>
      <c r="EN17" t="s">
        <v>417</v>
      </c>
      <c r="EZ17" t="s">
        <v>417</v>
      </c>
      <c r="FL17" t="s">
        <v>417</v>
      </c>
      <c r="FX17" t="s">
        <v>417</v>
      </c>
      <c r="GJ17" t="s">
        <v>417</v>
      </c>
      <c r="GV17" t="s">
        <v>417</v>
      </c>
      <c r="HH17" t="s">
        <v>417</v>
      </c>
      <c r="HT17" t="s">
        <v>417</v>
      </c>
      <c r="IF17" t="s">
        <v>417</v>
      </c>
      <c r="IR17" t="s">
        <v>417</v>
      </c>
      <c r="JD17" t="s">
        <v>417</v>
      </c>
      <c r="JP17" t="s">
        <v>417</v>
      </c>
      <c r="KB17" t="s">
        <v>417</v>
      </c>
      <c r="KN17" t="s">
        <v>417</v>
      </c>
      <c r="KZ17" t="s">
        <v>417</v>
      </c>
      <c r="LL17" t="s">
        <v>417</v>
      </c>
      <c r="LX17" t="s">
        <v>417</v>
      </c>
      <c r="MJ17" t="s">
        <v>417</v>
      </c>
    </row>
    <row r="18" spans="1:358" x14ac:dyDescent="0.3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</row>
    <row r="19" spans="1:358" x14ac:dyDescent="0.3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Y19" s="191" t="e">
        <f t="array" aca="1" ref="Y19:AG28" ca="1">eVECTORS(Y6:AG14,200,FALSE)</f>
        <v>#NAME?</v>
      </c>
      <c r="Z19" s="192" t="e">
        <f ca="1"/>
        <v>#NAME?</v>
      </c>
      <c r="AA19" s="192" t="e">
        <f ca="1"/>
        <v>#NAME?</v>
      </c>
      <c r="AB19" s="192" t="e">
        <f ca="1"/>
        <v>#NAME?</v>
      </c>
      <c r="AC19" s="192" t="e">
        <f ca="1"/>
        <v>#NAME?</v>
      </c>
      <c r="AD19" s="192" t="e">
        <f ca="1"/>
        <v>#NAME?</v>
      </c>
      <c r="AE19" s="192" t="e">
        <f ca="1"/>
        <v>#NAME?</v>
      </c>
      <c r="AF19" s="192" t="e">
        <f ca="1"/>
        <v>#NAME?</v>
      </c>
      <c r="AG19" s="193" t="e">
        <f ca="1"/>
        <v>#NAME?</v>
      </c>
      <c r="AK19" s="191" t="e">
        <f t="array" aca="1" ref="AK19:AS28" ca="1">eVECTORS(AK6:AS14,200,FALSE)</f>
        <v>#NAME?</v>
      </c>
      <c r="AL19" s="192" t="e">
        <f ca="1"/>
        <v>#NAME?</v>
      </c>
      <c r="AM19" s="192" t="e">
        <f ca="1"/>
        <v>#NAME?</v>
      </c>
      <c r="AN19" s="192" t="e">
        <f ca="1"/>
        <v>#NAME?</v>
      </c>
      <c r="AO19" s="192" t="e">
        <f ca="1"/>
        <v>#NAME?</v>
      </c>
      <c r="AP19" s="192" t="e">
        <f ca="1"/>
        <v>#NAME?</v>
      </c>
      <c r="AQ19" s="192" t="e">
        <f ca="1"/>
        <v>#NAME?</v>
      </c>
      <c r="AR19" s="192" t="e">
        <f ca="1"/>
        <v>#NAME?</v>
      </c>
      <c r="AS19" s="193" t="e">
        <f ca="1"/>
        <v>#NAME?</v>
      </c>
      <c r="AW19" s="191" t="e">
        <f t="array" aca="1" ref="AW19:BE28" ca="1">eVECTORS(AW6:BE14,200,FALSE)</f>
        <v>#NAME?</v>
      </c>
      <c r="AX19" s="192" t="e">
        <f ca="1"/>
        <v>#NAME?</v>
      </c>
      <c r="AY19" s="192" t="e">
        <f ca="1"/>
        <v>#NAME?</v>
      </c>
      <c r="AZ19" s="192" t="e">
        <f ca="1"/>
        <v>#NAME?</v>
      </c>
      <c r="BA19" s="192" t="e">
        <f ca="1"/>
        <v>#NAME?</v>
      </c>
      <c r="BB19" s="192" t="e">
        <f ca="1"/>
        <v>#NAME?</v>
      </c>
      <c r="BC19" s="192" t="e">
        <f ca="1"/>
        <v>#NAME?</v>
      </c>
      <c r="BD19" s="192" t="e">
        <f ca="1"/>
        <v>#NAME?</v>
      </c>
      <c r="BE19" s="193" t="e">
        <f ca="1"/>
        <v>#NAME?</v>
      </c>
      <c r="BI19" s="191" t="e">
        <f t="array" aca="1" ref="BI19:BQ28" ca="1">eVECTORS(BI6:BQ14,200,FALSE)</f>
        <v>#NAME?</v>
      </c>
      <c r="BJ19" s="192" t="e">
        <f ca="1"/>
        <v>#NAME?</v>
      </c>
      <c r="BK19" s="192" t="e">
        <f ca="1"/>
        <v>#NAME?</v>
      </c>
      <c r="BL19" s="192" t="e">
        <f ca="1"/>
        <v>#NAME?</v>
      </c>
      <c r="BM19" s="192" t="e">
        <f ca="1"/>
        <v>#NAME?</v>
      </c>
      <c r="BN19" s="192" t="e">
        <f ca="1"/>
        <v>#NAME?</v>
      </c>
      <c r="BO19" s="192" t="e">
        <f ca="1"/>
        <v>#NAME?</v>
      </c>
      <c r="BP19" s="192" t="e">
        <f ca="1"/>
        <v>#NAME?</v>
      </c>
      <c r="BQ19" s="193" t="e">
        <f ca="1"/>
        <v>#NAME?</v>
      </c>
      <c r="BU19" s="191" t="e">
        <f t="array" aca="1" ref="BU19:CC28" ca="1">eVECTORS(BU6:CC14,200,FALSE)</f>
        <v>#NAME?</v>
      </c>
      <c r="BV19" s="192" t="e">
        <f ca="1"/>
        <v>#NAME?</v>
      </c>
      <c r="BW19" s="192" t="e">
        <f ca="1"/>
        <v>#NAME?</v>
      </c>
      <c r="BX19" s="192" t="e">
        <f ca="1"/>
        <v>#NAME?</v>
      </c>
      <c r="BY19" s="192" t="e">
        <f ca="1"/>
        <v>#NAME?</v>
      </c>
      <c r="BZ19" s="192" t="e">
        <f ca="1"/>
        <v>#NAME?</v>
      </c>
      <c r="CA19" s="192" t="e">
        <f ca="1"/>
        <v>#NAME?</v>
      </c>
      <c r="CB19" s="192" t="e">
        <f ca="1"/>
        <v>#NAME?</v>
      </c>
      <c r="CC19" s="193" t="e">
        <f ca="1"/>
        <v>#NAME?</v>
      </c>
      <c r="CG19" s="191" t="e">
        <f t="array" aca="1" ref="CG19:CO28" ca="1">eVECTORS(CG6:CO14,200,FALSE)</f>
        <v>#NAME?</v>
      </c>
      <c r="CH19" s="192" t="e">
        <f ca="1"/>
        <v>#NAME?</v>
      </c>
      <c r="CI19" s="192" t="e">
        <f ca="1"/>
        <v>#NAME?</v>
      </c>
      <c r="CJ19" s="192" t="e">
        <f ca="1"/>
        <v>#NAME?</v>
      </c>
      <c r="CK19" s="192" t="e">
        <f ca="1"/>
        <v>#NAME?</v>
      </c>
      <c r="CL19" s="192" t="e">
        <f ca="1"/>
        <v>#NAME?</v>
      </c>
      <c r="CM19" s="192" t="e">
        <f ca="1"/>
        <v>#NAME?</v>
      </c>
      <c r="CN19" s="192" t="e">
        <f ca="1"/>
        <v>#NAME?</v>
      </c>
      <c r="CO19" s="193" t="e">
        <f ca="1"/>
        <v>#NAME?</v>
      </c>
      <c r="CS19" s="191" t="e">
        <f t="array" aca="1" ref="CS19:DA28" ca="1">eVECTORS(CS6:DA14,200,FALSE)</f>
        <v>#NAME?</v>
      </c>
      <c r="CT19" s="192" t="e">
        <f ca="1"/>
        <v>#NAME?</v>
      </c>
      <c r="CU19" s="192" t="e">
        <f ca="1"/>
        <v>#NAME?</v>
      </c>
      <c r="CV19" s="192" t="e">
        <f ca="1"/>
        <v>#NAME?</v>
      </c>
      <c r="CW19" s="192" t="e">
        <f ca="1"/>
        <v>#NAME?</v>
      </c>
      <c r="CX19" s="192" t="e">
        <f ca="1"/>
        <v>#NAME?</v>
      </c>
      <c r="CY19" s="192" t="e">
        <f ca="1"/>
        <v>#NAME?</v>
      </c>
      <c r="CZ19" s="192" t="e">
        <f ca="1"/>
        <v>#NAME?</v>
      </c>
      <c r="DA19" s="193" t="e">
        <f ca="1"/>
        <v>#NAME?</v>
      </c>
      <c r="DE19" s="191" t="e">
        <f t="array" aca="1" ref="DE19:DM28" ca="1">eVECTORS(DE6:DM14,200,FALSE)</f>
        <v>#NAME?</v>
      </c>
      <c r="DF19" s="192" t="e">
        <f ca="1"/>
        <v>#NAME?</v>
      </c>
      <c r="DG19" s="192" t="e">
        <f ca="1"/>
        <v>#NAME?</v>
      </c>
      <c r="DH19" s="192" t="e">
        <f ca="1"/>
        <v>#NAME?</v>
      </c>
      <c r="DI19" s="192" t="e">
        <f ca="1"/>
        <v>#NAME?</v>
      </c>
      <c r="DJ19" s="192" t="e">
        <f ca="1"/>
        <v>#NAME?</v>
      </c>
      <c r="DK19" s="192" t="e">
        <f ca="1"/>
        <v>#NAME?</v>
      </c>
      <c r="DL19" s="192" t="e">
        <f ca="1"/>
        <v>#NAME?</v>
      </c>
      <c r="DM19" s="193" t="e">
        <f ca="1"/>
        <v>#NAME?</v>
      </c>
      <c r="DQ19" s="191" t="e">
        <f t="array" aca="1" ref="DQ19:DY28" ca="1">eVECTORS(DQ6:DY14,200,FALSE)</f>
        <v>#NAME?</v>
      </c>
      <c r="DR19" s="192" t="e">
        <f ca="1"/>
        <v>#NAME?</v>
      </c>
      <c r="DS19" s="192" t="e">
        <f ca="1"/>
        <v>#NAME?</v>
      </c>
      <c r="DT19" s="192" t="e">
        <f ca="1"/>
        <v>#NAME?</v>
      </c>
      <c r="DU19" s="192" t="e">
        <f ca="1"/>
        <v>#NAME?</v>
      </c>
      <c r="DV19" s="192" t="e">
        <f ca="1"/>
        <v>#NAME?</v>
      </c>
      <c r="DW19" s="192" t="e">
        <f ca="1"/>
        <v>#NAME?</v>
      </c>
      <c r="DX19" s="192" t="e">
        <f ca="1"/>
        <v>#NAME?</v>
      </c>
      <c r="DY19" s="193" t="e">
        <f ca="1"/>
        <v>#NAME?</v>
      </c>
      <c r="EC19" s="191" t="e">
        <f t="array" aca="1" ref="EC19:EK28" ca="1">eVECTORS(EC6:EK14,200,FALSE)</f>
        <v>#NAME?</v>
      </c>
      <c r="ED19" s="192" t="e">
        <f ca="1"/>
        <v>#NAME?</v>
      </c>
      <c r="EE19" s="192" t="e">
        <f ca="1"/>
        <v>#NAME?</v>
      </c>
      <c r="EF19" s="192" t="e">
        <f ca="1"/>
        <v>#NAME?</v>
      </c>
      <c r="EG19" s="192" t="e">
        <f ca="1"/>
        <v>#NAME?</v>
      </c>
      <c r="EH19" s="192" t="e">
        <f ca="1"/>
        <v>#NAME?</v>
      </c>
      <c r="EI19" s="192" t="e">
        <f ca="1"/>
        <v>#NAME?</v>
      </c>
      <c r="EJ19" s="192" t="e">
        <f ca="1"/>
        <v>#NAME?</v>
      </c>
      <c r="EK19" s="193" t="e">
        <f ca="1"/>
        <v>#NAME?</v>
      </c>
      <c r="EO19" s="191" t="e">
        <f t="array" aca="1" ref="EO19:EW28" ca="1">eVECTORS(EO6:EW14,200,FALSE)</f>
        <v>#NAME?</v>
      </c>
      <c r="EP19" s="192" t="e">
        <f ca="1"/>
        <v>#NAME?</v>
      </c>
      <c r="EQ19" s="192" t="e">
        <f ca="1"/>
        <v>#NAME?</v>
      </c>
      <c r="ER19" s="192" t="e">
        <f ca="1"/>
        <v>#NAME?</v>
      </c>
      <c r="ES19" s="192" t="e">
        <f ca="1"/>
        <v>#NAME?</v>
      </c>
      <c r="ET19" s="192" t="e">
        <f ca="1"/>
        <v>#NAME?</v>
      </c>
      <c r="EU19" s="192" t="e">
        <f ca="1"/>
        <v>#NAME?</v>
      </c>
      <c r="EV19" s="192" t="e">
        <f ca="1"/>
        <v>#NAME?</v>
      </c>
      <c r="EW19" s="193" t="e">
        <f ca="1"/>
        <v>#NAME?</v>
      </c>
      <c r="FA19" s="191" t="e">
        <f t="array" aca="1" ref="FA19:FI28" ca="1">eVECTORS(FA6:FI14,200,FALSE)</f>
        <v>#NAME?</v>
      </c>
      <c r="FB19" s="192" t="e">
        <f ca="1"/>
        <v>#NAME?</v>
      </c>
      <c r="FC19" s="192" t="e">
        <f ca="1"/>
        <v>#NAME?</v>
      </c>
      <c r="FD19" s="192" t="e">
        <f ca="1"/>
        <v>#NAME?</v>
      </c>
      <c r="FE19" s="192" t="e">
        <f ca="1"/>
        <v>#NAME?</v>
      </c>
      <c r="FF19" s="192" t="e">
        <f ca="1"/>
        <v>#NAME?</v>
      </c>
      <c r="FG19" s="192" t="e">
        <f ca="1"/>
        <v>#NAME?</v>
      </c>
      <c r="FH19" s="192" t="e">
        <f ca="1"/>
        <v>#NAME?</v>
      </c>
      <c r="FI19" s="193" t="e">
        <f ca="1"/>
        <v>#NAME?</v>
      </c>
      <c r="FM19" s="191" t="e">
        <f t="array" aca="1" ref="FM19:FU28" ca="1">eVECTORS(FM6:FU14,200,FALSE)</f>
        <v>#NAME?</v>
      </c>
      <c r="FN19" s="192" t="e">
        <f ca="1"/>
        <v>#NAME?</v>
      </c>
      <c r="FO19" s="192" t="e">
        <f ca="1"/>
        <v>#NAME?</v>
      </c>
      <c r="FP19" s="192" t="e">
        <f ca="1"/>
        <v>#NAME?</v>
      </c>
      <c r="FQ19" s="192" t="e">
        <f ca="1"/>
        <v>#NAME?</v>
      </c>
      <c r="FR19" s="192" t="e">
        <f ca="1"/>
        <v>#NAME?</v>
      </c>
      <c r="FS19" s="192" t="e">
        <f ca="1"/>
        <v>#NAME?</v>
      </c>
      <c r="FT19" s="192" t="e">
        <f ca="1"/>
        <v>#NAME?</v>
      </c>
      <c r="FU19" s="193" t="e">
        <f ca="1"/>
        <v>#NAME?</v>
      </c>
      <c r="FY19" s="191" t="e">
        <f t="array" aca="1" ref="FY19:GG28" ca="1">eVECTORS(FY6:GG14,200,FALSE)</f>
        <v>#NAME?</v>
      </c>
      <c r="FZ19" s="192" t="e">
        <f ca="1"/>
        <v>#NAME?</v>
      </c>
      <c r="GA19" s="192" t="e">
        <f ca="1"/>
        <v>#NAME?</v>
      </c>
      <c r="GB19" s="192" t="e">
        <f ca="1"/>
        <v>#NAME?</v>
      </c>
      <c r="GC19" s="192" t="e">
        <f ca="1"/>
        <v>#NAME?</v>
      </c>
      <c r="GD19" s="192" t="e">
        <f ca="1"/>
        <v>#NAME?</v>
      </c>
      <c r="GE19" s="192" t="e">
        <f ca="1"/>
        <v>#NAME?</v>
      </c>
      <c r="GF19" s="192" t="e">
        <f ca="1"/>
        <v>#NAME?</v>
      </c>
      <c r="GG19" s="193" t="e">
        <f ca="1"/>
        <v>#NAME?</v>
      </c>
      <c r="GK19" s="191" t="e">
        <f t="array" aca="1" ref="GK19:GS28" ca="1">eVECTORS(GK6:GS14,200,FALSE)</f>
        <v>#NAME?</v>
      </c>
      <c r="GL19" s="192" t="e">
        <f ca="1"/>
        <v>#NAME?</v>
      </c>
      <c r="GM19" s="192" t="e">
        <f ca="1"/>
        <v>#NAME?</v>
      </c>
      <c r="GN19" s="192" t="e">
        <f ca="1"/>
        <v>#NAME?</v>
      </c>
      <c r="GO19" s="192" t="e">
        <f ca="1"/>
        <v>#NAME?</v>
      </c>
      <c r="GP19" s="192" t="e">
        <f ca="1"/>
        <v>#NAME?</v>
      </c>
      <c r="GQ19" s="192" t="e">
        <f ca="1"/>
        <v>#NAME?</v>
      </c>
      <c r="GR19" s="192" t="e">
        <f ca="1"/>
        <v>#NAME?</v>
      </c>
      <c r="GS19" s="193" t="e">
        <f ca="1"/>
        <v>#NAME?</v>
      </c>
      <c r="GW19" s="191" t="e">
        <f t="array" aca="1" ref="GW19:HE28" ca="1">eVECTORS(GW6:HE14,200,FALSE)</f>
        <v>#NAME?</v>
      </c>
      <c r="GX19" s="192" t="e">
        <f ca="1"/>
        <v>#NAME?</v>
      </c>
      <c r="GY19" s="192" t="e">
        <f ca="1"/>
        <v>#NAME?</v>
      </c>
      <c r="GZ19" s="192" t="e">
        <f ca="1"/>
        <v>#NAME?</v>
      </c>
      <c r="HA19" s="192" t="e">
        <f ca="1"/>
        <v>#NAME?</v>
      </c>
      <c r="HB19" s="192" t="e">
        <f ca="1"/>
        <v>#NAME?</v>
      </c>
      <c r="HC19" s="192" t="e">
        <f ca="1"/>
        <v>#NAME?</v>
      </c>
      <c r="HD19" s="192" t="e">
        <f ca="1"/>
        <v>#NAME?</v>
      </c>
      <c r="HE19" s="193" t="e">
        <f ca="1"/>
        <v>#NAME?</v>
      </c>
      <c r="HI19" s="191" t="e">
        <f t="array" aca="1" ref="HI19:HQ28" ca="1">eVECTORS(HI6:HQ14,200,FALSE)</f>
        <v>#NAME?</v>
      </c>
      <c r="HJ19" s="192" t="e">
        <f ca="1"/>
        <v>#NAME?</v>
      </c>
      <c r="HK19" s="192" t="e">
        <f ca="1"/>
        <v>#NAME?</v>
      </c>
      <c r="HL19" s="192" t="e">
        <f ca="1"/>
        <v>#NAME?</v>
      </c>
      <c r="HM19" s="192" t="e">
        <f ca="1"/>
        <v>#NAME?</v>
      </c>
      <c r="HN19" s="192" t="e">
        <f ca="1"/>
        <v>#NAME?</v>
      </c>
      <c r="HO19" s="192" t="e">
        <f ca="1"/>
        <v>#NAME?</v>
      </c>
      <c r="HP19" s="192" t="e">
        <f ca="1"/>
        <v>#NAME?</v>
      </c>
      <c r="HQ19" s="193" t="e">
        <f ca="1"/>
        <v>#NAME?</v>
      </c>
      <c r="HU19" s="191" t="e">
        <f t="array" aca="1" ref="HU19:IC28" ca="1">eVECTORS(HU6:IC14,200,FALSE)</f>
        <v>#NAME?</v>
      </c>
      <c r="HV19" s="192" t="e">
        <f ca="1"/>
        <v>#NAME?</v>
      </c>
      <c r="HW19" s="192" t="e">
        <f ca="1"/>
        <v>#NAME?</v>
      </c>
      <c r="HX19" s="192" t="e">
        <f ca="1"/>
        <v>#NAME?</v>
      </c>
      <c r="HY19" s="192" t="e">
        <f ca="1"/>
        <v>#NAME?</v>
      </c>
      <c r="HZ19" s="192" t="e">
        <f ca="1"/>
        <v>#NAME?</v>
      </c>
      <c r="IA19" s="192" t="e">
        <f ca="1"/>
        <v>#NAME?</v>
      </c>
      <c r="IB19" s="192" t="e">
        <f ca="1"/>
        <v>#NAME?</v>
      </c>
      <c r="IC19" s="193" t="e">
        <f ca="1"/>
        <v>#NAME?</v>
      </c>
      <c r="IG19" s="191" t="e">
        <f t="array" aca="1" ref="IG19:IO28" ca="1">eVECTORS(IG6:IO14,200,FALSE)</f>
        <v>#NAME?</v>
      </c>
      <c r="IH19" s="192" t="e">
        <f ca="1"/>
        <v>#NAME?</v>
      </c>
      <c r="II19" s="192" t="e">
        <f ca="1"/>
        <v>#NAME?</v>
      </c>
      <c r="IJ19" s="192" t="e">
        <f ca="1"/>
        <v>#NAME?</v>
      </c>
      <c r="IK19" s="192" t="e">
        <f ca="1"/>
        <v>#NAME?</v>
      </c>
      <c r="IL19" s="192" t="e">
        <f ca="1"/>
        <v>#NAME?</v>
      </c>
      <c r="IM19" s="192" t="e">
        <f ca="1"/>
        <v>#NAME?</v>
      </c>
      <c r="IN19" s="192" t="e">
        <f ca="1"/>
        <v>#NAME?</v>
      </c>
      <c r="IO19" s="193" t="e">
        <f ca="1"/>
        <v>#NAME?</v>
      </c>
      <c r="IS19" s="191" t="e">
        <f t="array" aca="1" ref="IS19:JA28" ca="1">eVECTORS(IS6:JA14,200,FALSE)</f>
        <v>#NAME?</v>
      </c>
      <c r="IT19" s="192" t="e">
        <f ca="1"/>
        <v>#NAME?</v>
      </c>
      <c r="IU19" s="192" t="e">
        <f ca="1"/>
        <v>#NAME?</v>
      </c>
      <c r="IV19" s="192" t="e">
        <f ca="1"/>
        <v>#NAME?</v>
      </c>
      <c r="IW19" s="192" t="e">
        <f ca="1"/>
        <v>#NAME?</v>
      </c>
      <c r="IX19" s="192" t="e">
        <f ca="1"/>
        <v>#NAME?</v>
      </c>
      <c r="IY19" s="192" t="e">
        <f ca="1"/>
        <v>#NAME?</v>
      </c>
      <c r="IZ19" s="192" t="e">
        <f ca="1"/>
        <v>#NAME?</v>
      </c>
      <c r="JA19" s="193" t="e">
        <f ca="1"/>
        <v>#NAME?</v>
      </c>
      <c r="JE19" s="191" t="e">
        <f t="array" aca="1" ref="JE19:JM28" ca="1">eVECTORS(JE6:JM14,200,FALSE)</f>
        <v>#NAME?</v>
      </c>
      <c r="JF19" s="192" t="e">
        <f ca="1"/>
        <v>#NAME?</v>
      </c>
      <c r="JG19" s="192" t="e">
        <f ca="1"/>
        <v>#NAME?</v>
      </c>
      <c r="JH19" s="192" t="e">
        <f ca="1"/>
        <v>#NAME?</v>
      </c>
      <c r="JI19" s="192" t="e">
        <f ca="1"/>
        <v>#NAME?</v>
      </c>
      <c r="JJ19" s="192" t="e">
        <f ca="1"/>
        <v>#NAME?</v>
      </c>
      <c r="JK19" s="192" t="e">
        <f ca="1"/>
        <v>#NAME?</v>
      </c>
      <c r="JL19" s="192" t="e">
        <f ca="1"/>
        <v>#NAME?</v>
      </c>
      <c r="JM19" s="193" t="e">
        <f ca="1"/>
        <v>#NAME?</v>
      </c>
      <c r="JQ19" s="191" t="e">
        <f t="array" aca="1" ref="JQ19:JY28" ca="1">eVECTORS(JQ6:JY14,200,FALSE)</f>
        <v>#NAME?</v>
      </c>
      <c r="JR19" s="192" t="e">
        <f ca="1"/>
        <v>#NAME?</v>
      </c>
      <c r="JS19" s="192" t="e">
        <f ca="1"/>
        <v>#NAME?</v>
      </c>
      <c r="JT19" s="192" t="e">
        <f ca="1"/>
        <v>#NAME?</v>
      </c>
      <c r="JU19" s="192" t="e">
        <f ca="1"/>
        <v>#NAME?</v>
      </c>
      <c r="JV19" s="192" t="e">
        <f ca="1"/>
        <v>#NAME?</v>
      </c>
      <c r="JW19" s="192" t="e">
        <f ca="1"/>
        <v>#NAME?</v>
      </c>
      <c r="JX19" s="192" t="e">
        <f ca="1"/>
        <v>#NAME?</v>
      </c>
      <c r="JY19" s="193" t="e">
        <f ca="1"/>
        <v>#NAME?</v>
      </c>
      <c r="KC19" s="191" t="e">
        <f t="array" aca="1" ref="KC19:KK28" ca="1">eVECTORS(KC6:KK14,200,FALSE)</f>
        <v>#NAME?</v>
      </c>
      <c r="KD19" s="192" t="e">
        <f ca="1"/>
        <v>#NAME?</v>
      </c>
      <c r="KE19" s="192" t="e">
        <f ca="1"/>
        <v>#NAME?</v>
      </c>
      <c r="KF19" s="192" t="e">
        <f ca="1"/>
        <v>#NAME?</v>
      </c>
      <c r="KG19" s="192" t="e">
        <f ca="1"/>
        <v>#NAME?</v>
      </c>
      <c r="KH19" s="192" t="e">
        <f ca="1"/>
        <v>#NAME?</v>
      </c>
      <c r="KI19" s="192" t="e">
        <f ca="1"/>
        <v>#NAME?</v>
      </c>
      <c r="KJ19" s="192" t="e">
        <f ca="1"/>
        <v>#NAME?</v>
      </c>
      <c r="KK19" s="193" t="e">
        <f ca="1"/>
        <v>#NAME?</v>
      </c>
      <c r="KO19" s="191" t="e">
        <f t="array" aca="1" ref="KO19:KW28" ca="1">eVECTORS(KO6:KW14,200,FALSE)</f>
        <v>#NAME?</v>
      </c>
      <c r="KP19" s="192" t="e">
        <f ca="1"/>
        <v>#NAME?</v>
      </c>
      <c r="KQ19" s="192" t="e">
        <f ca="1"/>
        <v>#NAME?</v>
      </c>
      <c r="KR19" s="192" t="e">
        <f ca="1"/>
        <v>#NAME?</v>
      </c>
      <c r="KS19" s="192" t="e">
        <f ca="1"/>
        <v>#NAME?</v>
      </c>
      <c r="KT19" s="192" t="e">
        <f ca="1"/>
        <v>#NAME?</v>
      </c>
      <c r="KU19" s="192" t="e">
        <f ca="1"/>
        <v>#NAME?</v>
      </c>
      <c r="KV19" s="192" t="e">
        <f ca="1"/>
        <v>#NAME?</v>
      </c>
      <c r="KW19" s="193" t="e">
        <f ca="1"/>
        <v>#NAME?</v>
      </c>
      <c r="LA19" s="191" t="e">
        <f t="array" aca="1" ref="LA19:LI28" ca="1">eVECTORS(LA6:LI14,200,FALSE)</f>
        <v>#NAME?</v>
      </c>
      <c r="LB19" s="192" t="e">
        <f ca="1"/>
        <v>#NAME?</v>
      </c>
      <c r="LC19" s="192" t="e">
        <f ca="1"/>
        <v>#NAME?</v>
      </c>
      <c r="LD19" s="192" t="e">
        <f ca="1"/>
        <v>#NAME?</v>
      </c>
      <c r="LE19" s="192" t="e">
        <f ca="1"/>
        <v>#NAME?</v>
      </c>
      <c r="LF19" s="192" t="e">
        <f ca="1"/>
        <v>#NAME?</v>
      </c>
      <c r="LG19" s="192" t="e">
        <f ca="1"/>
        <v>#NAME?</v>
      </c>
      <c r="LH19" s="192" t="e">
        <f ca="1"/>
        <v>#NAME?</v>
      </c>
      <c r="LI19" s="193" t="e">
        <f ca="1"/>
        <v>#NAME?</v>
      </c>
      <c r="LM19" s="191" t="e">
        <f t="array" aca="1" ref="LM19:LU28" ca="1">eVECTORS(LM6:LU14,200,FALSE)</f>
        <v>#NAME?</v>
      </c>
      <c r="LN19" s="192" t="e">
        <f ca="1"/>
        <v>#NAME?</v>
      </c>
      <c r="LO19" s="192" t="e">
        <f ca="1"/>
        <v>#NAME?</v>
      </c>
      <c r="LP19" s="192" t="e">
        <f ca="1"/>
        <v>#NAME?</v>
      </c>
      <c r="LQ19" s="192" t="e">
        <f ca="1"/>
        <v>#NAME?</v>
      </c>
      <c r="LR19" s="192" t="e">
        <f ca="1"/>
        <v>#NAME?</v>
      </c>
      <c r="LS19" s="192" t="e">
        <f ca="1"/>
        <v>#NAME?</v>
      </c>
      <c r="LT19" s="192" t="e">
        <f ca="1"/>
        <v>#NAME?</v>
      </c>
      <c r="LU19" s="193" t="e">
        <f ca="1"/>
        <v>#NAME?</v>
      </c>
      <c r="LY19" s="191" t="e">
        <f t="array" aca="1" ref="LY19:MG28" ca="1">eVECTORS(LY6:MG14,200,FALSE)</f>
        <v>#NAME?</v>
      </c>
      <c r="LZ19" s="192" t="e">
        <f ca="1"/>
        <v>#NAME?</v>
      </c>
      <c r="MA19" s="192" t="e">
        <f ca="1"/>
        <v>#NAME?</v>
      </c>
      <c r="MB19" s="192" t="e">
        <f ca="1"/>
        <v>#NAME?</v>
      </c>
      <c r="MC19" s="192" t="e">
        <f ca="1"/>
        <v>#NAME?</v>
      </c>
      <c r="MD19" s="192" t="e">
        <f ca="1"/>
        <v>#NAME?</v>
      </c>
      <c r="ME19" s="192" t="e">
        <f ca="1"/>
        <v>#NAME?</v>
      </c>
      <c r="MF19" s="192" t="e">
        <f ca="1"/>
        <v>#NAME?</v>
      </c>
      <c r="MG19" s="193" t="e">
        <f ca="1"/>
        <v>#NAME?</v>
      </c>
      <c r="MK19" s="191" t="e">
        <f t="array" aca="1" ref="MK19:MS28" ca="1">eVECTORS(MK6:MS14,200,FALSE)</f>
        <v>#NAME?</v>
      </c>
      <c r="ML19" s="192" t="e">
        <f ca="1"/>
        <v>#NAME?</v>
      </c>
      <c r="MM19" s="192" t="e">
        <f ca="1"/>
        <v>#NAME?</v>
      </c>
      <c r="MN19" s="192" t="e">
        <f ca="1"/>
        <v>#NAME?</v>
      </c>
      <c r="MO19" s="192" t="e">
        <f ca="1"/>
        <v>#NAME?</v>
      </c>
      <c r="MP19" s="192" t="e">
        <f ca="1"/>
        <v>#NAME?</v>
      </c>
      <c r="MQ19" s="192" t="e">
        <f ca="1"/>
        <v>#NAME?</v>
      </c>
      <c r="MR19" s="192" t="e">
        <f ca="1"/>
        <v>#NAME?</v>
      </c>
      <c r="MS19" s="193" t="e">
        <f ca="1"/>
        <v>#NAME?</v>
      </c>
    </row>
    <row r="20" spans="1:358" x14ac:dyDescent="0.3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Y20" s="83" t="e">
        <f ca="1"/>
        <v>#NAME?</v>
      </c>
      <c r="Z20" s="37" t="e">
        <f ca="1"/>
        <v>#NAME?</v>
      </c>
      <c r="AA20" s="37" t="e">
        <f ca="1"/>
        <v>#NAME?</v>
      </c>
      <c r="AB20" s="37" t="e">
        <f ca="1"/>
        <v>#NAME?</v>
      </c>
      <c r="AC20" s="37" t="e">
        <f ca="1"/>
        <v>#NAME?</v>
      </c>
      <c r="AD20" s="37" t="e">
        <f ca="1"/>
        <v>#NAME?</v>
      </c>
      <c r="AE20" s="37" t="e">
        <f ca="1"/>
        <v>#NAME?</v>
      </c>
      <c r="AF20" s="37" t="e">
        <f ca="1"/>
        <v>#NAME?</v>
      </c>
      <c r="AG20" s="84" t="e">
        <f ca="1"/>
        <v>#NAME?</v>
      </c>
      <c r="AK20" s="83" t="e">
        <f ca="1"/>
        <v>#NAME?</v>
      </c>
      <c r="AL20" s="37" t="e">
        <f ca="1"/>
        <v>#NAME?</v>
      </c>
      <c r="AM20" s="37" t="e">
        <f ca="1"/>
        <v>#NAME?</v>
      </c>
      <c r="AN20" s="37" t="e">
        <f ca="1"/>
        <v>#NAME?</v>
      </c>
      <c r="AO20" s="37" t="e">
        <f ca="1"/>
        <v>#NAME?</v>
      </c>
      <c r="AP20" s="37" t="e">
        <f ca="1"/>
        <v>#NAME?</v>
      </c>
      <c r="AQ20" s="37" t="e">
        <f ca="1"/>
        <v>#NAME?</v>
      </c>
      <c r="AR20" s="37" t="e">
        <f ca="1"/>
        <v>#NAME?</v>
      </c>
      <c r="AS20" s="84" t="e">
        <f ca="1"/>
        <v>#NAME?</v>
      </c>
      <c r="AW20" s="83" t="e">
        <f ca="1"/>
        <v>#NAME?</v>
      </c>
      <c r="AX20" s="37" t="e">
        <f ca="1"/>
        <v>#NAME?</v>
      </c>
      <c r="AY20" s="37" t="e">
        <f ca="1"/>
        <v>#NAME?</v>
      </c>
      <c r="AZ20" s="37" t="e">
        <f ca="1"/>
        <v>#NAME?</v>
      </c>
      <c r="BA20" s="37" t="e">
        <f ca="1"/>
        <v>#NAME?</v>
      </c>
      <c r="BB20" s="37" t="e">
        <f ca="1"/>
        <v>#NAME?</v>
      </c>
      <c r="BC20" s="37" t="e">
        <f ca="1"/>
        <v>#NAME?</v>
      </c>
      <c r="BD20" s="37" t="e">
        <f ca="1"/>
        <v>#NAME?</v>
      </c>
      <c r="BE20" s="84" t="e">
        <f ca="1"/>
        <v>#NAME?</v>
      </c>
      <c r="BI20" s="83" t="e">
        <f ca="1"/>
        <v>#NAME?</v>
      </c>
      <c r="BJ20" s="37" t="e">
        <f ca="1"/>
        <v>#NAME?</v>
      </c>
      <c r="BK20" s="37" t="e">
        <f ca="1"/>
        <v>#NAME?</v>
      </c>
      <c r="BL20" s="37" t="e">
        <f ca="1"/>
        <v>#NAME?</v>
      </c>
      <c r="BM20" s="37" t="e">
        <f ca="1"/>
        <v>#NAME?</v>
      </c>
      <c r="BN20" s="37" t="e">
        <f ca="1"/>
        <v>#NAME?</v>
      </c>
      <c r="BO20" s="37" t="e">
        <f ca="1"/>
        <v>#NAME?</v>
      </c>
      <c r="BP20" s="37" t="e">
        <f ca="1"/>
        <v>#NAME?</v>
      </c>
      <c r="BQ20" s="84" t="e">
        <f ca="1"/>
        <v>#NAME?</v>
      </c>
      <c r="BU20" s="83" t="e">
        <f ca="1"/>
        <v>#NAME?</v>
      </c>
      <c r="BV20" s="37" t="e">
        <f ca="1"/>
        <v>#NAME?</v>
      </c>
      <c r="BW20" s="37" t="e">
        <f ca="1"/>
        <v>#NAME?</v>
      </c>
      <c r="BX20" s="37" t="e">
        <f ca="1"/>
        <v>#NAME?</v>
      </c>
      <c r="BY20" s="37" t="e">
        <f ca="1"/>
        <v>#NAME?</v>
      </c>
      <c r="BZ20" s="37" t="e">
        <f ca="1"/>
        <v>#NAME?</v>
      </c>
      <c r="CA20" s="37" t="e">
        <f ca="1"/>
        <v>#NAME?</v>
      </c>
      <c r="CB20" s="37" t="e">
        <f ca="1"/>
        <v>#NAME?</v>
      </c>
      <c r="CC20" s="84" t="e">
        <f ca="1"/>
        <v>#NAME?</v>
      </c>
      <c r="CG20" s="83" t="e">
        <f ca="1"/>
        <v>#NAME?</v>
      </c>
      <c r="CH20" s="37" t="e">
        <f ca="1"/>
        <v>#NAME?</v>
      </c>
      <c r="CI20" s="37" t="e">
        <f ca="1"/>
        <v>#NAME?</v>
      </c>
      <c r="CJ20" s="37" t="e">
        <f ca="1"/>
        <v>#NAME?</v>
      </c>
      <c r="CK20" s="37" t="e">
        <f ca="1"/>
        <v>#NAME?</v>
      </c>
      <c r="CL20" s="37" t="e">
        <f ca="1"/>
        <v>#NAME?</v>
      </c>
      <c r="CM20" s="37" t="e">
        <f ca="1"/>
        <v>#NAME?</v>
      </c>
      <c r="CN20" s="37" t="e">
        <f ca="1"/>
        <v>#NAME?</v>
      </c>
      <c r="CO20" s="84" t="e">
        <f ca="1"/>
        <v>#NAME?</v>
      </c>
      <c r="CS20" s="83" t="e">
        <f ca="1"/>
        <v>#NAME?</v>
      </c>
      <c r="CT20" s="37" t="e">
        <f ca="1"/>
        <v>#NAME?</v>
      </c>
      <c r="CU20" s="37" t="e">
        <f ca="1"/>
        <v>#NAME?</v>
      </c>
      <c r="CV20" s="37" t="e">
        <f ca="1"/>
        <v>#NAME?</v>
      </c>
      <c r="CW20" s="37" t="e">
        <f ca="1"/>
        <v>#NAME?</v>
      </c>
      <c r="CX20" s="37" t="e">
        <f ca="1"/>
        <v>#NAME?</v>
      </c>
      <c r="CY20" s="37" t="e">
        <f ca="1"/>
        <v>#NAME?</v>
      </c>
      <c r="CZ20" s="37" t="e">
        <f ca="1"/>
        <v>#NAME?</v>
      </c>
      <c r="DA20" s="84" t="e">
        <f ca="1"/>
        <v>#NAME?</v>
      </c>
      <c r="DE20" s="83" t="e">
        <f ca="1"/>
        <v>#NAME?</v>
      </c>
      <c r="DF20" s="37" t="e">
        <f ca="1"/>
        <v>#NAME?</v>
      </c>
      <c r="DG20" s="37" t="e">
        <f ca="1"/>
        <v>#NAME?</v>
      </c>
      <c r="DH20" s="37" t="e">
        <f ca="1"/>
        <v>#NAME?</v>
      </c>
      <c r="DI20" s="37" t="e">
        <f ca="1"/>
        <v>#NAME?</v>
      </c>
      <c r="DJ20" s="37" t="e">
        <f ca="1"/>
        <v>#NAME?</v>
      </c>
      <c r="DK20" s="37" t="e">
        <f ca="1"/>
        <v>#NAME?</v>
      </c>
      <c r="DL20" s="37" t="e">
        <f ca="1"/>
        <v>#NAME?</v>
      </c>
      <c r="DM20" s="84" t="e">
        <f ca="1"/>
        <v>#NAME?</v>
      </c>
      <c r="DQ20" s="83" t="e">
        <f ca="1"/>
        <v>#NAME?</v>
      </c>
      <c r="DR20" s="37" t="e">
        <f ca="1"/>
        <v>#NAME?</v>
      </c>
      <c r="DS20" s="37" t="e">
        <f ca="1"/>
        <v>#NAME?</v>
      </c>
      <c r="DT20" s="37" t="e">
        <f ca="1"/>
        <v>#NAME?</v>
      </c>
      <c r="DU20" s="37" t="e">
        <f ca="1"/>
        <v>#NAME?</v>
      </c>
      <c r="DV20" s="37" t="e">
        <f ca="1"/>
        <v>#NAME?</v>
      </c>
      <c r="DW20" s="37" t="e">
        <f ca="1"/>
        <v>#NAME?</v>
      </c>
      <c r="DX20" s="37" t="e">
        <f ca="1"/>
        <v>#NAME?</v>
      </c>
      <c r="DY20" s="84" t="e">
        <f ca="1"/>
        <v>#NAME?</v>
      </c>
      <c r="EC20" s="83" t="e">
        <f ca="1"/>
        <v>#NAME?</v>
      </c>
      <c r="ED20" s="37" t="e">
        <f ca="1"/>
        <v>#NAME?</v>
      </c>
      <c r="EE20" s="37" t="e">
        <f ca="1"/>
        <v>#NAME?</v>
      </c>
      <c r="EF20" s="37" t="e">
        <f ca="1"/>
        <v>#NAME?</v>
      </c>
      <c r="EG20" s="37" t="e">
        <f ca="1"/>
        <v>#NAME?</v>
      </c>
      <c r="EH20" s="37" t="e">
        <f ca="1"/>
        <v>#NAME?</v>
      </c>
      <c r="EI20" s="37" t="e">
        <f ca="1"/>
        <v>#NAME?</v>
      </c>
      <c r="EJ20" s="37" t="e">
        <f ca="1"/>
        <v>#NAME?</v>
      </c>
      <c r="EK20" s="84" t="e">
        <f ca="1"/>
        <v>#NAME?</v>
      </c>
      <c r="EO20" s="83" t="e">
        <f ca="1"/>
        <v>#NAME?</v>
      </c>
      <c r="EP20" s="37" t="e">
        <f ca="1"/>
        <v>#NAME?</v>
      </c>
      <c r="EQ20" s="37" t="e">
        <f ca="1"/>
        <v>#NAME?</v>
      </c>
      <c r="ER20" s="37" t="e">
        <f ca="1"/>
        <v>#NAME?</v>
      </c>
      <c r="ES20" s="37" t="e">
        <f ca="1"/>
        <v>#NAME?</v>
      </c>
      <c r="ET20" s="37" t="e">
        <f ca="1"/>
        <v>#NAME?</v>
      </c>
      <c r="EU20" s="37" t="e">
        <f ca="1"/>
        <v>#NAME?</v>
      </c>
      <c r="EV20" s="37" t="e">
        <f ca="1"/>
        <v>#NAME?</v>
      </c>
      <c r="EW20" s="84" t="e">
        <f ca="1"/>
        <v>#NAME?</v>
      </c>
      <c r="FA20" s="83" t="e">
        <f ca="1"/>
        <v>#NAME?</v>
      </c>
      <c r="FB20" s="37" t="e">
        <f ca="1"/>
        <v>#NAME?</v>
      </c>
      <c r="FC20" s="37" t="e">
        <f ca="1"/>
        <v>#NAME?</v>
      </c>
      <c r="FD20" s="37" t="e">
        <f ca="1"/>
        <v>#NAME?</v>
      </c>
      <c r="FE20" s="37" t="e">
        <f ca="1"/>
        <v>#NAME?</v>
      </c>
      <c r="FF20" s="37" t="e">
        <f ca="1"/>
        <v>#NAME?</v>
      </c>
      <c r="FG20" s="37" t="e">
        <f ca="1"/>
        <v>#NAME?</v>
      </c>
      <c r="FH20" s="37" t="e">
        <f ca="1"/>
        <v>#NAME?</v>
      </c>
      <c r="FI20" s="84" t="e">
        <f ca="1"/>
        <v>#NAME?</v>
      </c>
      <c r="FM20" s="83" t="e">
        <f ca="1"/>
        <v>#NAME?</v>
      </c>
      <c r="FN20" s="37" t="e">
        <f ca="1"/>
        <v>#NAME?</v>
      </c>
      <c r="FO20" s="37" t="e">
        <f ca="1"/>
        <v>#NAME?</v>
      </c>
      <c r="FP20" s="37" t="e">
        <f ca="1"/>
        <v>#NAME?</v>
      </c>
      <c r="FQ20" s="37" t="e">
        <f ca="1"/>
        <v>#NAME?</v>
      </c>
      <c r="FR20" s="37" t="e">
        <f ca="1"/>
        <v>#NAME?</v>
      </c>
      <c r="FS20" s="37" t="e">
        <f ca="1"/>
        <v>#NAME?</v>
      </c>
      <c r="FT20" s="37" t="e">
        <f ca="1"/>
        <v>#NAME?</v>
      </c>
      <c r="FU20" s="84" t="e">
        <f ca="1"/>
        <v>#NAME?</v>
      </c>
      <c r="FY20" s="83" t="e">
        <f ca="1"/>
        <v>#NAME?</v>
      </c>
      <c r="FZ20" s="37" t="e">
        <f ca="1"/>
        <v>#NAME?</v>
      </c>
      <c r="GA20" s="37" t="e">
        <f ca="1"/>
        <v>#NAME?</v>
      </c>
      <c r="GB20" s="37" t="e">
        <f ca="1"/>
        <v>#NAME?</v>
      </c>
      <c r="GC20" s="37" t="e">
        <f ca="1"/>
        <v>#NAME?</v>
      </c>
      <c r="GD20" s="37" t="e">
        <f ca="1"/>
        <v>#NAME?</v>
      </c>
      <c r="GE20" s="37" t="e">
        <f ca="1"/>
        <v>#NAME?</v>
      </c>
      <c r="GF20" s="37" t="e">
        <f ca="1"/>
        <v>#NAME?</v>
      </c>
      <c r="GG20" s="84" t="e">
        <f ca="1"/>
        <v>#NAME?</v>
      </c>
      <c r="GK20" s="83" t="e">
        <f ca="1"/>
        <v>#NAME?</v>
      </c>
      <c r="GL20" s="37" t="e">
        <f ca="1"/>
        <v>#NAME?</v>
      </c>
      <c r="GM20" s="37" t="e">
        <f ca="1"/>
        <v>#NAME?</v>
      </c>
      <c r="GN20" s="37" t="e">
        <f ca="1"/>
        <v>#NAME?</v>
      </c>
      <c r="GO20" s="37" t="e">
        <f ca="1"/>
        <v>#NAME?</v>
      </c>
      <c r="GP20" s="37" t="e">
        <f ca="1"/>
        <v>#NAME?</v>
      </c>
      <c r="GQ20" s="37" t="e">
        <f ca="1"/>
        <v>#NAME?</v>
      </c>
      <c r="GR20" s="37" t="e">
        <f ca="1"/>
        <v>#NAME?</v>
      </c>
      <c r="GS20" s="84" t="e">
        <f ca="1"/>
        <v>#NAME?</v>
      </c>
      <c r="GW20" s="83" t="e">
        <f ca="1"/>
        <v>#NAME?</v>
      </c>
      <c r="GX20" s="37" t="e">
        <f ca="1"/>
        <v>#NAME?</v>
      </c>
      <c r="GY20" s="37" t="e">
        <f ca="1"/>
        <v>#NAME?</v>
      </c>
      <c r="GZ20" s="37" t="e">
        <f ca="1"/>
        <v>#NAME?</v>
      </c>
      <c r="HA20" s="37" t="e">
        <f ca="1"/>
        <v>#NAME?</v>
      </c>
      <c r="HB20" s="37" t="e">
        <f ca="1"/>
        <v>#NAME?</v>
      </c>
      <c r="HC20" s="37" t="e">
        <f ca="1"/>
        <v>#NAME?</v>
      </c>
      <c r="HD20" s="37" t="e">
        <f ca="1"/>
        <v>#NAME?</v>
      </c>
      <c r="HE20" s="84" t="e">
        <f ca="1"/>
        <v>#NAME?</v>
      </c>
      <c r="HI20" s="83" t="e">
        <f ca="1"/>
        <v>#NAME?</v>
      </c>
      <c r="HJ20" s="37" t="e">
        <f ca="1"/>
        <v>#NAME?</v>
      </c>
      <c r="HK20" s="37" t="e">
        <f ca="1"/>
        <v>#NAME?</v>
      </c>
      <c r="HL20" s="37" t="e">
        <f ca="1"/>
        <v>#NAME?</v>
      </c>
      <c r="HM20" s="37" t="e">
        <f ca="1"/>
        <v>#NAME?</v>
      </c>
      <c r="HN20" s="37" t="e">
        <f ca="1"/>
        <v>#NAME?</v>
      </c>
      <c r="HO20" s="37" t="e">
        <f ca="1"/>
        <v>#NAME?</v>
      </c>
      <c r="HP20" s="37" t="e">
        <f ca="1"/>
        <v>#NAME?</v>
      </c>
      <c r="HQ20" s="84" t="e">
        <f ca="1"/>
        <v>#NAME?</v>
      </c>
      <c r="HU20" s="83" t="e">
        <f ca="1"/>
        <v>#NAME?</v>
      </c>
      <c r="HV20" s="37" t="e">
        <f ca="1"/>
        <v>#NAME?</v>
      </c>
      <c r="HW20" s="37" t="e">
        <f ca="1"/>
        <v>#NAME?</v>
      </c>
      <c r="HX20" s="37" t="e">
        <f ca="1"/>
        <v>#NAME?</v>
      </c>
      <c r="HY20" s="37" t="e">
        <f ca="1"/>
        <v>#NAME?</v>
      </c>
      <c r="HZ20" s="37" t="e">
        <f ca="1"/>
        <v>#NAME?</v>
      </c>
      <c r="IA20" s="37" t="e">
        <f ca="1"/>
        <v>#NAME?</v>
      </c>
      <c r="IB20" s="37" t="e">
        <f ca="1"/>
        <v>#NAME?</v>
      </c>
      <c r="IC20" s="84" t="e">
        <f ca="1"/>
        <v>#NAME?</v>
      </c>
      <c r="IG20" s="83" t="e">
        <f ca="1"/>
        <v>#NAME?</v>
      </c>
      <c r="IH20" s="37" t="e">
        <f ca="1"/>
        <v>#NAME?</v>
      </c>
      <c r="II20" s="37" t="e">
        <f ca="1"/>
        <v>#NAME?</v>
      </c>
      <c r="IJ20" s="37" t="e">
        <f ca="1"/>
        <v>#NAME?</v>
      </c>
      <c r="IK20" s="37" t="e">
        <f ca="1"/>
        <v>#NAME?</v>
      </c>
      <c r="IL20" s="37" t="e">
        <f ca="1"/>
        <v>#NAME?</v>
      </c>
      <c r="IM20" s="37" t="e">
        <f ca="1"/>
        <v>#NAME?</v>
      </c>
      <c r="IN20" s="37" t="e">
        <f ca="1"/>
        <v>#NAME?</v>
      </c>
      <c r="IO20" s="84" t="e">
        <f ca="1"/>
        <v>#NAME?</v>
      </c>
      <c r="IS20" s="83" t="e">
        <f ca="1"/>
        <v>#NAME?</v>
      </c>
      <c r="IT20" s="37" t="e">
        <f ca="1"/>
        <v>#NAME?</v>
      </c>
      <c r="IU20" s="37" t="e">
        <f ca="1"/>
        <v>#NAME?</v>
      </c>
      <c r="IV20" s="37" t="e">
        <f ca="1"/>
        <v>#NAME?</v>
      </c>
      <c r="IW20" s="37" t="e">
        <f ca="1"/>
        <v>#NAME?</v>
      </c>
      <c r="IX20" s="37" t="e">
        <f ca="1"/>
        <v>#NAME?</v>
      </c>
      <c r="IY20" s="37" t="e">
        <f ca="1"/>
        <v>#NAME?</v>
      </c>
      <c r="IZ20" s="37" t="e">
        <f ca="1"/>
        <v>#NAME?</v>
      </c>
      <c r="JA20" s="84" t="e">
        <f ca="1"/>
        <v>#NAME?</v>
      </c>
      <c r="JE20" s="83" t="e">
        <f ca="1"/>
        <v>#NAME?</v>
      </c>
      <c r="JF20" s="37" t="e">
        <f ca="1"/>
        <v>#NAME?</v>
      </c>
      <c r="JG20" s="37" t="e">
        <f ca="1"/>
        <v>#NAME?</v>
      </c>
      <c r="JH20" s="37" t="e">
        <f ca="1"/>
        <v>#NAME?</v>
      </c>
      <c r="JI20" s="37" t="e">
        <f ca="1"/>
        <v>#NAME?</v>
      </c>
      <c r="JJ20" s="37" t="e">
        <f ca="1"/>
        <v>#NAME?</v>
      </c>
      <c r="JK20" s="37" t="e">
        <f ca="1"/>
        <v>#NAME?</v>
      </c>
      <c r="JL20" s="37" t="e">
        <f ca="1"/>
        <v>#NAME?</v>
      </c>
      <c r="JM20" s="84" t="e">
        <f ca="1"/>
        <v>#NAME?</v>
      </c>
      <c r="JQ20" s="83" t="e">
        <f ca="1"/>
        <v>#NAME?</v>
      </c>
      <c r="JR20" s="37" t="e">
        <f ca="1"/>
        <v>#NAME?</v>
      </c>
      <c r="JS20" s="37" t="e">
        <f ca="1"/>
        <v>#NAME?</v>
      </c>
      <c r="JT20" s="37" t="e">
        <f ca="1"/>
        <v>#NAME?</v>
      </c>
      <c r="JU20" s="37" t="e">
        <f ca="1"/>
        <v>#NAME?</v>
      </c>
      <c r="JV20" s="37" t="e">
        <f ca="1"/>
        <v>#NAME?</v>
      </c>
      <c r="JW20" s="37" t="e">
        <f ca="1"/>
        <v>#NAME?</v>
      </c>
      <c r="JX20" s="37" t="e">
        <f ca="1"/>
        <v>#NAME?</v>
      </c>
      <c r="JY20" s="84" t="e">
        <f ca="1"/>
        <v>#NAME?</v>
      </c>
      <c r="KC20" s="83" t="e">
        <f ca="1"/>
        <v>#NAME?</v>
      </c>
      <c r="KD20" s="37" t="e">
        <f ca="1"/>
        <v>#NAME?</v>
      </c>
      <c r="KE20" s="37" t="e">
        <f ca="1"/>
        <v>#NAME?</v>
      </c>
      <c r="KF20" s="37" t="e">
        <f ca="1"/>
        <v>#NAME?</v>
      </c>
      <c r="KG20" s="37" t="e">
        <f ca="1"/>
        <v>#NAME?</v>
      </c>
      <c r="KH20" s="37" t="e">
        <f ca="1"/>
        <v>#NAME?</v>
      </c>
      <c r="KI20" s="37" t="e">
        <f ca="1"/>
        <v>#NAME?</v>
      </c>
      <c r="KJ20" s="37" t="e">
        <f ca="1"/>
        <v>#NAME?</v>
      </c>
      <c r="KK20" s="84" t="e">
        <f ca="1"/>
        <v>#NAME?</v>
      </c>
      <c r="KO20" s="83" t="e">
        <f ca="1"/>
        <v>#NAME?</v>
      </c>
      <c r="KP20" s="37" t="e">
        <f ca="1"/>
        <v>#NAME?</v>
      </c>
      <c r="KQ20" s="37" t="e">
        <f ca="1"/>
        <v>#NAME?</v>
      </c>
      <c r="KR20" s="37" t="e">
        <f ca="1"/>
        <v>#NAME?</v>
      </c>
      <c r="KS20" s="37" t="e">
        <f ca="1"/>
        <v>#NAME?</v>
      </c>
      <c r="KT20" s="37" t="e">
        <f ca="1"/>
        <v>#NAME?</v>
      </c>
      <c r="KU20" s="37" t="e">
        <f ca="1"/>
        <v>#NAME?</v>
      </c>
      <c r="KV20" s="37" t="e">
        <f ca="1"/>
        <v>#NAME?</v>
      </c>
      <c r="KW20" s="84" t="e">
        <f ca="1"/>
        <v>#NAME?</v>
      </c>
      <c r="LA20" s="83" t="e">
        <f ca="1"/>
        <v>#NAME?</v>
      </c>
      <c r="LB20" s="37" t="e">
        <f ca="1"/>
        <v>#NAME?</v>
      </c>
      <c r="LC20" s="37" t="e">
        <f ca="1"/>
        <v>#NAME?</v>
      </c>
      <c r="LD20" s="37" t="e">
        <f ca="1"/>
        <v>#NAME?</v>
      </c>
      <c r="LE20" s="37" t="e">
        <f ca="1"/>
        <v>#NAME?</v>
      </c>
      <c r="LF20" s="37" t="e">
        <f ca="1"/>
        <v>#NAME?</v>
      </c>
      <c r="LG20" s="37" t="e">
        <f ca="1"/>
        <v>#NAME?</v>
      </c>
      <c r="LH20" s="37" t="e">
        <f ca="1"/>
        <v>#NAME?</v>
      </c>
      <c r="LI20" s="84" t="e">
        <f ca="1"/>
        <v>#NAME?</v>
      </c>
      <c r="LM20" s="83" t="e">
        <f ca="1"/>
        <v>#NAME?</v>
      </c>
      <c r="LN20" s="37" t="e">
        <f ca="1"/>
        <v>#NAME?</v>
      </c>
      <c r="LO20" s="37" t="e">
        <f ca="1"/>
        <v>#NAME?</v>
      </c>
      <c r="LP20" s="37" t="e">
        <f ca="1"/>
        <v>#NAME?</v>
      </c>
      <c r="LQ20" s="37" t="e">
        <f ca="1"/>
        <v>#NAME?</v>
      </c>
      <c r="LR20" s="37" t="e">
        <f ca="1"/>
        <v>#NAME?</v>
      </c>
      <c r="LS20" s="37" t="e">
        <f ca="1"/>
        <v>#NAME?</v>
      </c>
      <c r="LT20" s="37" t="e">
        <f ca="1"/>
        <v>#NAME?</v>
      </c>
      <c r="LU20" s="84" t="e">
        <f ca="1"/>
        <v>#NAME?</v>
      </c>
      <c r="LY20" s="83" t="e">
        <f ca="1"/>
        <v>#NAME?</v>
      </c>
      <c r="LZ20" s="37" t="e">
        <f ca="1"/>
        <v>#NAME?</v>
      </c>
      <c r="MA20" s="37" t="e">
        <f ca="1"/>
        <v>#NAME?</v>
      </c>
      <c r="MB20" s="37" t="e">
        <f ca="1"/>
        <v>#NAME?</v>
      </c>
      <c r="MC20" s="37" t="e">
        <f ca="1"/>
        <v>#NAME?</v>
      </c>
      <c r="MD20" s="37" t="e">
        <f ca="1"/>
        <v>#NAME?</v>
      </c>
      <c r="ME20" s="37" t="e">
        <f ca="1"/>
        <v>#NAME?</v>
      </c>
      <c r="MF20" s="37" t="e">
        <f ca="1"/>
        <v>#NAME?</v>
      </c>
      <c r="MG20" s="84" t="e">
        <f ca="1"/>
        <v>#NAME?</v>
      </c>
      <c r="MK20" s="83" t="e">
        <f ca="1"/>
        <v>#NAME?</v>
      </c>
      <c r="ML20" s="37" t="e">
        <f ca="1"/>
        <v>#NAME?</v>
      </c>
      <c r="MM20" s="37" t="e">
        <f ca="1"/>
        <v>#NAME?</v>
      </c>
      <c r="MN20" s="37" t="e">
        <f ca="1"/>
        <v>#NAME?</v>
      </c>
      <c r="MO20" s="37" t="e">
        <f ca="1"/>
        <v>#NAME?</v>
      </c>
      <c r="MP20" s="37" t="e">
        <f ca="1"/>
        <v>#NAME?</v>
      </c>
      <c r="MQ20" s="37" t="e">
        <f ca="1"/>
        <v>#NAME?</v>
      </c>
      <c r="MR20" s="37" t="e">
        <f ca="1"/>
        <v>#NAME?</v>
      </c>
      <c r="MS20" s="84" t="e">
        <f ca="1"/>
        <v>#NAME?</v>
      </c>
    </row>
    <row r="21" spans="1:358" x14ac:dyDescent="0.3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Y21" s="83" t="e">
        <f ca="1"/>
        <v>#NAME?</v>
      </c>
      <c r="Z21" s="37" t="e">
        <f ca="1"/>
        <v>#NAME?</v>
      </c>
      <c r="AA21" s="37" t="e">
        <f ca="1"/>
        <v>#NAME?</v>
      </c>
      <c r="AB21" s="37" t="e">
        <f ca="1"/>
        <v>#NAME?</v>
      </c>
      <c r="AC21" s="37" t="e">
        <f ca="1"/>
        <v>#NAME?</v>
      </c>
      <c r="AD21" s="37" t="e">
        <f ca="1"/>
        <v>#NAME?</v>
      </c>
      <c r="AE21" s="37" t="e">
        <f ca="1"/>
        <v>#NAME?</v>
      </c>
      <c r="AF21" s="37" t="e">
        <f ca="1"/>
        <v>#NAME?</v>
      </c>
      <c r="AG21" s="84" t="e">
        <f ca="1"/>
        <v>#NAME?</v>
      </c>
      <c r="AK21" s="83" t="e">
        <f ca="1"/>
        <v>#NAME?</v>
      </c>
      <c r="AL21" s="37" t="e">
        <f ca="1"/>
        <v>#NAME?</v>
      </c>
      <c r="AM21" s="37" t="e">
        <f ca="1"/>
        <v>#NAME?</v>
      </c>
      <c r="AN21" s="37" t="e">
        <f ca="1"/>
        <v>#NAME?</v>
      </c>
      <c r="AO21" s="37" t="e">
        <f ca="1"/>
        <v>#NAME?</v>
      </c>
      <c r="AP21" s="37" t="e">
        <f ca="1"/>
        <v>#NAME?</v>
      </c>
      <c r="AQ21" s="37" t="e">
        <f ca="1"/>
        <v>#NAME?</v>
      </c>
      <c r="AR21" s="37" t="e">
        <f ca="1"/>
        <v>#NAME?</v>
      </c>
      <c r="AS21" s="84" t="e">
        <f ca="1"/>
        <v>#NAME?</v>
      </c>
      <c r="AW21" s="83" t="e">
        <f ca="1"/>
        <v>#NAME?</v>
      </c>
      <c r="AX21" s="37" t="e">
        <f ca="1"/>
        <v>#NAME?</v>
      </c>
      <c r="AY21" s="37" t="e">
        <f ca="1"/>
        <v>#NAME?</v>
      </c>
      <c r="AZ21" s="37" t="e">
        <f ca="1"/>
        <v>#NAME?</v>
      </c>
      <c r="BA21" s="37" t="e">
        <f ca="1"/>
        <v>#NAME?</v>
      </c>
      <c r="BB21" s="37" t="e">
        <f ca="1"/>
        <v>#NAME?</v>
      </c>
      <c r="BC21" s="37" t="e">
        <f ca="1"/>
        <v>#NAME?</v>
      </c>
      <c r="BD21" s="37" t="e">
        <f ca="1"/>
        <v>#NAME?</v>
      </c>
      <c r="BE21" s="84" t="e">
        <f ca="1"/>
        <v>#NAME?</v>
      </c>
      <c r="BI21" s="83" t="e">
        <f ca="1"/>
        <v>#NAME?</v>
      </c>
      <c r="BJ21" s="37" t="e">
        <f ca="1"/>
        <v>#NAME?</v>
      </c>
      <c r="BK21" s="37" t="e">
        <f ca="1"/>
        <v>#NAME?</v>
      </c>
      <c r="BL21" s="37" t="e">
        <f ca="1"/>
        <v>#NAME?</v>
      </c>
      <c r="BM21" s="37" t="e">
        <f ca="1"/>
        <v>#NAME?</v>
      </c>
      <c r="BN21" s="37" t="e">
        <f ca="1"/>
        <v>#NAME?</v>
      </c>
      <c r="BO21" s="37" t="e">
        <f ca="1"/>
        <v>#NAME?</v>
      </c>
      <c r="BP21" s="37" t="e">
        <f ca="1"/>
        <v>#NAME?</v>
      </c>
      <c r="BQ21" s="84" t="e">
        <f ca="1"/>
        <v>#NAME?</v>
      </c>
      <c r="BU21" s="83" t="e">
        <f ca="1"/>
        <v>#NAME?</v>
      </c>
      <c r="BV21" s="37" t="e">
        <f ca="1"/>
        <v>#NAME?</v>
      </c>
      <c r="BW21" s="37" t="e">
        <f ca="1"/>
        <v>#NAME?</v>
      </c>
      <c r="BX21" s="37" t="e">
        <f ca="1"/>
        <v>#NAME?</v>
      </c>
      <c r="BY21" s="37" t="e">
        <f ca="1"/>
        <v>#NAME?</v>
      </c>
      <c r="BZ21" s="37" t="e">
        <f ca="1"/>
        <v>#NAME?</v>
      </c>
      <c r="CA21" s="37" t="e">
        <f ca="1"/>
        <v>#NAME?</v>
      </c>
      <c r="CB21" s="37" t="e">
        <f ca="1"/>
        <v>#NAME?</v>
      </c>
      <c r="CC21" s="84" t="e">
        <f ca="1"/>
        <v>#NAME?</v>
      </c>
      <c r="CG21" s="83" t="e">
        <f ca="1"/>
        <v>#NAME?</v>
      </c>
      <c r="CH21" s="37" t="e">
        <f ca="1"/>
        <v>#NAME?</v>
      </c>
      <c r="CI21" s="37" t="e">
        <f ca="1"/>
        <v>#NAME?</v>
      </c>
      <c r="CJ21" s="37" t="e">
        <f ca="1"/>
        <v>#NAME?</v>
      </c>
      <c r="CK21" s="37" t="e">
        <f ca="1"/>
        <v>#NAME?</v>
      </c>
      <c r="CL21" s="37" t="e">
        <f ca="1"/>
        <v>#NAME?</v>
      </c>
      <c r="CM21" s="37" t="e">
        <f ca="1"/>
        <v>#NAME?</v>
      </c>
      <c r="CN21" s="37" t="e">
        <f ca="1"/>
        <v>#NAME?</v>
      </c>
      <c r="CO21" s="84" t="e">
        <f ca="1"/>
        <v>#NAME?</v>
      </c>
      <c r="CS21" s="83" t="e">
        <f ca="1"/>
        <v>#NAME?</v>
      </c>
      <c r="CT21" s="37" t="e">
        <f ca="1"/>
        <v>#NAME?</v>
      </c>
      <c r="CU21" s="37" t="e">
        <f ca="1"/>
        <v>#NAME?</v>
      </c>
      <c r="CV21" s="37" t="e">
        <f ca="1"/>
        <v>#NAME?</v>
      </c>
      <c r="CW21" s="37" t="e">
        <f ca="1"/>
        <v>#NAME?</v>
      </c>
      <c r="CX21" s="37" t="e">
        <f ca="1"/>
        <v>#NAME?</v>
      </c>
      <c r="CY21" s="37" t="e">
        <f ca="1"/>
        <v>#NAME?</v>
      </c>
      <c r="CZ21" s="37" t="e">
        <f ca="1"/>
        <v>#NAME?</v>
      </c>
      <c r="DA21" s="84" t="e">
        <f ca="1"/>
        <v>#NAME?</v>
      </c>
      <c r="DE21" s="83" t="e">
        <f ca="1"/>
        <v>#NAME?</v>
      </c>
      <c r="DF21" s="37" t="e">
        <f ca="1"/>
        <v>#NAME?</v>
      </c>
      <c r="DG21" s="37" t="e">
        <f ca="1"/>
        <v>#NAME?</v>
      </c>
      <c r="DH21" s="37" t="e">
        <f ca="1"/>
        <v>#NAME?</v>
      </c>
      <c r="DI21" s="37" t="e">
        <f ca="1"/>
        <v>#NAME?</v>
      </c>
      <c r="DJ21" s="37" t="e">
        <f ca="1"/>
        <v>#NAME?</v>
      </c>
      <c r="DK21" s="37" t="e">
        <f ca="1"/>
        <v>#NAME?</v>
      </c>
      <c r="DL21" s="37" t="e">
        <f ca="1"/>
        <v>#NAME?</v>
      </c>
      <c r="DM21" s="84" t="e">
        <f ca="1"/>
        <v>#NAME?</v>
      </c>
      <c r="DQ21" s="83" t="e">
        <f ca="1"/>
        <v>#NAME?</v>
      </c>
      <c r="DR21" s="37" t="e">
        <f ca="1"/>
        <v>#NAME?</v>
      </c>
      <c r="DS21" s="37" t="e">
        <f ca="1"/>
        <v>#NAME?</v>
      </c>
      <c r="DT21" s="37" t="e">
        <f ca="1"/>
        <v>#NAME?</v>
      </c>
      <c r="DU21" s="37" t="e">
        <f ca="1"/>
        <v>#NAME?</v>
      </c>
      <c r="DV21" s="37" t="e">
        <f ca="1"/>
        <v>#NAME?</v>
      </c>
      <c r="DW21" s="37" t="e">
        <f ca="1"/>
        <v>#NAME?</v>
      </c>
      <c r="DX21" s="37" t="e">
        <f ca="1"/>
        <v>#NAME?</v>
      </c>
      <c r="DY21" s="84" t="e">
        <f ca="1"/>
        <v>#NAME?</v>
      </c>
      <c r="EC21" s="83" t="e">
        <f ca="1"/>
        <v>#NAME?</v>
      </c>
      <c r="ED21" s="37" t="e">
        <f ca="1"/>
        <v>#NAME?</v>
      </c>
      <c r="EE21" s="37" t="e">
        <f ca="1"/>
        <v>#NAME?</v>
      </c>
      <c r="EF21" s="37" t="e">
        <f ca="1"/>
        <v>#NAME?</v>
      </c>
      <c r="EG21" s="37" t="e">
        <f ca="1"/>
        <v>#NAME?</v>
      </c>
      <c r="EH21" s="37" t="e">
        <f ca="1"/>
        <v>#NAME?</v>
      </c>
      <c r="EI21" s="37" t="e">
        <f ca="1"/>
        <v>#NAME?</v>
      </c>
      <c r="EJ21" s="37" t="e">
        <f ca="1"/>
        <v>#NAME?</v>
      </c>
      <c r="EK21" s="84" t="e">
        <f ca="1"/>
        <v>#NAME?</v>
      </c>
      <c r="EO21" s="83" t="e">
        <f ca="1"/>
        <v>#NAME?</v>
      </c>
      <c r="EP21" s="37" t="e">
        <f ca="1"/>
        <v>#NAME?</v>
      </c>
      <c r="EQ21" s="37" t="e">
        <f ca="1"/>
        <v>#NAME?</v>
      </c>
      <c r="ER21" s="37" t="e">
        <f ca="1"/>
        <v>#NAME?</v>
      </c>
      <c r="ES21" s="37" t="e">
        <f ca="1"/>
        <v>#NAME?</v>
      </c>
      <c r="ET21" s="37" t="e">
        <f ca="1"/>
        <v>#NAME?</v>
      </c>
      <c r="EU21" s="37" t="e">
        <f ca="1"/>
        <v>#NAME?</v>
      </c>
      <c r="EV21" s="37" t="e">
        <f ca="1"/>
        <v>#NAME?</v>
      </c>
      <c r="EW21" s="84" t="e">
        <f ca="1"/>
        <v>#NAME?</v>
      </c>
      <c r="FA21" s="83" t="e">
        <f ca="1"/>
        <v>#NAME?</v>
      </c>
      <c r="FB21" s="37" t="e">
        <f ca="1"/>
        <v>#NAME?</v>
      </c>
      <c r="FC21" s="37" t="e">
        <f ca="1"/>
        <v>#NAME?</v>
      </c>
      <c r="FD21" s="37" t="e">
        <f ca="1"/>
        <v>#NAME?</v>
      </c>
      <c r="FE21" s="37" t="e">
        <f ca="1"/>
        <v>#NAME?</v>
      </c>
      <c r="FF21" s="37" t="e">
        <f ca="1"/>
        <v>#NAME?</v>
      </c>
      <c r="FG21" s="37" t="e">
        <f ca="1"/>
        <v>#NAME?</v>
      </c>
      <c r="FH21" s="37" t="e">
        <f ca="1"/>
        <v>#NAME?</v>
      </c>
      <c r="FI21" s="84" t="e">
        <f ca="1"/>
        <v>#NAME?</v>
      </c>
      <c r="FM21" s="83" t="e">
        <f ca="1"/>
        <v>#NAME?</v>
      </c>
      <c r="FN21" s="37" t="e">
        <f ca="1"/>
        <v>#NAME?</v>
      </c>
      <c r="FO21" s="37" t="e">
        <f ca="1"/>
        <v>#NAME?</v>
      </c>
      <c r="FP21" s="37" t="e">
        <f ca="1"/>
        <v>#NAME?</v>
      </c>
      <c r="FQ21" s="37" t="e">
        <f ca="1"/>
        <v>#NAME?</v>
      </c>
      <c r="FR21" s="37" t="e">
        <f ca="1"/>
        <v>#NAME?</v>
      </c>
      <c r="FS21" s="37" t="e">
        <f ca="1"/>
        <v>#NAME?</v>
      </c>
      <c r="FT21" s="37" t="e">
        <f ca="1"/>
        <v>#NAME?</v>
      </c>
      <c r="FU21" s="84" t="e">
        <f ca="1"/>
        <v>#NAME?</v>
      </c>
      <c r="FY21" s="83" t="e">
        <f ca="1"/>
        <v>#NAME?</v>
      </c>
      <c r="FZ21" s="37" t="e">
        <f ca="1"/>
        <v>#NAME?</v>
      </c>
      <c r="GA21" s="37" t="e">
        <f ca="1"/>
        <v>#NAME?</v>
      </c>
      <c r="GB21" s="37" t="e">
        <f ca="1"/>
        <v>#NAME?</v>
      </c>
      <c r="GC21" s="37" t="e">
        <f ca="1"/>
        <v>#NAME?</v>
      </c>
      <c r="GD21" s="37" t="e">
        <f ca="1"/>
        <v>#NAME?</v>
      </c>
      <c r="GE21" s="37" t="e">
        <f ca="1"/>
        <v>#NAME?</v>
      </c>
      <c r="GF21" s="37" t="e">
        <f ca="1"/>
        <v>#NAME?</v>
      </c>
      <c r="GG21" s="84" t="e">
        <f ca="1"/>
        <v>#NAME?</v>
      </c>
      <c r="GK21" s="83" t="e">
        <f ca="1"/>
        <v>#NAME?</v>
      </c>
      <c r="GL21" s="37" t="e">
        <f ca="1"/>
        <v>#NAME?</v>
      </c>
      <c r="GM21" s="37" t="e">
        <f ca="1"/>
        <v>#NAME?</v>
      </c>
      <c r="GN21" s="37" t="e">
        <f ca="1"/>
        <v>#NAME?</v>
      </c>
      <c r="GO21" s="37" t="e">
        <f ca="1"/>
        <v>#NAME?</v>
      </c>
      <c r="GP21" s="37" t="e">
        <f ca="1"/>
        <v>#NAME?</v>
      </c>
      <c r="GQ21" s="37" t="e">
        <f ca="1"/>
        <v>#NAME?</v>
      </c>
      <c r="GR21" s="37" t="e">
        <f ca="1"/>
        <v>#NAME?</v>
      </c>
      <c r="GS21" s="84" t="e">
        <f ca="1"/>
        <v>#NAME?</v>
      </c>
      <c r="GW21" s="83" t="e">
        <f ca="1"/>
        <v>#NAME?</v>
      </c>
      <c r="GX21" s="37" t="e">
        <f ca="1"/>
        <v>#NAME?</v>
      </c>
      <c r="GY21" s="37" t="e">
        <f ca="1"/>
        <v>#NAME?</v>
      </c>
      <c r="GZ21" s="37" t="e">
        <f ca="1"/>
        <v>#NAME?</v>
      </c>
      <c r="HA21" s="37" t="e">
        <f ca="1"/>
        <v>#NAME?</v>
      </c>
      <c r="HB21" s="37" t="e">
        <f ca="1"/>
        <v>#NAME?</v>
      </c>
      <c r="HC21" s="37" t="e">
        <f ca="1"/>
        <v>#NAME?</v>
      </c>
      <c r="HD21" s="37" t="e">
        <f ca="1"/>
        <v>#NAME?</v>
      </c>
      <c r="HE21" s="84" t="e">
        <f ca="1"/>
        <v>#NAME?</v>
      </c>
      <c r="HI21" s="83" t="e">
        <f ca="1"/>
        <v>#NAME?</v>
      </c>
      <c r="HJ21" s="37" t="e">
        <f ca="1"/>
        <v>#NAME?</v>
      </c>
      <c r="HK21" s="37" t="e">
        <f ca="1"/>
        <v>#NAME?</v>
      </c>
      <c r="HL21" s="37" t="e">
        <f ca="1"/>
        <v>#NAME?</v>
      </c>
      <c r="HM21" s="37" t="e">
        <f ca="1"/>
        <v>#NAME?</v>
      </c>
      <c r="HN21" s="37" t="e">
        <f ca="1"/>
        <v>#NAME?</v>
      </c>
      <c r="HO21" s="37" t="e">
        <f ca="1"/>
        <v>#NAME?</v>
      </c>
      <c r="HP21" s="37" t="e">
        <f ca="1"/>
        <v>#NAME?</v>
      </c>
      <c r="HQ21" s="84" t="e">
        <f ca="1"/>
        <v>#NAME?</v>
      </c>
      <c r="HU21" s="83" t="e">
        <f ca="1"/>
        <v>#NAME?</v>
      </c>
      <c r="HV21" s="37" t="e">
        <f ca="1"/>
        <v>#NAME?</v>
      </c>
      <c r="HW21" s="37" t="e">
        <f ca="1"/>
        <v>#NAME?</v>
      </c>
      <c r="HX21" s="37" t="e">
        <f ca="1"/>
        <v>#NAME?</v>
      </c>
      <c r="HY21" s="37" t="e">
        <f ca="1"/>
        <v>#NAME?</v>
      </c>
      <c r="HZ21" s="37" t="e">
        <f ca="1"/>
        <v>#NAME?</v>
      </c>
      <c r="IA21" s="37" t="e">
        <f ca="1"/>
        <v>#NAME?</v>
      </c>
      <c r="IB21" s="37" t="e">
        <f ca="1"/>
        <v>#NAME?</v>
      </c>
      <c r="IC21" s="84" t="e">
        <f ca="1"/>
        <v>#NAME?</v>
      </c>
      <c r="IG21" s="83" t="e">
        <f ca="1"/>
        <v>#NAME?</v>
      </c>
      <c r="IH21" s="37" t="e">
        <f ca="1"/>
        <v>#NAME?</v>
      </c>
      <c r="II21" s="37" t="e">
        <f ca="1"/>
        <v>#NAME?</v>
      </c>
      <c r="IJ21" s="37" t="e">
        <f ca="1"/>
        <v>#NAME?</v>
      </c>
      <c r="IK21" s="37" t="e">
        <f ca="1"/>
        <v>#NAME?</v>
      </c>
      <c r="IL21" s="37" t="e">
        <f ca="1"/>
        <v>#NAME?</v>
      </c>
      <c r="IM21" s="37" t="e">
        <f ca="1"/>
        <v>#NAME?</v>
      </c>
      <c r="IN21" s="37" t="e">
        <f ca="1"/>
        <v>#NAME?</v>
      </c>
      <c r="IO21" s="84" t="e">
        <f ca="1"/>
        <v>#NAME?</v>
      </c>
      <c r="IS21" s="83" t="e">
        <f ca="1"/>
        <v>#NAME?</v>
      </c>
      <c r="IT21" s="37" t="e">
        <f ca="1"/>
        <v>#NAME?</v>
      </c>
      <c r="IU21" s="37" t="e">
        <f ca="1"/>
        <v>#NAME?</v>
      </c>
      <c r="IV21" s="37" t="e">
        <f ca="1"/>
        <v>#NAME?</v>
      </c>
      <c r="IW21" s="37" t="e">
        <f ca="1"/>
        <v>#NAME?</v>
      </c>
      <c r="IX21" s="37" t="e">
        <f ca="1"/>
        <v>#NAME?</v>
      </c>
      <c r="IY21" s="37" t="e">
        <f ca="1"/>
        <v>#NAME?</v>
      </c>
      <c r="IZ21" s="37" t="e">
        <f ca="1"/>
        <v>#NAME?</v>
      </c>
      <c r="JA21" s="84" t="e">
        <f ca="1"/>
        <v>#NAME?</v>
      </c>
      <c r="JE21" s="83" t="e">
        <f ca="1"/>
        <v>#NAME?</v>
      </c>
      <c r="JF21" s="37" t="e">
        <f ca="1"/>
        <v>#NAME?</v>
      </c>
      <c r="JG21" s="37" t="e">
        <f ca="1"/>
        <v>#NAME?</v>
      </c>
      <c r="JH21" s="37" t="e">
        <f ca="1"/>
        <v>#NAME?</v>
      </c>
      <c r="JI21" s="37" t="e">
        <f ca="1"/>
        <v>#NAME?</v>
      </c>
      <c r="JJ21" s="37" t="e">
        <f ca="1"/>
        <v>#NAME?</v>
      </c>
      <c r="JK21" s="37" t="e">
        <f ca="1"/>
        <v>#NAME?</v>
      </c>
      <c r="JL21" s="37" t="e">
        <f ca="1"/>
        <v>#NAME?</v>
      </c>
      <c r="JM21" s="84" t="e">
        <f ca="1"/>
        <v>#NAME?</v>
      </c>
      <c r="JQ21" s="83" t="e">
        <f ca="1"/>
        <v>#NAME?</v>
      </c>
      <c r="JR21" s="37" t="e">
        <f ca="1"/>
        <v>#NAME?</v>
      </c>
      <c r="JS21" s="37" t="e">
        <f ca="1"/>
        <v>#NAME?</v>
      </c>
      <c r="JT21" s="37" t="e">
        <f ca="1"/>
        <v>#NAME?</v>
      </c>
      <c r="JU21" s="37" t="e">
        <f ca="1"/>
        <v>#NAME?</v>
      </c>
      <c r="JV21" s="37" t="e">
        <f ca="1"/>
        <v>#NAME?</v>
      </c>
      <c r="JW21" s="37" t="e">
        <f ca="1"/>
        <v>#NAME?</v>
      </c>
      <c r="JX21" s="37" t="e">
        <f ca="1"/>
        <v>#NAME?</v>
      </c>
      <c r="JY21" s="84" t="e">
        <f ca="1"/>
        <v>#NAME?</v>
      </c>
      <c r="KC21" s="83" t="e">
        <f ca="1"/>
        <v>#NAME?</v>
      </c>
      <c r="KD21" s="37" t="e">
        <f ca="1"/>
        <v>#NAME?</v>
      </c>
      <c r="KE21" s="37" t="e">
        <f ca="1"/>
        <v>#NAME?</v>
      </c>
      <c r="KF21" s="37" t="e">
        <f ca="1"/>
        <v>#NAME?</v>
      </c>
      <c r="KG21" s="37" t="e">
        <f ca="1"/>
        <v>#NAME?</v>
      </c>
      <c r="KH21" s="37" t="e">
        <f ca="1"/>
        <v>#NAME?</v>
      </c>
      <c r="KI21" s="37" t="e">
        <f ca="1"/>
        <v>#NAME?</v>
      </c>
      <c r="KJ21" s="37" t="e">
        <f ca="1"/>
        <v>#NAME?</v>
      </c>
      <c r="KK21" s="84" t="e">
        <f ca="1"/>
        <v>#NAME?</v>
      </c>
      <c r="KO21" s="83" t="e">
        <f ca="1"/>
        <v>#NAME?</v>
      </c>
      <c r="KP21" s="37" t="e">
        <f ca="1"/>
        <v>#NAME?</v>
      </c>
      <c r="KQ21" s="37" t="e">
        <f ca="1"/>
        <v>#NAME?</v>
      </c>
      <c r="KR21" s="37" t="e">
        <f ca="1"/>
        <v>#NAME?</v>
      </c>
      <c r="KS21" s="37" t="e">
        <f ca="1"/>
        <v>#NAME?</v>
      </c>
      <c r="KT21" s="37" t="e">
        <f ca="1"/>
        <v>#NAME?</v>
      </c>
      <c r="KU21" s="37" t="e">
        <f ca="1"/>
        <v>#NAME?</v>
      </c>
      <c r="KV21" s="37" t="e">
        <f ca="1"/>
        <v>#NAME?</v>
      </c>
      <c r="KW21" s="84" t="e">
        <f ca="1"/>
        <v>#NAME?</v>
      </c>
      <c r="LA21" s="83" t="e">
        <f ca="1"/>
        <v>#NAME?</v>
      </c>
      <c r="LB21" s="37" t="e">
        <f ca="1"/>
        <v>#NAME?</v>
      </c>
      <c r="LC21" s="37" t="e">
        <f ca="1"/>
        <v>#NAME?</v>
      </c>
      <c r="LD21" s="37" t="e">
        <f ca="1"/>
        <v>#NAME?</v>
      </c>
      <c r="LE21" s="37" t="e">
        <f ca="1"/>
        <v>#NAME?</v>
      </c>
      <c r="LF21" s="37" t="e">
        <f ca="1"/>
        <v>#NAME?</v>
      </c>
      <c r="LG21" s="37" t="e">
        <f ca="1"/>
        <v>#NAME?</v>
      </c>
      <c r="LH21" s="37" t="e">
        <f ca="1"/>
        <v>#NAME?</v>
      </c>
      <c r="LI21" s="84" t="e">
        <f ca="1"/>
        <v>#NAME?</v>
      </c>
      <c r="LM21" s="83" t="e">
        <f ca="1"/>
        <v>#NAME?</v>
      </c>
      <c r="LN21" s="37" t="e">
        <f ca="1"/>
        <v>#NAME?</v>
      </c>
      <c r="LO21" s="37" t="e">
        <f ca="1"/>
        <v>#NAME?</v>
      </c>
      <c r="LP21" s="37" t="e">
        <f ca="1"/>
        <v>#NAME?</v>
      </c>
      <c r="LQ21" s="37" t="e">
        <f ca="1"/>
        <v>#NAME?</v>
      </c>
      <c r="LR21" s="37" t="e">
        <f ca="1"/>
        <v>#NAME?</v>
      </c>
      <c r="LS21" s="37" t="e">
        <f ca="1"/>
        <v>#NAME?</v>
      </c>
      <c r="LT21" s="37" t="e">
        <f ca="1"/>
        <v>#NAME?</v>
      </c>
      <c r="LU21" s="84" t="e">
        <f ca="1"/>
        <v>#NAME?</v>
      </c>
      <c r="LY21" s="83" t="e">
        <f ca="1"/>
        <v>#NAME?</v>
      </c>
      <c r="LZ21" s="37" t="e">
        <f ca="1"/>
        <v>#NAME?</v>
      </c>
      <c r="MA21" s="37" t="e">
        <f ca="1"/>
        <v>#NAME?</v>
      </c>
      <c r="MB21" s="37" t="e">
        <f ca="1"/>
        <v>#NAME?</v>
      </c>
      <c r="MC21" s="37" t="e">
        <f ca="1"/>
        <v>#NAME?</v>
      </c>
      <c r="MD21" s="37" t="e">
        <f ca="1"/>
        <v>#NAME?</v>
      </c>
      <c r="ME21" s="37" t="e">
        <f ca="1"/>
        <v>#NAME?</v>
      </c>
      <c r="MF21" s="37" t="e">
        <f ca="1"/>
        <v>#NAME?</v>
      </c>
      <c r="MG21" s="84" t="e">
        <f ca="1"/>
        <v>#NAME?</v>
      </c>
      <c r="MK21" s="83" t="e">
        <f ca="1"/>
        <v>#NAME?</v>
      </c>
      <c r="ML21" s="37" t="e">
        <f ca="1"/>
        <v>#NAME?</v>
      </c>
      <c r="MM21" s="37" t="e">
        <f ca="1"/>
        <v>#NAME?</v>
      </c>
      <c r="MN21" s="37" t="e">
        <f ca="1"/>
        <v>#NAME?</v>
      </c>
      <c r="MO21" s="37" t="e">
        <f ca="1"/>
        <v>#NAME?</v>
      </c>
      <c r="MP21" s="37" t="e">
        <f ca="1"/>
        <v>#NAME?</v>
      </c>
      <c r="MQ21" s="37" t="e">
        <f ca="1"/>
        <v>#NAME?</v>
      </c>
      <c r="MR21" s="37" t="e">
        <f ca="1"/>
        <v>#NAME?</v>
      </c>
      <c r="MS21" s="84" t="e">
        <f ca="1"/>
        <v>#NAME?</v>
      </c>
    </row>
    <row r="22" spans="1:358" x14ac:dyDescent="0.3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Y22" s="83" t="e">
        <f ca="1"/>
        <v>#NAME?</v>
      </c>
      <c r="Z22" s="37" t="e">
        <f ca="1"/>
        <v>#NAME?</v>
      </c>
      <c r="AA22" s="37" t="e">
        <f ca="1"/>
        <v>#NAME?</v>
      </c>
      <c r="AB22" s="37" t="e">
        <f ca="1"/>
        <v>#NAME?</v>
      </c>
      <c r="AC22" s="37" t="e">
        <f ca="1"/>
        <v>#NAME?</v>
      </c>
      <c r="AD22" s="37" t="e">
        <f ca="1"/>
        <v>#NAME?</v>
      </c>
      <c r="AE22" s="37" t="e">
        <f ca="1"/>
        <v>#NAME?</v>
      </c>
      <c r="AF22" s="37" t="e">
        <f ca="1"/>
        <v>#NAME?</v>
      </c>
      <c r="AG22" s="84" t="e">
        <f ca="1"/>
        <v>#NAME?</v>
      </c>
      <c r="AK22" s="83" t="e">
        <f ca="1"/>
        <v>#NAME?</v>
      </c>
      <c r="AL22" s="37" t="e">
        <f ca="1"/>
        <v>#NAME?</v>
      </c>
      <c r="AM22" s="37" t="e">
        <f ca="1"/>
        <v>#NAME?</v>
      </c>
      <c r="AN22" s="37" t="e">
        <f ca="1"/>
        <v>#NAME?</v>
      </c>
      <c r="AO22" s="37" t="e">
        <f ca="1"/>
        <v>#NAME?</v>
      </c>
      <c r="AP22" s="37" t="e">
        <f ca="1"/>
        <v>#NAME?</v>
      </c>
      <c r="AQ22" s="37" t="e">
        <f ca="1"/>
        <v>#NAME?</v>
      </c>
      <c r="AR22" s="37" t="e">
        <f ca="1"/>
        <v>#NAME?</v>
      </c>
      <c r="AS22" s="84" t="e">
        <f ca="1"/>
        <v>#NAME?</v>
      </c>
      <c r="AW22" s="83" t="e">
        <f ca="1"/>
        <v>#NAME?</v>
      </c>
      <c r="AX22" s="37" t="e">
        <f ca="1"/>
        <v>#NAME?</v>
      </c>
      <c r="AY22" s="37" t="e">
        <f ca="1"/>
        <v>#NAME?</v>
      </c>
      <c r="AZ22" s="37" t="e">
        <f ca="1"/>
        <v>#NAME?</v>
      </c>
      <c r="BA22" s="37" t="e">
        <f ca="1"/>
        <v>#NAME?</v>
      </c>
      <c r="BB22" s="37" t="e">
        <f ca="1"/>
        <v>#NAME?</v>
      </c>
      <c r="BC22" s="37" t="e">
        <f ca="1"/>
        <v>#NAME?</v>
      </c>
      <c r="BD22" s="37" t="e">
        <f ca="1"/>
        <v>#NAME?</v>
      </c>
      <c r="BE22" s="84" t="e">
        <f ca="1"/>
        <v>#NAME?</v>
      </c>
      <c r="BI22" s="83" t="e">
        <f ca="1"/>
        <v>#NAME?</v>
      </c>
      <c r="BJ22" s="37" t="e">
        <f ca="1"/>
        <v>#NAME?</v>
      </c>
      <c r="BK22" s="37" t="e">
        <f ca="1"/>
        <v>#NAME?</v>
      </c>
      <c r="BL22" s="37" t="e">
        <f ca="1"/>
        <v>#NAME?</v>
      </c>
      <c r="BM22" s="37" t="e">
        <f ca="1"/>
        <v>#NAME?</v>
      </c>
      <c r="BN22" s="37" t="e">
        <f ca="1"/>
        <v>#NAME?</v>
      </c>
      <c r="BO22" s="37" t="e">
        <f ca="1"/>
        <v>#NAME?</v>
      </c>
      <c r="BP22" s="37" t="e">
        <f ca="1"/>
        <v>#NAME?</v>
      </c>
      <c r="BQ22" s="84" t="e">
        <f ca="1"/>
        <v>#NAME?</v>
      </c>
      <c r="BU22" s="83" t="e">
        <f ca="1"/>
        <v>#NAME?</v>
      </c>
      <c r="BV22" s="37" t="e">
        <f ca="1"/>
        <v>#NAME?</v>
      </c>
      <c r="BW22" s="37" t="e">
        <f ca="1"/>
        <v>#NAME?</v>
      </c>
      <c r="BX22" s="37" t="e">
        <f ca="1"/>
        <v>#NAME?</v>
      </c>
      <c r="BY22" s="37" t="e">
        <f ca="1"/>
        <v>#NAME?</v>
      </c>
      <c r="BZ22" s="37" t="e">
        <f ca="1"/>
        <v>#NAME?</v>
      </c>
      <c r="CA22" s="37" t="e">
        <f ca="1"/>
        <v>#NAME?</v>
      </c>
      <c r="CB22" s="37" t="e">
        <f ca="1"/>
        <v>#NAME?</v>
      </c>
      <c r="CC22" s="84" t="e">
        <f ca="1"/>
        <v>#NAME?</v>
      </c>
      <c r="CG22" s="83" t="e">
        <f ca="1"/>
        <v>#NAME?</v>
      </c>
      <c r="CH22" s="37" t="e">
        <f ca="1"/>
        <v>#NAME?</v>
      </c>
      <c r="CI22" s="37" t="e">
        <f ca="1"/>
        <v>#NAME?</v>
      </c>
      <c r="CJ22" s="37" t="e">
        <f ca="1"/>
        <v>#NAME?</v>
      </c>
      <c r="CK22" s="37" t="e">
        <f ca="1"/>
        <v>#NAME?</v>
      </c>
      <c r="CL22" s="37" t="e">
        <f ca="1"/>
        <v>#NAME?</v>
      </c>
      <c r="CM22" s="37" t="e">
        <f ca="1"/>
        <v>#NAME?</v>
      </c>
      <c r="CN22" s="37" t="e">
        <f ca="1"/>
        <v>#NAME?</v>
      </c>
      <c r="CO22" s="84" t="e">
        <f ca="1"/>
        <v>#NAME?</v>
      </c>
      <c r="CS22" s="83" t="e">
        <f ca="1"/>
        <v>#NAME?</v>
      </c>
      <c r="CT22" s="37" t="e">
        <f ca="1"/>
        <v>#NAME?</v>
      </c>
      <c r="CU22" s="37" t="e">
        <f ca="1"/>
        <v>#NAME?</v>
      </c>
      <c r="CV22" s="37" t="e">
        <f ca="1"/>
        <v>#NAME?</v>
      </c>
      <c r="CW22" s="37" t="e">
        <f ca="1"/>
        <v>#NAME?</v>
      </c>
      <c r="CX22" s="37" t="e">
        <f ca="1"/>
        <v>#NAME?</v>
      </c>
      <c r="CY22" s="37" t="e">
        <f ca="1"/>
        <v>#NAME?</v>
      </c>
      <c r="CZ22" s="37" t="e">
        <f ca="1"/>
        <v>#NAME?</v>
      </c>
      <c r="DA22" s="84" t="e">
        <f ca="1"/>
        <v>#NAME?</v>
      </c>
      <c r="DE22" s="83" t="e">
        <f ca="1"/>
        <v>#NAME?</v>
      </c>
      <c r="DF22" s="37" t="e">
        <f ca="1"/>
        <v>#NAME?</v>
      </c>
      <c r="DG22" s="37" t="e">
        <f ca="1"/>
        <v>#NAME?</v>
      </c>
      <c r="DH22" s="37" t="e">
        <f ca="1"/>
        <v>#NAME?</v>
      </c>
      <c r="DI22" s="37" t="e">
        <f ca="1"/>
        <v>#NAME?</v>
      </c>
      <c r="DJ22" s="37" t="e">
        <f ca="1"/>
        <v>#NAME?</v>
      </c>
      <c r="DK22" s="37" t="e">
        <f ca="1"/>
        <v>#NAME?</v>
      </c>
      <c r="DL22" s="37" t="e">
        <f ca="1"/>
        <v>#NAME?</v>
      </c>
      <c r="DM22" s="84" t="e">
        <f ca="1"/>
        <v>#NAME?</v>
      </c>
      <c r="DQ22" s="83" t="e">
        <f ca="1"/>
        <v>#NAME?</v>
      </c>
      <c r="DR22" s="37" t="e">
        <f ca="1"/>
        <v>#NAME?</v>
      </c>
      <c r="DS22" s="37" t="e">
        <f ca="1"/>
        <v>#NAME?</v>
      </c>
      <c r="DT22" s="37" t="e">
        <f ca="1"/>
        <v>#NAME?</v>
      </c>
      <c r="DU22" s="37" t="e">
        <f ca="1"/>
        <v>#NAME?</v>
      </c>
      <c r="DV22" s="37" t="e">
        <f ca="1"/>
        <v>#NAME?</v>
      </c>
      <c r="DW22" s="37" t="e">
        <f ca="1"/>
        <v>#NAME?</v>
      </c>
      <c r="DX22" s="37" t="e">
        <f ca="1"/>
        <v>#NAME?</v>
      </c>
      <c r="DY22" s="84" t="e">
        <f ca="1"/>
        <v>#NAME?</v>
      </c>
      <c r="EC22" s="83" t="e">
        <f ca="1"/>
        <v>#NAME?</v>
      </c>
      <c r="ED22" s="37" t="e">
        <f ca="1"/>
        <v>#NAME?</v>
      </c>
      <c r="EE22" s="37" t="e">
        <f ca="1"/>
        <v>#NAME?</v>
      </c>
      <c r="EF22" s="37" t="e">
        <f ca="1"/>
        <v>#NAME?</v>
      </c>
      <c r="EG22" s="37" t="e">
        <f ca="1"/>
        <v>#NAME?</v>
      </c>
      <c r="EH22" s="37" t="e">
        <f ca="1"/>
        <v>#NAME?</v>
      </c>
      <c r="EI22" s="37" t="e">
        <f ca="1"/>
        <v>#NAME?</v>
      </c>
      <c r="EJ22" s="37" t="e">
        <f ca="1"/>
        <v>#NAME?</v>
      </c>
      <c r="EK22" s="84" t="e">
        <f ca="1"/>
        <v>#NAME?</v>
      </c>
      <c r="EO22" s="83" t="e">
        <f ca="1"/>
        <v>#NAME?</v>
      </c>
      <c r="EP22" s="37" t="e">
        <f ca="1"/>
        <v>#NAME?</v>
      </c>
      <c r="EQ22" s="37" t="e">
        <f ca="1"/>
        <v>#NAME?</v>
      </c>
      <c r="ER22" s="37" t="e">
        <f ca="1"/>
        <v>#NAME?</v>
      </c>
      <c r="ES22" s="37" t="e">
        <f ca="1"/>
        <v>#NAME?</v>
      </c>
      <c r="ET22" s="37" t="e">
        <f ca="1"/>
        <v>#NAME?</v>
      </c>
      <c r="EU22" s="37" t="e">
        <f ca="1"/>
        <v>#NAME?</v>
      </c>
      <c r="EV22" s="37" t="e">
        <f ca="1"/>
        <v>#NAME?</v>
      </c>
      <c r="EW22" s="84" t="e">
        <f ca="1"/>
        <v>#NAME?</v>
      </c>
      <c r="FA22" s="83" t="e">
        <f ca="1"/>
        <v>#NAME?</v>
      </c>
      <c r="FB22" s="37" t="e">
        <f ca="1"/>
        <v>#NAME?</v>
      </c>
      <c r="FC22" s="37" t="e">
        <f ca="1"/>
        <v>#NAME?</v>
      </c>
      <c r="FD22" s="37" t="e">
        <f ca="1"/>
        <v>#NAME?</v>
      </c>
      <c r="FE22" s="37" t="e">
        <f ca="1"/>
        <v>#NAME?</v>
      </c>
      <c r="FF22" s="37" t="e">
        <f ca="1"/>
        <v>#NAME?</v>
      </c>
      <c r="FG22" s="37" t="e">
        <f ca="1"/>
        <v>#NAME?</v>
      </c>
      <c r="FH22" s="37" t="e">
        <f ca="1"/>
        <v>#NAME?</v>
      </c>
      <c r="FI22" s="84" t="e">
        <f ca="1"/>
        <v>#NAME?</v>
      </c>
      <c r="FM22" s="83" t="e">
        <f ca="1"/>
        <v>#NAME?</v>
      </c>
      <c r="FN22" s="37" t="e">
        <f ca="1"/>
        <v>#NAME?</v>
      </c>
      <c r="FO22" s="37" t="e">
        <f ca="1"/>
        <v>#NAME?</v>
      </c>
      <c r="FP22" s="37" t="e">
        <f ca="1"/>
        <v>#NAME?</v>
      </c>
      <c r="FQ22" s="37" t="e">
        <f ca="1"/>
        <v>#NAME?</v>
      </c>
      <c r="FR22" s="37" t="e">
        <f ca="1"/>
        <v>#NAME?</v>
      </c>
      <c r="FS22" s="37" t="e">
        <f ca="1"/>
        <v>#NAME?</v>
      </c>
      <c r="FT22" s="37" t="e">
        <f ca="1"/>
        <v>#NAME?</v>
      </c>
      <c r="FU22" s="84" t="e">
        <f ca="1"/>
        <v>#NAME?</v>
      </c>
      <c r="FY22" s="83" t="e">
        <f ca="1"/>
        <v>#NAME?</v>
      </c>
      <c r="FZ22" s="37" t="e">
        <f ca="1"/>
        <v>#NAME?</v>
      </c>
      <c r="GA22" s="37" t="e">
        <f ca="1"/>
        <v>#NAME?</v>
      </c>
      <c r="GB22" s="37" t="e">
        <f ca="1"/>
        <v>#NAME?</v>
      </c>
      <c r="GC22" s="37" t="e">
        <f ca="1"/>
        <v>#NAME?</v>
      </c>
      <c r="GD22" s="37" t="e">
        <f ca="1"/>
        <v>#NAME?</v>
      </c>
      <c r="GE22" s="37" t="e">
        <f ca="1"/>
        <v>#NAME?</v>
      </c>
      <c r="GF22" s="37" t="e">
        <f ca="1"/>
        <v>#NAME?</v>
      </c>
      <c r="GG22" s="84" t="e">
        <f ca="1"/>
        <v>#NAME?</v>
      </c>
      <c r="GK22" s="83" t="e">
        <f ca="1"/>
        <v>#NAME?</v>
      </c>
      <c r="GL22" s="37" t="e">
        <f ca="1"/>
        <v>#NAME?</v>
      </c>
      <c r="GM22" s="37" t="e">
        <f ca="1"/>
        <v>#NAME?</v>
      </c>
      <c r="GN22" s="37" t="e">
        <f ca="1"/>
        <v>#NAME?</v>
      </c>
      <c r="GO22" s="37" t="e">
        <f ca="1"/>
        <v>#NAME?</v>
      </c>
      <c r="GP22" s="37" t="e">
        <f ca="1"/>
        <v>#NAME?</v>
      </c>
      <c r="GQ22" s="37" t="e">
        <f ca="1"/>
        <v>#NAME?</v>
      </c>
      <c r="GR22" s="37" t="e">
        <f ca="1"/>
        <v>#NAME?</v>
      </c>
      <c r="GS22" s="84" t="e">
        <f ca="1"/>
        <v>#NAME?</v>
      </c>
      <c r="GW22" s="83" t="e">
        <f ca="1"/>
        <v>#NAME?</v>
      </c>
      <c r="GX22" s="37" t="e">
        <f ca="1"/>
        <v>#NAME?</v>
      </c>
      <c r="GY22" s="37" t="e">
        <f ca="1"/>
        <v>#NAME?</v>
      </c>
      <c r="GZ22" s="37" t="e">
        <f ca="1"/>
        <v>#NAME?</v>
      </c>
      <c r="HA22" s="37" t="e">
        <f ca="1"/>
        <v>#NAME?</v>
      </c>
      <c r="HB22" s="37" t="e">
        <f ca="1"/>
        <v>#NAME?</v>
      </c>
      <c r="HC22" s="37" t="e">
        <f ca="1"/>
        <v>#NAME?</v>
      </c>
      <c r="HD22" s="37" t="e">
        <f ca="1"/>
        <v>#NAME?</v>
      </c>
      <c r="HE22" s="84" t="e">
        <f ca="1"/>
        <v>#NAME?</v>
      </c>
      <c r="HI22" s="83" t="e">
        <f ca="1"/>
        <v>#NAME?</v>
      </c>
      <c r="HJ22" s="37" t="e">
        <f ca="1"/>
        <v>#NAME?</v>
      </c>
      <c r="HK22" s="37" t="e">
        <f ca="1"/>
        <v>#NAME?</v>
      </c>
      <c r="HL22" s="37" t="e">
        <f ca="1"/>
        <v>#NAME?</v>
      </c>
      <c r="HM22" s="37" t="e">
        <f ca="1"/>
        <v>#NAME?</v>
      </c>
      <c r="HN22" s="37" t="e">
        <f ca="1"/>
        <v>#NAME?</v>
      </c>
      <c r="HO22" s="37" t="e">
        <f ca="1"/>
        <v>#NAME?</v>
      </c>
      <c r="HP22" s="37" t="e">
        <f ca="1"/>
        <v>#NAME?</v>
      </c>
      <c r="HQ22" s="84" t="e">
        <f ca="1"/>
        <v>#NAME?</v>
      </c>
      <c r="HU22" s="83" t="e">
        <f ca="1"/>
        <v>#NAME?</v>
      </c>
      <c r="HV22" s="37" t="e">
        <f ca="1"/>
        <v>#NAME?</v>
      </c>
      <c r="HW22" s="37" t="e">
        <f ca="1"/>
        <v>#NAME?</v>
      </c>
      <c r="HX22" s="37" t="e">
        <f ca="1"/>
        <v>#NAME?</v>
      </c>
      <c r="HY22" s="37" t="e">
        <f ca="1"/>
        <v>#NAME?</v>
      </c>
      <c r="HZ22" s="37" t="e">
        <f ca="1"/>
        <v>#NAME?</v>
      </c>
      <c r="IA22" s="37" t="e">
        <f ca="1"/>
        <v>#NAME?</v>
      </c>
      <c r="IB22" s="37" t="e">
        <f ca="1"/>
        <v>#NAME?</v>
      </c>
      <c r="IC22" s="84" t="e">
        <f ca="1"/>
        <v>#NAME?</v>
      </c>
      <c r="IG22" s="83" t="e">
        <f ca="1"/>
        <v>#NAME?</v>
      </c>
      <c r="IH22" s="37" t="e">
        <f ca="1"/>
        <v>#NAME?</v>
      </c>
      <c r="II22" s="37" t="e">
        <f ca="1"/>
        <v>#NAME?</v>
      </c>
      <c r="IJ22" s="37" t="e">
        <f ca="1"/>
        <v>#NAME?</v>
      </c>
      <c r="IK22" s="37" t="e">
        <f ca="1"/>
        <v>#NAME?</v>
      </c>
      <c r="IL22" s="37" t="e">
        <f ca="1"/>
        <v>#NAME?</v>
      </c>
      <c r="IM22" s="37" t="e">
        <f ca="1"/>
        <v>#NAME?</v>
      </c>
      <c r="IN22" s="37" t="e">
        <f ca="1"/>
        <v>#NAME?</v>
      </c>
      <c r="IO22" s="84" t="e">
        <f ca="1"/>
        <v>#NAME?</v>
      </c>
      <c r="IS22" s="83" t="e">
        <f ca="1"/>
        <v>#NAME?</v>
      </c>
      <c r="IT22" s="37" t="e">
        <f ca="1"/>
        <v>#NAME?</v>
      </c>
      <c r="IU22" s="37" t="e">
        <f ca="1"/>
        <v>#NAME?</v>
      </c>
      <c r="IV22" s="37" t="e">
        <f ca="1"/>
        <v>#NAME?</v>
      </c>
      <c r="IW22" s="37" t="e">
        <f ca="1"/>
        <v>#NAME?</v>
      </c>
      <c r="IX22" s="37" t="e">
        <f ca="1"/>
        <v>#NAME?</v>
      </c>
      <c r="IY22" s="37" t="e">
        <f ca="1"/>
        <v>#NAME?</v>
      </c>
      <c r="IZ22" s="37" t="e">
        <f ca="1"/>
        <v>#NAME?</v>
      </c>
      <c r="JA22" s="84" t="e">
        <f ca="1"/>
        <v>#NAME?</v>
      </c>
      <c r="JE22" s="83" t="e">
        <f ca="1"/>
        <v>#NAME?</v>
      </c>
      <c r="JF22" s="37" t="e">
        <f ca="1"/>
        <v>#NAME?</v>
      </c>
      <c r="JG22" s="37" t="e">
        <f ca="1"/>
        <v>#NAME?</v>
      </c>
      <c r="JH22" s="37" t="e">
        <f ca="1"/>
        <v>#NAME?</v>
      </c>
      <c r="JI22" s="37" t="e">
        <f ca="1"/>
        <v>#NAME?</v>
      </c>
      <c r="JJ22" s="37" t="e">
        <f ca="1"/>
        <v>#NAME?</v>
      </c>
      <c r="JK22" s="37" t="e">
        <f ca="1"/>
        <v>#NAME?</v>
      </c>
      <c r="JL22" s="37" t="e">
        <f ca="1"/>
        <v>#NAME?</v>
      </c>
      <c r="JM22" s="84" t="e">
        <f ca="1"/>
        <v>#NAME?</v>
      </c>
      <c r="JQ22" s="83" t="e">
        <f ca="1"/>
        <v>#NAME?</v>
      </c>
      <c r="JR22" s="37" t="e">
        <f ca="1"/>
        <v>#NAME?</v>
      </c>
      <c r="JS22" s="37" t="e">
        <f ca="1"/>
        <v>#NAME?</v>
      </c>
      <c r="JT22" s="37" t="e">
        <f ca="1"/>
        <v>#NAME?</v>
      </c>
      <c r="JU22" s="37" t="e">
        <f ca="1"/>
        <v>#NAME?</v>
      </c>
      <c r="JV22" s="37" t="e">
        <f ca="1"/>
        <v>#NAME?</v>
      </c>
      <c r="JW22" s="37" t="e">
        <f ca="1"/>
        <v>#NAME?</v>
      </c>
      <c r="JX22" s="37" t="e">
        <f ca="1"/>
        <v>#NAME?</v>
      </c>
      <c r="JY22" s="84" t="e">
        <f ca="1"/>
        <v>#NAME?</v>
      </c>
      <c r="KC22" s="83" t="e">
        <f ca="1"/>
        <v>#NAME?</v>
      </c>
      <c r="KD22" s="37" t="e">
        <f ca="1"/>
        <v>#NAME?</v>
      </c>
      <c r="KE22" s="37" t="e">
        <f ca="1"/>
        <v>#NAME?</v>
      </c>
      <c r="KF22" s="37" t="e">
        <f ca="1"/>
        <v>#NAME?</v>
      </c>
      <c r="KG22" s="37" t="e">
        <f ca="1"/>
        <v>#NAME?</v>
      </c>
      <c r="KH22" s="37" t="e">
        <f ca="1"/>
        <v>#NAME?</v>
      </c>
      <c r="KI22" s="37" t="e">
        <f ca="1"/>
        <v>#NAME?</v>
      </c>
      <c r="KJ22" s="37" t="e">
        <f ca="1"/>
        <v>#NAME?</v>
      </c>
      <c r="KK22" s="84" t="e">
        <f ca="1"/>
        <v>#NAME?</v>
      </c>
      <c r="KO22" s="83" t="e">
        <f ca="1"/>
        <v>#NAME?</v>
      </c>
      <c r="KP22" s="37" t="e">
        <f ca="1"/>
        <v>#NAME?</v>
      </c>
      <c r="KQ22" s="37" t="e">
        <f ca="1"/>
        <v>#NAME?</v>
      </c>
      <c r="KR22" s="37" t="e">
        <f ca="1"/>
        <v>#NAME?</v>
      </c>
      <c r="KS22" s="37" t="e">
        <f ca="1"/>
        <v>#NAME?</v>
      </c>
      <c r="KT22" s="37" t="e">
        <f ca="1"/>
        <v>#NAME?</v>
      </c>
      <c r="KU22" s="37" t="e">
        <f ca="1"/>
        <v>#NAME?</v>
      </c>
      <c r="KV22" s="37" t="e">
        <f ca="1"/>
        <v>#NAME?</v>
      </c>
      <c r="KW22" s="84" t="e">
        <f ca="1"/>
        <v>#NAME?</v>
      </c>
      <c r="LA22" s="83" t="e">
        <f ca="1"/>
        <v>#NAME?</v>
      </c>
      <c r="LB22" s="37" t="e">
        <f ca="1"/>
        <v>#NAME?</v>
      </c>
      <c r="LC22" s="37" t="e">
        <f ca="1"/>
        <v>#NAME?</v>
      </c>
      <c r="LD22" s="37" t="e">
        <f ca="1"/>
        <v>#NAME?</v>
      </c>
      <c r="LE22" s="37" t="e">
        <f ca="1"/>
        <v>#NAME?</v>
      </c>
      <c r="LF22" s="37" t="e">
        <f ca="1"/>
        <v>#NAME?</v>
      </c>
      <c r="LG22" s="37" t="e">
        <f ca="1"/>
        <v>#NAME?</v>
      </c>
      <c r="LH22" s="37" t="e">
        <f ca="1"/>
        <v>#NAME?</v>
      </c>
      <c r="LI22" s="84" t="e">
        <f ca="1"/>
        <v>#NAME?</v>
      </c>
      <c r="LM22" s="83" t="e">
        <f ca="1"/>
        <v>#NAME?</v>
      </c>
      <c r="LN22" s="37" t="e">
        <f ca="1"/>
        <v>#NAME?</v>
      </c>
      <c r="LO22" s="37" t="e">
        <f ca="1"/>
        <v>#NAME?</v>
      </c>
      <c r="LP22" s="37" t="e">
        <f ca="1"/>
        <v>#NAME?</v>
      </c>
      <c r="LQ22" s="37" t="e">
        <f ca="1"/>
        <v>#NAME?</v>
      </c>
      <c r="LR22" s="37" t="e">
        <f ca="1"/>
        <v>#NAME?</v>
      </c>
      <c r="LS22" s="37" t="e">
        <f ca="1"/>
        <v>#NAME?</v>
      </c>
      <c r="LT22" s="37" t="e">
        <f ca="1"/>
        <v>#NAME?</v>
      </c>
      <c r="LU22" s="84" t="e">
        <f ca="1"/>
        <v>#NAME?</v>
      </c>
      <c r="LY22" s="83" t="e">
        <f ca="1"/>
        <v>#NAME?</v>
      </c>
      <c r="LZ22" s="37" t="e">
        <f ca="1"/>
        <v>#NAME?</v>
      </c>
      <c r="MA22" s="37" t="e">
        <f ca="1"/>
        <v>#NAME?</v>
      </c>
      <c r="MB22" s="37" t="e">
        <f ca="1"/>
        <v>#NAME?</v>
      </c>
      <c r="MC22" s="37" t="e">
        <f ca="1"/>
        <v>#NAME?</v>
      </c>
      <c r="MD22" s="37" t="e">
        <f ca="1"/>
        <v>#NAME?</v>
      </c>
      <c r="ME22" s="37" t="e">
        <f ca="1"/>
        <v>#NAME?</v>
      </c>
      <c r="MF22" s="37" t="e">
        <f ca="1"/>
        <v>#NAME?</v>
      </c>
      <c r="MG22" s="84" t="e">
        <f ca="1"/>
        <v>#NAME?</v>
      </c>
      <c r="MK22" s="83" t="e">
        <f ca="1"/>
        <v>#NAME?</v>
      </c>
      <c r="ML22" s="37" t="e">
        <f ca="1"/>
        <v>#NAME?</v>
      </c>
      <c r="MM22" s="37" t="e">
        <f ca="1"/>
        <v>#NAME?</v>
      </c>
      <c r="MN22" s="37" t="e">
        <f ca="1"/>
        <v>#NAME?</v>
      </c>
      <c r="MO22" s="37" t="e">
        <f ca="1"/>
        <v>#NAME?</v>
      </c>
      <c r="MP22" s="37" t="e">
        <f ca="1"/>
        <v>#NAME?</v>
      </c>
      <c r="MQ22" s="37" t="e">
        <f ca="1"/>
        <v>#NAME?</v>
      </c>
      <c r="MR22" s="37" t="e">
        <f ca="1"/>
        <v>#NAME?</v>
      </c>
      <c r="MS22" s="84" t="e">
        <f ca="1"/>
        <v>#NAME?</v>
      </c>
    </row>
    <row r="23" spans="1:358" x14ac:dyDescent="0.3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Y23" s="83" t="e">
        <f ca="1"/>
        <v>#NAME?</v>
      </c>
      <c r="Z23" s="37" t="e">
        <f ca="1"/>
        <v>#NAME?</v>
      </c>
      <c r="AA23" s="37" t="e">
        <f ca="1"/>
        <v>#NAME?</v>
      </c>
      <c r="AB23" s="37" t="e">
        <f ca="1"/>
        <v>#NAME?</v>
      </c>
      <c r="AC23" s="37" t="e">
        <f ca="1"/>
        <v>#NAME?</v>
      </c>
      <c r="AD23" s="37" t="e">
        <f ca="1"/>
        <v>#NAME?</v>
      </c>
      <c r="AE23" s="37" t="e">
        <f ca="1"/>
        <v>#NAME?</v>
      </c>
      <c r="AF23" s="37" t="e">
        <f ca="1"/>
        <v>#NAME?</v>
      </c>
      <c r="AG23" s="84" t="e">
        <f ca="1"/>
        <v>#NAME?</v>
      </c>
      <c r="AK23" s="83" t="e">
        <f ca="1"/>
        <v>#NAME?</v>
      </c>
      <c r="AL23" s="37" t="e">
        <f ca="1"/>
        <v>#NAME?</v>
      </c>
      <c r="AM23" s="37" t="e">
        <f ca="1"/>
        <v>#NAME?</v>
      </c>
      <c r="AN23" s="37" t="e">
        <f ca="1"/>
        <v>#NAME?</v>
      </c>
      <c r="AO23" s="37" t="e">
        <f ca="1"/>
        <v>#NAME?</v>
      </c>
      <c r="AP23" s="37" t="e">
        <f ca="1"/>
        <v>#NAME?</v>
      </c>
      <c r="AQ23" s="37" t="e">
        <f ca="1"/>
        <v>#NAME?</v>
      </c>
      <c r="AR23" s="37" t="e">
        <f ca="1"/>
        <v>#NAME?</v>
      </c>
      <c r="AS23" s="84" t="e">
        <f ca="1"/>
        <v>#NAME?</v>
      </c>
      <c r="AW23" s="83" t="e">
        <f ca="1"/>
        <v>#NAME?</v>
      </c>
      <c r="AX23" s="37" t="e">
        <f ca="1"/>
        <v>#NAME?</v>
      </c>
      <c r="AY23" s="37" t="e">
        <f ca="1"/>
        <v>#NAME?</v>
      </c>
      <c r="AZ23" s="37" t="e">
        <f ca="1"/>
        <v>#NAME?</v>
      </c>
      <c r="BA23" s="37" t="e">
        <f ca="1"/>
        <v>#NAME?</v>
      </c>
      <c r="BB23" s="37" t="e">
        <f ca="1"/>
        <v>#NAME?</v>
      </c>
      <c r="BC23" s="37" t="e">
        <f ca="1"/>
        <v>#NAME?</v>
      </c>
      <c r="BD23" s="37" t="e">
        <f ca="1"/>
        <v>#NAME?</v>
      </c>
      <c r="BE23" s="84" t="e">
        <f ca="1"/>
        <v>#NAME?</v>
      </c>
      <c r="BI23" s="83" t="e">
        <f ca="1"/>
        <v>#NAME?</v>
      </c>
      <c r="BJ23" s="37" t="e">
        <f ca="1"/>
        <v>#NAME?</v>
      </c>
      <c r="BK23" s="37" t="e">
        <f ca="1"/>
        <v>#NAME?</v>
      </c>
      <c r="BL23" s="37" t="e">
        <f ca="1"/>
        <v>#NAME?</v>
      </c>
      <c r="BM23" s="37" t="e">
        <f ca="1"/>
        <v>#NAME?</v>
      </c>
      <c r="BN23" s="37" t="e">
        <f ca="1"/>
        <v>#NAME?</v>
      </c>
      <c r="BO23" s="37" t="e">
        <f ca="1"/>
        <v>#NAME?</v>
      </c>
      <c r="BP23" s="37" t="e">
        <f ca="1"/>
        <v>#NAME?</v>
      </c>
      <c r="BQ23" s="84" t="e">
        <f ca="1"/>
        <v>#NAME?</v>
      </c>
      <c r="BU23" s="83" t="e">
        <f ca="1"/>
        <v>#NAME?</v>
      </c>
      <c r="BV23" s="37" t="e">
        <f ca="1"/>
        <v>#NAME?</v>
      </c>
      <c r="BW23" s="37" t="e">
        <f ca="1"/>
        <v>#NAME?</v>
      </c>
      <c r="BX23" s="37" t="e">
        <f ca="1"/>
        <v>#NAME?</v>
      </c>
      <c r="BY23" s="37" t="e">
        <f ca="1"/>
        <v>#NAME?</v>
      </c>
      <c r="BZ23" s="37" t="e">
        <f ca="1"/>
        <v>#NAME?</v>
      </c>
      <c r="CA23" s="37" t="e">
        <f ca="1"/>
        <v>#NAME?</v>
      </c>
      <c r="CB23" s="37" t="e">
        <f ca="1"/>
        <v>#NAME?</v>
      </c>
      <c r="CC23" s="84" t="e">
        <f ca="1"/>
        <v>#NAME?</v>
      </c>
      <c r="CG23" s="83" t="e">
        <f ca="1"/>
        <v>#NAME?</v>
      </c>
      <c r="CH23" s="37" t="e">
        <f ca="1"/>
        <v>#NAME?</v>
      </c>
      <c r="CI23" s="37" t="e">
        <f ca="1"/>
        <v>#NAME?</v>
      </c>
      <c r="CJ23" s="37" t="e">
        <f ca="1"/>
        <v>#NAME?</v>
      </c>
      <c r="CK23" s="37" t="e">
        <f ca="1"/>
        <v>#NAME?</v>
      </c>
      <c r="CL23" s="37" t="e">
        <f ca="1"/>
        <v>#NAME?</v>
      </c>
      <c r="CM23" s="37" t="e">
        <f ca="1"/>
        <v>#NAME?</v>
      </c>
      <c r="CN23" s="37" t="e">
        <f ca="1"/>
        <v>#NAME?</v>
      </c>
      <c r="CO23" s="84" t="e">
        <f ca="1"/>
        <v>#NAME?</v>
      </c>
      <c r="CS23" s="83" t="e">
        <f ca="1"/>
        <v>#NAME?</v>
      </c>
      <c r="CT23" s="37" t="e">
        <f ca="1"/>
        <v>#NAME?</v>
      </c>
      <c r="CU23" s="37" t="e">
        <f ca="1"/>
        <v>#NAME?</v>
      </c>
      <c r="CV23" s="37" t="e">
        <f ca="1"/>
        <v>#NAME?</v>
      </c>
      <c r="CW23" s="37" t="e">
        <f ca="1"/>
        <v>#NAME?</v>
      </c>
      <c r="CX23" s="37" t="e">
        <f ca="1"/>
        <v>#NAME?</v>
      </c>
      <c r="CY23" s="37" t="e">
        <f ca="1"/>
        <v>#NAME?</v>
      </c>
      <c r="CZ23" s="37" t="e">
        <f ca="1"/>
        <v>#NAME?</v>
      </c>
      <c r="DA23" s="84" t="e">
        <f ca="1"/>
        <v>#NAME?</v>
      </c>
      <c r="DE23" s="83" t="e">
        <f ca="1"/>
        <v>#NAME?</v>
      </c>
      <c r="DF23" s="37" t="e">
        <f ca="1"/>
        <v>#NAME?</v>
      </c>
      <c r="DG23" s="37" t="e">
        <f ca="1"/>
        <v>#NAME?</v>
      </c>
      <c r="DH23" s="37" t="e">
        <f ca="1"/>
        <v>#NAME?</v>
      </c>
      <c r="DI23" s="37" t="e">
        <f ca="1"/>
        <v>#NAME?</v>
      </c>
      <c r="DJ23" s="37" t="e">
        <f ca="1"/>
        <v>#NAME?</v>
      </c>
      <c r="DK23" s="37" t="e">
        <f ca="1"/>
        <v>#NAME?</v>
      </c>
      <c r="DL23" s="37" t="e">
        <f ca="1"/>
        <v>#NAME?</v>
      </c>
      <c r="DM23" s="84" t="e">
        <f ca="1"/>
        <v>#NAME?</v>
      </c>
      <c r="DQ23" s="83" t="e">
        <f ca="1"/>
        <v>#NAME?</v>
      </c>
      <c r="DR23" s="37" t="e">
        <f ca="1"/>
        <v>#NAME?</v>
      </c>
      <c r="DS23" s="37" t="e">
        <f ca="1"/>
        <v>#NAME?</v>
      </c>
      <c r="DT23" s="37" t="e">
        <f ca="1"/>
        <v>#NAME?</v>
      </c>
      <c r="DU23" s="37" t="e">
        <f ca="1"/>
        <v>#NAME?</v>
      </c>
      <c r="DV23" s="37" t="e">
        <f ca="1"/>
        <v>#NAME?</v>
      </c>
      <c r="DW23" s="37" t="e">
        <f ca="1"/>
        <v>#NAME?</v>
      </c>
      <c r="DX23" s="37" t="e">
        <f ca="1"/>
        <v>#NAME?</v>
      </c>
      <c r="DY23" s="84" t="e">
        <f ca="1"/>
        <v>#NAME?</v>
      </c>
      <c r="EC23" s="83" t="e">
        <f ca="1"/>
        <v>#NAME?</v>
      </c>
      <c r="ED23" s="37" t="e">
        <f ca="1"/>
        <v>#NAME?</v>
      </c>
      <c r="EE23" s="37" t="e">
        <f ca="1"/>
        <v>#NAME?</v>
      </c>
      <c r="EF23" s="37" t="e">
        <f ca="1"/>
        <v>#NAME?</v>
      </c>
      <c r="EG23" s="37" t="e">
        <f ca="1"/>
        <v>#NAME?</v>
      </c>
      <c r="EH23" s="37" t="e">
        <f ca="1"/>
        <v>#NAME?</v>
      </c>
      <c r="EI23" s="37" t="e">
        <f ca="1"/>
        <v>#NAME?</v>
      </c>
      <c r="EJ23" s="37" t="e">
        <f ca="1"/>
        <v>#NAME?</v>
      </c>
      <c r="EK23" s="84" t="e">
        <f ca="1"/>
        <v>#NAME?</v>
      </c>
      <c r="EO23" s="83" t="e">
        <f ca="1"/>
        <v>#NAME?</v>
      </c>
      <c r="EP23" s="37" t="e">
        <f ca="1"/>
        <v>#NAME?</v>
      </c>
      <c r="EQ23" s="37" t="e">
        <f ca="1"/>
        <v>#NAME?</v>
      </c>
      <c r="ER23" s="37" t="e">
        <f ca="1"/>
        <v>#NAME?</v>
      </c>
      <c r="ES23" s="37" t="e">
        <f ca="1"/>
        <v>#NAME?</v>
      </c>
      <c r="ET23" s="37" t="e">
        <f ca="1"/>
        <v>#NAME?</v>
      </c>
      <c r="EU23" s="37" t="e">
        <f ca="1"/>
        <v>#NAME?</v>
      </c>
      <c r="EV23" s="37" t="e">
        <f ca="1"/>
        <v>#NAME?</v>
      </c>
      <c r="EW23" s="84" t="e">
        <f ca="1"/>
        <v>#NAME?</v>
      </c>
      <c r="FA23" s="83" t="e">
        <f ca="1"/>
        <v>#NAME?</v>
      </c>
      <c r="FB23" s="37" t="e">
        <f ca="1"/>
        <v>#NAME?</v>
      </c>
      <c r="FC23" s="37" t="e">
        <f ca="1"/>
        <v>#NAME?</v>
      </c>
      <c r="FD23" s="37" t="e">
        <f ca="1"/>
        <v>#NAME?</v>
      </c>
      <c r="FE23" s="37" t="e">
        <f ca="1"/>
        <v>#NAME?</v>
      </c>
      <c r="FF23" s="37" t="e">
        <f ca="1"/>
        <v>#NAME?</v>
      </c>
      <c r="FG23" s="37" t="e">
        <f ca="1"/>
        <v>#NAME?</v>
      </c>
      <c r="FH23" s="37" t="e">
        <f ca="1"/>
        <v>#NAME?</v>
      </c>
      <c r="FI23" s="84" t="e">
        <f ca="1"/>
        <v>#NAME?</v>
      </c>
      <c r="FM23" s="83" t="e">
        <f ca="1"/>
        <v>#NAME?</v>
      </c>
      <c r="FN23" s="37" t="e">
        <f ca="1"/>
        <v>#NAME?</v>
      </c>
      <c r="FO23" s="37" t="e">
        <f ca="1"/>
        <v>#NAME?</v>
      </c>
      <c r="FP23" s="37" t="e">
        <f ca="1"/>
        <v>#NAME?</v>
      </c>
      <c r="FQ23" s="37" t="e">
        <f ca="1"/>
        <v>#NAME?</v>
      </c>
      <c r="FR23" s="37" t="e">
        <f ca="1"/>
        <v>#NAME?</v>
      </c>
      <c r="FS23" s="37" t="e">
        <f ca="1"/>
        <v>#NAME?</v>
      </c>
      <c r="FT23" s="37" t="e">
        <f ca="1"/>
        <v>#NAME?</v>
      </c>
      <c r="FU23" s="84" t="e">
        <f ca="1"/>
        <v>#NAME?</v>
      </c>
      <c r="FY23" s="83" t="e">
        <f ca="1"/>
        <v>#NAME?</v>
      </c>
      <c r="FZ23" s="37" t="e">
        <f ca="1"/>
        <v>#NAME?</v>
      </c>
      <c r="GA23" s="37" t="e">
        <f ca="1"/>
        <v>#NAME?</v>
      </c>
      <c r="GB23" s="37" t="e">
        <f ca="1"/>
        <v>#NAME?</v>
      </c>
      <c r="GC23" s="37" t="e">
        <f ca="1"/>
        <v>#NAME?</v>
      </c>
      <c r="GD23" s="37" t="e">
        <f ca="1"/>
        <v>#NAME?</v>
      </c>
      <c r="GE23" s="37" t="e">
        <f ca="1"/>
        <v>#NAME?</v>
      </c>
      <c r="GF23" s="37" t="e">
        <f ca="1"/>
        <v>#NAME?</v>
      </c>
      <c r="GG23" s="84" t="e">
        <f ca="1"/>
        <v>#NAME?</v>
      </c>
      <c r="GK23" s="83" t="e">
        <f ca="1"/>
        <v>#NAME?</v>
      </c>
      <c r="GL23" s="37" t="e">
        <f ca="1"/>
        <v>#NAME?</v>
      </c>
      <c r="GM23" s="37" t="e">
        <f ca="1"/>
        <v>#NAME?</v>
      </c>
      <c r="GN23" s="37" t="e">
        <f ca="1"/>
        <v>#NAME?</v>
      </c>
      <c r="GO23" s="37" t="e">
        <f ca="1"/>
        <v>#NAME?</v>
      </c>
      <c r="GP23" s="37" t="e">
        <f ca="1"/>
        <v>#NAME?</v>
      </c>
      <c r="GQ23" s="37" t="e">
        <f ca="1"/>
        <v>#NAME?</v>
      </c>
      <c r="GR23" s="37" t="e">
        <f ca="1"/>
        <v>#NAME?</v>
      </c>
      <c r="GS23" s="84" t="e">
        <f ca="1"/>
        <v>#NAME?</v>
      </c>
      <c r="GW23" s="83" t="e">
        <f ca="1"/>
        <v>#NAME?</v>
      </c>
      <c r="GX23" s="37" t="e">
        <f ca="1"/>
        <v>#NAME?</v>
      </c>
      <c r="GY23" s="37" t="e">
        <f ca="1"/>
        <v>#NAME?</v>
      </c>
      <c r="GZ23" s="37" t="e">
        <f ca="1"/>
        <v>#NAME?</v>
      </c>
      <c r="HA23" s="37" t="e">
        <f ca="1"/>
        <v>#NAME?</v>
      </c>
      <c r="HB23" s="37" t="e">
        <f ca="1"/>
        <v>#NAME?</v>
      </c>
      <c r="HC23" s="37" t="e">
        <f ca="1"/>
        <v>#NAME?</v>
      </c>
      <c r="HD23" s="37" t="e">
        <f ca="1"/>
        <v>#NAME?</v>
      </c>
      <c r="HE23" s="84" t="e">
        <f ca="1"/>
        <v>#NAME?</v>
      </c>
      <c r="HI23" s="83" t="e">
        <f ca="1"/>
        <v>#NAME?</v>
      </c>
      <c r="HJ23" s="37" t="e">
        <f ca="1"/>
        <v>#NAME?</v>
      </c>
      <c r="HK23" s="37" t="e">
        <f ca="1"/>
        <v>#NAME?</v>
      </c>
      <c r="HL23" s="37" t="e">
        <f ca="1"/>
        <v>#NAME?</v>
      </c>
      <c r="HM23" s="37" t="e">
        <f ca="1"/>
        <v>#NAME?</v>
      </c>
      <c r="HN23" s="37" t="e">
        <f ca="1"/>
        <v>#NAME?</v>
      </c>
      <c r="HO23" s="37" t="e">
        <f ca="1"/>
        <v>#NAME?</v>
      </c>
      <c r="HP23" s="37" t="e">
        <f ca="1"/>
        <v>#NAME?</v>
      </c>
      <c r="HQ23" s="84" t="e">
        <f ca="1"/>
        <v>#NAME?</v>
      </c>
      <c r="HU23" s="83" t="e">
        <f ca="1"/>
        <v>#NAME?</v>
      </c>
      <c r="HV23" s="37" t="e">
        <f ca="1"/>
        <v>#NAME?</v>
      </c>
      <c r="HW23" s="37" t="e">
        <f ca="1"/>
        <v>#NAME?</v>
      </c>
      <c r="HX23" s="37" t="e">
        <f ca="1"/>
        <v>#NAME?</v>
      </c>
      <c r="HY23" s="37" t="e">
        <f ca="1"/>
        <v>#NAME?</v>
      </c>
      <c r="HZ23" s="37" t="e">
        <f ca="1"/>
        <v>#NAME?</v>
      </c>
      <c r="IA23" s="37" t="e">
        <f ca="1"/>
        <v>#NAME?</v>
      </c>
      <c r="IB23" s="37" t="e">
        <f ca="1"/>
        <v>#NAME?</v>
      </c>
      <c r="IC23" s="84" t="e">
        <f ca="1"/>
        <v>#NAME?</v>
      </c>
      <c r="IG23" s="83" t="e">
        <f ca="1"/>
        <v>#NAME?</v>
      </c>
      <c r="IH23" s="37" t="e">
        <f ca="1"/>
        <v>#NAME?</v>
      </c>
      <c r="II23" s="37" t="e">
        <f ca="1"/>
        <v>#NAME?</v>
      </c>
      <c r="IJ23" s="37" t="e">
        <f ca="1"/>
        <v>#NAME?</v>
      </c>
      <c r="IK23" s="37" t="e">
        <f ca="1"/>
        <v>#NAME?</v>
      </c>
      <c r="IL23" s="37" t="e">
        <f ca="1"/>
        <v>#NAME?</v>
      </c>
      <c r="IM23" s="37" t="e">
        <f ca="1"/>
        <v>#NAME?</v>
      </c>
      <c r="IN23" s="37" t="e">
        <f ca="1"/>
        <v>#NAME?</v>
      </c>
      <c r="IO23" s="84" t="e">
        <f ca="1"/>
        <v>#NAME?</v>
      </c>
      <c r="IS23" s="83" t="e">
        <f ca="1"/>
        <v>#NAME?</v>
      </c>
      <c r="IT23" s="37" t="e">
        <f ca="1"/>
        <v>#NAME?</v>
      </c>
      <c r="IU23" s="37" t="e">
        <f ca="1"/>
        <v>#NAME?</v>
      </c>
      <c r="IV23" s="37" t="e">
        <f ca="1"/>
        <v>#NAME?</v>
      </c>
      <c r="IW23" s="37" t="e">
        <f ca="1"/>
        <v>#NAME?</v>
      </c>
      <c r="IX23" s="37" t="e">
        <f ca="1"/>
        <v>#NAME?</v>
      </c>
      <c r="IY23" s="37" t="e">
        <f ca="1"/>
        <v>#NAME?</v>
      </c>
      <c r="IZ23" s="37" t="e">
        <f ca="1"/>
        <v>#NAME?</v>
      </c>
      <c r="JA23" s="84" t="e">
        <f ca="1"/>
        <v>#NAME?</v>
      </c>
      <c r="JE23" s="83" t="e">
        <f ca="1"/>
        <v>#NAME?</v>
      </c>
      <c r="JF23" s="37" t="e">
        <f ca="1"/>
        <v>#NAME?</v>
      </c>
      <c r="JG23" s="37" t="e">
        <f ca="1"/>
        <v>#NAME?</v>
      </c>
      <c r="JH23" s="37" t="e">
        <f ca="1"/>
        <v>#NAME?</v>
      </c>
      <c r="JI23" s="37" t="e">
        <f ca="1"/>
        <v>#NAME?</v>
      </c>
      <c r="JJ23" s="37" t="e">
        <f ca="1"/>
        <v>#NAME?</v>
      </c>
      <c r="JK23" s="37" t="e">
        <f ca="1"/>
        <v>#NAME?</v>
      </c>
      <c r="JL23" s="37" t="e">
        <f ca="1"/>
        <v>#NAME?</v>
      </c>
      <c r="JM23" s="84" t="e">
        <f ca="1"/>
        <v>#NAME?</v>
      </c>
      <c r="JQ23" s="83" t="e">
        <f ca="1"/>
        <v>#NAME?</v>
      </c>
      <c r="JR23" s="37" t="e">
        <f ca="1"/>
        <v>#NAME?</v>
      </c>
      <c r="JS23" s="37" t="e">
        <f ca="1"/>
        <v>#NAME?</v>
      </c>
      <c r="JT23" s="37" t="e">
        <f ca="1"/>
        <v>#NAME?</v>
      </c>
      <c r="JU23" s="37" t="e">
        <f ca="1"/>
        <v>#NAME?</v>
      </c>
      <c r="JV23" s="37" t="e">
        <f ca="1"/>
        <v>#NAME?</v>
      </c>
      <c r="JW23" s="37" t="e">
        <f ca="1"/>
        <v>#NAME?</v>
      </c>
      <c r="JX23" s="37" t="e">
        <f ca="1"/>
        <v>#NAME?</v>
      </c>
      <c r="JY23" s="84" t="e">
        <f ca="1"/>
        <v>#NAME?</v>
      </c>
      <c r="KC23" s="83" t="e">
        <f ca="1"/>
        <v>#NAME?</v>
      </c>
      <c r="KD23" s="37" t="e">
        <f ca="1"/>
        <v>#NAME?</v>
      </c>
      <c r="KE23" s="37" t="e">
        <f ca="1"/>
        <v>#NAME?</v>
      </c>
      <c r="KF23" s="37" t="e">
        <f ca="1"/>
        <v>#NAME?</v>
      </c>
      <c r="KG23" s="37" t="e">
        <f ca="1"/>
        <v>#NAME?</v>
      </c>
      <c r="KH23" s="37" t="e">
        <f ca="1"/>
        <v>#NAME?</v>
      </c>
      <c r="KI23" s="37" t="e">
        <f ca="1"/>
        <v>#NAME?</v>
      </c>
      <c r="KJ23" s="37" t="e">
        <f ca="1"/>
        <v>#NAME?</v>
      </c>
      <c r="KK23" s="84" t="e">
        <f ca="1"/>
        <v>#NAME?</v>
      </c>
      <c r="KO23" s="83" t="e">
        <f ca="1"/>
        <v>#NAME?</v>
      </c>
      <c r="KP23" s="37" t="e">
        <f ca="1"/>
        <v>#NAME?</v>
      </c>
      <c r="KQ23" s="37" t="e">
        <f ca="1"/>
        <v>#NAME?</v>
      </c>
      <c r="KR23" s="37" t="e">
        <f ca="1"/>
        <v>#NAME?</v>
      </c>
      <c r="KS23" s="37" t="e">
        <f ca="1"/>
        <v>#NAME?</v>
      </c>
      <c r="KT23" s="37" t="e">
        <f ca="1"/>
        <v>#NAME?</v>
      </c>
      <c r="KU23" s="37" t="e">
        <f ca="1"/>
        <v>#NAME?</v>
      </c>
      <c r="KV23" s="37" t="e">
        <f ca="1"/>
        <v>#NAME?</v>
      </c>
      <c r="KW23" s="84" t="e">
        <f ca="1"/>
        <v>#NAME?</v>
      </c>
      <c r="LA23" s="83" t="e">
        <f ca="1"/>
        <v>#NAME?</v>
      </c>
      <c r="LB23" s="37" t="e">
        <f ca="1"/>
        <v>#NAME?</v>
      </c>
      <c r="LC23" s="37" t="e">
        <f ca="1"/>
        <v>#NAME?</v>
      </c>
      <c r="LD23" s="37" t="e">
        <f ca="1"/>
        <v>#NAME?</v>
      </c>
      <c r="LE23" s="37" t="e">
        <f ca="1"/>
        <v>#NAME?</v>
      </c>
      <c r="LF23" s="37" t="e">
        <f ca="1"/>
        <v>#NAME?</v>
      </c>
      <c r="LG23" s="37" t="e">
        <f ca="1"/>
        <v>#NAME?</v>
      </c>
      <c r="LH23" s="37" t="e">
        <f ca="1"/>
        <v>#NAME?</v>
      </c>
      <c r="LI23" s="84" t="e">
        <f ca="1"/>
        <v>#NAME?</v>
      </c>
      <c r="LM23" s="83" t="e">
        <f ca="1"/>
        <v>#NAME?</v>
      </c>
      <c r="LN23" s="37" t="e">
        <f ca="1"/>
        <v>#NAME?</v>
      </c>
      <c r="LO23" s="37" t="e">
        <f ca="1"/>
        <v>#NAME?</v>
      </c>
      <c r="LP23" s="37" t="e">
        <f ca="1"/>
        <v>#NAME?</v>
      </c>
      <c r="LQ23" s="37" t="e">
        <f ca="1"/>
        <v>#NAME?</v>
      </c>
      <c r="LR23" s="37" t="e">
        <f ca="1"/>
        <v>#NAME?</v>
      </c>
      <c r="LS23" s="37" t="e">
        <f ca="1"/>
        <v>#NAME?</v>
      </c>
      <c r="LT23" s="37" t="e">
        <f ca="1"/>
        <v>#NAME?</v>
      </c>
      <c r="LU23" s="84" t="e">
        <f ca="1"/>
        <v>#NAME?</v>
      </c>
      <c r="LY23" s="83" t="e">
        <f ca="1"/>
        <v>#NAME?</v>
      </c>
      <c r="LZ23" s="37" t="e">
        <f ca="1"/>
        <v>#NAME?</v>
      </c>
      <c r="MA23" s="37" t="e">
        <f ca="1"/>
        <v>#NAME?</v>
      </c>
      <c r="MB23" s="37" t="e">
        <f ca="1"/>
        <v>#NAME?</v>
      </c>
      <c r="MC23" s="37" t="e">
        <f ca="1"/>
        <v>#NAME?</v>
      </c>
      <c r="MD23" s="37" t="e">
        <f ca="1"/>
        <v>#NAME?</v>
      </c>
      <c r="ME23" s="37" t="e">
        <f ca="1"/>
        <v>#NAME?</v>
      </c>
      <c r="MF23" s="37" t="e">
        <f ca="1"/>
        <v>#NAME?</v>
      </c>
      <c r="MG23" s="84" t="e">
        <f ca="1"/>
        <v>#NAME?</v>
      </c>
      <c r="MK23" s="83" t="e">
        <f ca="1"/>
        <v>#NAME?</v>
      </c>
      <c r="ML23" s="37" t="e">
        <f ca="1"/>
        <v>#NAME?</v>
      </c>
      <c r="MM23" s="37" t="e">
        <f ca="1"/>
        <v>#NAME?</v>
      </c>
      <c r="MN23" s="37" t="e">
        <f ca="1"/>
        <v>#NAME?</v>
      </c>
      <c r="MO23" s="37" t="e">
        <f ca="1"/>
        <v>#NAME?</v>
      </c>
      <c r="MP23" s="37" t="e">
        <f ca="1"/>
        <v>#NAME?</v>
      </c>
      <c r="MQ23" s="37" t="e">
        <f ca="1"/>
        <v>#NAME?</v>
      </c>
      <c r="MR23" s="37" t="e">
        <f ca="1"/>
        <v>#NAME?</v>
      </c>
      <c r="MS23" s="84" t="e">
        <f ca="1"/>
        <v>#NAME?</v>
      </c>
    </row>
    <row r="24" spans="1:358" x14ac:dyDescent="0.3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  <c r="Y24" s="83" t="e">
        <f ca="1"/>
        <v>#NAME?</v>
      </c>
      <c r="Z24" s="37" t="e">
        <f ca="1"/>
        <v>#NAME?</v>
      </c>
      <c r="AA24" s="37" t="e">
        <f ca="1"/>
        <v>#NAME?</v>
      </c>
      <c r="AB24" s="37" t="e">
        <f ca="1"/>
        <v>#NAME?</v>
      </c>
      <c r="AC24" s="37" t="e">
        <f ca="1"/>
        <v>#NAME?</v>
      </c>
      <c r="AD24" s="37" t="e">
        <f ca="1"/>
        <v>#NAME?</v>
      </c>
      <c r="AE24" s="37" t="e">
        <f ca="1"/>
        <v>#NAME?</v>
      </c>
      <c r="AF24" s="37" t="e">
        <f ca="1"/>
        <v>#NAME?</v>
      </c>
      <c r="AG24" s="84" t="e">
        <f ca="1"/>
        <v>#NAME?</v>
      </c>
      <c r="AK24" s="83" t="e">
        <f ca="1"/>
        <v>#NAME?</v>
      </c>
      <c r="AL24" s="37" t="e">
        <f ca="1"/>
        <v>#NAME?</v>
      </c>
      <c r="AM24" s="37" t="e">
        <f ca="1"/>
        <v>#NAME?</v>
      </c>
      <c r="AN24" s="37" t="e">
        <f ca="1"/>
        <v>#NAME?</v>
      </c>
      <c r="AO24" s="37" t="e">
        <f ca="1"/>
        <v>#NAME?</v>
      </c>
      <c r="AP24" s="37" t="e">
        <f ca="1"/>
        <v>#NAME?</v>
      </c>
      <c r="AQ24" s="37" t="e">
        <f ca="1"/>
        <v>#NAME?</v>
      </c>
      <c r="AR24" s="37" t="e">
        <f ca="1"/>
        <v>#NAME?</v>
      </c>
      <c r="AS24" s="84" t="e">
        <f ca="1"/>
        <v>#NAME?</v>
      </c>
      <c r="AW24" s="83" t="e">
        <f ca="1"/>
        <v>#NAME?</v>
      </c>
      <c r="AX24" s="37" t="e">
        <f ca="1"/>
        <v>#NAME?</v>
      </c>
      <c r="AY24" s="37" t="e">
        <f ca="1"/>
        <v>#NAME?</v>
      </c>
      <c r="AZ24" s="37" t="e">
        <f ca="1"/>
        <v>#NAME?</v>
      </c>
      <c r="BA24" s="37" t="e">
        <f ca="1"/>
        <v>#NAME?</v>
      </c>
      <c r="BB24" s="37" t="e">
        <f ca="1"/>
        <v>#NAME?</v>
      </c>
      <c r="BC24" s="37" t="e">
        <f ca="1"/>
        <v>#NAME?</v>
      </c>
      <c r="BD24" s="37" t="e">
        <f ca="1"/>
        <v>#NAME?</v>
      </c>
      <c r="BE24" s="84" t="e">
        <f ca="1"/>
        <v>#NAME?</v>
      </c>
      <c r="BI24" s="83" t="e">
        <f ca="1"/>
        <v>#NAME?</v>
      </c>
      <c r="BJ24" s="37" t="e">
        <f ca="1"/>
        <v>#NAME?</v>
      </c>
      <c r="BK24" s="37" t="e">
        <f ca="1"/>
        <v>#NAME?</v>
      </c>
      <c r="BL24" s="37" t="e">
        <f ca="1"/>
        <v>#NAME?</v>
      </c>
      <c r="BM24" s="37" t="e">
        <f ca="1"/>
        <v>#NAME?</v>
      </c>
      <c r="BN24" s="37" t="e">
        <f ca="1"/>
        <v>#NAME?</v>
      </c>
      <c r="BO24" s="37" t="e">
        <f ca="1"/>
        <v>#NAME?</v>
      </c>
      <c r="BP24" s="37" t="e">
        <f ca="1"/>
        <v>#NAME?</v>
      </c>
      <c r="BQ24" s="84" t="e">
        <f ca="1"/>
        <v>#NAME?</v>
      </c>
      <c r="BU24" s="83" t="e">
        <f ca="1"/>
        <v>#NAME?</v>
      </c>
      <c r="BV24" s="37" t="e">
        <f ca="1"/>
        <v>#NAME?</v>
      </c>
      <c r="BW24" s="37" t="e">
        <f ca="1"/>
        <v>#NAME?</v>
      </c>
      <c r="BX24" s="37" t="e">
        <f ca="1"/>
        <v>#NAME?</v>
      </c>
      <c r="BY24" s="37" t="e">
        <f ca="1"/>
        <v>#NAME?</v>
      </c>
      <c r="BZ24" s="37" t="e">
        <f ca="1"/>
        <v>#NAME?</v>
      </c>
      <c r="CA24" s="37" t="e">
        <f ca="1"/>
        <v>#NAME?</v>
      </c>
      <c r="CB24" s="37" t="e">
        <f ca="1"/>
        <v>#NAME?</v>
      </c>
      <c r="CC24" s="84" t="e">
        <f ca="1"/>
        <v>#NAME?</v>
      </c>
      <c r="CG24" s="83" t="e">
        <f ca="1"/>
        <v>#NAME?</v>
      </c>
      <c r="CH24" s="37" t="e">
        <f ca="1"/>
        <v>#NAME?</v>
      </c>
      <c r="CI24" s="37" t="e">
        <f ca="1"/>
        <v>#NAME?</v>
      </c>
      <c r="CJ24" s="37" t="e">
        <f ca="1"/>
        <v>#NAME?</v>
      </c>
      <c r="CK24" s="37" t="e">
        <f ca="1"/>
        <v>#NAME?</v>
      </c>
      <c r="CL24" s="37" t="e">
        <f ca="1"/>
        <v>#NAME?</v>
      </c>
      <c r="CM24" s="37" t="e">
        <f ca="1"/>
        <v>#NAME?</v>
      </c>
      <c r="CN24" s="37" t="e">
        <f ca="1"/>
        <v>#NAME?</v>
      </c>
      <c r="CO24" s="84" t="e">
        <f ca="1"/>
        <v>#NAME?</v>
      </c>
      <c r="CS24" s="83" t="e">
        <f ca="1"/>
        <v>#NAME?</v>
      </c>
      <c r="CT24" s="37" t="e">
        <f ca="1"/>
        <v>#NAME?</v>
      </c>
      <c r="CU24" s="37" t="e">
        <f ca="1"/>
        <v>#NAME?</v>
      </c>
      <c r="CV24" s="37" t="e">
        <f ca="1"/>
        <v>#NAME?</v>
      </c>
      <c r="CW24" s="37" t="e">
        <f ca="1"/>
        <v>#NAME?</v>
      </c>
      <c r="CX24" s="37" t="e">
        <f ca="1"/>
        <v>#NAME?</v>
      </c>
      <c r="CY24" s="37" t="e">
        <f ca="1"/>
        <v>#NAME?</v>
      </c>
      <c r="CZ24" s="37" t="e">
        <f ca="1"/>
        <v>#NAME?</v>
      </c>
      <c r="DA24" s="84" t="e">
        <f ca="1"/>
        <v>#NAME?</v>
      </c>
      <c r="DE24" s="83" t="e">
        <f ca="1"/>
        <v>#NAME?</v>
      </c>
      <c r="DF24" s="37" t="e">
        <f ca="1"/>
        <v>#NAME?</v>
      </c>
      <c r="DG24" s="37" t="e">
        <f ca="1"/>
        <v>#NAME?</v>
      </c>
      <c r="DH24" s="37" t="e">
        <f ca="1"/>
        <v>#NAME?</v>
      </c>
      <c r="DI24" s="37" t="e">
        <f ca="1"/>
        <v>#NAME?</v>
      </c>
      <c r="DJ24" s="37" t="e">
        <f ca="1"/>
        <v>#NAME?</v>
      </c>
      <c r="DK24" s="37" t="e">
        <f ca="1"/>
        <v>#NAME?</v>
      </c>
      <c r="DL24" s="37" t="e">
        <f ca="1"/>
        <v>#NAME?</v>
      </c>
      <c r="DM24" s="84" t="e">
        <f ca="1"/>
        <v>#NAME?</v>
      </c>
      <c r="DQ24" s="83" t="e">
        <f ca="1"/>
        <v>#NAME?</v>
      </c>
      <c r="DR24" s="37" t="e">
        <f ca="1"/>
        <v>#NAME?</v>
      </c>
      <c r="DS24" s="37" t="e">
        <f ca="1"/>
        <v>#NAME?</v>
      </c>
      <c r="DT24" s="37" t="e">
        <f ca="1"/>
        <v>#NAME?</v>
      </c>
      <c r="DU24" s="37" t="e">
        <f ca="1"/>
        <v>#NAME?</v>
      </c>
      <c r="DV24" s="37" t="e">
        <f ca="1"/>
        <v>#NAME?</v>
      </c>
      <c r="DW24" s="37" t="e">
        <f ca="1"/>
        <v>#NAME?</v>
      </c>
      <c r="DX24" s="37" t="e">
        <f ca="1"/>
        <v>#NAME?</v>
      </c>
      <c r="DY24" s="84" t="e">
        <f ca="1"/>
        <v>#NAME?</v>
      </c>
      <c r="EC24" s="83" t="e">
        <f ca="1"/>
        <v>#NAME?</v>
      </c>
      <c r="ED24" s="37" t="e">
        <f ca="1"/>
        <v>#NAME?</v>
      </c>
      <c r="EE24" s="37" t="e">
        <f ca="1"/>
        <v>#NAME?</v>
      </c>
      <c r="EF24" s="37" t="e">
        <f ca="1"/>
        <v>#NAME?</v>
      </c>
      <c r="EG24" s="37" t="e">
        <f ca="1"/>
        <v>#NAME?</v>
      </c>
      <c r="EH24" s="37" t="e">
        <f ca="1"/>
        <v>#NAME?</v>
      </c>
      <c r="EI24" s="37" t="e">
        <f ca="1"/>
        <v>#NAME?</v>
      </c>
      <c r="EJ24" s="37" t="e">
        <f ca="1"/>
        <v>#NAME?</v>
      </c>
      <c r="EK24" s="84" t="e">
        <f ca="1"/>
        <v>#NAME?</v>
      </c>
      <c r="EO24" s="83" t="e">
        <f ca="1"/>
        <v>#NAME?</v>
      </c>
      <c r="EP24" s="37" t="e">
        <f ca="1"/>
        <v>#NAME?</v>
      </c>
      <c r="EQ24" s="37" t="e">
        <f ca="1"/>
        <v>#NAME?</v>
      </c>
      <c r="ER24" s="37" t="e">
        <f ca="1"/>
        <v>#NAME?</v>
      </c>
      <c r="ES24" s="37" t="e">
        <f ca="1"/>
        <v>#NAME?</v>
      </c>
      <c r="ET24" s="37" t="e">
        <f ca="1"/>
        <v>#NAME?</v>
      </c>
      <c r="EU24" s="37" t="e">
        <f ca="1"/>
        <v>#NAME?</v>
      </c>
      <c r="EV24" s="37" t="e">
        <f ca="1"/>
        <v>#NAME?</v>
      </c>
      <c r="EW24" s="84" t="e">
        <f ca="1"/>
        <v>#NAME?</v>
      </c>
      <c r="FA24" s="83" t="e">
        <f ca="1"/>
        <v>#NAME?</v>
      </c>
      <c r="FB24" s="37" t="e">
        <f ca="1"/>
        <v>#NAME?</v>
      </c>
      <c r="FC24" s="37" t="e">
        <f ca="1"/>
        <v>#NAME?</v>
      </c>
      <c r="FD24" s="37" t="e">
        <f ca="1"/>
        <v>#NAME?</v>
      </c>
      <c r="FE24" s="37" t="e">
        <f ca="1"/>
        <v>#NAME?</v>
      </c>
      <c r="FF24" s="37" t="e">
        <f ca="1"/>
        <v>#NAME?</v>
      </c>
      <c r="FG24" s="37" t="e">
        <f ca="1"/>
        <v>#NAME?</v>
      </c>
      <c r="FH24" s="37" t="e">
        <f ca="1"/>
        <v>#NAME?</v>
      </c>
      <c r="FI24" s="84" t="e">
        <f ca="1"/>
        <v>#NAME?</v>
      </c>
      <c r="FM24" s="83" t="e">
        <f ca="1"/>
        <v>#NAME?</v>
      </c>
      <c r="FN24" s="37" t="e">
        <f ca="1"/>
        <v>#NAME?</v>
      </c>
      <c r="FO24" s="37" t="e">
        <f ca="1"/>
        <v>#NAME?</v>
      </c>
      <c r="FP24" s="37" t="e">
        <f ca="1"/>
        <v>#NAME?</v>
      </c>
      <c r="FQ24" s="37" t="e">
        <f ca="1"/>
        <v>#NAME?</v>
      </c>
      <c r="FR24" s="37" t="e">
        <f ca="1"/>
        <v>#NAME?</v>
      </c>
      <c r="FS24" s="37" t="e">
        <f ca="1"/>
        <v>#NAME?</v>
      </c>
      <c r="FT24" s="37" t="e">
        <f ca="1"/>
        <v>#NAME?</v>
      </c>
      <c r="FU24" s="84" t="e">
        <f ca="1"/>
        <v>#NAME?</v>
      </c>
      <c r="FY24" s="83" t="e">
        <f ca="1"/>
        <v>#NAME?</v>
      </c>
      <c r="FZ24" s="37" t="e">
        <f ca="1"/>
        <v>#NAME?</v>
      </c>
      <c r="GA24" s="37" t="e">
        <f ca="1"/>
        <v>#NAME?</v>
      </c>
      <c r="GB24" s="37" t="e">
        <f ca="1"/>
        <v>#NAME?</v>
      </c>
      <c r="GC24" s="37" t="e">
        <f ca="1"/>
        <v>#NAME?</v>
      </c>
      <c r="GD24" s="37" t="e">
        <f ca="1"/>
        <v>#NAME?</v>
      </c>
      <c r="GE24" s="37" t="e">
        <f ca="1"/>
        <v>#NAME?</v>
      </c>
      <c r="GF24" s="37" t="e">
        <f ca="1"/>
        <v>#NAME?</v>
      </c>
      <c r="GG24" s="84" t="e">
        <f ca="1"/>
        <v>#NAME?</v>
      </c>
      <c r="GK24" s="83" t="e">
        <f ca="1"/>
        <v>#NAME?</v>
      </c>
      <c r="GL24" s="37" t="e">
        <f ca="1"/>
        <v>#NAME?</v>
      </c>
      <c r="GM24" s="37" t="e">
        <f ca="1"/>
        <v>#NAME?</v>
      </c>
      <c r="GN24" s="37" t="e">
        <f ca="1"/>
        <v>#NAME?</v>
      </c>
      <c r="GO24" s="37" t="e">
        <f ca="1"/>
        <v>#NAME?</v>
      </c>
      <c r="GP24" s="37" t="e">
        <f ca="1"/>
        <v>#NAME?</v>
      </c>
      <c r="GQ24" s="37" t="e">
        <f ca="1"/>
        <v>#NAME?</v>
      </c>
      <c r="GR24" s="37" t="e">
        <f ca="1"/>
        <v>#NAME?</v>
      </c>
      <c r="GS24" s="84" t="e">
        <f ca="1"/>
        <v>#NAME?</v>
      </c>
      <c r="GW24" s="83" t="e">
        <f ca="1"/>
        <v>#NAME?</v>
      </c>
      <c r="GX24" s="37" t="e">
        <f ca="1"/>
        <v>#NAME?</v>
      </c>
      <c r="GY24" s="37" t="e">
        <f ca="1"/>
        <v>#NAME?</v>
      </c>
      <c r="GZ24" s="37" t="e">
        <f ca="1"/>
        <v>#NAME?</v>
      </c>
      <c r="HA24" s="37" t="e">
        <f ca="1"/>
        <v>#NAME?</v>
      </c>
      <c r="HB24" s="37" t="e">
        <f ca="1"/>
        <v>#NAME?</v>
      </c>
      <c r="HC24" s="37" t="e">
        <f ca="1"/>
        <v>#NAME?</v>
      </c>
      <c r="HD24" s="37" t="e">
        <f ca="1"/>
        <v>#NAME?</v>
      </c>
      <c r="HE24" s="84" t="e">
        <f ca="1"/>
        <v>#NAME?</v>
      </c>
      <c r="HI24" s="83" t="e">
        <f ca="1"/>
        <v>#NAME?</v>
      </c>
      <c r="HJ24" s="37" t="e">
        <f ca="1"/>
        <v>#NAME?</v>
      </c>
      <c r="HK24" s="37" t="e">
        <f ca="1"/>
        <v>#NAME?</v>
      </c>
      <c r="HL24" s="37" t="e">
        <f ca="1"/>
        <v>#NAME?</v>
      </c>
      <c r="HM24" s="37" t="e">
        <f ca="1"/>
        <v>#NAME?</v>
      </c>
      <c r="HN24" s="37" t="e">
        <f ca="1"/>
        <v>#NAME?</v>
      </c>
      <c r="HO24" s="37" t="e">
        <f ca="1"/>
        <v>#NAME?</v>
      </c>
      <c r="HP24" s="37" t="e">
        <f ca="1"/>
        <v>#NAME?</v>
      </c>
      <c r="HQ24" s="84" t="e">
        <f ca="1"/>
        <v>#NAME?</v>
      </c>
      <c r="HU24" s="83" t="e">
        <f ca="1"/>
        <v>#NAME?</v>
      </c>
      <c r="HV24" s="37" t="e">
        <f ca="1"/>
        <v>#NAME?</v>
      </c>
      <c r="HW24" s="37" t="e">
        <f ca="1"/>
        <v>#NAME?</v>
      </c>
      <c r="HX24" s="37" t="e">
        <f ca="1"/>
        <v>#NAME?</v>
      </c>
      <c r="HY24" s="37" t="e">
        <f ca="1"/>
        <v>#NAME?</v>
      </c>
      <c r="HZ24" s="37" t="e">
        <f ca="1"/>
        <v>#NAME?</v>
      </c>
      <c r="IA24" s="37" t="e">
        <f ca="1"/>
        <v>#NAME?</v>
      </c>
      <c r="IB24" s="37" t="e">
        <f ca="1"/>
        <v>#NAME?</v>
      </c>
      <c r="IC24" s="84" t="e">
        <f ca="1"/>
        <v>#NAME?</v>
      </c>
      <c r="IG24" s="83" t="e">
        <f ca="1"/>
        <v>#NAME?</v>
      </c>
      <c r="IH24" s="37" t="e">
        <f ca="1"/>
        <v>#NAME?</v>
      </c>
      <c r="II24" s="37" t="e">
        <f ca="1"/>
        <v>#NAME?</v>
      </c>
      <c r="IJ24" s="37" t="e">
        <f ca="1"/>
        <v>#NAME?</v>
      </c>
      <c r="IK24" s="37" t="e">
        <f ca="1"/>
        <v>#NAME?</v>
      </c>
      <c r="IL24" s="37" t="e">
        <f ca="1"/>
        <v>#NAME?</v>
      </c>
      <c r="IM24" s="37" t="e">
        <f ca="1"/>
        <v>#NAME?</v>
      </c>
      <c r="IN24" s="37" t="e">
        <f ca="1"/>
        <v>#NAME?</v>
      </c>
      <c r="IO24" s="84" t="e">
        <f ca="1"/>
        <v>#NAME?</v>
      </c>
      <c r="IS24" s="83" t="e">
        <f ca="1"/>
        <v>#NAME?</v>
      </c>
      <c r="IT24" s="37" t="e">
        <f ca="1"/>
        <v>#NAME?</v>
      </c>
      <c r="IU24" s="37" t="e">
        <f ca="1"/>
        <v>#NAME?</v>
      </c>
      <c r="IV24" s="37" t="e">
        <f ca="1"/>
        <v>#NAME?</v>
      </c>
      <c r="IW24" s="37" t="e">
        <f ca="1"/>
        <v>#NAME?</v>
      </c>
      <c r="IX24" s="37" t="e">
        <f ca="1"/>
        <v>#NAME?</v>
      </c>
      <c r="IY24" s="37" t="e">
        <f ca="1"/>
        <v>#NAME?</v>
      </c>
      <c r="IZ24" s="37" t="e">
        <f ca="1"/>
        <v>#NAME?</v>
      </c>
      <c r="JA24" s="84" t="e">
        <f ca="1"/>
        <v>#NAME?</v>
      </c>
      <c r="JE24" s="83" t="e">
        <f ca="1"/>
        <v>#NAME?</v>
      </c>
      <c r="JF24" s="37" t="e">
        <f ca="1"/>
        <v>#NAME?</v>
      </c>
      <c r="JG24" s="37" t="e">
        <f ca="1"/>
        <v>#NAME?</v>
      </c>
      <c r="JH24" s="37" t="e">
        <f ca="1"/>
        <v>#NAME?</v>
      </c>
      <c r="JI24" s="37" t="e">
        <f ca="1"/>
        <v>#NAME?</v>
      </c>
      <c r="JJ24" s="37" t="e">
        <f ca="1"/>
        <v>#NAME?</v>
      </c>
      <c r="JK24" s="37" t="e">
        <f ca="1"/>
        <v>#NAME?</v>
      </c>
      <c r="JL24" s="37" t="e">
        <f ca="1"/>
        <v>#NAME?</v>
      </c>
      <c r="JM24" s="84" t="e">
        <f ca="1"/>
        <v>#NAME?</v>
      </c>
      <c r="JQ24" s="83" t="e">
        <f ca="1"/>
        <v>#NAME?</v>
      </c>
      <c r="JR24" s="37" t="e">
        <f ca="1"/>
        <v>#NAME?</v>
      </c>
      <c r="JS24" s="37" t="e">
        <f ca="1"/>
        <v>#NAME?</v>
      </c>
      <c r="JT24" s="37" t="e">
        <f ca="1"/>
        <v>#NAME?</v>
      </c>
      <c r="JU24" s="37" t="e">
        <f ca="1"/>
        <v>#NAME?</v>
      </c>
      <c r="JV24" s="37" t="e">
        <f ca="1"/>
        <v>#NAME?</v>
      </c>
      <c r="JW24" s="37" t="e">
        <f ca="1"/>
        <v>#NAME?</v>
      </c>
      <c r="JX24" s="37" t="e">
        <f ca="1"/>
        <v>#NAME?</v>
      </c>
      <c r="JY24" s="84" t="e">
        <f ca="1"/>
        <v>#NAME?</v>
      </c>
      <c r="KC24" s="83" t="e">
        <f ca="1"/>
        <v>#NAME?</v>
      </c>
      <c r="KD24" s="37" t="e">
        <f ca="1"/>
        <v>#NAME?</v>
      </c>
      <c r="KE24" s="37" t="e">
        <f ca="1"/>
        <v>#NAME?</v>
      </c>
      <c r="KF24" s="37" t="e">
        <f ca="1"/>
        <v>#NAME?</v>
      </c>
      <c r="KG24" s="37" t="e">
        <f ca="1"/>
        <v>#NAME?</v>
      </c>
      <c r="KH24" s="37" t="e">
        <f ca="1"/>
        <v>#NAME?</v>
      </c>
      <c r="KI24" s="37" t="e">
        <f ca="1"/>
        <v>#NAME?</v>
      </c>
      <c r="KJ24" s="37" t="e">
        <f ca="1"/>
        <v>#NAME?</v>
      </c>
      <c r="KK24" s="84" t="e">
        <f ca="1"/>
        <v>#NAME?</v>
      </c>
      <c r="KO24" s="83" t="e">
        <f ca="1"/>
        <v>#NAME?</v>
      </c>
      <c r="KP24" s="37" t="e">
        <f ca="1"/>
        <v>#NAME?</v>
      </c>
      <c r="KQ24" s="37" t="e">
        <f ca="1"/>
        <v>#NAME?</v>
      </c>
      <c r="KR24" s="37" t="e">
        <f ca="1"/>
        <v>#NAME?</v>
      </c>
      <c r="KS24" s="37" t="e">
        <f ca="1"/>
        <v>#NAME?</v>
      </c>
      <c r="KT24" s="37" t="e">
        <f ca="1"/>
        <v>#NAME?</v>
      </c>
      <c r="KU24" s="37" t="e">
        <f ca="1"/>
        <v>#NAME?</v>
      </c>
      <c r="KV24" s="37" t="e">
        <f ca="1"/>
        <v>#NAME?</v>
      </c>
      <c r="KW24" s="84" t="e">
        <f ca="1"/>
        <v>#NAME?</v>
      </c>
      <c r="LA24" s="83" t="e">
        <f ca="1"/>
        <v>#NAME?</v>
      </c>
      <c r="LB24" s="37" t="e">
        <f ca="1"/>
        <v>#NAME?</v>
      </c>
      <c r="LC24" s="37" t="e">
        <f ca="1"/>
        <v>#NAME?</v>
      </c>
      <c r="LD24" s="37" t="e">
        <f ca="1"/>
        <v>#NAME?</v>
      </c>
      <c r="LE24" s="37" t="e">
        <f ca="1"/>
        <v>#NAME?</v>
      </c>
      <c r="LF24" s="37" t="e">
        <f ca="1"/>
        <v>#NAME?</v>
      </c>
      <c r="LG24" s="37" t="e">
        <f ca="1"/>
        <v>#NAME?</v>
      </c>
      <c r="LH24" s="37" t="e">
        <f ca="1"/>
        <v>#NAME?</v>
      </c>
      <c r="LI24" s="84" t="e">
        <f ca="1"/>
        <v>#NAME?</v>
      </c>
      <c r="LM24" s="83" t="e">
        <f ca="1"/>
        <v>#NAME?</v>
      </c>
      <c r="LN24" s="37" t="e">
        <f ca="1"/>
        <v>#NAME?</v>
      </c>
      <c r="LO24" s="37" t="e">
        <f ca="1"/>
        <v>#NAME?</v>
      </c>
      <c r="LP24" s="37" t="e">
        <f ca="1"/>
        <v>#NAME?</v>
      </c>
      <c r="LQ24" s="37" t="e">
        <f ca="1"/>
        <v>#NAME?</v>
      </c>
      <c r="LR24" s="37" t="e">
        <f ca="1"/>
        <v>#NAME?</v>
      </c>
      <c r="LS24" s="37" t="e">
        <f ca="1"/>
        <v>#NAME?</v>
      </c>
      <c r="LT24" s="37" t="e">
        <f ca="1"/>
        <v>#NAME?</v>
      </c>
      <c r="LU24" s="84" t="e">
        <f ca="1"/>
        <v>#NAME?</v>
      </c>
      <c r="LY24" s="83" t="e">
        <f ca="1"/>
        <v>#NAME?</v>
      </c>
      <c r="LZ24" s="37" t="e">
        <f ca="1"/>
        <v>#NAME?</v>
      </c>
      <c r="MA24" s="37" t="e">
        <f ca="1"/>
        <v>#NAME?</v>
      </c>
      <c r="MB24" s="37" t="e">
        <f ca="1"/>
        <v>#NAME?</v>
      </c>
      <c r="MC24" s="37" t="e">
        <f ca="1"/>
        <v>#NAME?</v>
      </c>
      <c r="MD24" s="37" t="e">
        <f ca="1"/>
        <v>#NAME?</v>
      </c>
      <c r="ME24" s="37" t="e">
        <f ca="1"/>
        <v>#NAME?</v>
      </c>
      <c r="MF24" s="37" t="e">
        <f ca="1"/>
        <v>#NAME?</v>
      </c>
      <c r="MG24" s="84" t="e">
        <f ca="1"/>
        <v>#NAME?</v>
      </c>
      <c r="MK24" s="83" t="e">
        <f ca="1"/>
        <v>#NAME?</v>
      </c>
      <c r="ML24" s="37" t="e">
        <f ca="1"/>
        <v>#NAME?</v>
      </c>
      <c r="MM24" s="37" t="e">
        <f ca="1"/>
        <v>#NAME?</v>
      </c>
      <c r="MN24" s="37" t="e">
        <f ca="1"/>
        <v>#NAME?</v>
      </c>
      <c r="MO24" s="37" t="e">
        <f ca="1"/>
        <v>#NAME?</v>
      </c>
      <c r="MP24" s="37" t="e">
        <f ca="1"/>
        <v>#NAME?</v>
      </c>
      <c r="MQ24" s="37" t="e">
        <f ca="1"/>
        <v>#NAME?</v>
      </c>
      <c r="MR24" s="37" t="e">
        <f ca="1"/>
        <v>#NAME?</v>
      </c>
      <c r="MS24" s="84" t="e">
        <f ca="1"/>
        <v>#NAME?</v>
      </c>
    </row>
    <row r="25" spans="1:358" x14ac:dyDescent="0.3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Y25" s="83" t="e">
        <f ca="1"/>
        <v>#NAME?</v>
      </c>
      <c r="Z25" s="37" t="e">
        <f ca="1"/>
        <v>#NAME?</v>
      </c>
      <c r="AA25" s="37" t="e">
        <f ca="1"/>
        <v>#NAME?</v>
      </c>
      <c r="AB25" s="37" t="e">
        <f ca="1"/>
        <v>#NAME?</v>
      </c>
      <c r="AC25" s="37" t="e">
        <f ca="1"/>
        <v>#NAME?</v>
      </c>
      <c r="AD25" s="37" t="e">
        <f ca="1"/>
        <v>#NAME?</v>
      </c>
      <c r="AE25" s="37" t="e">
        <f ca="1"/>
        <v>#NAME?</v>
      </c>
      <c r="AF25" s="37" t="e">
        <f ca="1"/>
        <v>#NAME?</v>
      </c>
      <c r="AG25" s="84" t="e">
        <f ca="1"/>
        <v>#NAME?</v>
      </c>
      <c r="AK25" s="83" t="e">
        <f ca="1"/>
        <v>#NAME?</v>
      </c>
      <c r="AL25" s="37" t="e">
        <f ca="1"/>
        <v>#NAME?</v>
      </c>
      <c r="AM25" s="37" t="e">
        <f ca="1"/>
        <v>#NAME?</v>
      </c>
      <c r="AN25" s="37" t="e">
        <f ca="1"/>
        <v>#NAME?</v>
      </c>
      <c r="AO25" s="37" t="e">
        <f ca="1"/>
        <v>#NAME?</v>
      </c>
      <c r="AP25" s="37" t="e">
        <f ca="1"/>
        <v>#NAME?</v>
      </c>
      <c r="AQ25" s="37" t="e">
        <f ca="1"/>
        <v>#NAME?</v>
      </c>
      <c r="AR25" s="37" t="e">
        <f ca="1"/>
        <v>#NAME?</v>
      </c>
      <c r="AS25" s="84" t="e">
        <f ca="1"/>
        <v>#NAME?</v>
      </c>
      <c r="AW25" s="83" t="e">
        <f ca="1"/>
        <v>#NAME?</v>
      </c>
      <c r="AX25" s="37" t="e">
        <f ca="1"/>
        <v>#NAME?</v>
      </c>
      <c r="AY25" s="37" t="e">
        <f ca="1"/>
        <v>#NAME?</v>
      </c>
      <c r="AZ25" s="37" t="e">
        <f ca="1"/>
        <v>#NAME?</v>
      </c>
      <c r="BA25" s="37" t="e">
        <f ca="1"/>
        <v>#NAME?</v>
      </c>
      <c r="BB25" s="37" t="e">
        <f ca="1"/>
        <v>#NAME?</v>
      </c>
      <c r="BC25" s="37" t="e">
        <f ca="1"/>
        <v>#NAME?</v>
      </c>
      <c r="BD25" s="37" t="e">
        <f ca="1"/>
        <v>#NAME?</v>
      </c>
      <c r="BE25" s="84" t="e">
        <f ca="1"/>
        <v>#NAME?</v>
      </c>
      <c r="BI25" s="83" t="e">
        <f ca="1"/>
        <v>#NAME?</v>
      </c>
      <c r="BJ25" s="37" t="e">
        <f ca="1"/>
        <v>#NAME?</v>
      </c>
      <c r="BK25" s="37" t="e">
        <f ca="1"/>
        <v>#NAME?</v>
      </c>
      <c r="BL25" s="37" t="e">
        <f ca="1"/>
        <v>#NAME?</v>
      </c>
      <c r="BM25" s="37" t="e">
        <f ca="1"/>
        <v>#NAME?</v>
      </c>
      <c r="BN25" s="37" t="e">
        <f ca="1"/>
        <v>#NAME?</v>
      </c>
      <c r="BO25" s="37" t="e">
        <f ca="1"/>
        <v>#NAME?</v>
      </c>
      <c r="BP25" s="37" t="e">
        <f ca="1"/>
        <v>#NAME?</v>
      </c>
      <c r="BQ25" s="84" t="e">
        <f ca="1"/>
        <v>#NAME?</v>
      </c>
      <c r="BU25" s="83" t="e">
        <f ca="1"/>
        <v>#NAME?</v>
      </c>
      <c r="BV25" s="37" t="e">
        <f ca="1"/>
        <v>#NAME?</v>
      </c>
      <c r="BW25" s="37" t="e">
        <f ca="1"/>
        <v>#NAME?</v>
      </c>
      <c r="BX25" s="37" t="e">
        <f ca="1"/>
        <v>#NAME?</v>
      </c>
      <c r="BY25" s="37" t="e">
        <f ca="1"/>
        <v>#NAME?</v>
      </c>
      <c r="BZ25" s="37" t="e">
        <f ca="1"/>
        <v>#NAME?</v>
      </c>
      <c r="CA25" s="37" t="e">
        <f ca="1"/>
        <v>#NAME?</v>
      </c>
      <c r="CB25" s="37" t="e">
        <f ca="1"/>
        <v>#NAME?</v>
      </c>
      <c r="CC25" s="84" t="e">
        <f ca="1"/>
        <v>#NAME?</v>
      </c>
      <c r="CG25" s="83" t="e">
        <f ca="1"/>
        <v>#NAME?</v>
      </c>
      <c r="CH25" s="37" t="e">
        <f ca="1"/>
        <v>#NAME?</v>
      </c>
      <c r="CI25" s="37" t="e">
        <f ca="1"/>
        <v>#NAME?</v>
      </c>
      <c r="CJ25" s="37" t="e">
        <f ca="1"/>
        <v>#NAME?</v>
      </c>
      <c r="CK25" s="37" t="e">
        <f ca="1"/>
        <v>#NAME?</v>
      </c>
      <c r="CL25" s="37" t="e">
        <f ca="1"/>
        <v>#NAME?</v>
      </c>
      <c r="CM25" s="37" t="e">
        <f ca="1"/>
        <v>#NAME?</v>
      </c>
      <c r="CN25" s="37" t="e">
        <f ca="1"/>
        <v>#NAME?</v>
      </c>
      <c r="CO25" s="84" t="e">
        <f ca="1"/>
        <v>#NAME?</v>
      </c>
      <c r="CS25" s="83" t="e">
        <f ca="1"/>
        <v>#NAME?</v>
      </c>
      <c r="CT25" s="37" t="e">
        <f ca="1"/>
        <v>#NAME?</v>
      </c>
      <c r="CU25" s="37" t="e">
        <f ca="1"/>
        <v>#NAME?</v>
      </c>
      <c r="CV25" s="37" t="e">
        <f ca="1"/>
        <v>#NAME?</v>
      </c>
      <c r="CW25" s="37" t="e">
        <f ca="1"/>
        <v>#NAME?</v>
      </c>
      <c r="CX25" s="37" t="e">
        <f ca="1"/>
        <v>#NAME?</v>
      </c>
      <c r="CY25" s="37" t="e">
        <f ca="1"/>
        <v>#NAME?</v>
      </c>
      <c r="CZ25" s="37" t="e">
        <f ca="1"/>
        <v>#NAME?</v>
      </c>
      <c r="DA25" s="84" t="e">
        <f ca="1"/>
        <v>#NAME?</v>
      </c>
      <c r="DE25" s="83" t="e">
        <f ca="1"/>
        <v>#NAME?</v>
      </c>
      <c r="DF25" s="37" t="e">
        <f ca="1"/>
        <v>#NAME?</v>
      </c>
      <c r="DG25" s="37" t="e">
        <f ca="1"/>
        <v>#NAME?</v>
      </c>
      <c r="DH25" s="37" t="e">
        <f ca="1"/>
        <v>#NAME?</v>
      </c>
      <c r="DI25" s="37" t="e">
        <f ca="1"/>
        <v>#NAME?</v>
      </c>
      <c r="DJ25" s="37" t="e">
        <f ca="1"/>
        <v>#NAME?</v>
      </c>
      <c r="DK25" s="37" t="e">
        <f ca="1"/>
        <v>#NAME?</v>
      </c>
      <c r="DL25" s="37" t="e">
        <f ca="1"/>
        <v>#NAME?</v>
      </c>
      <c r="DM25" s="84" t="e">
        <f ca="1"/>
        <v>#NAME?</v>
      </c>
      <c r="DQ25" s="83" t="e">
        <f ca="1"/>
        <v>#NAME?</v>
      </c>
      <c r="DR25" s="37" t="e">
        <f ca="1"/>
        <v>#NAME?</v>
      </c>
      <c r="DS25" s="37" t="e">
        <f ca="1"/>
        <v>#NAME?</v>
      </c>
      <c r="DT25" s="37" t="e">
        <f ca="1"/>
        <v>#NAME?</v>
      </c>
      <c r="DU25" s="37" t="e">
        <f ca="1"/>
        <v>#NAME?</v>
      </c>
      <c r="DV25" s="37" t="e">
        <f ca="1"/>
        <v>#NAME?</v>
      </c>
      <c r="DW25" s="37" t="e">
        <f ca="1"/>
        <v>#NAME?</v>
      </c>
      <c r="DX25" s="37" t="e">
        <f ca="1"/>
        <v>#NAME?</v>
      </c>
      <c r="DY25" s="84" t="e">
        <f ca="1"/>
        <v>#NAME?</v>
      </c>
      <c r="EC25" s="83" t="e">
        <f ca="1"/>
        <v>#NAME?</v>
      </c>
      <c r="ED25" s="37" t="e">
        <f ca="1"/>
        <v>#NAME?</v>
      </c>
      <c r="EE25" s="37" t="e">
        <f ca="1"/>
        <v>#NAME?</v>
      </c>
      <c r="EF25" s="37" t="e">
        <f ca="1"/>
        <v>#NAME?</v>
      </c>
      <c r="EG25" s="37" t="e">
        <f ca="1"/>
        <v>#NAME?</v>
      </c>
      <c r="EH25" s="37" t="e">
        <f ca="1"/>
        <v>#NAME?</v>
      </c>
      <c r="EI25" s="37" t="e">
        <f ca="1"/>
        <v>#NAME?</v>
      </c>
      <c r="EJ25" s="37" t="e">
        <f ca="1"/>
        <v>#NAME?</v>
      </c>
      <c r="EK25" s="84" t="e">
        <f ca="1"/>
        <v>#NAME?</v>
      </c>
      <c r="EO25" s="83" t="e">
        <f ca="1"/>
        <v>#NAME?</v>
      </c>
      <c r="EP25" s="37" t="e">
        <f ca="1"/>
        <v>#NAME?</v>
      </c>
      <c r="EQ25" s="37" t="e">
        <f ca="1"/>
        <v>#NAME?</v>
      </c>
      <c r="ER25" s="37" t="e">
        <f ca="1"/>
        <v>#NAME?</v>
      </c>
      <c r="ES25" s="37" t="e">
        <f ca="1"/>
        <v>#NAME?</v>
      </c>
      <c r="ET25" s="37" t="e">
        <f ca="1"/>
        <v>#NAME?</v>
      </c>
      <c r="EU25" s="37" t="e">
        <f ca="1"/>
        <v>#NAME?</v>
      </c>
      <c r="EV25" s="37" t="e">
        <f ca="1"/>
        <v>#NAME?</v>
      </c>
      <c r="EW25" s="84" t="e">
        <f ca="1"/>
        <v>#NAME?</v>
      </c>
      <c r="FA25" s="83" t="e">
        <f ca="1"/>
        <v>#NAME?</v>
      </c>
      <c r="FB25" s="37" t="e">
        <f ca="1"/>
        <v>#NAME?</v>
      </c>
      <c r="FC25" s="37" t="e">
        <f ca="1"/>
        <v>#NAME?</v>
      </c>
      <c r="FD25" s="37" t="e">
        <f ca="1"/>
        <v>#NAME?</v>
      </c>
      <c r="FE25" s="37" t="e">
        <f ca="1"/>
        <v>#NAME?</v>
      </c>
      <c r="FF25" s="37" t="e">
        <f ca="1"/>
        <v>#NAME?</v>
      </c>
      <c r="FG25" s="37" t="e">
        <f ca="1"/>
        <v>#NAME?</v>
      </c>
      <c r="FH25" s="37" t="e">
        <f ca="1"/>
        <v>#NAME?</v>
      </c>
      <c r="FI25" s="84" t="e">
        <f ca="1"/>
        <v>#NAME?</v>
      </c>
      <c r="FM25" s="83" t="e">
        <f ca="1"/>
        <v>#NAME?</v>
      </c>
      <c r="FN25" s="37" t="e">
        <f ca="1"/>
        <v>#NAME?</v>
      </c>
      <c r="FO25" s="37" t="e">
        <f ca="1"/>
        <v>#NAME?</v>
      </c>
      <c r="FP25" s="37" t="e">
        <f ca="1"/>
        <v>#NAME?</v>
      </c>
      <c r="FQ25" s="37" t="e">
        <f ca="1"/>
        <v>#NAME?</v>
      </c>
      <c r="FR25" s="37" t="e">
        <f ca="1"/>
        <v>#NAME?</v>
      </c>
      <c r="FS25" s="37" t="e">
        <f ca="1"/>
        <v>#NAME?</v>
      </c>
      <c r="FT25" s="37" t="e">
        <f ca="1"/>
        <v>#NAME?</v>
      </c>
      <c r="FU25" s="84" t="e">
        <f ca="1"/>
        <v>#NAME?</v>
      </c>
      <c r="FY25" s="83" t="e">
        <f ca="1"/>
        <v>#NAME?</v>
      </c>
      <c r="FZ25" s="37" t="e">
        <f ca="1"/>
        <v>#NAME?</v>
      </c>
      <c r="GA25" s="37" t="e">
        <f ca="1"/>
        <v>#NAME?</v>
      </c>
      <c r="GB25" s="37" t="e">
        <f ca="1"/>
        <v>#NAME?</v>
      </c>
      <c r="GC25" s="37" t="e">
        <f ca="1"/>
        <v>#NAME?</v>
      </c>
      <c r="GD25" s="37" t="e">
        <f ca="1"/>
        <v>#NAME?</v>
      </c>
      <c r="GE25" s="37" t="e">
        <f ca="1"/>
        <v>#NAME?</v>
      </c>
      <c r="GF25" s="37" t="e">
        <f ca="1"/>
        <v>#NAME?</v>
      </c>
      <c r="GG25" s="84" t="e">
        <f ca="1"/>
        <v>#NAME?</v>
      </c>
      <c r="GK25" s="83" t="e">
        <f ca="1"/>
        <v>#NAME?</v>
      </c>
      <c r="GL25" s="37" t="e">
        <f ca="1"/>
        <v>#NAME?</v>
      </c>
      <c r="GM25" s="37" t="e">
        <f ca="1"/>
        <v>#NAME?</v>
      </c>
      <c r="GN25" s="37" t="e">
        <f ca="1"/>
        <v>#NAME?</v>
      </c>
      <c r="GO25" s="37" t="e">
        <f ca="1"/>
        <v>#NAME?</v>
      </c>
      <c r="GP25" s="37" t="e">
        <f ca="1"/>
        <v>#NAME?</v>
      </c>
      <c r="GQ25" s="37" t="e">
        <f ca="1"/>
        <v>#NAME?</v>
      </c>
      <c r="GR25" s="37" t="e">
        <f ca="1"/>
        <v>#NAME?</v>
      </c>
      <c r="GS25" s="84" t="e">
        <f ca="1"/>
        <v>#NAME?</v>
      </c>
      <c r="GW25" s="83" t="e">
        <f ca="1"/>
        <v>#NAME?</v>
      </c>
      <c r="GX25" s="37" t="e">
        <f ca="1"/>
        <v>#NAME?</v>
      </c>
      <c r="GY25" s="37" t="e">
        <f ca="1"/>
        <v>#NAME?</v>
      </c>
      <c r="GZ25" s="37" t="e">
        <f ca="1"/>
        <v>#NAME?</v>
      </c>
      <c r="HA25" s="37" t="e">
        <f ca="1"/>
        <v>#NAME?</v>
      </c>
      <c r="HB25" s="37" t="e">
        <f ca="1"/>
        <v>#NAME?</v>
      </c>
      <c r="HC25" s="37" t="e">
        <f ca="1"/>
        <v>#NAME?</v>
      </c>
      <c r="HD25" s="37" t="e">
        <f ca="1"/>
        <v>#NAME?</v>
      </c>
      <c r="HE25" s="84" t="e">
        <f ca="1"/>
        <v>#NAME?</v>
      </c>
      <c r="HI25" s="83" t="e">
        <f ca="1"/>
        <v>#NAME?</v>
      </c>
      <c r="HJ25" s="37" t="e">
        <f ca="1"/>
        <v>#NAME?</v>
      </c>
      <c r="HK25" s="37" t="e">
        <f ca="1"/>
        <v>#NAME?</v>
      </c>
      <c r="HL25" s="37" t="e">
        <f ca="1"/>
        <v>#NAME?</v>
      </c>
      <c r="HM25" s="37" t="e">
        <f ca="1"/>
        <v>#NAME?</v>
      </c>
      <c r="HN25" s="37" t="e">
        <f ca="1"/>
        <v>#NAME?</v>
      </c>
      <c r="HO25" s="37" t="e">
        <f ca="1"/>
        <v>#NAME?</v>
      </c>
      <c r="HP25" s="37" t="e">
        <f ca="1"/>
        <v>#NAME?</v>
      </c>
      <c r="HQ25" s="84" t="e">
        <f ca="1"/>
        <v>#NAME?</v>
      </c>
      <c r="HU25" s="83" t="e">
        <f ca="1"/>
        <v>#NAME?</v>
      </c>
      <c r="HV25" s="37" t="e">
        <f ca="1"/>
        <v>#NAME?</v>
      </c>
      <c r="HW25" s="37" t="e">
        <f ca="1"/>
        <v>#NAME?</v>
      </c>
      <c r="HX25" s="37" t="e">
        <f ca="1"/>
        <v>#NAME?</v>
      </c>
      <c r="HY25" s="37" t="e">
        <f ca="1"/>
        <v>#NAME?</v>
      </c>
      <c r="HZ25" s="37" t="e">
        <f ca="1"/>
        <v>#NAME?</v>
      </c>
      <c r="IA25" s="37" t="e">
        <f ca="1"/>
        <v>#NAME?</v>
      </c>
      <c r="IB25" s="37" t="e">
        <f ca="1"/>
        <v>#NAME?</v>
      </c>
      <c r="IC25" s="84" t="e">
        <f ca="1"/>
        <v>#NAME?</v>
      </c>
      <c r="IG25" s="83" t="e">
        <f ca="1"/>
        <v>#NAME?</v>
      </c>
      <c r="IH25" s="37" t="e">
        <f ca="1"/>
        <v>#NAME?</v>
      </c>
      <c r="II25" s="37" t="e">
        <f ca="1"/>
        <v>#NAME?</v>
      </c>
      <c r="IJ25" s="37" t="e">
        <f ca="1"/>
        <v>#NAME?</v>
      </c>
      <c r="IK25" s="37" t="e">
        <f ca="1"/>
        <v>#NAME?</v>
      </c>
      <c r="IL25" s="37" t="e">
        <f ca="1"/>
        <v>#NAME?</v>
      </c>
      <c r="IM25" s="37" t="e">
        <f ca="1"/>
        <v>#NAME?</v>
      </c>
      <c r="IN25" s="37" t="e">
        <f ca="1"/>
        <v>#NAME?</v>
      </c>
      <c r="IO25" s="84" t="e">
        <f ca="1"/>
        <v>#NAME?</v>
      </c>
      <c r="IS25" s="83" t="e">
        <f ca="1"/>
        <v>#NAME?</v>
      </c>
      <c r="IT25" s="37" t="e">
        <f ca="1"/>
        <v>#NAME?</v>
      </c>
      <c r="IU25" s="37" t="e">
        <f ca="1"/>
        <v>#NAME?</v>
      </c>
      <c r="IV25" s="37" t="e">
        <f ca="1"/>
        <v>#NAME?</v>
      </c>
      <c r="IW25" s="37" t="e">
        <f ca="1"/>
        <v>#NAME?</v>
      </c>
      <c r="IX25" s="37" t="e">
        <f ca="1"/>
        <v>#NAME?</v>
      </c>
      <c r="IY25" s="37" t="e">
        <f ca="1"/>
        <v>#NAME?</v>
      </c>
      <c r="IZ25" s="37" t="e">
        <f ca="1"/>
        <v>#NAME?</v>
      </c>
      <c r="JA25" s="84" t="e">
        <f ca="1"/>
        <v>#NAME?</v>
      </c>
      <c r="JE25" s="83" t="e">
        <f ca="1"/>
        <v>#NAME?</v>
      </c>
      <c r="JF25" s="37" t="e">
        <f ca="1"/>
        <v>#NAME?</v>
      </c>
      <c r="JG25" s="37" t="e">
        <f ca="1"/>
        <v>#NAME?</v>
      </c>
      <c r="JH25" s="37" t="e">
        <f ca="1"/>
        <v>#NAME?</v>
      </c>
      <c r="JI25" s="37" t="e">
        <f ca="1"/>
        <v>#NAME?</v>
      </c>
      <c r="JJ25" s="37" t="e">
        <f ca="1"/>
        <v>#NAME?</v>
      </c>
      <c r="JK25" s="37" t="e">
        <f ca="1"/>
        <v>#NAME?</v>
      </c>
      <c r="JL25" s="37" t="e">
        <f ca="1"/>
        <v>#NAME?</v>
      </c>
      <c r="JM25" s="84" t="e">
        <f ca="1"/>
        <v>#NAME?</v>
      </c>
      <c r="JQ25" s="83" t="e">
        <f ca="1"/>
        <v>#NAME?</v>
      </c>
      <c r="JR25" s="37" t="e">
        <f ca="1"/>
        <v>#NAME?</v>
      </c>
      <c r="JS25" s="37" t="e">
        <f ca="1"/>
        <v>#NAME?</v>
      </c>
      <c r="JT25" s="37" t="e">
        <f ca="1"/>
        <v>#NAME?</v>
      </c>
      <c r="JU25" s="37" t="e">
        <f ca="1"/>
        <v>#NAME?</v>
      </c>
      <c r="JV25" s="37" t="e">
        <f ca="1"/>
        <v>#NAME?</v>
      </c>
      <c r="JW25" s="37" t="e">
        <f ca="1"/>
        <v>#NAME?</v>
      </c>
      <c r="JX25" s="37" t="e">
        <f ca="1"/>
        <v>#NAME?</v>
      </c>
      <c r="JY25" s="84" t="e">
        <f ca="1"/>
        <v>#NAME?</v>
      </c>
      <c r="KC25" s="83" t="e">
        <f ca="1"/>
        <v>#NAME?</v>
      </c>
      <c r="KD25" s="37" t="e">
        <f ca="1"/>
        <v>#NAME?</v>
      </c>
      <c r="KE25" s="37" t="e">
        <f ca="1"/>
        <v>#NAME?</v>
      </c>
      <c r="KF25" s="37" t="e">
        <f ca="1"/>
        <v>#NAME?</v>
      </c>
      <c r="KG25" s="37" t="e">
        <f ca="1"/>
        <v>#NAME?</v>
      </c>
      <c r="KH25" s="37" t="e">
        <f ca="1"/>
        <v>#NAME?</v>
      </c>
      <c r="KI25" s="37" t="e">
        <f ca="1"/>
        <v>#NAME?</v>
      </c>
      <c r="KJ25" s="37" t="e">
        <f ca="1"/>
        <v>#NAME?</v>
      </c>
      <c r="KK25" s="84" t="e">
        <f ca="1"/>
        <v>#NAME?</v>
      </c>
      <c r="KO25" s="83" t="e">
        <f ca="1"/>
        <v>#NAME?</v>
      </c>
      <c r="KP25" s="37" t="e">
        <f ca="1"/>
        <v>#NAME?</v>
      </c>
      <c r="KQ25" s="37" t="e">
        <f ca="1"/>
        <v>#NAME?</v>
      </c>
      <c r="KR25" s="37" t="e">
        <f ca="1"/>
        <v>#NAME?</v>
      </c>
      <c r="KS25" s="37" t="e">
        <f ca="1"/>
        <v>#NAME?</v>
      </c>
      <c r="KT25" s="37" t="e">
        <f ca="1"/>
        <v>#NAME?</v>
      </c>
      <c r="KU25" s="37" t="e">
        <f ca="1"/>
        <v>#NAME?</v>
      </c>
      <c r="KV25" s="37" t="e">
        <f ca="1"/>
        <v>#NAME?</v>
      </c>
      <c r="KW25" s="84" t="e">
        <f ca="1"/>
        <v>#NAME?</v>
      </c>
      <c r="LA25" s="83" t="e">
        <f ca="1"/>
        <v>#NAME?</v>
      </c>
      <c r="LB25" s="37" t="e">
        <f ca="1"/>
        <v>#NAME?</v>
      </c>
      <c r="LC25" s="37" t="e">
        <f ca="1"/>
        <v>#NAME?</v>
      </c>
      <c r="LD25" s="37" t="e">
        <f ca="1"/>
        <v>#NAME?</v>
      </c>
      <c r="LE25" s="37" t="e">
        <f ca="1"/>
        <v>#NAME?</v>
      </c>
      <c r="LF25" s="37" t="e">
        <f ca="1"/>
        <v>#NAME?</v>
      </c>
      <c r="LG25" s="37" t="e">
        <f ca="1"/>
        <v>#NAME?</v>
      </c>
      <c r="LH25" s="37" t="e">
        <f ca="1"/>
        <v>#NAME?</v>
      </c>
      <c r="LI25" s="84" t="e">
        <f ca="1"/>
        <v>#NAME?</v>
      </c>
      <c r="LM25" s="83" t="e">
        <f ca="1"/>
        <v>#NAME?</v>
      </c>
      <c r="LN25" s="37" t="e">
        <f ca="1"/>
        <v>#NAME?</v>
      </c>
      <c r="LO25" s="37" t="e">
        <f ca="1"/>
        <v>#NAME?</v>
      </c>
      <c r="LP25" s="37" t="e">
        <f ca="1"/>
        <v>#NAME?</v>
      </c>
      <c r="LQ25" s="37" t="e">
        <f ca="1"/>
        <v>#NAME?</v>
      </c>
      <c r="LR25" s="37" t="e">
        <f ca="1"/>
        <v>#NAME?</v>
      </c>
      <c r="LS25" s="37" t="e">
        <f ca="1"/>
        <v>#NAME?</v>
      </c>
      <c r="LT25" s="37" t="e">
        <f ca="1"/>
        <v>#NAME?</v>
      </c>
      <c r="LU25" s="84" t="e">
        <f ca="1"/>
        <v>#NAME?</v>
      </c>
      <c r="LY25" s="83" t="e">
        <f ca="1"/>
        <v>#NAME?</v>
      </c>
      <c r="LZ25" s="37" t="e">
        <f ca="1"/>
        <v>#NAME?</v>
      </c>
      <c r="MA25" s="37" t="e">
        <f ca="1"/>
        <v>#NAME?</v>
      </c>
      <c r="MB25" s="37" t="e">
        <f ca="1"/>
        <v>#NAME?</v>
      </c>
      <c r="MC25" s="37" t="e">
        <f ca="1"/>
        <v>#NAME?</v>
      </c>
      <c r="MD25" s="37" t="e">
        <f ca="1"/>
        <v>#NAME?</v>
      </c>
      <c r="ME25" s="37" t="e">
        <f ca="1"/>
        <v>#NAME?</v>
      </c>
      <c r="MF25" s="37" t="e">
        <f ca="1"/>
        <v>#NAME?</v>
      </c>
      <c r="MG25" s="84" t="e">
        <f ca="1"/>
        <v>#NAME?</v>
      </c>
      <c r="MK25" s="83" t="e">
        <f ca="1"/>
        <v>#NAME?</v>
      </c>
      <c r="ML25" s="37" t="e">
        <f ca="1"/>
        <v>#NAME?</v>
      </c>
      <c r="MM25" s="37" t="e">
        <f ca="1"/>
        <v>#NAME?</v>
      </c>
      <c r="MN25" s="37" t="e">
        <f ca="1"/>
        <v>#NAME?</v>
      </c>
      <c r="MO25" s="37" t="e">
        <f ca="1"/>
        <v>#NAME?</v>
      </c>
      <c r="MP25" s="37" t="e">
        <f ca="1"/>
        <v>#NAME?</v>
      </c>
      <c r="MQ25" s="37" t="e">
        <f ca="1"/>
        <v>#NAME?</v>
      </c>
      <c r="MR25" s="37" t="e">
        <f ca="1"/>
        <v>#NAME?</v>
      </c>
      <c r="MS25" s="84" t="e">
        <f ca="1"/>
        <v>#NAME?</v>
      </c>
    </row>
    <row r="26" spans="1:358" x14ac:dyDescent="0.3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  <c r="Y26" s="83" t="e">
        <f ca="1"/>
        <v>#NAME?</v>
      </c>
      <c r="Z26" s="37" t="e">
        <f ca="1"/>
        <v>#NAME?</v>
      </c>
      <c r="AA26" s="37" t="e">
        <f ca="1"/>
        <v>#NAME?</v>
      </c>
      <c r="AB26" s="37" t="e">
        <f ca="1"/>
        <v>#NAME?</v>
      </c>
      <c r="AC26" s="37" t="e">
        <f ca="1"/>
        <v>#NAME?</v>
      </c>
      <c r="AD26" s="37" t="e">
        <f ca="1"/>
        <v>#NAME?</v>
      </c>
      <c r="AE26" s="37" t="e">
        <f ca="1"/>
        <v>#NAME?</v>
      </c>
      <c r="AF26" s="37" t="e">
        <f ca="1"/>
        <v>#NAME?</v>
      </c>
      <c r="AG26" s="84" t="e">
        <f ca="1"/>
        <v>#NAME?</v>
      </c>
      <c r="AK26" s="83" t="e">
        <f ca="1"/>
        <v>#NAME?</v>
      </c>
      <c r="AL26" s="37" t="e">
        <f ca="1"/>
        <v>#NAME?</v>
      </c>
      <c r="AM26" s="37" t="e">
        <f ca="1"/>
        <v>#NAME?</v>
      </c>
      <c r="AN26" s="37" t="e">
        <f ca="1"/>
        <v>#NAME?</v>
      </c>
      <c r="AO26" s="37" t="e">
        <f ca="1"/>
        <v>#NAME?</v>
      </c>
      <c r="AP26" s="37" t="e">
        <f ca="1"/>
        <v>#NAME?</v>
      </c>
      <c r="AQ26" s="37" t="e">
        <f ca="1"/>
        <v>#NAME?</v>
      </c>
      <c r="AR26" s="37" t="e">
        <f ca="1"/>
        <v>#NAME?</v>
      </c>
      <c r="AS26" s="84" t="e">
        <f ca="1"/>
        <v>#NAME?</v>
      </c>
      <c r="AW26" s="83" t="e">
        <f ca="1"/>
        <v>#NAME?</v>
      </c>
      <c r="AX26" s="37" t="e">
        <f ca="1"/>
        <v>#NAME?</v>
      </c>
      <c r="AY26" s="37" t="e">
        <f ca="1"/>
        <v>#NAME?</v>
      </c>
      <c r="AZ26" s="37" t="e">
        <f ca="1"/>
        <v>#NAME?</v>
      </c>
      <c r="BA26" s="37" t="e">
        <f ca="1"/>
        <v>#NAME?</v>
      </c>
      <c r="BB26" s="37" t="e">
        <f ca="1"/>
        <v>#NAME?</v>
      </c>
      <c r="BC26" s="37" t="e">
        <f ca="1"/>
        <v>#NAME?</v>
      </c>
      <c r="BD26" s="37" t="e">
        <f ca="1"/>
        <v>#NAME?</v>
      </c>
      <c r="BE26" s="84" t="e">
        <f ca="1"/>
        <v>#NAME?</v>
      </c>
      <c r="BI26" s="83" t="e">
        <f ca="1"/>
        <v>#NAME?</v>
      </c>
      <c r="BJ26" s="37" t="e">
        <f ca="1"/>
        <v>#NAME?</v>
      </c>
      <c r="BK26" s="37" t="e">
        <f ca="1"/>
        <v>#NAME?</v>
      </c>
      <c r="BL26" s="37" t="e">
        <f ca="1"/>
        <v>#NAME?</v>
      </c>
      <c r="BM26" s="37" t="e">
        <f ca="1"/>
        <v>#NAME?</v>
      </c>
      <c r="BN26" s="37" t="e">
        <f ca="1"/>
        <v>#NAME?</v>
      </c>
      <c r="BO26" s="37" t="e">
        <f ca="1"/>
        <v>#NAME?</v>
      </c>
      <c r="BP26" s="37" t="e">
        <f ca="1"/>
        <v>#NAME?</v>
      </c>
      <c r="BQ26" s="84" t="e">
        <f ca="1"/>
        <v>#NAME?</v>
      </c>
      <c r="BU26" s="83" t="e">
        <f ca="1"/>
        <v>#NAME?</v>
      </c>
      <c r="BV26" s="37" t="e">
        <f ca="1"/>
        <v>#NAME?</v>
      </c>
      <c r="BW26" s="37" t="e">
        <f ca="1"/>
        <v>#NAME?</v>
      </c>
      <c r="BX26" s="37" t="e">
        <f ca="1"/>
        <v>#NAME?</v>
      </c>
      <c r="BY26" s="37" t="e">
        <f ca="1"/>
        <v>#NAME?</v>
      </c>
      <c r="BZ26" s="37" t="e">
        <f ca="1"/>
        <v>#NAME?</v>
      </c>
      <c r="CA26" s="37" t="e">
        <f ca="1"/>
        <v>#NAME?</v>
      </c>
      <c r="CB26" s="37" t="e">
        <f ca="1"/>
        <v>#NAME?</v>
      </c>
      <c r="CC26" s="84" t="e">
        <f ca="1"/>
        <v>#NAME?</v>
      </c>
      <c r="CG26" s="83" t="e">
        <f ca="1"/>
        <v>#NAME?</v>
      </c>
      <c r="CH26" s="37" t="e">
        <f ca="1"/>
        <v>#NAME?</v>
      </c>
      <c r="CI26" s="37" t="e">
        <f ca="1"/>
        <v>#NAME?</v>
      </c>
      <c r="CJ26" s="37" t="e">
        <f ca="1"/>
        <v>#NAME?</v>
      </c>
      <c r="CK26" s="37" t="e">
        <f ca="1"/>
        <v>#NAME?</v>
      </c>
      <c r="CL26" s="37" t="e">
        <f ca="1"/>
        <v>#NAME?</v>
      </c>
      <c r="CM26" s="37" t="e">
        <f ca="1"/>
        <v>#NAME?</v>
      </c>
      <c r="CN26" s="37" t="e">
        <f ca="1"/>
        <v>#NAME?</v>
      </c>
      <c r="CO26" s="84" t="e">
        <f ca="1"/>
        <v>#NAME?</v>
      </c>
      <c r="CS26" s="83" t="e">
        <f ca="1"/>
        <v>#NAME?</v>
      </c>
      <c r="CT26" s="37" t="e">
        <f ca="1"/>
        <v>#NAME?</v>
      </c>
      <c r="CU26" s="37" t="e">
        <f ca="1"/>
        <v>#NAME?</v>
      </c>
      <c r="CV26" s="37" t="e">
        <f ca="1"/>
        <v>#NAME?</v>
      </c>
      <c r="CW26" s="37" t="e">
        <f ca="1"/>
        <v>#NAME?</v>
      </c>
      <c r="CX26" s="37" t="e">
        <f ca="1"/>
        <v>#NAME?</v>
      </c>
      <c r="CY26" s="37" t="e">
        <f ca="1"/>
        <v>#NAME?</v>
      </c>
      <c r="CZ26" s="37" t="e">
        <f ca="1"/>
        <v>#NAME?</v>
      </c>
      <c r="DA26" s="84" t="e">
        <f ca="1"/>
        <v>#NAME?</v>
      </c>
      <c r="DE26" s="83" t="e">
        <f ca="1"/>
        <v>#NAME?</v>
      </c>
      <c r="DF26" s="37" t="e">
        <f ca="1"/>
        <v>#NAME?</v>
      </c>
      <c r="DG26" s="37" t="e">
        <f ca="1"/>
        <v>#NAME?</v>
      </c>
      <c r="DH26" s="37" t="e">
        <f ca="1"/>
        <v>#NAME?</v>
      </c>
      <c r="DI26" s="37" t="e">
        <f ca="1"/>
        <v>#NAME?</v>
      </c>
      <c r="DJ26" s="37" t="e">
        <f ca="1"/>
        <v>#NAME?</v>
      </c>
      <c r="DK26" s="37" t="e">
        <f ca="1"/>
        <v>#NAME?</v>
      </c>
      <c r="DL26" s="37" t="e">
        <f ca="1"/>
        <v>#NAME?</v>
      </c>
      <c r="DM26" s="84" t="e">
        <f ca="1"/>
        <v>#NAME?</v>
      </c>
      <c r="DQ26" s="83" t="e">
        <f ca="1"/>
        <v>#NAME?</v>
      </c>
      <c r="DR26" s="37" t="e">
        <f ca="1"/>
        <v>#NAME?</v>
      </c>
      <c r="DS26" s="37" t="e">
        <f ca="1"/>
        <v>#NAME?</v>
      </c>
      <c r="DT26" s="37" t="e">
        <f ca="1"/>
        <v>#NAME?</v>
      </c>
      <c r="DU26" s="37" t="e">
        <f ca="1"/>
        <v>#NAME?</v>
      </c>
      <c r="DV26" s="37" t="e">
        <f ca="1"/>
        <v>#NAME?</v>
      </c>
      <c r="DW26" s="37" t="e">
        <f ca="1"/>
        <v>#NAME?</v>
      </c>
      <c r="DX26" s="37" t="e">
        <f ca="1"/>
        <v>#NAME?</v>
      </c>
      <c r="DY26" s="84" t="e">
        <f ca="1"/>
        <v>#NAME?</v>
      </c>
      <c r="EC26" s="83" t="e">
        <f ca="1"/>
        <v>#NAME?</v>
      </c>
      <c r="ED26" s="37" t="e">
        <f ca="1"/>
        <v>#NAME?</v>
      </c>
      <c r="EE26" s="37" t="e">
        <f ca="1"/>
        <v>#NAME?</v>
      </c>
      <c r="EF26" s="37" t="e">
        <f ca="1"/>
        <v>#NAME?</v>
      </c>
      <c r="EG26" s="37" t="e">
        <f ca="1"/>
        <v>#NAME?</v>
      </c>
      <c r="EH26" s="37" t="e">
        <f ca="1"/>
        <v>#NAME?</v>
      </c>
      <c r="EI26" s="37" t="e">
        <f ca="1"/>
        <v>#NAME?</v>
      </c>
      <c r="EJ26" s="37" t="e">
        <f ca="1"/>
        <v>#NAME?</v>
      </c>
      <c r="EK26" s="84" t="e">
        <f ca="1"/>
        <v>#NAME?</v>
      </c>
      <c r="EO26" s="83" t="e">
        <f ca="1"/>
        <v>#NAME?</v>
      </c>
      <c r="EP26" s="37" t="e">
        <f ca="1"/>
        <v>#NAME?</v>
      </c>
      <c r="EQ26" s="37" t="e">
        <f ca="1"/>
        <v>#NAME?</v>
      </c>
      <c r="ER26" s="37" t="e">
        <f ca="1"/>
        <v>#NAME?</v>
      </c>
      <c r="ES26" s="37" t="e">
        <f ca="1"/>
        <v>#NAME?</v>
      </c>
      <c r="ET26" s="37" t="e">
        <f ca="1"/>
        <v>#NAME?</v>
      </c>
      <c r="EU26" s="37" t="e">
        <f ca="1"/>
        <v>#NAME?</v>
      </c>
      <c r="EV26" s="37" t="e">
        <f ca="1"/>
        <v>#NAME?</v>
      </c>
      <c r="EW26" s="84" t="e">
        <f ca="1"/>
        <v>#NAME?</v>
      </c>
      <c r="FA26" s="83" t="e">
        <f ca="1"/>
        <v>#NAME?</v>
      </c>
      <c r="FB26" s="37" t="e">
        <f ca="1"/>
        <v>#NAME?</v>
      </c>
      <c r="FC26" s="37" t="e">
        <f ca="1"/>
        <v>#NAME?</v>
      </c>
      <c r="FD26" s="37" t="e">
        <f ca="1"/>
        <v>#NAME?</v>
      </c>
      <c r="FE26" s="37" t="e">
        <f ca="1"/>
        <v>#NAME?</v>
      </c>
      <c r="FF26" s="37" t="e">
        <f ca="1"/>
        <v>#NAME?</v>
      </c>
      <c r="FG26" s="37" t="e">
        <f ca="1"/>
        <v>#NAME?</v>
      </c>
      <c r="FH26" s="37" t="e">
        <f ca="1"/>
        <v>#NAME?</v>
      </c>
      <c r="FI26" s="84" t="e">
        <f ca="1"/>
        <v>#NAME?</v>
      </c>
      <c r="FM26" s="83" t="e">
        <f ca="1"/>
        <v>#NAME?</v>
      </c>
      <c r="FN26" s="37" t="e">
        <f ca="1"/>
        <v>#NAME?</v>
      </c>
      <c r="FO26" s="37" t="e">
        <f ca="1"/>
        <v>#NAME?</v>
      </c>
      <c r="FP26" s="37" t="e">
        <f ca="1"/>
        <v>#NAME?</v>
      </c>
      <c r="FQ26" s="37" t="e">
        <f ca="1"/>
        <v>#NAME?</v>
      </c>
      <c r="FR26" s="37" t="e">
        <f ca="1"/>
        <v>#NAME?</v>
      </c>
      <c r="FS26" s="37" t="e">
        <f ca="1"/>
        <v>#NAME?</v>
      </c>
      <c r="FT26" s="37" t="e">
        <f ca="1"/>
        <v>#NAME?</v>
      </c>
      <c r="FU26" s="84" t="e">
        <f ca="1"/>
        <v>#NAME?</v>
      </c>
      <c r="FY26" s="83" t="e">
        <f ca="1"/>
        <v>#NAME?</v>
      </c>
      <c r="FZ26" s="37" t="e">
        <f ca="1"/>
        <v>#NAME?</v>
      </c>
      <c r="GA26" s="37" t="e">
        <f ca="1"/>
        <v>#NAME?</v>
      </c>
      <c r="GB26" s="37" t="e">
        <f ca="1"/>
        <v>#NAME?</v>
      </c>
      <c r="GC26" s="37" t="e">
        <f ca="1"/>
        <v>#NAME?</v>
      </c>
      <c r="GD26" s="37" t="e">
        <f ca="1"/>
        <v>#NAME?</v>
      </c>
      <c r="GE26" s="37" t="e">
        <f ca="1"/>
        <v>#NAME?</v>
      </c>
      <c r="GF26" s="37" t="e">
        <f ca="1"/>
        <v>#NAME?</v>
      </c>
      <c r="GG26" s="84" t="e">
        <f ca="1"/>
        <v>#NAME?</v>
      </c>
      <c r="GK26" s="83" t="e">
        <f ca="1"/>
        <v>#NAME?</v>
      </c>
      <c r="GL26" s="37" t="e">
        <f ca="1"/>
        <v>#NAME?</v>
      </c>
      <c r="GM26" s="37" t="e">
        <f ca="1"/>
        <v>#NAME?</v>
      </c>
      <c r="GN26" s="37" t="e">
        <f ca="1"/>
        <v>#NAME?</v>
      </c>
      <c r="GO26" s="37" t="e">
        <f ca="1"/>
        <v>#NAME?</v>
      </c>
      <c r="GP26" s="37" t="e">
        <f ca="1"/>
        <v>#NAME?</v>
      </c>
      <c r="GQ26" s="37" t="e">
        <f ca="1"/>
        <v>#NAME?</v>
      </c>
      <c r="GR26" s="37" t="e">
        <f ca="1"/>
        <v>#NAME?</v>
      </c>
      <c r="GS26" s="84" t="e">
        <f ca="1"/>
        <v>#NAME?</v>
      </c>
      <c r="GW26" s="83" t="e">
        <f ca="1"/>
        <v>#NAME?</v>
      </c>
      <c r="GX26" s="37" t="e">
        <f ca="1"/>
        <v>#NAME?</v>
      </c>
      <c r="GY26" s="37" t="e">
        <f ca="1"/>
        <v>#NAME?</v>
      </c>
      <c r="GZ26" s="37" t="e">
        <f ca="1"/>
        <v>#NAME?</v>
      </c>
      <c r="HA26" s="37" t="e">
        <f ca="1"/>
        <v>#NAME?</v>
      </c>
      <c r="HB26" s="37" t="e">
        <f ca="1"/>
        <v>#NAME?</v>
      </c>
      <c r="HC26" s="37" t="e">
        <f ca="1"/>
        <v>#NAME?</v>
      </c>
      <c r="HD26" s="37" t="e">
        <f ca="1"/>
        <v>#NAME?</v>
      </c>
      <c r="HE26" s="84" t="e">
        <f ca="1"/>
        <v>#NAME?</v>
      </c>
      <c r="HI26" s="83" t="e">
        <f ca="1"/>
        <v>#NAME?</v>
      </c>
      <c r="HJ26" s="37" t="e">
        <f ca="1"/>
        <v>#NAME?</v>
      </c>
      <c r="HK26" s="37" t="e">
        <f ca="1"/>
        <v>#NAME?</v>
      </c>
      <c r="HL26" s="37" t="e">
        <f ca="1"/>
        <v>#NAME?</v>
      </c>
      <c r="HM26" s="37" t="e">
        <f ca="1"/>
        <v>#NAME?</v>
      </c>
      <c r="HN26" s="37" t="e">
        <f ca="1"/>
        <v>#NAME?</v>
      </c>
      <c r="HO26" s="37" t="e">
        <f ca="1"/>
        <v>#NAME?</v>
      </c>
      <c r="HP26" s="37" t="e">
        <f ca="1"/>
        <v>#NAME?</v>
      </c>
      <c r="HQ26" s="84" t="e">
        <f ca="1"/>
        <v>#NAME?</v>
      </c>
      <c r="HU26" s="83" t="e">
        <f ca="1"/>
        <v>#NAME?</v>
      </c>
      <c r="HV26" s="37" t="e">
        <f ca="1"/>
        <v>#NAME?</v>
      </c>
      <c r="HW26" s="37" t="e">
        <f ca="1"/>
        <v>#NAME?</v>
      </c>
      <c r="HX26" s="37" t="e">
        <f ca="1"/>
        <v>#NAME?</v>
      </c>
      <c r="HY26" s="37" t="e">
        <f ca="1"/>
        <v>#NAME?</v>
      </c>
      <c r="HZ26" s="37" t="e">
        <f ca="1"/>
        <v>#NAME?</v>
      </c>
      <c r="IA26" s="37" t="e">
        <f ca="1"/>
        <v>#NAME?</v>
      </c>
      <c r="IB26" s="37" t="e">
        <f ca="1"/>
        <v>#NAME?</v>
      </c>
      <c r="IC26" s="84" t="e">
        <f ca="1"/>
        <v>#NAME?</v>
      </c>
      <c r="IG26" s="83" t="e">
        <f ca="1"/>
        <v>#NAME?</v>
      </c>
      <c r="IH26" s="37" t="e">
        <f ca="1"/>
        <v>#NAME?</v>
      </c>
      <c r="II26" s="37" t="e">
        <f ca="1"/>
        <v>#NAME?</v>
      </c>
      <c r="IJ26" s="37" t="e">
        <f ca="1"/>
        <v>#NAME?</v>
      </c>
      <c r="IK26" s="37" t="e">
        <f ca="1"/>
        <v>#NAME?</v>
      </c>
      <c r="IL26" s="37" t="e">
        <f ca="1"/>
        <v>#NAME?</v>
      </c>
      <c r="IM26" s="37" t="e">
        <f ca="1"/>
        <v>#NAME?</v>
      </c>
      <c r="IN26" s="37" t="e">
        <f ca="1"/>
        <v>#NAME?</v>
      </c>
      <c r="IO26" s="84" t="e">
        <f ca="1"/>
        <v>#NAME?</v>
      </c>
      <c r="IS26" s="83" t="e">
        <f ca="1"/>
        <v>#NAME?</v>
      </c>
      <c r="IT26" s="37" t="e">
        <f ca="1"/>
        <v>#NAME?</v>
      </c>
      <c r="IU26" s="37" t="e">
        <f ca="1"/>
        <v>#NAME?</v>
      </c>
      <c r="IV26" s="37" t="e">
        <f ca="1"/>
        <v>#NAME?</v>
      </c>
      <c r="IW26" s="37" t="e">
        <f ca="1"/>
        <v>#NAME?</v>
      </c>
      <c r="IX26" s="37" t="e">
        <f ca="1"/>
        <v>#NAME?</v>
      </c>
      <c r="IY26" s="37" t="e">
        <f ca="1"/>
        <v>#NAME?</v>
      </c>
      <c r="IZ26" s="37" t="e">
        <f ca="1"/>
        <v>#NAME?</v>
      </c>
      <c r="JA26" s="84" t="e">
        <f ca="1"/>
        <v>#NAME?</v>
      </c>
      <c r="JE26" s="83" t="e">
        <f ca="1"/>
        <v>#NAME?</v>
      </c>
      <c r="JF26" s="37" t="e">
        <f ca="1"/>
        <v>#NAME?</v>
      </c>
      <c r="JG26" s="37" t="e">
        <f ca="1"/>
        <v>#NAME?</v>
      </c>
      <c r="JH26" s="37" t="e">
        <f ca="1"/>
        <v>#NAME?</v>
      </c>
      <c r="JI26" s="37" t="e">
        <f ca="1"/>
        <v>#NAME?</v>
      </c>
      <c r="JJ26" s="37" t="e">
        <f ca="1"/>
        <v>#NAME?</v>
      </c>
      <c r="JK26" s="37" t="e">
        <f ca="1"/>
        <v>#NAME?</v>
      </c>
      <c r="JL26" s="37" t="e">
        <f ca="1"/>
        <v>#NAME?</v>
      </c>
      <c r="JM26" s="84" t="e">
        <f ca="1"/>
        <v>#NAME?</v>
      </c>
      <c r="JQ26" s="83" t="e">
        <f ca="1"/>
        <v>#NAME?</v>
      </c>
      <c r="JR26" s="37" t="e">
        <f ca="1"/>
        <v>#NAME?</v>
      </c>
      <c r="JS26" s="37" t="e">
        <f ca="1"/>
        <v>#NAME?</v>
      </c>
      <c r="JT26" s="37" t="e">
        <f ca="1"/>
        <v>#NAME?</v>
      </c>
      <c r="JU26" s="37" t="e">
        <f ca="1"/>
        <v>#NAME?</v>
      </c>
      <c r="JV26" s="37" t="e">
        <f ca="1"/>
        <v>#NAME?</v>
      </c>
      <c r="JW26" s="37" t="e">
        <f ca="1"/>
        <v>#NAME?</v>
      </c>
      <c r="JX26" s="37" t="e">
        <f ca="1"/>
        <v>#NAME?</v>
      </c>
      <c r="JY26" s="84" t="e">
        <f ca="1"/>
        <v>#NAME?</v>
      </c>
      <c r="KC26" s="83" t="e">
        <f ca="1"/>
        <v>#NAME?</v>
      </c>
      <c r="KD26" s="37" t="e">
        <f ca="1"/>
        <v>#NAME?</v>
      </c>
      <c r="KE26" s="37" t="e">
        <f ca="1"/>
        <v>#NAME?</v>
      </c>
      <c r="KF26" s="37" t="e">
        <f ca="1"/>
        <v>#NAME?</v>
      </c>
      <c r="KG26" s="37" t="e">
        <f ca="1"/>
        <v>#NAME?</v>
      </c>
      <c r="KH26" s="37" t="e">
        <f ca="1"/>
        <v>#NAME?</v>
      </c>
      <c r="KI26" s="37" t="e">
        <f ca="1"/>
        <v>#NAME?</v>
      </c>
      <c r="KJ26" s="37" t="e">
        <f ca="1"/>
        <v>#NAME?</v>
      </c>
      <c r="KK26" s="84" t="e">
        <f ca="1"/>
        <v>#NAME?</v>
      </c>
      <c r="KO26" s="83" t="e">
        <f ca="1"/>
        <v>#NAME?</v>
      </c>
      <c r="KP26" s="37" t="e">
        <f ca="1"/>
        <v>#NAME?</v>
      </c>
      <c r="KQ26" s="37" t="e">
        <f ca="1"/>
        <v>#NAME?</v>
      </c>
      <c r="KR26" s="37" t="e">
        <f ca="1"/>
        <v>#NAME?</v>
      </c>
      <c r="KS26" s="37" t="e">
        <f ca="1"/>
        <v>#NAME?</v>
      </c>
      <c r="KT26" s="37" t="e">
        <f ca="1"/>
        <v>#NAME?</v>
      </c>
      <c r="KU26" s="37" t="e">
        <f ca="1"/>
        <v>#NAME?</v>
      </c>
      <c r="KV26" s="37" t="e">
        <f ca="1"/>
        <v>#NAME?</v>
      </c>
      <c r="KW26" s="84" t="e">
        <f ca="1"/>
        <v>#NAME?</v>
      </c>
      <c r="LA26" s="83" t="e">
        <f ca="1"/>
        <v>#NAME?</v>
      </c>
      <c r="LB26" s="37" t="e">
        <f ca="1"/>
        <v>#NAME?</v>
      </c>
      <c r="LC26" s="37" t="e">
        <f ca="1"/>
        <v>#NAME?</v>
      </c>
      <c r="LD26" s="37" t="e">
        <f ca="1"/>
        <v>#NAME?</v>
      </c>
      <c r="LE26" s="37" t="e">
        <f ca="1"/>
        <v>#NAME?</v>
      </c>
      <c r="LF26" s="37" t="e">
        <f ca="1"/>
        <v>#NAME?</v>
      </c>
      <c r="LG26" s="37" t="e">
        <f ca="1"/>
        <v>#NAME?</v>
      </c>
      <c r="LH26" s="37" t="e">
        <f ca="1"/>
        <v>#NAME?</v>
      </c>
      <c r="LI26" s="84" t="e">
        <f ca="1"/>
        <v>#NAME?</v>
      </c>
      <c r="LM26" s="83" t="e">
        <f ca="1"/>
        <v>#NAME?</v>
      </c>
      <c r="LN26" s="37" t="e">
        <f ca="1"/>
        <v>#NAME?</v>
      </c>
      <c r="LO26" s="37" t="e">
        <f ca="1"/>
        <v>#NAME?</v>
      </c>
      <c r="LP26" s="37" t="e">
        <f ca="1"/>
        <v>#NAME?</v>
      </c>
      <c r="LQ26" s="37" t="e">
        <f ca="1"/>
        <v>#NAME?</v>
      </c>
      <c r="LR26" s="37" t="e">
        <f ca="1"/>
        <v>#NAME?</v>
      </c>
      <c r="LS26" s="37" t="e">
        <f ca="1"/>
        <v>#NAME?</v>
      </c>
      <c r="LT26" s="37" t="e">
        <f ca="1"/>
        <v>#NAME?</v>
      </c>
      <c r="LU26" s="84" t="e">
        <f ca="1"/>
        <v>#NAME?</v>
      </c>
      <c r="LY26" s="83" t="e">
        <f ca="1"/>
        <v>#NAME?</v>
      </c>
      <c r="LZ26" s="37" t="e">
        <f ca="1"/>
        <v>#NAME?</v>
      </c>
      <c r="MA26" s="37" t="e">
        <f ca="1"/>
        <v>#NAME?</v>
      </c>
      <c r="MB26" s="37" t="e">
        <f ca="1"/>
        <v>#NAME?</v>
      </c>
      <c r="MC26" s="37" t="e">
        <f ca="1"/>
        <v>#NAME?</v>
      </c>
      <c r="MD26" s="37" t="e">
        <f ca="1"/>
        <v>#NAME?</v>
      </c>
      <c r="ME26" s="37" t="e">
        <f ca="1"/>
        <v>#NAME?</v>
      </c>
      <c r="MF26" s="37" t="e">
        <f ca="1"/>
        <v>#NAME?</v>
      </c>
      <c r="MG26" s="84" t="e">
        <f ca="1"/>
        <v>#NAME?</v>
      </c>
      <c r="MK26" s="83" t="e">
        <f ca="1"/>
        <v>#NAME?</v>
      </c>
      <c r="ML26" s="37" t="e">
        <f ca="1"/>
        <v>#NAME?</v>
      </c>
      <c r="MM26" s="37" t="e">
        <f ca="1"/>
        <v>#NAME?</v>
      </c>
      <c r="MN26" s="37" t="e">
        <f ca="1"/>
        <v>#NAME?</v>
      </c>
      <c r="MO26" s="37" t="e">
        <f ca="1"/>
        <v>#NAME?</v>
      </c>
      <c r="MP26" s="37" t="e">
        <f ca="1"/>
        <v>#NAME?</v>
      </c>
      <c r="MQ26" s="37" t="e">
        <f ca="1"/>
        <v>#NAME?</v>
      </c>
      <c r="MR26" s="37" t="e">
        <f ca="1"/>
        <v>#NAME?</v>
      </c>
      <c r="MS26" s="84" t="e">
        <f ca="1"/>
        <v>#NAME?</v>
      </c>
    </row>
    <row r="27" spans="1:358" x14ac:dyDescent="0.3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Y27" s="83" t="e">
        <f ca="1"/>
        <v>#NAME?</v>
      </c>
      <c r="Z27" s="37" t="e">
        <f ca="1"/>
        <v>#NAME?</v>
      </c>
      <c r="AA27" s="37" t="e">
        <f ca="1"/>
        <v>#NAME?</v>
      </c>
      <c r="AB27" s="37" t="e">
        <f ca="1"/>
        <v>#NAME?</v>
      </c>
      <c r="AC27" s="37" t="e">
        <f ca="1"/>
        <v>#NAME?</v>
      </c>
      <c r="AD27" s="37" t="e">
        <f ca="1"/>
        <v>#NAME?</v>
      </c>
      <c r="AE27" s="37" t="e">
        <f ca="1"/>
        <v>#NAME?</v>
      </c>
      <c r="AF27" s="37" t="e">
        <f ca="1"/>
        <v>#NAME?</v>
      </c>
      <c r="AG27" s="84" t="e">
        <f ca="1"/>
        <v>#NAME?</v>
      </c>
      <c r="AK27" s="83" t="e">
        <f ca="1"/>
        <v>#NAME?</v>
      </c>
      <c r="AL27" s="37" t="e">
        <f ca="1"/>
        <v>#NAME?</v>
      </c>
      <c r="AM27" s="37" t="e">
        <f ca="1"/>
        <v>#NAME?</v>
      </c>
      <c r="AN27" s="37" t="e">
        <f ca="1"/>
        <v>#NAME?</v>
      </c>
      <c r="AO27" s="37" t="e">
        <f ca="1"/>
        <v>#NAME?</v>
      </c>
      <c r="AP27" s="37" t="e">
        <f ca="1"/>
        <v>#NAME?</v>
      </c>
      <c r="AQ27" s="37" t="e">
        <f ca="1"/>
        <v>#NAME?</v>
      </c>
      <c r="AR27" s="37" t="e">
        <f ca="1"/>
        <v>#NAME?</v>
      </c>
      <c r="AS27" s="84" t="e">
        <f ca="1"/>
        <v>#NAME?</v>
      </c>
      <c r="AW27" s="83" t="e">
        <f ca="1"/>
        <v>#NAME?</v>
      </c>
      <c r="AX27" s="37" t="e">
        <f ca="1"/>
        <v>#NAME?</v>
      </c>
      <c r="AY27" s="37" t="e">
        <f ca="1"/>
        <v>#NAME?</v>
      </c>
      <c r="AZ27" s="37" t="e">
        <f ca="1"/>
        <v>#NAME?</v>
      </c>
      <c r="BA27" s="37" t="e">
        <f ca="1"/>
        <v>#NAME?</v>
      </c>
      <c r="BB27" s="37" t="e">
        <f ca="1"/>
        <v>#NAME?</v>
      </c>
      <c r="BC27" s="37" t="e">
        <f ca="1"/>
        <v>#NAME?</v>
      </c>
      <c r="BD27" s="37" t="e">
        <f ca="1"/>
        <v>#NAME?</v>
      </c>
      <c r="BE27" s="84" t="e">
        <f ca="1"/>
        <v>#NAME?</v>
      </c>
      <c r="BI27" s="83" t="e">
        <f ca="1"/>
        <v>#NAME?</v>
      </c>
      <c r="BJ27" s="37" t="e">
        <f ca="1"/>
        <v>#NAME?</v>
      </c>
      <c r="BK27" s="37" t="e">
        <f ca="1"/>
        <v>#NAME?</v>
      </c>
      <c r="BL27" s="37" t="e">
        <f ca="1"/>
        <v>#NAME?</v>
      </c>
      <c r="BM27" s="37" t="e">
        <f ca="1"/>
        <v>#NAME?</v>
      </c>
      <c r="BN27" s="37" t="e">
        <f ca="1"/>
        <v>#NAME?</v>
      </c>
      <c r="BO27" s="37" t="e">
        <f ca="1"/>
        <v>#NAME?</v>
      </c>
      <c r="BP27" s="37" t="e">
        <f ca="1"/>
        <v>#NAME?</v>
      </c>
      <c r="BQ27" s="84" t="e">
        <f ca="1"/>
        <v>#NAME?</v>
      </c>
      <c r="BU27" s="83" t="e">
        <f ca="1"/>
        <v>#NAME?</v>
      </c>
      <c r="BV27" s="37" t="e">
        <f ca="1"/>
        <v>#NAME?</v>
      </c>
      <c r="BW27" s="37" t="e">
        <f ca="1"/>
        <v>#NAME?</v>
      </c>
      <c r="BX27" s="37" t="e">
        <f ca="1"/>
        <v>#NAME?</v>
      </c>
      <c r="BY27" s="37" t="e">
        <f ca="1"/>
        <v>#NAME?</v>
      </c>
      <c r="BZ27" s="37" t="e">
        <f ca="1"/>
        <v>#NAME?</v>
      </c>
      <c r="CA27" s="37" t="e">
        <f ca="1"/>
        <v>#NAME?</v>
      </c>
      <c r="CB27" s="37" t="e">
        <f ca="1"/>
        <v>#NAME?</v>
      </c>
      <c r="CC27" s="84" t="e">
        <f ca="1"/>
        <v>#NAME?</v>
      </c>
      <c r="CG27" s="83" t="e">
        <f ca="1"/>
        <v>#NAME?</v>
      </c>
      <c r="CH27" s="37" t="e">
        <f ca="1"/>
        <v>#NAME?</v>
      </c>
      <c r="CI27" s="37" t="e">
        <f ca="1"/>
        <v>#NAME?</v>
      </c>
      <c r="CJ27" s="37" t="e">
        <f ca="1"/>
        <v>#NAME?</v>
      </c>
      <c r="CK27" s="37" t="e">
        <f ca="1"/>
        <v>#NAME?</v>
      </c>
      <c r="CL27" s="37" t="e">
        <f ca="1"/>
        <v>#NAME?</v>
      </c>
      <c r="CM27" s="37" t="e">
        <f ca="1"/>
        <v>#NAME?</v>
      </c>
      <c r="CN27" s="37" t="e">
        <f ca="1"/>
        <v>#NAME?</v>
      </c>
      <c r="CO27" s="84" t="e">
        <f ca="1"/>
        <v>#NAME?</v>
      </c>
      <c r="CS27" s="83" t="e">
        <f ca="1"/>
        <v>#NAME?</v>
      </c>
      <c r="CT27" s="37" t="e">
        <f ca="1"/>
        <v>#NAME?</v>
      </c>
      <c r="CU27" s="37" t="e">
        <f ca="1"/>
        <v>#NAME?</v>
      </c>
      <c r="CV27" s="37" t="e">
        <f ca="1"/>
        <v>#NAME?</v>
      </c>
      <c r="CW27" s="37" t="e">
        <f ca="1"/>
        <v>#NAME?</v>
      </c>
      <c r="CX27" s="37" t="e">
        <f ca="1"/>
        <v>#NAME?</v>
      </c>
      <c r="CY27" s="37" t="e">
        <f ca="1"/>
        <v>#NAME?</v>
      </c>
      <c r="CZ27" s="37" t="e">
        <f ca="1"/>
        <v>#NAME?</v>
      </c>
      <c r="DA27" s="84" t="e">
        <f ca="1"/>
        <v>#NAME?</v>
      </c>
      <c r="DE27" s="83" t="e">
        <f ca="1"/>
        <v>#NAME?</v>
      </c>
      <c r="DF27" s="37" t="e">
        <f ca="1"/>
        <v>#NAME?</v>
      </c>
      <c r="DG27" s="37" t="e">
        <f ca="1"/>
        <v>#NAME?</v>
      </c>
      <c r="DH27" s="37" t="e">
        <f ca="1"/>
        <v>#NAME?</v>
      </c>
      <c r="DI27" s="37" t="e">
        <f ca="1"/>
        <v>#NAME?</v>
      </c>
      <c r="DJ27" s="37" t="e">
        <f ca="1"/>
        <v>#NAME?</v>
      </c>
      <c r="DK27" s="37" t="e">
        <f ca="1"/>
        <v>#NAME?</v>
      </c>
      <c r="DL27" s="37" t="e">
        <f ca="1"/>
        <v>#NAME?</v>
      </c>
      <c r="DM27" s="84" t="e">
        <f ca="1"/>
        <v>#NAME?</v>
      </c>
      <c r="DQ27" s="83" t="e">
        <f ca="1"/>
        <v>#NAME?</v>
      </c>
      <c r="DR27" s="37" t="e">
        <f ca="1"/>
        <v>#NAME?</v>
      </c>
      <c r="DS27" s="37" t="e">
        <f ca="1"/>
        <v>#NAME?</v>
      </c>
      <c r="DT27" s="37" t="e">
        <f ca="1"/>
        <v>#NAME?</v>
      </c>
      <c r="DU27" s="37" t="e">
        <f ca="1"/>
        <v>#NAME?</v>
      </c>
      <c r="DV27" s="37" t="e">
        <f ca="1"/>
        <v>#NAME?</v>
      </c>
      <c r="DW27" s="37" t="e">
        <f ca="1"/>
        <v>#NAME?</v>
      </c>
      <c r="DX27" s="37" t="e">
        <f ca="1"/>
        <v>#NAME?</v>
      </c>
      <c r="DY27" s="84" t="e">
        <f ca="1"/>
        <v>#NAME?</v>
      </c>
      <c r="EC27" s="83" t="e">
        <f ca="1"/>
        <v>#NAME?</v>
      </c>
      <c r="ED27" s="37" t="e">
        <f ca="1"/>
        <v>#NAME?</v>
      </c>
      <c r="EE27" s="37" t="e">
        <f ca="1"/>
        <v>#NAME?</v>
      </c>
      <c r="EF27" s="37" t="e">
        <f ca="1"/>
        <v>#NAME?</v>
      </c>
      <c r="EG27" s="37" t="e">
        <f ca="1"/>
        <v>#NAME?</v>
      </c>
      <c r="EH27" s="37" t="e">
        <f ca="1"/>
        <v>#NAME?</v>
      </c>
      <c r="EI27" s="37" t="e">
        <f ca="1"/>
        <v>#NAME?</v>
      </c>
      <c r="EJ27" s="37" t="e">
        <f ca="1"/>
        <v>#NAME?</v>
      </c>
      <c r="EK27" s="84" t="e">
        <f ca="1"/>
        <v>#NAME?</v>
      </c>
      <c r="EO27" s="83" t="e">
        <f ca="1"/>
        <v>#NAME?</v>
      </c>
      <c r="EP27" s="37" t="e">
        <f ca="1"/>
        <v>#NAME?</v>
      </c>
      <c r="EQ27" s="37" t="e">
        <f ca="1"/>
        <v>#NAME?</v>
      </c>
      <c r="ER27" s="37" t="e">
        <f ca="1"/>
        <v>#NAME?</v>
      </c>
      <c r="ES27" s="37" t="e">
        <f ca="1"/>
        <v>#NAME?</v>
      </c>
      <c r="ET27" s="37" t="e">
        <f ca="1"/>
        <v>#NAME?</v>
      </c>
      <c r="EU27" s="37" t="e">
        <f ca="1"/>
        <v>#NAME?</v>
      </c>
      <c r="EV27" s="37" t="e">
        <f ca="1"/>
        <v>#NAME?</v>
      </c>
      <c r="EW27" s="84" t="e">
        <f ca="1"/>
        <v>#NAME?</v>
      </c>
      <c r="FA27" s="83" t="e">
        <f ca="1"/>
        <v>#NAME?</v>
      </c>
      <c r="FB27" s="37" t="e">
        <f ca="1"/>
        <v>#NAME?</v>
      </c>
      <c r="FC27" s="37" t="e">
        <f ca="1"/>
        <v>#NAME?</v>
      </c>
      <c r="FD27" s="37" t="e">
        <f ca="1"/>
        <v>#NAME?</v>
      </c>
      <c r="FE27" s="37" t="e">
        <f ca="1"/>
        <v>#NAME?</v>
      </c>
      <c r="FF27" s="37" t="e">
        <f ca="1"/>
        <v>#NAME?</v>
      </c>
      <c r="FG27" s="37" t="e">
        <f ca="1"/>
        <v>#NAME?</v>
      </c>
      <c r="FH27" s="37" t="e">
        <f ca="1"/>
        <v>#NAME?</v>
      </c>
      <c r="FI27" s="84" t="e">
        <f ca="1"/>
        <v>#NAME?</v>
      </c>
      <c r="FM27" s="83" t="e">
        <f ca="1"/>
        <v>#NAME?</v>
      </c>
      <c r="FN27" s="37" t="e">
        <f ca="1"/>
        <v>#NAME?</v>
      </c>
      <c r="FO27" s="37" t="e">
        <f ca="1"/>
        <v>#NAME?</v>
      </c>
      <c r="FP27" s="37" t="e">
        <f ca="1"/>
        <v>#NAME?</v>
      </c>
      <c r="FQ27" s="37" t="e">
        <f ca="1"/>
        <v>#NAME?</v>
      </c>
      <c r="FR27" s="37" t="e">
        <f ca="1"/>
        <v>#NAME?</v>
      </c>
      <c r="FS27" s="37" t="e">
        <f ca="1"/>
        <v>#NAME?</v>
      </c>
      <c r="FT27" s="37" t="e">
        <f ca="1"/>
        <v>#NAME?</v>
      </c>
      <c r="FU27" s="84" t="e">
        <f ca="1"/>
        <v>#NAME?</v>
      </c>
      <c r="FY27" s="83" t="e">
        <f ca="1"/>
        <v>#NAME?</v>
      </c>
      <c r="FZ27" s="37" t="e">
        <f ca="1"/>
        <v>#NAME?</v>
      </c>
      <c r="GA27" s="37" t="e">
        <f ca="1"/>
        <v>#NAME?</v>
      </c>
      <c r="GB27" s="37" t="e">
        <f ca="1"/>
        <v>#NAME?</v>
      </c>
      <c r="GC27" s="37" t="e">
        <f ca="1"/>
        <v>#NAME?</v>
      </c>
      <c r="GD27" s="37" t="e">
        <f ca="1"/>
        <v>#NAME?</v>
      </c>
      <c r="GE27" s="37" t="e">
        <f ca="1"/>
        <v>#NAME?</v>
      </c>
      <c r="GF27" s="37" t="e">
        <f ca="1"/>
        <v>#NAME?</v>
      </c>
      <c r="GG27" s="84" t="e">
        <f ca="1"/>
        <v>#NAME?</v>
      </c>
      <c r="GK27" s="83" t="e">
        <f ca="1"/>
        <v>#NAME?</v>
      </c>
      <c r="GL27" s="37" t="e">
        <f ca="1"/>
        <v>#NAME?</v>
      </c>
      <c r="GM27" s="37" t="e">
        <f ca="1"/>
        <v>#NAME?</v>
      </c>
      <c r="GN27" s="37" t="e">
        <f ca="1"/>
        <v>#NAME?</v>
      </c>
      <c r="GO27" s="37" t="e">
        <f ca="1"/>
        <v>#NAME?</v>
      </c>
      <c r="GP27" s="37" t="e">
        <f ca="1"/>
        <v>#NAME?</v>
      </c>
      <c r="GQ27" s="37" t="e">
        <f ca="1"/>
        <v>#NAME?</v>
      </c>
      <c r="GR27" s="37" t="e">
        <f ca="1"/>
        <v>#NAME?</v>
      </c>
      <c r="GS27" s="84" t="e">
        <f ca="1"/>
        <v>#NAME?</v>
      </c>
      <c r="GW27" s="83" t="e">
        <f ca="1"/>
        <v>#NAME?</v>
      </c>
      <c r="GX27" s="37" t="e">
        <f ca="1"/>
        <v>#NAME?</v>
      </c>
      <c r="GY27" s="37" t="e">
        <f ca="1"/>
        <v>#NAME?</v>
      </c>
      <c r="GZ27" s="37" t="e">
        <f ca="1"/>
        <v>#NAME?</v>
      </c>
      <c r="HA27" s="37" t="e">
        <f ca="1"/>
        <v>#NAME?</v>
      </c>
      <c r="HB27" s="37" t="e">
        <f ca="1"/>
        <v>#NAME?</v>
      </c>
      <c r="HC27" s="37" t="e">
        <f ca="1"/>
        <v>#NAME?</v>
      </c>
      <c r="HD27" s="37" t="e">
        <f ca="1"/>
        <v>#NAME?</v>
      </c>
      <c r="HE27" s="84" t="e">
        <f ca="1"/>
        <v>#NAME?</v>
      </c>
      <c r="HI27" s="83" t="e">
        <f ca="1"/>
        <v>#NAME?</v>
      </c>
      <c r="HJ27" s="37" t="e">
        <f ca="1"/>
        <v>#NAME?</v>
      </c>
      <c r="HK27" s="37" t="e">
        <f ca="1"/>
        <v>#NAME?</v>
      </c>
      <c r="HL27" s="37" t="e">
        <f ca="1"/>
        <v>#NAME?</v>
      </c>
      <c r="HM27" s="37" t="e">
        <f ca="1"/>
        <v>#NAME?</v>
      </c>
      <c r="HN27" s="37" t="e">
        <f ca="1"/>
        <v>#NAME?</v>
      </c>
      <c r="HO27" s="37" t="e">
        <f ca="1"/>
        <v>#NAME?</v>
      </c>
      <c r="HP27" s="37" t="e">
        <f ca="1"/>
        <v>#NAME?</v>
      </c>
      <c r="HQ27" s="84" t="e">
        <f ca="1"/>
        <v>#NAME?</v>
      </c>
      <c r="HU27" s="83" t="e">
        <f ca="1"/>
        <v>#NAME?</v>
      </c>
      <c r="HV27" s="37" t="e">
        <f ca="1"/>
        <v>#NAME?</v>
      </c>
      <c r="HW27" s="37" t="e">
        <f ca="1"/>
        <v>#NAME?</v>
      </c>
      <c r="HX27" s="37" t="e">
        <f ca="1"/>
        <v>#NAME?</v>
      </c>
      <c r="HY27" s="37" t="e">
        <f ca="1"/>
        <v>#NAME?</v>
      </c>
      <c r="HZ27" s="37" t="e">
        <f ca="1"/>
        <v>#NAME?</v>
      </c>
      <c r="IA27" s="37" t="e">
        <f ca="1"/>
        <v>#NAME?</v>
      </c>
      <c r="IB27" s="37" t="e">
        <f ca="1"/>
        <v>#NAME?</v>
      </c>
      <c r="IC27" s="84" t="e">
        <f ca="1"/>
        <v>#NAME?</v>
      </c>
      <c r="IG27" s="83" t="e">
        <f ca="1"/>
        <v>#NAME?</v>
      </c>
      <c r="IH27" s="37" t="e">
        <f ca="1"/>
        <v>#NAME?</v>
      </c>
      <c r="II27" s="37" t="e">
        <f ca="1"/>
        <v>#NAME?</v>
      </c>
      <c r="IJ27" s="37" t="e">
        <f ca="1"/>
        <v>#NAME?</v>
      </c>
      <c r="IK27" s="37" t="e">
        <f ca="1"/>
        <v>#NAME?</v>
      </c>
      <c r="IL27" s="37" t="e">
        <f ca="1"/>
        <v>#NAME?</v>
      </c>
      <c r="IM27" s="37" t="e">
        <f ca="1"/>
        <v>#NAME?</v>
      </c>
      <c r="IN27" s="37" t="e">
        <f ca="1"/>
        <v>#NAME?</v>
      </c>
      <c r="IO27" s="84" t="e">
        <f ca="1"/>
        <v>#NAME?</v>
      </c>
      <c r="IS27" s="83" t="e">
        <f ca="1"/>
        <v>#NAME?</v>
      </c>
      <c r="IT27" s="37" t="e">
        <f ca="1"/>
        <v>#NAME?</v>
      </c>
      <c r="IU27" s="37" t="e">
        <f ca="1"/>
        <v>#NAME?</v>
      </c>
      <c r="IV27" s="37" t="e">
        <f ca="1"/>
        <v>#NAME?</v>
      </c>
      <c r="IW27" s="37" t="e">
        <f ca="1"/>
        <v>#NAME?</v>
      </c>
      <c r="IX27" s="37" t="e">
        <f ca="1"/>
        <v>#NAME?</v>
      </c>
      <c r="IY27" s="37" t="e">
        <f ca="1"/>
        <v>#NAME?</v>
      </c>
      <c r="IZ27" s="37" t="e">
        <f ca="1"/>
        <v>#NAME?</v>
      </c>
      <c r="JA27" s="84" t="e">
        <f ca="1"/>
        <v>#NAME?</v>
      </c>
      <c r="JE27" s="83" t="e">
        <f ca="1"/>
        <v>#NAME?</v>
      </c>
      <c r="JF27" s="37" t="e">
        <f ca="1"/>
        <v>#NAME?</v>
      </c>
      <c r="JG27" s="37" t="e">
        <f ca="1"/>
        <v>#NAME?</v>
      </c>
      <c r="JH27" s="37" t="e">
        <f ca="1"/>
        <v>#NAME?</v>
      </c>
      <c r="JI27" s="37" t="e">
        <f ca="1"/>
        <v>#NAME?</v>
      </c>
      <c r="JJ27" s="37" t="e">
        <f ca="1"/>
        <v>#NAME?</v>
      </c>
      <c r="JK27" s="37" t="e">
        <f ca="1"/>
        <v>#NAME?</v>
      </c>
      <c r="JL27" s="37" t="e">
        <f ca="1"/>
        <v>#NAME?</v>
      </c>
      <c r="JM27" s="84" t="e">
        <f ca="1"/>
        <v>#NAME?</v>
      </c>
      <c r="JQ27" s="83" t="e">
        <f ca="1"/>
        <v>#NAME?</v>
      </c>
      <c r="JR27" s="37" t="e">
        <f ca="1"/>
        <v>#NAME?</v>
      </c>
      <c r="JS27" s="37" t="e">
        <f ca="1"/>
        <v>#NAME?</v>
      </c>
      <c r="JT27" s="37" t="e">
        <f ca="1"/>
        <v>#NAME?</v>
      </c>
      <c r="JU27" s="37" t="e">
        <f ca="1"/>
        <v>#NAME?</v>
      </c>
      <c r="JV27" s="37" t="e">
        <f ca="1"/>
        <v>#NAME?</v>
      </c>
      <c r="JW27" s="37" t="e">
        <f ca="1"/>
        <v>#NAME?</v>
      </c>
      <c r="JX27" s="37" t="e">
        <f ca="1"/>
        <v>#NAME?</v>
      </c>
      <c r="JY27" s="84" t="e">
        <f ca="1"/>
        <v>#NAME?</v>
      </c>
      <c r="KC27" s="83" t="e">
        <f ca="1"/>
        <v>#NAME?</v>
      </c>
      <c r="KD27" s="37" t="e">
        <f ca="1"/>
        <v>#NAME?</v>
      </c>
      <c r="KE27" s="37" t="e">
        <f ca="1"/>
        <v>#NAME?</v>
      </c>
      <c r="KF27" s="37" t="e">
        <f ca="1"/>
        <v>#NAME?</v>
      </c>
      <c r="KG27" s="37" t="e">
        <f ca="1"/>
        <v>#NAME?</v>
      </c>
      <c r="KH27" s="37" t="e">
        <f ca="1"/>
        <v>#NAME?</v>
      </c>
      <c r="KI27" s="37" t="e">
        <f ca="1"/>
        <v>#NAME?</v>
      </c>
      <c r="KJ27" s="37" t="e">
        <f ca="1"/>
        <v>#NAME?</v>
      </c>
      <c r="KK27" s="84" t="e">
        <f ca="1"/>
        <v>#NAME?</v>
      </c>
      <c r="KO27" s="83" t="e">
        <f ca="1"/>
        <v>#NAME?</v>
      </c>
      <c r="KP27" s="37" t="e">
        <f ca="1"/>
        <v>#NAME?</v>
      </c>
      <c r="KQ27" s="37" t="e">
        <f ca="1"/>
        <v>#NAME?</v>
      </c>
      <c r="KR27" s="37" t="e">
        <f ca="1"/>
        <v>#NAME?</v>
      </c>
      <c r="KS27" s="37" t="e">
        <f ca="1"/>
        <v>#NAME?</v>
      </c>
      <c r="KT27" s="37" t="e">
        <f ca="1"/>
        <v>#NAME?</v>
      </c>
      <c r="KU27" s="37" t="e">
        <f ca="1"/>
        <v>#NAME?</v>
      </c>
      <c r="KV27" s="37" t="e">
        <f ca="1"/>
        <v>#NAME?</v>
      </c>
      <c r="KW27" s="84" t="e">
        <f ca="1"/>
        <v>#NAME?</v>
      </c>
      <c r="LA27" s="83" t="e">
        <f ca="1"/>
        <v>#NAME?</v>
      </c>
      <c r="LB27" s="37" t="e">
        <f ca="1"/>
        <v>#NAME?</v>
      </c>
      <c r="LC27" s="37" t="e">
        <f ca="1"/>
        <v>#NAME?</v>
      </c>
      <c r="LD27" s="37" t="e">
        <f ca="1"/>
        <v>#NAME?</v>
      </c>
      <c r="LE27" s="37" t="e">
        <f ca="1"/>
        <v>#NAME?</v>
      </c>
      <c r="LF27" s="37" t="e">
        <f ca="1"/>
        <v>#NAME?</v>
      </c>
      <c r="LG27" s="37" t="e">
        <f ca="1"/>
        <v>#NAME?</v>
      </c>
      <c r="LH27" s="37" t="e">
        <f ca="1"/>
        <v>#NAME?</v>
      </c>
      <c r="LI27" s="84" t="e">
        <f ca="1"/>
        <v>#NAME?</v>
      </c>
      <c r="LM27" s="83" t="e">
        <f ca="1"/>
        <v>#NAME?</v>
      </c>
      <c r="LN27" s="37" t="e">
        <f ca="1"/>
        <v>#NAME?</v>
      </c>
      <c r="LO27" s="37" t="e">
        <f ca="1"/>
        <v>#NAME?</v>
      </c>
      <c r="LP27" s="37" t="e">
        <f ca="1"/>
        <v>#NAME?</v>
      </c>
      <c r="LQ27" s="37" t="e">
        <f ca="1"/>
        <v>#NAME?</v>
      </c>
      <c r="LR27" s="37" t="e">
        <f ca="1"/>
        <v>#NAME?</v>
      </c>
      <c r="LS27" s="37" t="e">
        <f ca="1"/>
        <v>#NAME?</v>
      </c>
      <c r="LT27" s="37" t="e">
        <f ca="1"/>
        <v>#NAME?</v>
      </c>
      <c r="LU27" s="84" t="e">
        <f ca="1"/>
        <v>#NAME?</v>
      </c>
      <c r="LY27" s="83" t="e">
        <f ca="1"/>
        <v>#NAME?</v>
      </c>
      <c r="LZ27" s="37" t="e">
        <f ca="1"/>
        <v>#NAME?</v>
      </c>
      <c r="MA27" s="37" t="e">
        <f ca="1"/>
        <v>#NAME?</v>
      </c>
      <c r="MB27" s="37" t="e">
        <f ca="1"/>
        <v>#NAME?</v>
      </c>
      <c r="MC27" s="37" t="e">
        <f ca="1"/>
        <v>#NAME?</v>
      </c>
      <c r="MD27" s="37" t="e">
        <f ca="1"/>
        <v>#NAME?</v>
      </c>
      <c r="ME27" s="37" t="e">
        <f ca="1"/>
        <v>#NAME?</v>
      </c>
      <c r="MF27" s="37" t="e">
        <f ca="1"/>
        <v>#NAME?</v>
      </c>
      <c r="MG27" s="84" t="e">
        <f ca="1"/>
        <v>#NAME?</v>
      </c>
      <c r="MK27" s="83" t="e">
        <f ca="1"/>
        <v>#NAME?</v>
      </c>
      <c r="ML27" s="37" t="e">
        <f ca="1"/>
        <v>#NAME?</v>
      </c>
      <c r="MM27" s="37" t="e">
        <f ca="1"/>
        <v>#NAME?</v>
      </c>
      <c r="MN27" s="37" t="e">
        <f ca="1"/>
        <v>#NAME?</v>
      </c>
      <c r="MO27" s="37" t="e">
        <f ca="1"/>
        <v>#NAME?</v>
      </c>
      <c r="MP27" s="37" t="e">
        <f ca="1"/>
        <v>#NAME?</v>
      </c>
      <c r="MQ27" s="37" t="e">
        <f ca="1"/>
        <v>#NAME?</v>
      </c>
      <c r="MR27" s="37" t="e">
        <f ca="1"/>
        <v>#NAME?</v>
      </c>
      <c r="MS27" s="84" t="e">
        <f ca="1"/>
        <v>#NAME?</v>
      </c>
    </row>
    <row r="28" spans="1:358" x14ac:dyDescent="0.3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Y28" s="85" t="e">
        <f ca="1"/>
        <v>#NAME?</v>
      </c>
      <c r="Z28" s="86" t="e">
        <f ca="1"/>
        <v>#NAME?</v>
      </c>
      <c r="AA28" s="86" t="e">
        <f ca="1"/>
        <v>#NAME?</v>
      </c>
      <c r="AB28" s="86" t="e">
        <f ca="1"/>
        <v>#NAME?</v>
      </c>
      <c r="AC28" s="86" t="e">
        <f ca="1"/>
        <v>#NAME?</v>
      </c>
      <c r="AD28" s="86" t="e">
        <f ca="1"/>
        <v>#NAME?</v>
      </c>
      <c r="AE28" s="86" t="e">
        <f ca="1"/>
        <v>#NAME?</v>
      </c>
      <c r="AF28" s="86" t="e">
        <f ca="1"/>
        <v>#NAME?</v>
      </c>
      <c r="AG28" s="87" t="e">
        <f ca="1"/>
        <v>#NAME?</v>
      </c>
      <c r="AK28" s="85" t="e">
        <f ca="1"/>
        <v>#NAME?</v>
      </c>
      <c r="AL28" s="86" t="e">
        <f ca="1"/>
        <v>#NAME?</v>
      </c>
      <c r="AM28" s="86" t="e">
        <f ca="1"/>
        <v>#NAME?</v>
      </c>
      <c r="AN28" s="86" t="e">
        <f ca="1"/>
        <v>#NAME?</v>
      </c>
      <c r="AO28" s="86" t="e">
        <f ca="1"/>
        <v>#NAME?</v>
      </c>
      <c r="AP28" s="86" t="e">
        <f ca="1"/>
        <v>#NAME?</v>
      </c>
      <c r="AQ28" s="86" t="e">
        <f ca="1"/>
        <v>#NAME?</v>
      </c>
      <c r="AR28" s="86" t="e">
        <f ca="1"/>
        <v>#NAME?</v>
      </c>
      <c r="AS28" s="87" t="e">
        <f ca="1"/>
        <v>#NAME?</v>
      </c>
      <c r="AW28" s="85" t="e">
        <f ca="1"/>
        <v>#NAME?</v>
      </c>
      <c r="AX28" s="86" t="e">
        <f ca="1"/>
        <v>#NAME?</v>
      </c>
      <c r="AY28" s="86" t="e">
        <f ca="1"/>
        <v>#NAME?</v>
      </c>
      <c r="AZ28" s="86" t="e">
        <f ca="1"/>
        <v>#NAME?</v>
      </c>
      <c r="BA28" s="86" t="e">
        <f ca="1"/>
        <v>#NAME?</v>
      </c>
      <c r="BB28" s="86" t="e">
        <f ca="1"/>
        <v>#NAME?</v>
      </c>
      <c r="BC28" s="86" t="e">
        <f ca="1"/>
        <v>#NAME?</v>
      </c>
      <c r="BD28" s="86" t="e">
        <f ca="1"/>
        <v>#NAME?</v>
      </c>
      <c r="BE28" s="87" t="e">
        <f ca="1"/>
        <v>#NAME?</v>
      </c>
      <c r="BI28" s="85" t="e">
        <f ca="1"/>
        <v>#NAME?</v>
      </c>
      <c r="BJ28" s="86" t="e">
        <f ca="1"/>
        <v>#NAME?</v>
      </c>
      <c r="BK28" s="86" t="e">
        <f ca="1"/>
        <v>#NAME?</v>
      </c>
      <c r="BL28" s="86" t="e">
        <f ca="1"/>
        <v>#NAME?</v>
      </c>
      <c r="BM28" s="86" t="e">
        <f ca="1"/>
        <v>#NAME?</v>
      </c>
      <c r="BN28" s="86" t="e">
        <f ca="1"/>
        <v>#NAME?</v>
      </c>
      <c r="BO28" s="86" t="e">
        <f ca="1"/>
        <v>#NAME?</v>
      </c>
      <c r="BP28" s="86" t="e">
        <f ca="1"/>
        <v>#NAME?</v>
      </c>
      <c r="BQ28" s="87" t="e">
        <f ca="1"/>
        <v>#NAME?</v>
      </c>
      <c r="BU28" s="85" t="e">
        <f ca="1"/>
        <v>#NAME?</v>
      </c>
      <c r="BV28" s="86" t="e">
        <f ca="1"/>
        <v>#NAME?</v>
      </c>
      <c r="BW28" s="86" t="e">
        <f ca="1"/>
        <v>#NAME?</v>
      </c>
      <c r="BX28" s="86" t="e">
        <f ca="1"/>
        <v>#NAME?</v>
      </c>
      <c r="BY28" s="86" t="e">
        <f ca="1"/>
        <v>#NAME?</v>
      </c>
      <c r="BZ28" s="86" t="e">
        <f ca="1"/>
        <v>#NAME?</v>
      </c>
      <c r="CA28" s="86" t="e">
        <f ca="1"/>
        <v>#NAME?</v>
      </c>
      <c r="CB28" s="86" t="e">
        <f ca="1"/>
        <v>#NAME?</v>
      </c>
      <c r="CC28" s="87" t="e">
        <f ca="1"/>
        <v>#NAME?</v>
      </c>
      <c r="CG28" s="85" t="e">
        <f ca="1"/>
        <v>#NAME?</v>
      </c>
      <c r="CH28" s="86" t="e">
        <f ca="1"/>
        <v>#NAME?</v>
      </c>
      <c r="CI28" s="86" t="e">
        <f ca="1"/>
        <v>#NAME?</v>
      </c>
      <c r="CJ28" s="86" t="e">
        <f ca="1"/>
        <v>#NAME?</v>
      </c>
      <c r="CK28" s="86" t="e">
        <f ca="1"/>
        <v>#NAME?</v>
      </c>
      <c r="CL28" s="86" t="e">
        <f ca="1"/>
        <v>#NAME?</v>
      </c>
      <c r="CM28" s="86" t="e">
        <f ca="1"/>
        <v>#NAME?</v>
      </c>
      <c r="CN28" s="86" t="e">
        <f ca="1"/>
        <v>#NAME?</v>
      </c>
      <c r="CO28" s="87" t="e">
        <f ca="1"/>
        <v>#NAME?</v>
      </c>
      <c r="CS28" s="85" t="e">
        <f ca="1"/>
        <v>#NAME?</v>
      </c>
      <c r="CT28" s="86" t="e">
        <f ca="1"/>
        <v>#NAME?</v>
      </c>
      <c r="CU28" s="86" t="e">
        <f ca="1"/>
        <v>#NAME?</v>
      </c>
      <c r="CV28" s="86" t="e">
        <f ca="1"/>
        <v>#NAME?</v>
      </c>
      <c r="CW28" s="86" t="e">
        <f ca="1"/>
        <v>#NAME?</v>
      </c>
      <c r="CX28" s="86" t="e">
        <f ca="1"/>
        <v>#NAME?</v>
      </c>
      <c r="CY28" s="86" t="e">
        <f ca="1"/>
        <v>#NAME?</v>
      </c>
      <c r="CZ28" s="86" t="e">
        <f ca="1"/>
        <v>#NAME?</v>
      </c>
      <c r="DA28" s="87" t="e">
        <f ca="1"/>
        <v>#NAME?</v>
      </c>
      <c r="DE28" s="85" t="e">
        <f ca="1"/>
        <v>#NAME?</v>
      </c>
      <c r="DF28" s="86" t="e">
        <f ca="1"/>
        <v>#NAME?</v>
      </c>
      <c r="DG28" s="86" t="e">
        <f ca="1"/>
        <v>#NAME?</v>
      </c>
      <c r="DH28" s="86" t="e">
        <f ca="1"/>
        <v>#NAME?</v>
      </c>
      <c r="DI28" s="86" t="e">
        <f ca="1"/>
        <v>#NAME?</v>
      </c>
      <c r="DJ28" s="86" t="e">
        <f ca="1"/>
        <v>#NAME?</v>
      </c>
      <c r="DK28" s="86" t="e">
        <f ca="1"/>
        <v>#NAME?</v>
      </c>
      <c r="DL28" s="86" t="e">
        <f ca="1"/>
        <v>#NAME?</v>
      </c>
      <c r="DM28" s="87" t="e">
        <f ca="1"/>
        <v>#NAME?</v>
      </c>
      <c r="DQ28" s="85" t="e">
        <f ca="1"/>
        <v>#NAME?</v>
      </c>
      <c r="DR28" s="86" t="e">
        <f ca="1"/>
        <v>#NAME?</v>
      </c>
      <c r="DS28" s="86" t="e">
        <f ca="1"/>
        <v>#NAME?</v>
      </c>
      <c r="DT28" s="86" t="e">
        <f ca="1"/>
        <v>#NAME?</v>
      </c>
      <c r="DU28" s="86" t="e">
        <f ca="1"/>
        <v>#NAME?</v>
      </c>
      <c r="DV28" s="86" t="e">
        <f ca="1"/>
        <v>#NAME?</v>
      </c>
      <c r="DW28" s="86" t="e">
        <f ca="1"/>
        <v>#NAME?</v>
      </c>
      <c r="DX28" s="86" t="e">
        <f ca="1"/>
        <v>#NAME?</v>
      </c>
      <c r="DY28" s="87" t="e">
        <f ca="1"/>
        <v>#NAME?</v>
      </c>
      <c r="EC28" s="85" t="e">
        <f ca="1"/>
        <v>#NAME?</v>
      </c>
      <c r="ED28" s="86" t="e">
        <f ca="1"/>
        <v>#NAME?</v>
      </c>
      <c r="EE28" s="86" t="e">
        <f ca="1"/>
        <v>#NAME?</v>
      </c>
      <c r="EF28" s="86" t="e">
        <f ca="1"/>
        <v>#NAME?</v>
      </c>
      <c r="EG28" s="86" t="e">
        <f ca="1"/>
        <v>#NAME?</v>
      </c>
      <c r="EH28" s="86" t="e">
        <f ca="1"/>
        <v>#NAME?</v>
      </c>
      <c r="EI28" s="86" t="e">
        <f ca="1"/>
        <v>#NAME?</v>
      </c>
      <c r="EJ28" s="86" t="e">
        <f ca="1"/>
        <v>#NAME?</v>
      </c>
      <c r="EK28" s="87" t="e">
        <f ca="1"/>
        <v>#NAME?</v>
      </c>
      <c r="EO28" s="85" t="e">
        <f ca="1"/>
        <v>#NAME?</v>
      </c>
      <c r="EP28" s="86" t="e">
        <f ca="1"/>
        <v>#NAME?</v>
      </c>
      <c r="EQ28" s="86" t="e">
        <f ca="1"/>
        <v>#NAME?</v>
      </c>
      <c r="ER28" s="86" t="e">
        <f ca="1"/>
        <v>#NAME?</v>
      </c>
      <c r="ES28" s="86" t="e">
        <f ca="1"/>
        <v>#NAME?</v>
      </c>
      <c r="ET28" s="86" t="e">
        <f ca="1"/>
        <v>#NAME?</v>
      </c>
      <c r="EU28" s="86" t="e">
        <f ca="1"/>
        <v>#NAME?</v>
      </c>
      <c r="EV28" s="86" t="e">
        <f ca="1"/>
        <v>#NAME?</v>
      </c>
      <c r="EW28" s="87" t="e">
        <f ca="1"/>
        <v>#NAME?</v>
      </c>
      <c r="FA28" s="85" t="e">
        <f ca="1"/>
        <v>#NAME?</v>
      </c>
      <c r="FB28" s="86" t="e">
        <f ca="1"/>
        <v>#NAME?</v>
      </c>
      <c r="FC28" s="86" t="e">
        <f ca="1"/>
        <v>#NAME?</v>
      </c>
      <c r="FD28" s="86" t="e">
        <f ca="1"/>
        <v>#NAME?</v>
      </c>
      <c r="FE28" s="86" t="e">
        <f ca="1"/>
        <v>#NAME?</v>
      </c>
      <c r="FF28" s="86" t="e">
        <f ca="1"/>
        <v>#NAME?</v>
      </c>
      <c r="FG28" s="86" t="e">
        <f ca="1"/>
        <v>#NAME?</v>
      </c>
      <c r="FH28" s="86" t="e">
        <f ca="1"/>
        <v>#NAME?</v>
      </c>
      <c r="FI28" s="87" t="e">
        <f ca="1"/>
        <v>#NAME?</v>
      </c>
      <c r="FM28" s="85" t="e">
        <f ca="1"/>
        <v>#NAME?</v>
      </c>
      <c r="FN28" s="86" t="e">
        <f ca="1"/>
        <v>#NAME?</v>
      </c>
      <c r="FO28" s="86" t="e">
        <f ca="1"/>
        <v>#NAME?</v>
      </c>
      <c r="FP28" s="86" t="e">
        <f ca="1"/>
        <v>#NAME?</v>
      </c>
      <c r="FQ28" s="86" t="e">
        <f ca="1"/>
        <v>#NAME?</v>
      </c>
      <c r="FR28" s="86" t="e">
        <f ca="1"/>
        <v>#NAME?</v>
      </c>
      <c r="FS28" s="86" t="e">
        <f ca="1"/>
        <v>#NAME?</v>
      </c>
      <c r="FT28" s="86" t="e">
        <f ca="1"/>
        <v>#NAME?</v>
      </c>
      <c r="FU28" s="87" t="e">
        <f ca="1"/>
        <v>#NAME?</v>
      </c>
      <c r="FY28" s="85" t="e">
        <f ca="1"/>
        <v>#NAME?</v>
      </c>
      <c r="FZ28" s="86" t="e">
        <f ca="1"/>
        <v>#NAME?</v>
      </c>
      <c r="GA28" s="86" t="e">
        <f ca="1"/>
        <v>#NAME?</v>
      </c>
      <c r="GB28" s="86" t="e">
        <f ca="1"/>
        <v>#NAME?</v>
      </c>
      <c r="GC28" s="86" t="e">
        <f ca="1"/>
        <v>#NAME?</v>
      </c>
      <c r="GD28" s="86" t="e">
        <f ca="1"/>
        <v>#NAME?</v>
      </c>
      <c r="GE28" s="86" t="e">
        <f ca="1"/>
        <v>#NAME?</v>
      </c>
      <c r="GF28" s="86" t="e">
        <f ca="1"/>
        <v>#NAME?</v>
      </c>
      <c r="GG28" s="87" t="e">
        <f ca="1"/>
        <v>#NAME?</v>
      </c>
      <c r="GK28" s="85" t="e">
        <f ca="1"/>
        <v>#NAME?</v>
      </c>
      <c r="GL28" s="86" t="e">
        <f ca="1"/>
        <v>#NAME?</v>
      </c>
      <c r="GM28" s="86" t="e">
        <f ca="1"/>
        <v>#NAME?</v>
      </c>
      <c r="GN28" s="86" t="e">
        <f ca="1"/>
        <v>#NAME?</v>
      </c>
      <c r="GO28" s="86" t="e">
        <f ca="1"/>
        <v>#NAME?</v>
      </c>
      <c r="GP28" s="86" t="e">
        <f ca="1"/>
        <v>#NAME?</v>
      </c>
      <c r="GQ28" s="86" t="e">
        <f ca="1"/>
        <v>#NAME?</v>
      </c>
      <c r="GR28" s="86" t="e">
        <f ca="1"/>
        <v>#NAME?</v>
      </c>
      <c r="GS28" s="87" t="e">
        <f ca="1"/>
        <v>#NAME?</v>
      </c>
      <c r="GW28" s="85" t="e">
        <f ca="1"/>
        <v>#NAME?</v>
      </c>
      <c r="GX28" s="86" t="e">
        <f ca="1"/>
        <v>#NAME?</v>
      </c>
      <c r="GY28" s="86" t="e">
        <f ca="1"/>
        <v>#NAME?</v>
      </c>
      <c r="GZ28" s="86" t="e">
        <f ca="1"/>
        <v>#NAME?</v>
      </c>
      <c r="HA28" s="86" t="e">
        <f ca="1"/>
        <v>#NAME?</v>
      </c>
      <c r="HB28" s="86" t="e">
        <f ca="1"/>
        <v>#NAME?</v>
      </c>
      <c r="HC28" s="86" t="e">
        <f ca="1"/>
        <v>#NAME?</v>
      </c>
      <c r="HD28" s="86" t="e">
        <f ca="1"/>
        <v>#NAME?</v>
      </c>
      <c r="HE28" s="87" t="e">
        <f ca="1"/>
        <v>#NAME?</v>
      </c>
      <c r="HI28" s="85" t="e">
        <f ca="1"/>
        <v>#NAME?</v>
      </c>
      <c r="HJ28" s="86" t="e">
        <f ca="1"/>
        <v>#NAME?</v>
      </c>
      <c r="HK28" s="86" t="e">
        <f ca="1"/>
        <v>#NAME?</v>
      </c>
      <c r="HL28" s="86" t="e">
        <f ca="1"/>
        <v>#NAME?</v>
      </c>
      <c r="HM28" s="86" t="e">
        <f ca="1"/>
        <v>#NAME?</v>
      </c>
      <c r="HN28" s="86" t="e">
        <f ca="1"/>
        <v>#NAME?</v>
      </c>
      <c r="HO28" s="86" t="e">
        <f ca="1"/>
        <v>#NAME?</v>
      </c>
      <c r="HP28" s="86" t="e">
        <f ca="1"/>
        <v>#NAME?</v>
      </c>
      <c r="HQ28" s="87" t="e">
        <f ca="1"/>
        <v>#NAME?</v>
      </c>
      <c r="HU28" s="85" t="e">
        <f ca="1"/>
        <v>#NAME?</v>
      </c>
      <c r="HV28" s="86" t="e">
        <f ca="1"/>
        <v>#NAME?</v>
      </c>
      <c r="HW28" s="86" t="e">
        <f ca="1"/>
        <v>#NAME?</v>
      </c>
      <c r="HX28" s="86" t="e">
        <f ca="1"/>
        <v>#NAME?</v>
      </c>
      <c r="HY28" s="86" t="e">
        <f ca="1"/>
        <v>#NAME?</v>
      </c>
      <c r="HZ28" s="86" t="e">
        <f ca="1"/>
        <v>#NAME?</v>
      </c>
      <c r="IA28" s="86" t="e">
        <f ca="1"/>
        <v>#NAME?</v>
      </c>
      <c r="IB28" s="86" t="e">
        <f ca="1"/>
        <v>#NAME?</v>
      </c>
      <c r="IC28" s="87" t="e">
        <f ca="1"/>
        <v>#NAME?</v>
      </c>
      <c r="IG28" s="85" t="e">
        <f ca="1"/>
        <v>#NAME?</v>
      </c>
      <c r="IH28" s="86" t="e">
        <f ca="1"/>
        <v>#NAME?</v>
      </c>
      <c r="II28" s="86" t="e">
        <f ca="1"/>
        <v>#NAME?</v>
      </c>
      <c r="IJ28" s="86" t="e">
        <f ca="1"/>
        <v>#NAME?</v>
      </c>
      <c r="IK28" s="86" t="e">
        <f ca="1"/>
        <v>#NAME?</v>
      </c>
      <c r="IL28" s="86" t="e">
        <f ca="1"/>
        <v>#NAME?</v>
      </c>
      <c r="IM28" s="86" t="e">
        <f ca="1"/>
        <v>#NAME?</v>
      </c>
      <c r="IN28" s="86" t="e">
        <f ca="1"/>
        <v>#NAME?</v>
      </c>
      <c r="IO28" s="87" t="e">
        <f ca="1"/>
        <v>#NAME?</v>
      </c>
      <c r="IS28" s="85" t="e">
        <f ca="1"/>
        <v>#NAME?</v>
      </c>
      <c r="IT28" s="86" t="e">
        <f ca="1"/>
        <v>#NAME?</v>
      </c>
      <c r="IU28" s="86" t="e">
        <f ca="1"/>
        <v>#NAME?</v>
      </c>
      <c r="IV28" s="86" t="e">
        <f ca="1"/>
        <v>#NAME?</v>
      </c>
      <c r="IW28" s="86" t="e">
        <f ca="1"/>
        <v>#NAME?</v>
      </c>
      <c r="IX28" s="86" t="e">
        <f ca="1"/>
        <v>#NAME?</v>
      </c>
      <c r="IY28" s="86" t="e">
        <f ca="1"/>
        <v>#NAME?</v>
      </c>
      <c r="IZ28" s="86" t="e">
        <f ca="1"/>
        <v>#NAME?</v>
      </c>
      <c r="JA28" s="87" t="e">
        <f ca="1"/>
        <v>#NAME?</v>
      </c>
      <c r="JE28" s="85" t="e">
        <f ca="1"/>
        <v>#NAME?</v>
      </c>
      <c r="JF28" s="86" t="e">
        <f ca="1"/>
        <v>#NAME?</v>
      </c>
      <c r="JG28" s="86" t="e">
        <f ca="1"/>
        <v>#NAME?</v>
      </c>
      <c r="JH28" s="86" t="e">
        <f ca="1"/>
        <v>#NAME?</v>
      </c>
      <c r="JI28" s="86" t="e">
        <f ca="1"/>
        <v>#NAME?</v>
      </c>
      <c r="JJ28" s="86" t="e">
        <f ca="1"/>
        <v>#NAME?</v>
      </c>
      <c r="JK28" s="86" t="e">
        <f ca="1"/>
        <v>#NAME?</v>
      </c>
      <c r="JL28" s="86" t="e">
        <f ca="1"/>
        <v>#NAME?</v>
      </c>
      <c r="JM28" s="87" t="e">
        <f ca="1"/>
        <v>#NAME?</v>
      </c>
      <c r="JQ28" s="85" t="e">
        <f ca="1"/>
        <v>#NAME?</v>
      </c>
      <c r="JR28" s="86" t="e">
        <f ca="1"/>
        <v>#NAME?</v>
      </c>
      <c r="JS28" s="86" t="e">
        <f ca="1"/>
        <v>#NAME?</v>
      </c>
      <c r="JT28" s="86" t="e">
        <f ca="1"/>
        <v>#NAME?</v>
      </c>
      <c r="JU28" s="86" t="e">
        <f ca="1"/>
        <v>#NAME?</v>
      </c>
      <c r="JV28" s="86" t="e">
        <f ca="1"/>
        <v>#NAME?</v>
      </c>
      <c r="JW28" s="86" t="e">
        <f ca="1"/>
        <v>#NAME?</v>
      </c>
      <c r="JX28" s="86" t="e">
        <f ca="1"/>
        <v>#NAME?</v>
      </c>
      <c r="JY28" s="87" t="e">
        <f ca="1"/>
        <v>#NAME?</v>
      </c>
      <c r="KC28" s="85" t="e">
        <f ca="1"/>
        <v>#NAME?</v>
      </c>
      <c r="KD28" s="86" t="e">
        <f ca="1"/>
        <v>#NAME?</v>
      </c>
      <c r="KE28" s="86" t="e">
        <f ca="1"/>
        <v>#NAME?</v>
      </c>
      <c r="KF28" s="86" t="e">
        <f ca="1"/>
        <v>#NAME?</v>
      </c>
      <c r="KG28" s="86" t="e">
        <f ca="1"/>
        <v>#NAME?</v>
      </c>
      <c r="KH28" s="86" t="e">
        <f ca="1"/>
        <v>#NAME?</v>
      </c>
      <c r="KI28" s="86" t="e">
        <f ca="1"/>
        <v>#NAME?</v>
      </c>
      <c r="KJ28" s="86" t="e">
        <f ca="1"/>
        <v>#NAME?</v>
      </c>
      <c r="KK28" s="87" t="e">
        <f ca="1"/>
        <v>#NAME?</v>
      </c>
      <c r="KO28" s="85" t="e">
        <f ca="1"/>
        <v>#NAME?</v>
      </c>
      <c r="KP28" s="86" t="e">
        <f ca="1"/>
        <v>#NAME?</v>
      </c>
      <c r="KQ28" s="86" t="e">
        <f ca="1"/>
        <v>#NAME?</v>
      </c>
      <c r="KR28" s="86" t="e">
        <f ca="1"/>
        <v>#NAME?</v>
      </c>
      <c r="KS28" s="86" t="e">
        <f ca="1"/>
        <v>#NAME?</v>
      </c>
      <c r="KT28" s="86" t="e">
        <f ca="1"/>
        <v>#NAME?</v>
      </c>
      <c r="KU28" s="86" t="e">
        <f ca="1"/>
        <v>#NAME?</v>
      </c>
      <c r="KV28" s="86" t="e">
        <f ca="1"/>
        <v>#NAME?</v>
      </c>
      <c r="KW28" s="87" t="e">
        <f ca="1"/>
        <v>#NAME?</v>
      </c>
      <c r="LA28" s="85" t="e">
        <f ca="1"/>
        <v>#NAME?</v>
      </c>
      <c r="LB28" s="86" t="e">
        <f ca="1"/>
        <v>#NAME?</v>
      </c>
      <c r="LC28" s="86" t="e">
        <f ca="1"/>
        <v>#NAME?</v>
      </c>
      <c r="LD28" s="86" t="e">
        <f ca="1"/>
        <v>#NAME?</v>
      </c>
      <c r="LE28" s="86" t="e">
        <f ca="1"/>
        <v>#NAME?</v>
      </c>
      <c r="LF28" s="86" t="e">
        <f ca="1"/>
        <v>#NAME?</v>
      </c>
      <c r="LG28" s="86" t="e">
        <f ca="1"/>
        <v>#NAME?</v>
      </c>
      <c r="LH28" s="86" t="e">
        <f ca="1"/>
        <v>#NAME?</v>
      </c>
      <c r="LI28" s="87" t="e">
        <f ca="1"/>
        <v>#NAME?</v>
      </c>
      <c r="LM28" s="85" t="e">
        <f ca="1"/>
        <v>#NAME?</v>
      </c>
      <c r="LN28" s="86" t="e">
        <f ca="1"/>
        <v>#NAME?</v>
      </c>
      <c r="LO28" s="86" t="e">
        <f ca="1"/>
        <v>#NAME?</v>
      </c>
      <c r="LP28" s="86" t="e">
        <f ca="1"/>
        <v>#NAME?</v>
      </c>
      <c r="LQ28" s="86" t="e">
        <f ca="1"/>
        <v>#NAME?</v>
      </c>
      <c r="LR28" s="86" t="e">
        <f ca="1"/>
        <v>#NAME?</v>
      </c>
      <c r="LS28" s="86" t="e">
        <f ca="1"/>
        <v>#NAME?</v>
      </c>
      <c r="LT28" s="86" t="e">
        <f ca="1"/>
        <v>#NAME?</v>
      </c>
      <c r="LU28" s="87" t="e">
        <f ca="1"/>
        <v>#NAME?</v>
      </c>
      <c r="LY28" s="85" t="e">
        <f ca="1"/>
        <v>#NAME?</v>
      </c>
      <c r="LZ28" s="86" t="e">
        <f ca="1"/>
        <v>#NAME?</v>
      </c>
      <c r="MA28" s="86" t="e">
        <f ca="1"/>
        <v>#NAME?</v>
      </c>
      <c r="MB28" s="86" t="e">
        <f ca="1"/>
        <v>#NAME?</v>
      </c>
      <c r="MC28" s="86" t="e">
        <f ca="1"/>
        <v>#NAME?</v>
      </c>
      <c r="MD28" s="86" t="e">
        <f ca="1"/>
        <v>#NAME?</v>
      </c>
      <c r="ME28" s="86" t="e">
        <f ca="1"/>
        <v>#NAME?</v>
      </c>
      <c r="MF28" s="86" t="e">
        <f ca="1"/>
        <v>#NAME?</v>
      </c>
      <c r="MG28" s="87" t="e">
        <f ca="1"/>
        <v>#NAME?</v>
      </c>
      <c r="MK28" s="85" t="e">
        <f ca="1"/>
        <v>#NAME?</v>
      </c>
      <c r="ML28" s="86" t="e">
        <f ca="1"/>
        <v>#NAME?</v>
      </c>
      <c r="MM28" s="86" t="e">
        <f ca="1"/>
        <v>#NAME?</v>
      </c>
      <c r="MN28" s="86" t="e">
        <f ca="1"/>
        <v>#NAME?</v>
      </c>
      <c r="MO28" s="86" t="e">
        <f ca="1"/>
        <v>#NAME?</v>
      </c>
      <c r="MP28" s="86" t="e">
        <f ca="1"/>
        <v>#NAME?</v>
      </c>
      <c r="MQ28" s="86" t="e">
        <f ca="1"/>
        <v>#NAME?</v>
      </c>
      <c r="MR28" s="86" t="e">
        <f ca="1"/>
        <v>#NAME?</v>
      </c>
      <c r="MS28" s="87" t="e">
        <f ca="1"/>
        <v>#NAME?</v>
      </c>
    </row>
    <row r="29" spans="1:358" x14ac:dyDescent="0.3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</row>
    <row r="30" spans="1:358" x14ac:dyDescent="0.3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X30" t="s">
        <v>470</v>
      </c>
      <c r="AJ30" t="s">
        <v>470</v>
      </c>
      <c r="AV30" t="s">
        <v>470</v>
      </c>
      <c r="BH30" t="s">
        <v>470</v>
      </c>
      <c r="BT30" t="s">
        <v>470</v>
      </c>
      <c r="CF30" t="s">
        <v>470</v>
      </c>
      <c r="CR30" t="s">
        <v>470</v>
      </c>
      <c r="DD30" t="s">
        <v>470</v>
      </c>
      <c r="DP30" t="s">
        <v>470</v>
      </c>
      <c r="EB30" t="s">
        <v>470</v>
      </c>
      <c r="EN30" t="s">
        <v>470</v>
      </c>
      <c r="EZ30" t="s">
        <v>470</v>
      </c>
      <c r="FL30" t="s">
        <v>470</v>
      </c>
      <c r="FX30" t="s">
        <v>470</v>
      </c>
      <c r="GJ30" t="s">
        <v>470</v>
      </c>
      <c r="GV30" t="s">
        <v>470</v>
      </c>
      <c r="HH30" t="s">
        <v>470</v>
      </c>
      <c r="HT30" t="s">
        <v>470</v>
      </c>
      <c r="IF30" t="s">
        <v>470</v>
      </c>
      <c r="IR30" t="s">
        <v>470</v>
      </c>
      <c r="JD30" t="s">
        <v>470</v>
      </c>
      <c r="JP30" t="s">
        <v>470</v>
      </c>
      <c r="KB30" t="s">
        <v>470</v>
      </c>
      <c r="KN30" t="s">
        <v>470</v>
      </c>
      <c r="KZ30" t="s">
        <v>470</v>
      </c>
      <c r="LL30" t="s">
        <v>470</v>
      </c>
      <c r="LX30" t="s">
        <v>470</v>
      </c>
      <c r="MJ30" t="s">
        <v>470</v>
      </c>
    </row>
    <row r="31" spans="1:358" x14ac:dyDescent="0.3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T31" s="32" t="s">
        <v>525</v>
      </c>
      <c r="U31" s="32"/>
      <c r="V31" s="32" t="s">
        <v>525</v>
      </c>
    </row>
    <row r="32" spans="1:358" x14ac:dyDescent="0.3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T32" s="32" t="s">
        <v>373</v>
      </c>
      <c r="V32" s="32" t="s">
        <v>373</v>
      </c>
      <c r="Y32" s="32">
        <v>1</v>
      </c>
      <c r="Z32" s="32">
        <f t="shared" ref="Z32:AG32" si="0">Y32+1</f>
        <v>2</v>
      </c>
      <c r="AA32" s="32">
        <f t="shared" si="0"/>
        <v>3</v>
      </c>
      <c r="AB32" s="32">
        <f t="shared" si="0"/>
        <v>4</v>
      </c>
      <c r="AC32" s="32">
        <f t="shared" si="0"/>
        <v>5</v>
      </c>
      <c r="AD32" s="32">
        <f t="shared" si="0"/>
        <v>6</v>
      </c>
      <c r="AE32" s="32">
        <f t="shared" si="0"/>
        <v>7</v>
      </c>
      <c r="AF32" s="32">
        <f t="shared" si="0"/>
        <v>8</v>
      </c>
      <c r="AG32" s="32">
        <f t="shared" si="0"/>
        <v>9</v>
      </c>
      <c r="AH32" s="32" t="s">
        <v>373</v>
      </c>
      <c r="AK32" s="32">
        <v>1</v>
      </c>
      <c r="AL32" s="32">
        <f>AK32+1</f>
        <v>2</v>
      </c>
      <c r="AM32" s="32">
        <f t="shared" ref="AM32:AS32" si="1">AL32+1</f>
        <v>3</v>
      </c>
      <c r="AN32" s="32">
        <f t="shared" si="1"/>
        <v>4</v>
      </c>
      <c r="AO32" s="32">
        <f t="shared" si="1"/>
        <v>5</v>
      </c>
      <c r="AP32" s="32">
        <f t="shared" si="1"/>
        <v>6</v>
      </c>
      <c r="AQ32" s="32">
        <f t="shared" si="1"/>
        <v>7</v>
      </c>
      <c r="AR32" s="32">
        <f t="shared" si="1"/>
        <v>8</v>
      </c>
      <c r="AS32" s="32">
        <f t="shared" si="1"/>
        <v>9</v>
      </c>
      <c r="AT32" s="32" t="s">
        <v>373</v>
      </c>
      <c r="AW32" s="32">
        <v>1</v>
      </c>
      <c r="AX32" s="32">
        <f>AW32+1</f>
        <v>2</v>
      </c>
      <c r="AY32" s="32">
        <f t="shared" ref="AY32:BE32" si="2">AX32+1</f>
        <v>3</v>
      </c>
      <c r="AZ32" s="32">
        <f t="shared" si="2"/>
        <v>4</v>
      </c>
      <c r="BA32" s="32">
        <f t="shared" si="2"/>
        <v>5</v>
      </c>
      <c r="BB32" s="32">
        <f t="shared" si="2"/>
        <v>6</v>
      </c>
      <c r="BC32" s="32">
        <f t="shared" si="2"/>
        <v>7</v>
      </c>
      <c r="BD32" s="32">
        <f t="shared" si="2"/>
        <v>8</v>
      </c>
      <c r="BE32" s="32">
        <f t="shared" si="2"/>
        <v>9</v>
      </c>
      <c r="BF32" s="32" t="s">
        <v>373</v>
      </c>
      <c r="BI32" s="32">
        <v>1</v>
      </c>
      <c r="BJ32" s="32">
        <f>BI32+1</f>
        <v>2</v>
      </c>
      <c r="BK32" s="32">
        <f t="shared" ref="BK32:BQ32" si="3">BJ32+1</f>
        <v>3</v>
      </c>
      <c r="BL32" s="32">
        <f t="shared" si="3"/>
        <v>4</v>
      </c>
      <c r="BM32" s="32">
        <f t="shared" si="3"/>
        <v>5</v>
      </c>
      <c r="BN32" s="32">
        <f t="shared" si="3"/>
        <v>6</v>
      </c>
      <c r="BO32" s="32">
        <f t="shared" si="3"/>
        <v>7</v>
      </c>
      <c r="BP32" s="32">
        <f t="shared" si="3"/>
        <v>8</v>
      </c>
      <c r="BQ32" s="32">
        <f t="shared" si="3"/>
        <v>9</v>
      </c>
      <c r="BR32" s="32" t="s">
        <v>373</v>
      </c>
      <c r="BU32" s="32">
        <v>1</v>
      </c>
      <c r="BV32" s="32">
        <f>BU32+1</f>
        <v>2</v>
      </c>
      <c r="BW32" s="32">
        <f t="shared" ref="BW32:CC32" si="4">BV32+1</f>
        <v>3</v>
      </c>
      <c r="BX32" s="32">
        <f t="shared" si="4"/>
        <v>4</v>
      </c>
      <c r="BY32" s="32">
        <f t="shared" si="4"/>
        <v>5</v>
      </c>
      <c r="BZ32" s="32">
        <f t="shared" si="4"/>
        <v>6</v>
      </c>
      <c r="CA32" s="32">
        <f t="shared" si="4"/>
        <v>7</v>
      </c>
      <c r="CB32" s="32">
        <f t="shared" si="4"/>
        <v>8</v>
      </c>
      <c r="CC32" s="32">
        <f t="shared" si="4"/>
        <v>9</v>
      </c>
      <c r="CD32" s="32" t="s">
        <v>373</v>
      </c>
      <c r="CG32" s="32">
        <v>1</v>
      </c>
      <c r="CH32" s="32">
        <f>CG32+1</f>
        <v>2</v>
      </c>
      <c r="CI32" s="32">
        <f t="shared" ref="CI32:CO32" si="5">CH32+1</f>
        <v>3</v>
      </c>
      <c r="CJ32" s="32">
        <f t="shared" si="5"/>
        <v>4</v>
      </c>
      <c r="CK32" s="32">
        <f t="shared" si="5"/>
        <v>5</v>
      </c>
      <c r="CL32" s="32">
        <f t="shared" si="5"/>
        <v>6</v>
      </c>
      <c r="CM32" s="32">
        <f t="shared" si="5"/>
        <v>7</v>
      </c>
      <c r="CN32" s="32">
        <f t="shared" si="5"/>
        <v>8</v>
      </c>
      <c r="CO32" s="32">
        <f t="shared" si="5"/>
        <v>9</v>
      </c>
      <c r="CP32" s="32" t="s">
        <v>373</v>
      </c>
      <c r="CS32" s="32">
        <v>1</v>
      </c>
      <c r="CT32" s="32">
        <f>CS32+1</f>
        <v>2</v>
      </c>
      <c r="CU32" s="32">
        <f t="shared" ref="CU32:DA32" si="6">CT32+1</f>
        <v>3</v>
      </c>
      <c r="CV32" s="32">
        <f t="shared" si="6"/>
        <v>4</v>
      </c>
      <c r="CW32" s="32">
        <f t="shared" si="6"/>
        <v>5</v>
      </c>
      <c r="CX32" s="32">
        <f t="shared" si="6"/>
        <v>6</v>
      </c>
      <c r="CY32" s="32">
        <f t="shared" si="6"/>
        <v>7</v>
      </c>
      <c r="CZ32" s="32">
        <f t="shared" si="6"/>
        <v>8</v>
      </c>
      <c r="DA32" s="32">
        <f t="shared" si="6"/>
        <v>9</v>
      </c>
      <c r="DB32" s="32" t="s">
        <v>373</v>
      </c>
      <c r="DE32" s="32">
        <v>1</v>
      </c>
      <c r="DF32" s="32">
        <f>DE32+1</f>
        <v>2</v>
      </c>
      <c r="DG32" s="32">
        <f t="shared" ref="DG32:DM32" si="7">DF32+1</f>
        <v>3</v>
      </c>
      <c r="DH32" s="32">
        <f t="shared" si="7"/>
        <v>4</v>
      </c>
      <c r="DI32" s="32">
        <f t="shared" si="7"/>
        <v>5</v>
      </c>
      <c r="DJ32" s="32">
        <f t="shared" si="7"/>
        <v>6</v>
      </c>
      <c r="DK32" s="32">
        <f t="shared" si="7"/>
        <v>7</v>
      </c>
      <c r="DL32" s="32">
        <f t="shared" si="7"/>
        <v>8</v>
      </c>
      <c r="DM32" s="32">
        <f t="shared" si="7"/>
        <v>9</v>
      </c>
      <c r="DN32" s="32" t="s">
        <v>373</v>
      </c>
      <c r="DQ32" s="32">
        <v>1</v>
      </c>
      <c r="DR32" s="32">
        <f>DQ32+1</f>
        <v>2</v>
      </c>
      <c r="DS32" s="32">
        <f t="shared" ref="DS32:DY32" si="8">DR32+1</f>
        <v>3</v>
      </c>
      <c r="DT32" s="32">
        <f t="shared" si="8"/>
        <v>4</v>
      </c>
      <c r="DU32" s="32">
        <f t="shared" si="8"/>
        <v>5</v>
      </c>
      <c r="DV32" s="32">
        <f t="shared" si="8"/>
        <v>6</v>
      </c>
      <c r="DW32" s="32">
        <f t="shared" si="8"/>
        <v>7</v>
      </c>
      <c r="DX32" s="32">
        <f t="shared" si="8"/>
        <v>8</v>
      </c>
      <c r="DY32" s="32">
        <f t="shared" si="8"/>
        <v>9</v>
      </c>
      <c r="DZ32" s="32" t="s">
        <v>373</v>
      </c>
      <c r="EC32" s="32">
        <v>1</v>
      </c>
      <c r="ED32" s="32">
        <f>EC32+1</f>
        <v>2</v>
      </c>
      <c r="EE32" s="32">
        <f t="shared" ref="EE32:EK32" si="9">ED32+1</f>
        <v>3</v>
      </c>
      <c r="EF32" s="32">
        <f t="shared" si="9"/>
        <v>4</v>
      </c>
      <c r="EG32" s="32">
        <f t="shared" si="9"/>
        <v>5</v>
      </c>
      <c r="EH32" s="32">
        <f t="shared" si="9"/>
        <v>6</v>
      </c>
      <c r="EI32" s="32">
        <f t="shared" si="9"/>
        <v>7</v>
      </c>
      <c r="EJ32" s="32">
        <f t="shared" si="9"/>
        <v>8</v>
      </c>
      <c r="EK32" s="32">
        <f t="shared" si="9"/>
        <v>9</v>
      </c>
      <c r="EL32" s="32" t="s">
        <v>373</v>
      </c>
      <c r="EO32" s="32">
        <v>1</v>
      </c>
      <c r="EP32" s="32">
        <f>EO32+1</f>
        <v>2</v>
      </c>
      <c r="EQ32" s="32">
        <f t="shared" ref="EQ32:EW32" si="10">EP32+1</f>
        <v>3</v>
      </c>
      <c r="ER32" s="32">
        <f t="shared" si="10"/>
        <v>4</v>
      </c>
      <c r="ES32" s="32">
        <f t="shared" si="10"/>
        <v>5</v>
      </c>
      <c r="ET32" s="32">
        <f t="shared" si="10"/>
        <v>6</v>
      </c>
      <c r="EU32" s="32">
        <f t="shared" si="10"/>
        <v>7</v>
      </c>
      <c r="EV32" s="32">
        <f t="shared" si="10"/>
        <v>8</v>
      </c>
      <c r="EW32" s="32">
        <f t="shared" si="10"/>
        <v>9</v>
      </c>
      <c r="EX32" s="32" t="s">
        <v>373</v>
      </c>
      <c r="FA32" s="32">
        <v>1</v>
      </c>
      <c r="FB32" s="32">
        <f>FA32+1</f>
        <v>2</v>
      </c>
      <c r="FC32" s="32">
        <f t="shared" ref="FC32:FI32" si="11">FB32+1</f>
        <v>3</v>
      </c>
      <c r="FD32" s="32">
        <f t="shared" si="11"/>
        <v>4</v>
      </c>
      <c r="FE32" s="32">
        <f t="shared" si="11"/>
        <v>5</v>
      </c>
      <c r="FF32" s="32">
        <f t="shared" si="11"/>
        <v>6</v>
      </c>
      <c r="FG32" s="32">
        <f t="shared" si="11"/>
        <v>7</v>
      </c>
      <c r="FH32" s="32">
        <f t="shared" si="11"/>
        <v>8</v>
      </c>
      <c r="FI32" s="32">
        <f t="shared" si="11"/>
        <v>9</v>
      </c>
      <c r="FJ32" s="32" t="s">
        <v>373</v>
      </c>
      <c r="FM32" s="32">
        <v>1</v>
      </c>
      <c r="FN32" s="32">
        <f>FM32+1</f>
        <v>2</v>
      </c>
      <c r="FO32" s="32">
        <f t="shared" ref="FO32:FU32" si="12">FN32+1</f>
        <v>3</v>
      </c>
      <c r="FP32" s="32">
        <f t="shared" si="12"/>
        <v>4</v>
      </c>
      <c r="FQ32" s="32">
        <f t="shared" si="12"/>
        <v>5</v>
      </c>
      <c r="FR32" s="32">
        <f t="shared" si="12"/>
        <v>6</v>
      </c>
      <c r="FS32" s="32">
        <f t="shared" si="12"/>
        <v>7</v>
      </c>
      <c r="FT32" s="32">
        <f t="shared" si="12"/>
        <v>8</v>
      </c>
      <c r="FU32" s="32">
        <f t="shared" si="12"/>
        <v>9</v>
      </c>
      <c r="FV32" s="32" t="s">
        <v>373</v>
      </c>
      <c r="FY32" s="32">
        <v>1</v>
      </c>
      <c r="FZ32" s="32">
        <f>FY32+1</f>
        <v>2</v>
      </c>
      <c r="GA32" s="32">
        <f t="shared" ref="GA32:GG32" si="13">FZ32+1</f>
        <v>3</v>
      </c>
      <c r="GB32" s="32">
        <f t="shared" si="13"/>
        <v>4</v>
      </c>
      <c r="GC32" s="32">
        <f t="shared" si="13"/>
        <v>5</v>
      </c>
      <c r="GD32" s="32">
        <f t="shared" si="13"/>
        <v>6</v>
      </c>
      <c r="GE32" s="32">
        <f t="shared" si="13"/>
        <v>7</v>
      </c>
      <c r="GF32" s="32">
        <f t="shared" si="13"/>
        <v>8</v>
      </c>
      <c r="GG32" s="32">
        <f t="shared" si="13"/>
        <v>9</v>
      </c>
      <c r="GH32" s="32" t="s">
        <v>373</v>
      </c>
      <c r="GK32" s="32">
        <v>1</v>
      </c>
      <c r="GL32" s="32">
        <f>GK32+1</f>
        <v>2</v>
      </c>
      <c r="GM32" s="32">
        <f t="shared" ref="GM32:GS32" si="14">GL32+1</f>
        <v>3</v>
      </c>
      <c r="GN32" s="32">
        <f t="shared" si="14"/>
        <v>4</v>
      </c>
      <c r="GO32" s="32">
        <f t="shared" si="14"/>
        <v>5</v>
      </c>
      <c r="GP32" s="32">
        <f t="shared" si="14"/>
        <v>6</v>
      </c>
      <c r="GQ32" s="32">
        <f t="shared" si="14"/>
        <v>7</v>
      </c>
      <c r="GR32" s="32">
        <f t="shared" si="14"/>
        <v>8</v>
      </c>
      <c r="GS32" s="32">
        <f t="shared" si="14"/>
        <v>9</v>
      </c>
      <c r="GT32" s="32" t="s">
        <v>373</v>
      </c>
      <c r="GW32" s="32">
        <v>1</v>
      </c>
      <c r="GX32" s="32">
        <f>GW32+1</f>
        <v>2</v>
      </c>
      <c r="GY32" s="32">
        <f t="shared" ref="GY32:HE32" si="15">GX32+1</f>
        <v>3</v>
      </c>
      <c r="GZ32" s="32">
        <f t="shared" si="15"/>
        <v>4</v>
      </c>
      <c r="HA32" s="32">
        <f t="shared" si="15"/>
        <v>5</v>
      </c>
      <c r="HB32" s="32">
        <f t="shared" si="15"/>
        <v>6</v>
      </c>
      <c r="HC32" s="32">
        <f t="shared" si="15"/>
        <v>7</v>
      </c>
      <c r="HD32" s="32">
        <f t="shared" si="15"/>
        <v>8</v>
      </c>
      <c r="HE32" s="32">
        <f t="shared" si="15"/>
        <v>9</v>
      </c>
      <c r="HF32" s="32" t="s">
        <v>373</v>
      </c>
      <c r="HI32" s="32">
        <v>1</v>
      </c>
      <c r="HJ32" s="32">
        <f>HI32+1</f>
        <v>2</v>
      </c>
      <c r="HK32" s="32">
        <f t="shared" ref="HK32:HQ32" si="16">HJ32+1</f>
        <v>3</v>
      </c>
      <c r="HL32" s="32">
        <f t="shared" si="16"/>
        <v>4</v>
      </c>
      <c r="HM32" s="32">
        <f t="shared" si="16"/>
        <v>5</v>
      </c>
      <c r="HN32" s="32">
        <f t="shared" si="16"/>
        <v>6</v>
      </c>
      <c r="HO32" s="32">
        <f t="shared" si="16"/>
        <v>7</v>
      </c>
      <c r="HP32" s="32">
        <f t="shared" si="16"/>
        <v>8</v>
      </c>
      <c r="HQ32" s="32">
        <f t="shared" si="16"/>
        <v>9</v>
      </c>
      <c r="HR32" s="32" t="s">
        <v>373</v>
      </c>
      <c r="HU32" s="32">
        <v>1</v>
      </c>
      <c r="HV32" s="32">
        <f>HU32+1</f>
        <v>2</v>
      </c>
      <c r="HW32" s="32">
        <f t="shared" ref="HW32:IC32" si="17">HV32+1</f>
        <v>3</v>
      </c>
      <c r="HX32" s="32">
        <f t="shared" si="17"/>
        <v>4</v>
      </c>
      <c r="HY32" s="32">
        <f t="shared" si="17"/>
        <v>5</v>
      </c>
      <c r="HZ32" s="32">
        <f t="shared" si="17"/>
        <v>6</v>
      </c>
      <c r="IA32" s="32">
        <f t="shared" si="17"/>
        <v>7</v>
      </c>
      <c r="IB32" s="32">
        <f t="shared" si="17"/>
        <v>8</v>
      </c>
      <c r="IC32" s="32">
        <f t="shared" si="17"/>
        <v>9</v>
      </c>
      <c r="ID32" s="32" t="s">
        <v>373</v>
      </c>
      <c r="IG32" s="32">
        <v>1</v>
      </c>
      <c r="IH32" s="32">
        <f>IG32+1</f>
        <v>2</v>
      </c>
      <c r="II32" s="32">
        <f t="shared" ref="II32:IO32" si="18">IH32+1</f>
        <v>3</v>
      </c>
      <c r="IJ32" s="32">
        <f t="shared" si="18"/>
        <v>4</v>
      </c>
      <c r="IK32" s="32">
        <f t="shared" si="18"/>
        <v>5</v>
      </c>
      <c r="IL32" s="32">
        <f t="shared" si="18"/>
        <v>6</v>
      </c>
      <c r="IM32" s="32">
        <f t="shared" si="18"/>
        <v>7</v>
      </c>
      <c r="IN32" s="32">
        <f t="shared" si="18"/>
        <v>8</v>
      </c>
      <c r="IO32" s="32">
        <f t="shared" si="18"/>
        <v>9</v>
      </c>
      <c r="IP32" s="32" t="s">
        <v>373</v>
      </c>
      <c r="IS32" s="32">
        <v>1</v>
      </c>
      <c r="IT32" s="32">
        <f>IS32+1</f>
        <v>2</v>
      </c>
      <c r="IU32" s="32">
        <f t="shared" ref="IU32:JA32" si="19">IT32+1</f>
        <v>3</v>
      </c>
      <c r="IV32" s="32">
        <f t="shared" si="19"/>
        <v>4</v>
      </c>
      <c r="IW32" s="32">
        <f t="shared" si="19"/>
        <v>5</v>
      </c>
      <c r="IX32" s="32">
        <f t="shared" si="19"/>
        <v>6</v>
      </c>
      <c r="IY32" s="32">
        <f t="shared" si="19"/>
        <v>7</v>
      </c>
      <c r="IZ32" s="32">
        <f t="shared" si="19"/>
        <v>8</v>
      </c>
      <c r="JA32" s="32">
        <f t="shared" si="19"/>
        <v>9</v>
      </c>
      <c r="JB32" s="32" t="s">
        <v>373</v>
      </c>
      <c r="JE32" s="32">
        <v>1</v>
      </c>
      <c r="JF32" s="32">
        <f>JE32+1</f>
        <v>2</v>
      </c>
      <c r="JG32" s="32">
        <f t="shared" ref="JG32:JM32" si="20">JF32+1</f>
        <v>3</v>
      </c>
      <c r="JH32" s="32">
        <f t="shared" si="20"/>
        <v>4</v>
      </c>
      <c r="JI32" s="32">
        <f t="shared" si="20"/>
        <v>5</v>
      </c>
      <c r="JJ32" s="32">
        <f t="shared" si="20"/>
        <v>6</v>
      </c>
      <c r="JK32" s="32">
        <f t="shared" si="20"/>
        <v>7</v>
      </c>
      <c r="JL32" s="32">
        <f t="shared" si="20"/>
        <v>8</v>
      </c>
      <c r="JM32" s="32">
        <f t="shared" si="20"/>
        <v>9</v>
      </c>
      <c r="JN32" s="32" t="s">
        <v>373</v>
      </c>
      <c r="JQ32" s="32">
        <v>1</v>
      </c>
      <c r="JR32" s="32">
        <f>JQ32+1</f>
        <v>2</v>
      </c>
      <c r="JS32" s="32">
        <f t="shared" ref="JS32:JY32" si="21">JR32+1</f>
        <v>3</v>
      </c>
      <c r="JT32" s="32">
        <f t="shared" si="21"/>
        <v>4</v>
      </c>
      <c r="JU32" s="32">
        <f t="shared" si="21"/>
        <v>5</v>
      </c>
      <c r="JV32" s="32">
        <f t="shared" si="21"/>
        <v>6</v>
      </c>
      <c r="JW32" s="32">
        <f t="shared" si="21"/>
        <v>7</v>
      </c>
      <c r="JX32" s="32">
        <f t="shared" si="21"/>
        <v>8</v>
      </c>
      <c r="JY32" s="32">
        <f t="shared" si="21"/>
        <v>9</v>
      </c>
      <c r="JZ32" s="32" t="s">
        <v>373</v>
      </c>
      <c r="KC32" s="32">
        <v>1</v>
      </c>
      <c r="KD32" s="32">
        <f>KC32+1</f>
        <v>2</v>
      </c>
      <c r="KE32" s="32">
        <f t="shared" ref="KE32:KK32" si="22">KD32+1</f>
        <v>3</v>
      </c>
      <c r="KF32" s="32">
        <f t="shared" si="22"/>
        <v>4</v>
      </c>
      <c r="KG32" s="32">
        <f t="shared" si="22"/>
        <v>5</v>
      </c>
      <c r="KH32" s="32">
        <f t="shared" si="22"/>
        <v>6</v>
      </c>
      <c r="KI32" s="32">
        <f t="shared" si="22"/>
        <v>7</v>
      </c>
      <c r="KJ32" s="32">
        <f t="shared" si="22"/>
        <v>8</v>
      </c>
      <c r="KK32" s="32">
        <f t="shared" si="22"/>
        <v>9</v>
      </c>
      <c r="KL32" s="32" t="s">
        <v>373</v>
      </c>
      <c r="KO32" s="32">
        <v>1</v>
      </c>
      <c r="KP32" s="32">
        <f>KO32+1</f>
        <v>2</v>
      </c>
      <c r="KQ32" s="32">
        <f t="shared" ref="KQ32:KW32" si="23">KP32+1</f>
        <v>3</v>
      </c>
      <c r="KR32" s="32">
        <f t="shared" si="23"/>
        <v>4</v>
      </c>
      <c r="KS32" s="32">
        <f t="shared" si="23"/>
        <v>5</v>
      </c>
      <c r="KT32" s="32">
        <f t="shared" si="23"/>
        <v>6</v>
      </c>
      <c r="KU32" s="32">
        <f t="shared" si="23"/>
        <v>7</v>
      </c>
      <c r="KV32" s="32">
        <f t="shared" si="23"/>
        <v>8</v>
      </c>
      <c r="KW32" s="32">
        <f t="shared" si="23"/>
        <v>9</v>
      </c>
      <c r="KX32" s="32" t="s">
        <v>373</v>
      </c>
      <c r="LA32" s="32">
        <v>1</v>
      </c>
      <c r="LB32" s="32">
        <f>LA32+1</f>
        <v>2</v>
      </c>
      <c r="LC32" s="32">
        <f t="shared" ref="LC32:LI32" si="24">LB32+1</f>
        <v>3</v>
      </c>
      <c r="LD32" s="32">
        <f t="shared" si="24"/>
        <v>4</v>
      </c>
      <c r="LE32" s="32">
        <f t="shared" si="24"/>
        <v>5</v>
      </c>
      <c r="LF32" s="32">
        <f t="shared" si="24"/>
        <v>6</v>
      </c>
      <c r="LG32" s="32">
        <f t="shared" si="24"/>
        <v>7</v>
      </c>
      <c r="LH32" s="32">
        <f t="shared" si="24"/>
        <v>8</v>
      </c>
      <c r="LI32" s="32">
        <f t="shared" si="24"/>
        <v>9</v>
      </c>
      <c r="LJ32" s="32" t="s">
        <v>373</v>
      </c>
      <c r="LM32" s="32">
        <v>1</v>
      </c>
      <c r="LN32" s="32">
        <f>LM32+1</f>
        <v>2</v>
      </c>
      <c r="LO32" s="32">
        <f t="shared" ref="LO32:LU32" si="25">LN32+1</f>
        <v>3</v>
      </c>
      <c r="LP32" s="32">
        <f t="shared" si="25"/>
        <v>4</v>
      </c>
      <c r="LQ32" s="32">
        <f t="shared" si="25"/>
        <v>5</v>
      </c>
      <c r="LR32" s="32">
        <f t="shared" si="25"/>
        <v>6</v>
      </c>
      <c r="LS32" s="32">
        <f t="shared" si="25"/>
        <v>7</v>
      </c>
      <c r="LT32" s="32">
        <f t="shared" si="25"/>
        <v>8</v>
      </c>
      <c r="LU32" s="32">
        <f t="shared" si="25"/>
        <v>9</v>
      </c>
      <c r="LV32" s="32" t="s">
        <v>373</v>
      </c>
      <c r="LY32" s="32">
        <v>1</v>
      </c>
      <c r="LZ32" s="32">
        <f>LY32+1</f>
        <v>2</v>
      </c>
      <c r="MA32" s="32">
        <f t="shared" ref="MA32:MG32" si="26">LZ32+1</f>
        <v>3</v>
      </c>
      <c r="MB32" s="32">
        <f t="shared" si="26"/>
        <v>4</v>
      </c>
      <c r="MC32" s="32">
        <f t="shared" si="26"/>
        <v>5</v>
      </c>
      <c r="MD32" s="32">
        <f t="shared" si="26"/>
        <v>6</v>
      </c>
      <c r="ME32" s="32">
        <f t="shared" si="26"/>
        <v>7</v>
      </c>
      <c r="MF32" s="32">
        <f t="shared" si="26"/>
        <v>8</v>
      </c>
      <c r="MG32" s="32">
        <f t="shared" si="26"/>
        <v>9</v>
      </c>
      <c r="MH32" s="32" t="s">
        <v>373</v>
      </c>
      <c r="MK32" s="32">
        <v>1</v>
      </c>
      <c r="ML32" s="32">
        <f>MK32+1</f>
        <v>2</v>
      </c>
      <c r="MM32" s="32">
        <f t="shared" ref="MM32:MS32" si="27">ML32+1</f>
        <v>3</v>
      </c>
      <c r="MN32" s="32">
        <f t="shared" si="27"/>
        <v>4</v>
      </c>
      <c r="MO32" s="32">
        <f t="shared" si="27"/>
        <v>5</v>
      </c>
      <c r="MP32" s="32">
        <f t="shared" si="27"/>
        <v>6</v>
      </c>
      <c r="MQ32" s="32">
        <f t="shared" si="27"/>
        <v>7</v>
      </c>
      <c r="MR32" s="32">
        <f t="shared" si="27"/>
        <v>8</v>
      </c>
      <c r="MS32" s="32">
        <f t="shared" si="27"/>
        <v>9</v>
      </c>
      <c r="MT32" s="32" t="s">
        <v>373</v>
      </c>
    </row>
    <row r="33" spans="1:358" x14ac:dyDescent="0.3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S33">
        <v>1</v>
      </c>
      <c r="T33" s="207" t="e">
        <f ca="1">RSquare($B$4:$J$123,S33)</f>
        <v>#NAME?</v>
      </c>
      <c r="V33" s="204" t="e">
        <f t="array" aca="1" ref="V33:V41" ca="1">1-1/DIAG(MINVERSE(M6:U14))</f>
        <v>#NAME?</v>
      </c>
      <c r="X33" t="str">
        <f>X6</f>
        <v>Expect</v>
      </c>
      <c r="Y33" s="201" t="e">
        <f t="shared" ref="Y33:AG33" ca="1" si="28">IF(Y$19&gt;0,Y20*SQRT(Y$19),0)</f>
        <v>#NAME?</v>
      </c>
      <c r="Z33" s="202" t="e">
        <f t="shared" ca="1" si="28"/>
        <v>#NAME?</v>
      </c>
      <c r="AA33" s="202" t="e">
        <f t="shared" ca="1" si="28"/>
        <v>#NAME?</v>
      </c>
      <c r="AB33" s="202" t="e">
        <f t="shared" ca="1" si="28"/>
        <v>#NAME?</v>
      </c>
      <c r="AC33" s="202" t="e">
        <f t="shared" ca="1" si="28"/>
        <v>#NAME?</v>
      </c>
      <c r="AD33" s="202" t="e">
        <f t="shared" ca="1" si="28"/>
        <v>#NAME?</v>
      </c>
      <c r="AE33" s="202" t="e">
        <f t="shared" ca="1" si="28"/>
        <v>#NAME?</v>
      </c>
      <c r="AF33" s="202" t="e">
        <f t="shared" ca="1" si="28"/>
        <v>#NAME?</v>
      </c>
      <c r="AG33" s="203" t="e">
        <f t="shared" ca="1" si="28"/>
        <v>#NAME?</v>
      </c>
      <c r="AH33" s="204" t="e">
        <f ca="1">SUMSQ(Y33:AG33)</f>
        <v>#NAME?</v>
      </c>
      <c r="AJ33" t="str">
        <f>AJ6</f>
        <v>Expect</v>
      </c>
      <c r="AK33" s="201" t="e">
        <f ca="1">IF(AK$19&gt;0,AK20*SQRT(AK$19),0)</f>
        <v>#NAME?</v>
      </c>
      <c r="AL33" s="202" t="e">
        <f t="shared" ref="AL33:AS33" ca="1" si="29">IF(AL$19&gt;0,AL20*SQRT(AL$19),0)</f>
        <v>#NAME?</v>
      </c>
      <c r="AM33" s="202" t="e">
        <f t="shared" ca="1" si="29"/>
        <v>#NAME?</v>
      </c>
      <c r="AN33" s="202" t="e">
        <f t="shared" ca="1" si="29"/>
        <v>#NAME?</v>
      </c>
      <c r="AO33" s="202" t="e">
        <f t="shared" ca="1" si="29"/>
        <v>#NAME?</v>
      </c>
      <c r="AP33" s="202" t="e">
        <f t="shared" ca="1" si="29"/>
        <v>#NAME?</v>
      </c>
      <c r="AQ33" s="202" t="e">
        <f t="shared" ca="1" si="29"/>
        <v>#NAME?</v>
      </c>
      <c r="AR33" s="202" t="e">
        <f t="shared" ca="1" si="29"/>
        <v>#NAME?</v>
      </c>
      <c r="AS33" s="203" t="e">
        <f t="shared" ca="1" si="29"/>
        <v>#NAME?</v>
      </c>
      <c r="AT33" s="204" t="e">
        <f ca="1">SUMSQ(AK33:AS33)</f>
        <v>#NAME?</v>
      </c>
      <c r="AV33" t="str">
        <f>AV6</f>
        <v>Expect</v>
      </c>
      <c r="AW33" s="201" t="e">
        <f ca="1">IF(AW$19&gt;0,AW20*SQRT(AW$19),0)</f>
        <v>#NAME?</v>
      </c>
      <c r="AX33" s="202" t="e">
        <f t="shared" ref="AX33:BE33" ca="1" si="30">IF(AX$19&gt;0,AX20*SQRT(AX$19),0)</f>
        <v>#NAME?</v>
      </c>
      <c r="AY33" s="202" t="e">
        <f t="shared" ca="1" si="30"/>
        <v>#NAME?</v>
      </c>
      <c r="AZ33" s="202" t="e">
        <f t="shared" ca="1" si="30"/>
        <v>#NAME?</v>
      </c>
      <c r="BA33" s="202" t="e">
        <f t="shared" ca="1" si="30"/>
        <v>#NAME?</v>
      </c>
      <c r="BB33" s="202" t="e">
        <f t="shared" ca="1" si="30"/>
        <v>#NAME?</v>
      </c>
      <c r="BC33" s="202" t="e">
        <f t="shared" ca="1" si="30"/>
        <v>#NAME?</v>
      </c>
      <c r="BD33" s="202" t="e">
        <f t="shared" ca="1" si="30"/>
        <v>#NAME?</v>
      </c>
      <c r="BE33" s="203" t="e">
        <f t="shared" ca="1" si="30"/>
        <v>#NAME?</v>
      </c>
      <c r="BF33" s="204" t="e">
        <f ca="1">SUMSQ(AW33:BE33)</f>
        <v>#NAME?</v>
      </c>
      <c r="BH33" t="str">
        <f>BH6</f>
        <v>Expect</v>
      </c>
      <c r="BI33" s="201" t="e">
        <f ca="1">IF(BI$19&gt;0,BI20*SQRT(BI$19),0)</f>
        <v>#NAME?</v>
      </c>
      <c r="BJ33" s="202" t="e">
        <f t="shared" ref="BJ33:BQ33" ca="1" si="31">IF(BJ$19&gt;0,BJ20*SQRT(BJ$19),0)</f>
        <v>#NAME?</v>
      </c>
      <c r="BK33" s="202" t="e">
        <f t="shared" ca="1" si="31"/>
        <v>#NAME?</v>
      </c>
      <c r="BL33" s="202" t="e">
        <f t="shared" ca="1" si="31"/>
        <v>#NAME?</v>
      </c>
      <c r="BM33" s="202" t="e">
        <f t="shared" ca="1" si="31"/>
        <v>#NAME?</v>
      </c>
      <c r="BN33" s="202" t="e">
        <f t="shared" ca="1" si="31"/>
        <v>#NAME?</v>
      </c>
      <c r="BO33" s="202" t="e">
        <f t="shared" ca="1" si="31"/>
        <v>#NAME?</v>
      </c>
      <c r="BP33" s="202" t="e">
        <f t="shared" ca="1" si="31"/>
        <v>#NAME?</v>
      </c>
      <c r="BQ33" s="203" t="e">
        <f t="shared" ca="1" si="31"/>
        <v>#NAME?</v>
      </c>
      <c r="BR33" s="204" t="e">
        <f ca="1">SUMSQ(BI33:BQ33)</f>
        <v>#NAME?</v>
      </c>
      <c r="BT33" t="str">
        <f>BT6</f>
        <v>Expect</v>
      </c>
      <c r="BU33" s="201" t="e">
        <f ca="1">IF(BU$19&gt;0,BU20*SQRT(BU$19),0)</f>
        <v>#NAME?</v>
      </c>
      <c r="BV33" s="202" t="e">
        <f t="shared" ref="BV33:CC33" ca="1" si="32">IF(BV$19&gt;0,BV20*SQRT(BV$19),0)</f>
        <v>#NAME?</v>
      </c>
      <c r="BW33" s="202" t="e">
        <f t="shared" ca="1" si="32"/>
        <v>#NAME?</v>
      </c>
      <c r="BX33" s="202" t="e">
        <f t="shared" ca="1" si="32"/>
        <v>#NAME?</v>
      </c>
      <c r="BY33" s="202" t="e">
        <f t="shared" ca="1" si="32"/>
        <v>#NAME?</v>
      </c>
      <c r="BZ33" s="202" t="e">
        <f t="shared" ca="1" si="32"/>
        <v>#NAME?</v>
      </c>
      <c r="CA33" s="202" t="e">
        <f t="shared" ca="1" si="32"/>
        <v>#NAME?</v>
      </c>
      <c r="CB33" s="202" t="e">
        <f t="shared" ca="1" si="32"/>
        <v>#NAME?</v>
      </c>
      <c r="CC33" s="203" t="e">
        <f t="shared" ca="1" si="32"/>
        <v>#NAME?</v>
      </c>
      <c r="CD33" s="204" t="e">
        <f ca="1">SUMSQ(BU33:CC33)</f>
        <v>#NAME?</v>
      </c>
      <c r="CF33" t="str">
        <f>CF6</f>
        <v>Expect</v>
      </c>
      <c r="CG33" s="201" t="e">
        <f ca="1">IF(CG$19&gt;0,CG20*SQRT(CG$19),0)</f>
        <v>#NAME?</v>
      </c>
      <c r="CH33" s="202" t="e">
        <f t="shared" ref="CH33:CO33" ca="1" si="33">IF(CH$19&gt;0,CH20*SQRT(CH$19),0)</f>
        <v>#NAME?</v>
      </c>
      <c r="CI33" s="202" t="e">
        <f t="shared" ca="1" si="33"/>
        <v>#NAME?</v>
      </c>
      <c r="CJ33" s="202" t="e">
        <f t="shared" ca="1" si="33"/>
        <v>#NAME?</v>
      </c>
      <c r="CK33" s="202" t="e">
        <f t="shared" ca="1" si="33"/>
        <v>#NAME?</v>
      </c>
      <c r="CL33" s="202" t="e">
        <f t="shared" ca="1" si="33"/>
        <v>#NAME?</v>
      </c>
      <c r="CM33" s="202" t="e">
        <f t="shared" ca="1" si="33"/>
        <v>#NAME?</v>
      </c>
      <c r="CN33" s="202" t="e">
        <f t="shared" ca="1" si="33"/>
        <v>#NAME?</v>
      </c>
      <c r="CO33" s="203" t="e">
        <f t="shared" ca="1" si="33"/>
        <v>#NAME?</v>
      </c>
      <c r="CP33" s="204" t="e">
        <f ca="1">SUMSQ(CG33:CO33)</f>
        <v>#NAME?</v>
      </c>
      <c r="CR33" t="str">
        <f>CR6</f>
        <v>Expect</v>
      </c>
      <c r="CS33" s="201" t="e">
        <f ca="1">IF(CS$19&gt;0,CS20*SQRT(CS$19),0)</f>
        <v>#NAME?</v>
      </c>
      <c r="CT33" s="202" t="e">
        <f t="shared" ref="CT33:DA33" ca="1" si="34">IF(CT$19&gt;0,CT20*SQRT(CT$19),0)</f>
        <v>#NAME?</v>
      </c>
      <c r="CU33" s="202" t="e">
        <f t="shared" ca="1" si="34"/>
        <v>#NAME?</v>
      </c>
      <c r="CV33" s="202" t="e">
        <f t="shared" ca="1" si="34"/>
        <v>#NAME?</v>
      </c>
      <c r="CW33" s="202" t="e">
        <f t="shared" ca="1" si="34"/>
        <v>#NAME?</v>
      </c>
      <c r="CX33" s="202" t="e">
        <f t="shared" ca="1" si="34"/>
        <v>#NAME?</v>
      </c>
      <c r="CY33" s="202" t="e">
        <f t="shared" ca="1" si="34"/>
        <v>#NAME?</v>
      </c>
      <c r="CZ33" s="202" t="e">
        <f t="shared" ca="1" si="34"/>
        <v>#NAME?</v>
      </c>
      <c r="DA33" s="203" t="e">
        <f t="shared" ca="1" si="34"/>
        <v>#NAME?</v>
      </c>
      <c r="DB33" s="204" t="e">
        <f ca="1">SUMSQ(CS33:DA33)</f>
        <v>#NAME?</v>
      </c>
      <c r="DD33" t="str">
        <f>DD6</f>
        <v>Expect</v>
      </c>
      <c r="DE33" s="201" t="e">
        <f ca="1">IF(DE$19&gt;0,DE20*SQRT(DE$19),0)</f>
        <v>#NAME?</v>
      </c>
      <c r="DF33" s="202" t="e">
        <f t="shared" ref="DF33:DM33" ca="1" si="35">IF(DF$19&gt;0,DF20*SQRT(DF$19),0)</f>
        <v>#NAME?</v>
      </c>
      <c r="DG33" s="202" t="e">
        <f t="shared" ca="1" si="35"/>
        <v>#NAME?</v>
      </c>
      <c r="DH33" s="202" t="e">
        <f t="shared" ca="1" si="35"/>
        <v>#NAME?</v>
      </c>
      <c r="DI33" s="202" t="e">
        <f t="shared" ca="1" si="35"/>
        <v>#NAME?</v>
      </c>
      <c r="DJ33" s="202" t="e">
        <f t="shared" ca="1" si="35"/>
        <v>#NAME?</v>
      </c>
      <c r="DK33" s="202" t="e">
        <f t="shared" ca="1" si="35"/>
        <v>#NAME?</v>
      </c>
      <c r="DL33" s="202" t="e">
        <f t="shared" ca="1" si="35"/>
        <v>#NAME?</v>
      </c>
      <c r="DM33" s="203" t="e">
        <f t="shared" ca="1" si="35"/>
        <v>#NAME?</v>
      </c>
      <c r="DN33" s="204" t="e">
        <f ca="1">SUMSQ(DE33:DM33)</f>
        <v>#NAME?</v>
      </c>
      <c r="DP33" t="str">
        <f>DP6</f>
        <v>Expect</v>
      </c>
      <c r="DQ33" s="201" t="e">
        <f ca="1">IF(DQ$19&gt;0,DQ20*SQRT(DQ$19),0)</f>
        <v>#NAME?</v>
      </c>
      <c r="DR33" s="202" t="e">
        <f t="shared" ref="DR33:DY33" ca="1" si="36">IF(DR$19&gt;0,DR20*SQRT(DR$19),0)</f>
        <v>#NAME?</v>
      </c>
      <c r="DS33" s="202" t="e">
        <f t="shared" ca="1" si="36"/>
        <v>#NAME?</v>
      </c>
      <c r="DT33" s="202" t="e">
        <f t="shared" ca="1" si="36"/>
        <v>#NAME?</v>
      </c>
      <c r="DU33" s="202" t="e">
        <f t="shared" ca="1" si="36"/>
        <v>#NAME?</v>
      </c>
      <c r="DV33" s="202" t="e">
        <f t="shared" ca="1" si="36"/>
        <v>#NAME?</v>
      </c>
      <c r="DW33" s="202" t="e">
        <f t="shared" ca="1" si="36"/>
        <v>#NAME?</v>
      </c>
      <c r="DX33" s="202" t="e">
        <f t="shared" ca="1" si="36"/>
        <v>#NAME?</v>
      </c>
      <c r="DY33" s="203" t="e">
        <f t="shared" ca="1" si="36"/>
        <v>#NAME?</v>
      </c>
      <c r="DZ33" s="204" t="e">
        <f ca="1">SUMSQ(DQ33:DY33)</f>
        <v>#NAME?</v>
      </c>
      <c r="EB33" t="str">
        <f>EB6</f>
        <v>Expect</v>
      </c>
      <c r="EC33" s="201" t="e">
        <f ca="1">IF(EC$19&gt;0,EC20*SQRT(EC$19),0)</f>
        <v>#NAME?</v>
      </c>
      <c r="ED33" s="202" t="e">
        <f t="shared" ref="ED33:EK33" ca="1" si="37">IF(ED$19&gt;0,ED20*SQRT(ED$19),0)</f>
        <v>#NAME?</v>
      </c>
      <c r="EE33" s="202" t="e">
        <f t="shared" ca="1" si="37"/>
        <v>#NAME?</v>
      </c>
      <c r="EF33" s="202" t="e">
        <f t="shared" ca="1" si="37"/>
        <v>#NAME?</v>
      </c>
      <c r="EG33" s="202" t="e">
        <f t="shared" ca="1" si="37"/>
        <v>#NAME?</v>
      </c>
      <c r="EH33" s="202" t="e">
        <f t="shared" ca="1" si="37"/>
        <v>#NAME?</v>
      </c>
      <c r="EI33" s="202" t="e">
        <f t="shared" ca="1" si="37"/>
        <v>#NAME?</v>
      </c>
      <c r="EJ33" s="202" t="e">
        <f t="shared" ca="1" si="37"/>
        <v>#NAME?</v>
      </c>
      <c r="EK33" s="203" t="e">
        <f t="shared" ca="1" si="37"/>
        <v>#NAME?</v>
      </c>
      <c r="EL33" s="204" t="e">
        <f ca="1">SUMSQ(EC33:EK33)</f>
        <v>#NAME?</v>
      </c>
      <c r="EN33" t="str">
        <f>EN6</f>
        <v>Expect</v>
      </c>
      <c r="EO33" s="201" t="e">
        <f ca="1">IF(EO$19&gt;0,EO20*SQRT(EO$19),0)</f>
        <v>#NAME?</v>
      </c>
      <c r="EP33" s="202" t="e">
        <f t="shared" ref="EP33:EW33" ca="1" si="38">IF(EP$19&gt;0,EP20*SQRT(EP$19),0)</f>
        <v>#NAME?</v>
      </c>
      <c r="EQ33" s="202" t="e">
        <f t="shared" ca="1" si="38"/>
        <v>#NAME?</v>
      </c>
      <c r="ER33" s="202" t="e">
        <f t="shared" ca="1" si="38"/>
        <v>#NAME?</v>
      </c>
      <c r="ES33" s="202" t="e">
        <f t="shared" ca="1" si="38"/>
        <v>#NAME?</v>
      </c>
      <c r="ET33" s="202" t="e">
        <f t="shared" ca="1" si="38"/>
        <v>#NAME?</v>
      </c>
      <c r="EU33" s="202" t="e">
        <f t="shared" ca="1" si="38"/>
        <v>#NAME?</v>
      </c>
      <c r="EV33" s="202" t="e">
        <f t="shared" ca="1" si="38"/>
        <v>#NAME?</v>
      </c>
      <c r="EW33" s="203" t="e">
        <f t="shared" ca="1" si="38"/>
        <v>#NAME?</v>
      </c>
      <c r="EX33" s="204" t="e">
        <f ca="1">SUMSQ(EO33:EW33)</f>
        <v>#NAME?</v>
      </c>
      <c r="EZ33" t="str">
        <f>EZ6</f>
        <v>Expect</v>
      </c>
      <c r="FA33" s="201" t="e">
        <f ca="1">IF(FA$19&gt;0,FA20*SQRT(FA$19),0)</f>
        <v>#NAME?</v>
      </c>
      <c r="FB33" s="202" t="e">
        <f t="shared" ref="FB33:FI33" ca="1" si="39">IF(FB$19&gt;0,FB20*SQRT(FB$19),0)</f>
        <v>#NAME?</v>
      </c>
      <c r="FC33" s="202" t="e">
        <f t="shared" ca="1" si="39"/>
        <v>#NAME?</v>
      </c>
      <c r="FD33" s="202" t="e">
        <f t="shared" ca="1" si="39"/>
        <v>#NAME?</v>
      </c>
      <c r="FE33" s="202" t="e">
        <f t="shared" ca="1" si="39"/>
        <v>#NAME?</v>
      </c>
      <c r="FF33" s="202" t="e">
        <f t="shared" ca="1" si="39"/>
        <v>#NAME?</v>
      </c>
      <c r="FG33" s="202" t="e">
        <f t="shared" ca="1" si="39"/>
        <v>#NAME?</v>
      </c>
      <c r="FH33" s="202" t="e">
        <f t="shared" ca="1" si="39"/>
        <v>#NAME?</v>
      </c>
      <c r="FI33" s="203" t="e">
        <f t="shared" ca="1" si="39"/>
        <v>#NAME?</v>
      </c>
      <c r="FJ33" s="204" t="e">
        <f ca="1">SUMSQ(FA33:FI33)</f>
        <v>#NAME?</v>
      </c>
      <c r="FL33" t="str">
        <f>FL6</f>
        <v>Expect</v>
      </c>
      <c r="FM33" s="201" t="e">
        <f ca="1">IF(FM$19&gt;0,FM20*SQRT(FM$19),0)</f>
        <v>#NAME?</v>
      </c>
      <c r="FN33" s="202" t="e">
        <f t="shared" ref="FN33:FU33" ca="1" si="40">IF(FN$19&gt;0,FN20*SQRT(FN$19),0)</f>
        <v>#NAME?</v>
      </c>
      <c r="FO33" s="202" t="e">
        <f t="shared" ca="1" si="40"/>
        <v>#NAME?</v>
      </c>
      <c r="FP33" s="202" t="e">
        <f t="shared" ca="1" si="40"/>
        <v>#NAME?</v>
      </c>
      <c r="FQ33" s="202" t="e">
        <f t="shared" ca="1" si="40"/>
        <v>#NAME?</v>
      </c>
      <c r="FR33" s="202" t="e">
        <f t="shared" ca="1" si="40"/>
        <v>#NAME?</v>
      </c>
      <c r="FS33" s="202" t="e">
        <f t="shared" ca="1" si="40"/>
        <v>#NAME?</v>
      </c>
      <c r="FT33" s="202" t="e">
        <f t="shared" ca="1" si="40"/>
        <v>#NAME?</v>
      </c>
      <c r="FU33" s="203" t="e">
        <f t="shared" ca="1" si="40"/>
        <v>#NAME?</v>
      </c>
      <c r="FV33" s="204" t="e">
        <f ca="1">SUMSQ(FM33:FU33)</f>
        <v>#NAME?</v>
      </c>
      <c r="FX33" t="str">
        <f>FX6</f>
        <v>Expect</v>
      </c>
      <c r="FY33" s="201" t="e">
        <f ca="1">IF(FY$19&gt;0,FY20*SQRT(FY$19),0)</f>
        <v>#NAME?</v>
      </c>
      <c r="FZ33" s="202" t="e">
        <f t="shared" ref="FZ33:GG33" ca="1" si="41">IF(FZ$19&gt;0,FZ20*SQRT(FZ$19),0)</f>
        <v>#NAME?</v>
      </c>
      <c r="GA33" s="202" t="e">
        <f t="shared" ca="1" si="41"/>
        <v>#NAME?</v>
      </c>
      <c r="GB33" s="202" t="e">
        <f t="shared" ca="1" si="41"/>
        <v>#NAME?</v>
      </c>
      <c r="GC33" s="202" t="e">
        <f t="shared" ca="1" si="41"/>
        <v>#NAME?</v>
      </c>
      <c r="GD33" s="202" t="e">
        <f t="shared" ca="1" si="41"/>
        <v>#NAME?</v>
      </c>
      <c r="GE33" s="202" t="e">
        <f t="shared" ca="1" si="41"/>
        <v>#NAME?</v>
      </c>
      <c r="GF33" s="202" t="e">
        <f t="shared" ca="1" si="41"/>
        <v>#NAME?</v>
      </c>
      <c r="GG33" s="203" t="e">
        <f t="shared" ca="1" si="41"/>
        <v>#NAME?</v>
      </c>
      <c r="GH33" s="204" t="e">
        <f ca="1">SUMSQ(FY33:GG33)</f>
        <v>#NAME?</v>
      </c>
      <c r="GJ33" t="str">
        <f>GJ6</f>
        <v>Expect</v>
      </c>
      <c r="GK33" s="201" t="e">
        <f ca="1">IF(GK$19&gt;0,GK20*SQRT(GK$19),0)</f>
        <v>#NAME?</v>
      </c>
      <c r="GL33" s="202" t="e">
        <f t="shared" ref="GL33:GS33" ca="1" si="42">IF(GL$19&gt;0,GL20*SQRT(GL$19),0)</f>
        <v>#NAME?</v>
      </c>
      <c r="GM33" s="202" t="e">
        <f t="shared" ca="1" si="42"/>
        <v>#NAME?</v>
      </c>
      <c r="GN33" s="202" t="e">
        <f t="shared" ca="1" si="42"/>
        <v>#NAME?</v>
      </c>
      <c r="GO33" s="202" t="e">
        <f t="shared" ca="1" si="42"/>
        <v>#NAME?</v>
      </c>
      <c r="GP33" s="202" t="e">
        <f t="shared" ca="1" si="42"/>
        <v>#NAME?</v>
      </c>
      <c r="GQ33" s="202" t="e">
        <f t="shared" ca="1" si="42"/>
        <v>#NAME?</v>
      </c>
      <c r="GR33" s="202" t="e">
        <f t="shared" ca="1" si="42"/>
        <v>#NAME?</v>
      </c>
      <c r="GS33" s="203" t="e">
        <f t="shared" ca="1" si="42"/>
        <v>#NAME?</v>
      </c>
      <c r="GT33" s="204" t="e">
        <f ca="1">SUMSQ(GK33:GS33)</f>
        <v>#NAME?</v>
      </c>
      <c r="GV33" t="str">
        <f>GV6</f>
        <v>Expect</v>
      </c>
      <c r="GW33" s="201" t="e">
        <f ca="1">IF(GW$19&gt;0,GW20*SQRT(GW$19),0)</f>
        <v>#NAME?</v>
      </c>
      <c r="GX33" s="202" t="e">
        <f t="shared" ref="GX33:HE33" ca="1" si="43">IF(GX$19&gt;0,GX20*SQRT(GX$19),0)</f>
        <v>#NAME?</v>
      </c>
      <c r="GY33" s="202" t="e">
        <f t="shared" ca="1" si="43"/>
        <v>#NAME?</v>
      </c>
      <c r="GZ33" s="202" t="e">
        <f t="shared" ca="1" si="43"/>
        <v>#NAME?</v>
      </c>
      <c r="HA33" s="202" t="e">
        <f t="shared" ca="1" si="43"/>
        <v>#NAME?</v>
      </c>
      <c r="HB33" s="202" t="e">
        <f t="shared" ca="1" si="43"/>
        <v>#NAME?</v>
      </c>
      <c r="HC33" s="202" t="e">
        <f t="shared" ca="1" si="43"/>
        <v>#NAME?</v>
      </c>
      <c r="HD33" s="202" t="e">
        <f t="shared" ca="1" si="43"/>
        <v>#NAME?</v>
      </c>
      <c r="HE33" s="203" t="e">
        <f t="shared" ca="1" si="43"/>
        <v>#NAME?</v>
      </c>
      <c r="HF33" s="204" t="e">
        <f ca="1">SUMSQ(GW33:HE33)</f>
        <v>#NAME?</v>
      </c>
      <c r="HH33" t="str">
        <f>HH6</f>
        <v>Expect</v>
      </c>
      <c r="HI33" s="201" t="e">
        <f ca="1">IF(HI$19&gt;0,HI20*SQRT(HI$19),0)</f>
        <v>#NAME?</v>
      </c>
      <c r="HJ33" s="202" t="e">
        <f t="shared" ref="HJ33:HQ33" ca="1" si="44">IF(HJ$19&gt;0,HJ20*SQRT(HJ$19),0)</f>
        <v>#NAME?</v>
      </c>
      <c r="HK33" s="202" t="e">
        <f t="shared" ca="1" si="44"/>
        <v>#NAME?</v>
      </c>
      <c r="HL33" s="202" t="e">
        <f t="shared" ca="1" si="44"/>
        <v>#NAME?</v>
      </c>
      <c r="HM33" s="202" t="e">
        <f t="shared" ca="1" si="44"/>
        <v>#NAME?</v>
      </c>
      <c r="HN33" s="202" t="e">
        <f t="shared" ca="1" si="44"/>
        <v>#NAME?</v>
      </c>
      <c r="HO33" s="202" t="e">
        <f t="shared" ca="1" si="44"/>
        <v>#NAME?</v>
      </c>
      <c r="HP33" s="202" t="e">
        <f t="shared" ca="1" si="44"/>
        <v>#NAME?</v>
      </c>
      <c r="HQ33" s="203" t="e">
        <f t="shared" ca="1" si="44"/>
        <v>#NAME?</v>
      </c>
      <c r="HR33" s="204" t="e">
        <f ca="1">SUMSQ(HI33:HQ33)</f>
        <v>#NAME?</v>
      </c>
      <c r="HT33" t="str">
        <f>HT6</f>
        <v>Expect</v>
      </c>
      <c r="HU33" s="201" t="e">
        <f ca="1">IF(HU$19&gt;0,HU20*SQRT(HU$19),0)</f>
        <v>#NAME?</v>
      </c>
      <c r="HV33" s="202" t="e">
        <f t="shared" ref="HV33:IC33" ca="1" si="45">IF(HV$19&gt;0,HV20*SQRT(HV$19),0)</f>
        <v>#NAME?</v>
      </c>
      <c r="HW33" s="202" t="e">
        <f t="shared" ca="1" si="45"/>
        <v>#NAME?</v>
      </c>
      <c r="HX33" s="202" t="e">
        <f t="shared" ca="1" si="45"/>
        <v>#NAME?</v>
      </c>
      <c r="HY33" s="202" t="e">
        <f t="shared" ca="1" si="45"/>
        <v>#NAME?</v>
      </c>
      <c r="HZ33" s="202" t="e">
        <f t="shared" ca="1" si="45"/>
        <v>#NAME?</v>
      </c>
      <c r="IA33" s="202" t="e">
        <f t="shared" ca="1" si="45"/>
        <v>#NAME?</v>
      </c>
      <c r="IB33" s="202" t="e">
        <f t="shared" ca="1" si="45"/>
        <v>#NAME?</v>
      </c>
      <c r="IC33" s="203" t="e">
        <f t="shared" ca="1" si="45"/>
        <v>#NAME?</v>
      </c>
      <c r="ID33" s="204" t="e">
        <f ca="1">SUMSQ(HU33:IC33)</f>
        <v>#NAME?</v>
      </c>
      <c r="IF33" t="str">
        <f>IF6</f>
        <v>Expect</v>
      </c>
      <c r="IG33" s="201" t="e">
        <f ca="1">IF(IG$19&gt;0,IG20*SQRT(IG$19),0)</f>
        <v>#NAME?</v>
      </c>
      <c r="IH33" s="202" t="e">
        <f t="shared" ref="IH33:IO33" ca="1" si="46">IF(IH$19&gt;0,IH20*SQRT(IH$19),0)</f>
        <v>#NAME?</v>
      </c>
      <c r="II33" s="202" t="e">
        <f t="shared" ca="1" si="46"/>
        <v>#NAME?</v>
      </c>
      <c r="IJ33" s="202" t="e">
        <f t="shared" ca="1" si="46"/>
        <v>#NAME?</v>
      </c>
      <c r="IK33" s="202" t="e">
        <f t="shared" ca="1" si="46"/>
        <v>#NAME?</v>
      </c>
      <c r="IL33" s="202" t="e">
        <f t="shared" ca="1" si="46"/>
        <v>#NAME?</v>
      </c>
      <c r="IM33" s="202" t="e">
        <f t="shared" ca="1" si="46"/>
        <v>#NAME?</v>
      </c>
      <c r="IN33" s="202" t="e">
        <f t="shared" ca="1" si="46"/>
        <v>#NAME?</v>
      </c>
      <c r="IO33" s="203" t="e">
        <f t="shared" ca="1" si="46"/>
        <v>#NAME?</v>
      </c>
      <c r="IP33" s="204" t="e">
        <f ca="1">SUMSQ(IG33:IO33)</f>
        <v>#NAME?</v>
      </c>
      <c r="IR33" t="str">
        <f>IR6</f>
        <v>Expect</v>
      </c>
      <c r="IS33" s="201" t="e">
        <f ca="1">IF(IS$19&gt;0,IS20*SQRT(IS$19),0)</f>
        <v>#NAME?</v>
      </c>
      <c r="IT33" s="202" t="e">
        <f t="shared" ref="IT33:JA33" ca="1" si="47">IF(IT$19&gt;0,IT20*SQRT(IT$19),0)</f>
        <v>#NAME?</v>
      </c>
      <c r="IU33" s="202" t="e">
        <f t="shared" ca="1" si="47"/>
        <v>#NAME?</v>
      </c>
      <c r="IV33" s="202" t="e">
        <f t="shared" ca="1" si="47"/>
        <v>#NAME?</v>
      </c>
      <c r="IW33" s="202" t="e">
        <f t="shared" ca="1" si="47"/>
        <v>#NAME?</v>
      </c>
      <c r="IX33" s="202" t="e">
        <f t="shared" ca="1" si="47"/>
        <v>#NAME?</v>
      </c>
      <c r="IY33" s="202" t="e">
        <f t="shared" ca="1" si="47"/>
        <v>#NAME?</v>
      </c>
      <c r="IZ33" s="202" t="e">
        <f t="shared" ca="1" si="47"/>
        <v>#NAME?</v>
      </c>
      <c r="JA33" s="203" t="e">
        <f t="shared" ca="1" si="47"/>
        <v>#NAME?</v>
      </c>
      <c r="JB33" s="204" t="e">
        <f ca="1">SUMSQ(IS33:JA33)</f>
        <v>#NAME?</v>
      </c>
      <c r="JD33" t="str">
        <f>JD6</f>
        <v>Expect</v>
      </c>
      <c r="JE33" s="201" t="e">
        <f ca="1">IF(JE$19&gt;0,JE20*SQRT(JE$19),0)</f>
        <v>#NAME?</v>
      </c>
      <c r="JF33" s="202" t="e">
        <f t="shared" ref="JF33:JM33" ca="1" si="48">IF(JF$19&gt;0,JF20*SQRT(JF$19),0)</f>
        <v>#NAME?</v>
      </c>
      <c r="JG33" s="202" t="e">
        <f t="shared" ca="1" si="48"/>
        <v>#NAME?</v>
      </c>
      <c r="JH33" s="202" t="e">
        <f t="shared" ca="1" si="48"/>
        <v>#NAME?</v>
      </c>
      <c r="JI33" s="202" t="e">
        <f t="shared" ca="1" si="48"/>
        <v>#NAME?</v>
      </c>
      <c r="JJ33" s="202" t="e">
        <f t="shared" ca="1" si="48"/>
        <v>#NAME?</v>
      </c>
      <c r="JK33" s="202" t="e">
        <f t="shared" ca="1" si="48"/>
        <v>#NAME?</v>
      </c>
      <c r="JL33" s="202" t="e">
        <f t="shared" ca="1" si="48"/>
        <v>#NAME?</v>
      </c>
      <c r="JM33" s="203" t="e">
        <f t="shared" ca="1" si="48"/>
        <v>#NAME?</v>
      </c>
      <c r="JN33" s="204" t="e">
        <f ca="1">SUMSQ(JE33:JM33)</f>
        <v>#NAME?</v>
      </c>
      <c r="JP33" t="str">
        <f>JP6</f>
        <v>Expect</v>
      </c>
      <c r="JQ33" s="201" t="e">
        <f ca="1">IF(JQ$19&gt;0,JQ20*SQRT(JQ$19),0)</f>
        <v>#NAME?</v>
      </c>
      <c r="JR33" s="202" t="e">
        <f t="shared" ref="JR33:JY33" ca="1" si="49">IF(JR$19&gt;0,JR20*SQRT(JR$19),0)</f>
        <v>#NAME?</v>
      </c>
      <c r="JS33" s="202" t="e">
        <f t="shared" ca="1" si="49"/>
        <v>#NAME?</v>
      </c>
      <c r="JT33" s="202" t="e">
        <f t="shared" ca="1" si="49"/>
        <v>#NAME?</v>
      </c>
      <c r="JU33" s="202" t="e">
        <f t="shared" ca="1" si="49"/>
        <v>#NAME?</v>
      </c>
      <c r="JV33" s="202" t="e">
        <f t="shared" ca="1" si="49"/>
        <v>#NAME?</v>
      </c>
      <c r="JW33" s="202" t="e">
        <f t="shared" ca="1" si="49"/>
        <v>#NAME?</v>
      </c>
      <c r="JX33" s="202" t="e">
        <f t="shared" ca="1" si="49"/>
        <v>#NAME?</v>
      </c>
      <c r="JY33" s="203" t="e">
        <f t="shared" ca="1" si="49"/>
        <v>#NAME?</v>
      </c>
      <c r="JZ33" s="204" t="e">
        <f ca="1">SUMSQ(JQ33:JY33)</f>
        <v>#NAME?</v>
      </c>
      <c r="KB33" t="str">
        <f>KB6</f>
        <v>Expect</v>
      </c>
      <c r="KC33" s="201" t="e">
        <f ca="1">IF(KC$19&gt;0,KC20*SQRT(KC$19),0)</f>
        <v>#NAME?</v>
      </c>
      <c r="KD33" s="202" t="e">
        <f t="shared" ref="KD33:KK33" ca="1" si="50">IF(KD$19&gt;0,KD20*SQRT(KD$19),0)</f>
        <v>#NAME?</v>
      </c>
      <c r="KE33" s="202" t="e">
        <f t="shared" ca="1" si="50"/>
        <v>#NAME?</v>
      </c>
      <c r="KF33" s="202" t="e">
        <f t="shared" ca="1" si="50"/>
        <v>#NAME?</v>
      </c>
      <c r="KG33" s="202" t="e">
        <f t="shared" ca="1" si="50"/>
        <v>#NAME?</v>
      </c>
      <c r="KH33" s="202" t="e">
        <f t="shared" ca="1" si="50"/>
        <v>#NAME?</v>
      </c>
      <c r="KI33" s="202" t="e">
        <f t="shared" ca="1" si="50"/>
        <v>#NAME?</v>
      </c>
      <c r="KJ33" s="202" t="e">
        <f t="shared" ca="1" si="50"/>
        <v>#NAME?</v>
      </c>
      <c r="KK33" s="203" t="e">
        <f t="shared" ca="1" si="50"/>
        <v>#NAME?</v>
      </c>
      <c r="KL33" s="204" t="e">
        <f ca="1">SUMSQ(KC33:KK33)</f>
        <v>#NAME?</v>
      </c>
      <c r="KN33" t="str">
        <f>KN6</f>
        <v>Expect</v>
      </c>
      <c r="KO33" s="201" t="e">
        <f ca="1">IF(KO$19&gt;0,KO20*SQRT(KO$19),0)</f>
        <v>#NAME?</v>
      </c>
      <c r="KP33" s="202" t="e">
        <f t="shared" ref="KP33:KW33" ca="1" si="51">IF(KP$19&gt;0,KP20*SQRT(KP$19),0)</f>
        <v>#NAME?</v>
      </c>
      <c r="KQ33" s="202" t="e">
        <f t="shared" ca="1" si="51"/>
        <v>#NAME?</v>
      </c>
      <c r="KR33" s="202" t="e">
        <f t="shared" ca="1" si="51"/>
        <v>#NAME?</v>
      </c>
      <c r="KS33" s="202" t="e">
        <f t="shared" ca="1" si="51"/>
        <v>#NAME?</v>
      </c>
      <c r="KT33" s="202" t="e">
        <f t="shared" ca="1" si="51"/>
        <v>#NAME?</v>
      </c>
      <c r="KU33" s="202" t="e">
        <f t="shared" ca="1" si="51"/>
        <v>#NAME?</v>
      </c>
      <c r="KV33" s="202" t="e">
        <f t="shared" ca="1" si="51"/>
        <v>#NAME?</v>
      </c>
      <c r="KW33" s="203" t="e">
        <f t="shared" ca="1" si="51"/>
        <v>#NAME?</v>
      </c>
      <c r="KX33" s="204" t="e">
        <f ca="1">SUMSQ(KO33:KW33)</f>
        <v>#NAME?</v>
      </c>
      <c r="KZ33" t="str">
        <f>KZ6</f>
        <v>Expect</v>
      </c>
      <c r="LA33" s="201" t="e">
        <f ca="1">IF(LA$19&gt;0,LA20*SQRT(LA$19),0)</f>
        <v>#NAME?</v>
      </c>
      <c r="LB33" s="202" t="e">
        <f t="shared" ref="LB33:LI33" ca="1" si="52">IF(LB$19&gt;0,LB20*SQRT(LB$19),0)</f>
        <v>#NAME?</v>
      </c>
      <c r="LC33" s="202" t="e">
        <f t="shared" ca="1" si="52"/>
        <v>#NAME?</v>
      </c>
      <c r="LD33" s="202" t="e">
        <f t="shared" ca="1" si="52"/>
        <v>#NAME?</v>
      </c>
      <c r="LE33" s="202" t="e">
        <f t="shared" ca="1" si="52"/>
        <v>#NAME?</v>
      </c>
      <c r="LF33" s="202" t="e">
        <f t="shared" ca="1" si="52"/>
        <v>#NAME?</v>
      </c>
      <c r="LG33" s="202" t="e">
        <f t="shared" ca="1" si="52"/>
        <v>#NAME?</v>
      </c>
      <c r="LH33" s="202" t="e">
        <f t="shared" ca="1" si="52"/>
        <v>#NAME?</v>
      </c>
      <c r="LI33" s="203" t="e">
        <f t="shared" ca="1" si="52"/>
        <v>#NAME?</v>
      </c>
      <c r="LJ33" s="204" t="e">
        <f ca="1">SUMSQ(LA33:LI33)</f>
        <v>#NAME?</v>
      </c>
      <c r="LL33" t="str">
        <f>LL6</f>
        <v>Expect</v>
      </c>
      <c r="LM33" s="201" t="e">
        <f ca="1">IF(LM$19&gt;0,LM20*SQRT(LM$19),0)</f>
        <v>#NAME?</v>
      </c>
      <c r="LN33" s="202" t="e">
        <f t="shared" ref="LN33:LU33" ca="1" si="53">IF(LN$19&gt;0,LN20*SQRT(LN$19),0)</f>
        <v>#NAME?</v>
      </c>
      <c r="LO33" s="202" t="e">
        <f t="shared" ca="1" si="53"/>
        <v>#NAME?</v>
      </c>
      <c r="LP33" s="202" t="e">
        <f t="shared" ca="1" si="53"/>
        <v>#NAME?</v>
      </c>
      <c r="LQ33" s="202" t="e">
        <f t="shared" ca="1" si="53"/>
        <v>#NAME?</v>
      </c>
      <c r="LR33" s="202" t="e">
        <f t="shared" ca="1" si="53"/>
        <v>#NAME?</v>
      </c>
      <c r="LS33" s="202" t="e">
        <f t="shared" ca="1" si="53"/>
        <v>#NAME?</v>
      </c>
      <c r="LT33" s="202" t="e">
        <f t="shared" ca="1" si="53"/>
        <v>#NAME?</v>
      </c>
      <c r="LU33" s="203" t="e">
        <f t="shared" ca="1" si="53"/>
        <v>#NAME?</v>
      </c>
      <c r="LV33" s="204" t="e">
        <f ca="1">SUMSQ(LM33:LU33)</f>
        <v>#NAME?</v>
      </c>
      <c r="LX33" t="str">
        <f>LX6</f>
        <v>Expect</v>
      </c>
      <c r="LY33" s="201" t="e">
        <f ca="1">IF(LY$19&gt;0,LY20*SQRT(LY$19),0)</f>
        <v>#NAME?</v>
      </c>
      <c r="LZ33" s="202" t="e">
        <f t="shared" ref="LZ33:MG33" ca="1" si="54">IF(LZ$19&gt;0,LZ20*SQRT(LZ$19),0)</f>
        <v>#NAME?</v>
      </c>
      <c r="MA33" s="202" t="e">
        <f t="shared" ca="1" si="54"/>
        <v>#NAME?</v>
      </c>
      <c r="MB33" s="202" t="e">
        <f t="shared" ca="1" si="54"/>
        <v>#NAME?</v>
      </c>
      <c r="MC33" s="202" t="e">
        <f t="shared" ca="1" si="54"/>
        <v>#NAME?</v>
      </c>
      <c r="MD33" s="202" t="e">
        <f t="shared" ca="1" si="54"/>
        <v>#NAME?</v>
      </c>
      <c r="ME33" s="202" t="e">
        <f t="shared" ca="1" si="54"/>
        <v>#NAME?</v>
      </c>
      <c r="MF33" s="202" t="e">
        <f t="shared" ca="1" si="54"/>
        <v>#NAME?</v>
      </c>
      <c r="MG33" s="203" t="e">
        <f t="shared" ca="1" si="54"/>
        <v>#NAME?</v>
      </c>
      <c r="MH33" s="204" t="e">
        <f ca="1">SUMSQ(LY33:MG33)</f>
        <v>#NAME?</v>
      </c>
      <c r="MJ33" t="str">
        <f>MJ6</f>
        <v>Expect</v>
      </c>
      <c r="MK33" s="201" t="e">
        <f ca="1">IF(MK$19&gt;0,MK20*SQRT(MK$19),0)</f>
        <v>#NAME?</v>
      </c>
      <c r="ML33" s="202" t="e">
        <f t="shared" ref="ML33:MS33" ca="1" si="55">IF(ML$19&gt;0,ML20*SQRT(ML$19),0)</f>
        <v>#NAME?</v>
      </c>
      <c r="MM33" s="202" t="e">
        <f t="shared" ca="1" si="55"/>
        <v>#NAME?</v>
      </c>
      <c r="MN33" s="202" t="e">
        <f t="shared" ca="1" si="55"/>
        <v>#NAME?</v>
      </c>
      <c r="MO33" s="202" t="e">
        <f t="shared" ca="1" si="55"/>
        <v>#NAME?</v>
      </c>
      <c r="MP33" s="202" t="e">
        <f t="shared" ca="1" si="55"/>
        <v>#NAME?</v>
      </c>
      <c r="MQ33" s="202" t="e">
        <f t="shared" ca="1" si="55"/>
        <v>#NAME?</v>
      </c>
      <c r="MR33" s="202" t="e">
        <f t="shared" ca="1" si="55"/>
        <v>#NAME?</v>
      </c>
      <c r="MS33" s="203" t="e">
        <f t="shared" ca="1" si="55"/>
        <v>#NAME?</v>
      </c>
      <c r="MT33" s="204" t="e">
        <f ca="1">SUMSQ(MK33:MS33)</f>
        <v>#NAME?</v>
      </c>
    </row>
    <row r="34" spans="1:358" x14ac:dyDescent="0.3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S34">
        <f>S33+1</f>
        <v>2</v>
      </c>
      <c r="T34" s="49" t="e">
        <f ca="1">RSquare($B$4:$J$123,S34)</f>
        <v>#NAME?</v>
      </c>
      <c r="V34" s="205" t="e">
        <f ca="1"/>
        <v>#NAME?</v>
      </c>
      <c r="X34" t="str">
        <f t="shared" ref="X34:X41" si="56">X7</f>
        <v>Entertain</v>
      </c>
      <c r="Y34" s="36" t="e">
        <f t="shared" ref="Y34:AG34" ca="1" si="57">IF(Y$19&gt;0,Y21*SQRT(Y$19),0)</f>
        <v>#NAME?</v>
      </c>
      <c r="Z34" s="37" t="e">
        <f t="shared" ca="1" si="57"/>
        <v>#NAME?</v>
      </c>
      <c r="AA34" s="37" t="e">
        <f t="shared" ca="1" si="57"/>
        <v>#NAME?</v>
      </c>
      <c r="AB34" s="37" t="e">
        <f t="shared" ca="1" si="57"/>
        <v>#NAME?</v>
      </c>
      <c r="AC34" s="37" t="e">
        <f t="shared" ca="1" si="57"/>
        <v>#NAME?</v>
      </c>
      <c r="AD34" s="37" t="e">
        <f t="shared" ca="1" si="57"/>
        <v>#NAME?</v>
      </c>
      <c r="AE34" s="37" t="e">
        <f t="shared" ca="1" si="57"/>
        <v>#NAME?</v>
      </c>
      <c r="AF34" s="37" t="e">
        <f t="shared" ca="1" si="57"/>
        <v>#NAME?</v>
      </c>
      <c r="AG34" s="90" t="e">
        <f t="shared" ca="1" si="57"/>
        <v>#NAME?</v>
      </c>
      <c r="AH34" s="205" t="e">
        <f t="shared" ref="AH34:AH41" ca="1" si="58">SUMSQ(Y34:AG34)</f>
        <v>#NAME?</v>
      </c>
      <c r="AJ34" t="str">
        <f t="shared" ref="AJ34:AJ41" si="59">AJ7</f>
        <v>Entertain</v>
      </c>
      <c r="AK34" s="36" t="e">
        <f t="shared" ref="AK34:AS34" ca="1" si="60">IF(AK$19&gt;0,AK21*SQRT(AK$19),0)</f>
        <v>#NAME?</v>
      </c>
      <c r="AL34" s="37" t="e">
        <f t="shared" ca="1" si="60"/>
        <v>#NAME?</v>
      </c>
      <c r="AM34" s="37" t="e">
        <f t="shared" ca="1" si="60"/>
        <v>#NAME?</v>
      </c>
      <c r="AN34" s="37" t="e">
        <f t="shared" ca="1" si="60"/>
        <v>#NAME?</v>
      </c>
      <c r="AO34" s="37" t="e">
        <f t="shared" ca="1" si="60"/>
        <v>#NAME?</v>
      </c>
      <c r="AP34" s="37" t="e">
        <f t="shared" ca="1" si="60"/>
        <v>#NAME?</v>
      </c>
      <c r="AQ34" s="37" t="e">
        <f t="shared" ca="1" si="60"/>
        <v>#NAME?</v>
      </c>
      <c r="AR34" s="37" t="e">
        <f t="shared" ca="1" si="60"/>
        <v>#NAME?</v>
      </c>
      <c r="AS34" s="90" t="e">
        <f t="shared" ca="1" si="60"/>
        <v>#NAME?</v>
      </c>
      <c r="AT34" s="205" t="e">
        <f t="shared" ref="AT34:AT41" ca="1" si="61">SUMSQ(AK34:AS34)</f>
        <v>#NAME?</v>
      </c>
      <c r="AV34" t="str">
        <f t="shared" ref="AV34:AV41" si="62">AV7</f>
        <v>Entertain</v>
      </c>
      <c r="AW34" s="36" t="e">
        <f t="shared" ref="AW34:BE34" ca="1" si="63">IF(AW$19&gt;0,AW21*SQRT(AW$19),0)</f>
        <v>#NAME?</v>
      </c>
      <c r="AX34" s="37" t="e">
        <f t="shared" ca="1" si="63"/>
        <v>#NAME?</v>
      </c>
      <c r="AY34" s="37" t="e">
        <f t="shared" ca="1" si="63"/>
        <v>#NAME?</v>
      </c>
      <c r="AZ34" s="37" t="e">
        <f t="shared" ca="1" si="63"/>
        <v>#NAME?</v>
      </c>
      <c r="BA34" s="37" t="e">
        <f t="shared" ca="1" si="63"/>
        <v>#NAME?</v>
      </c>
      <c r="BB34" s="37" t="e">
        <f t="shared" ca="1" si="63"/>
        <v>#NAME?</v>
      </c>
      <c r="BC34" s="37" t="e">
        <f t="shared" ca="1" si="63"/>
        <v>#NAME?</v>
      </c>
      <c r="BD34" s="37" t="e">
        <f t="shared" ca="1" si="63"/>
        <v>#NAME?</v>
      </c>
      <c r="BE34" s="90" t="e">
        <f t="shared" ca="1" si="63"/>
        <v>#NAME?</v>
      </c>
      <c r="BF34" s="205" t="e">
        <f t="shared" ref="BF34:BF41" ca="1" si="64">SUMSQ(AW34:BE34)</f>
        <v>#NAME?</v>
      </c>
      <c r="BH34" t="str">
        <f t="shared" ref="BH34:BH41" si="65">BH7</f>
        <v>Entertain</v>
      </c>
      <c r="BI34" s="36" t="e">
        <f t="shared" ref="BI34:BQ34" ca="1" si="66">IF(BI$19&gt;0,BI21*SQRT(BI$19),0)</f>
        <v>#NAME?</v>
      </c>
      <c r="BJ34" s="37" t="e">
        <f t="shared" ca="1" si="66"/>
        <v>#NAME?</v>
      </c>
      <c r="BK34" s="37" t="e">
        <f t="shared" ca="1" si="66"/>
        <v>#NAME?</v>
      </c>
      <c r="BL34" s="37" t="e">
        <f t="shared" ca="1" si="66"/>
        <v>#NAME?</v>
      </c>
      <c r="BM34" s="37" t="e">
        <f t="shared" ca="1" si="66"/>
        <v>#NAME?</v>
      </c>
      <c r="BN34" s="37" t="e">
        <f t="shared" ca="1" si="66"/>
        <v>#NAME?</v>
      </c>
      <c r="BO34" s="37" t="e">
        <f t="shared" ca="1" si="66"/>
        <v>#NAME?</v>
      </c>
      <c r="BP34" s="37" t="e">
        <f t="shared" ca="1" si="66"/>
        <v>#NAME?</v>
      </c>
      <c r="BQ34" s="90" t="e">
        <f t="shared" ca="1" si="66"/>
        <v>#NAME?</v>
      </c>
      <c r="BR34" s="205" t="e">
        <f t="shared" ref="BR34:BR41" ca="1" si="67">SUMSQ(BI34:BQ34)</f>
        <v>#NAME?</v>
      </c>
      <c r="BT34" t="str">
        <f t="shared" ref="BT34:BT41" si="68">BT7</f>
        <v>Entertain</v>
      </c>
      <c r="BU34" s="36" t="e">
        <f t="shared" ref="BU34:CC34" ca="1" si="69">IF(BU$19&gt;0,BU21*SQRT(BU$19),0)</f>
        <v>#NAME?</v>
      </c>
      <c r="BV34" s="37" t="e">
        <f t="shared" ca="1" si="69"/>
        <v>#NAME?</v>
      </c>
      <c r="BW34" s="37" t="e">
        <f t="shared" ca="1" si="69"/>
        <v>#NAME?</v>
      </c>
      <c r="BX34" s="37" t="e">
        <f t="shared" ca="1" si="69"/>
        <v>#NAME?</v>
      </c>
      <c r="BY34" s="37" t="e">
        <f t="shared" ca="1" si="69"/>
        <v>#NAME?</v>
      </c>
      <c r="BZ34" s="37" t="e">
        <f t="shared" ca="1" si="69"/>
        <v>#NAME?</v>
      </c>
      <c r="CA34" s="37" t="e">
        <f t="shared" ca="1" si="69"/>
        <v>#NAME?</v>
      </c>
      <c r="CB34" s="37" t="e">
        <f t="shared" ca="1" si="69"/>
        <v>#NAME?</v>
      </c>
      <c r="CC34" s="90" t="e">
        <f t="shared" ca="1" si="69"/>
        <v>#NAME?</v>
      </c>
      <c r="CD34" s="205" t="e">
        <f t="shared" ref="CD34:CD41" ca="1" si="70">SUMSQ(BU34:CC34)</f>
        <v>#NAME?</v>
      </c>
      <c r="CF34" t="str">
        <f t="shared" ref="CF34:CF41" si="71">CF7</f>
        <v>Entertain</v>
      </c>
      <c r="CG34" s="36" t="e">
        <f t="shared" ref="CG34:CO34" ca="1" si="72">IF(CG$19&gt;0,CG21*SQRT(CG$19),0)</f>
        <v>#NAME?</v>
      </c>
      <c r="CH34" s="37" t="e">
        <f t="shared" ca="1" si="72"/>
        <v>#NAME?</v>
      </c>
      <c r="CI34" s="37" t="e">
        <f t="shared" ca="1" si="72"/>
        <v>#NAME?</v>
      </c>
      <c r="CJ34" s="37" t="e">
        <f t="shared" ca="1" si="72"/>
        <v>#NAME?</v>
      </c>
      <c r="CK34" s="37" t="e">
        <f t="shared" ca="1" si="72"/>
        <v>#NAME?</v>
      </c>
      <c r="CL34" s="37" t="e">
        <f t="shared" ca="1" si="72"/>
        <v>#NAME?</v>
      </c>
      <c r="CM34" s="37" t="e">
        <f t="shared" ca="1" si="72"/>
        <v>#NAME?</v>
      </c>
      <c r="CN34" s="37" t="e">
        <f t="shared" ca="1" si="72"/>
        <v>#NAME?</v>
      </c>
      <c r="CO34" s="90" t="e">
        <f t="shared" ca="1" si="72"/>
        <v>#NAME?</v>
      </c>
      <c r="CP34" s="205" t="e">
        <f t="shared" ref="CP34:CP41" ca="1" si="73">SUMSQ(CG34:CO34)</f>
        <v>#NAME?</v>
      </c>
      <c r="CR34" t="str">
        <f t="shared" ref="CR34:CR41" si="74">CR7</f>
        <v>Entertain</v>
      </c>
      <c r="CS34" s="36" t="e">
        <f t="shared" ref="CS34:DA34" ca="1" si="75">IF(CS$19&gt;0,CS21*SQRT(CS$19),0)</f>
        <v>#NAME?</v>
      </c>
      <c r="CT34" s="37" t="e">
        <f t="shared" ca="1" si="75"/>
        <v>#NAME?</v>
      </c>
      <c r="CU34" s="37" t="e">
        <f t="shared" ca="1" si="75"/>
        <v>#NAME?</v>
      </c>
      <c r="CV34" s="37" t="e">
        <f t="shared" ca="1" si="75"/>
        <v>#NAME?</v>
      </c>
      <c r="CW34" s="37" t="e">
        <f t="shared" ca="1" si="75"/>
        <v>#NAME?</v>
      </c>
      <c r="CX34" s="37" t="e">
        <f t="shared" ca="1" si="75"/>
        <v>#NAME?</v>
      </c>
      <c r="CY34" s="37" t="e">
        <f t="shared" ca="1" si="75"/>
        <v>#NAME?</v>
      </c>
      <c r="CZ34" s="37" t="e">
        <f t="shared" ca="1" si="75"/>
        <v>#NAME?</v>
      </c>
      <c r="DA34" s="90" t="e">
        <f t="shared" ca="1" si="75"/>
        <v>#NAME?</v>
      </c>
      <c r="DB34" s="205" t="e">
        <f t="shared" ref="DB34:DB41" ca="1" si="76">SUMSQ(CS34:DA34)</f>
        <v>#NAME?</v>
      </c>
      <c r="DD34" t="str">
        <f t="shared" ref="DD34:DD41" si="77">DD7</f>
        <v>Entertain</v>
      </c>
      <c r="DE34" s="36" t="e">
        <f t="shared" ref="DE34:DM34" ca="1" si="78">IF(DE$19&gt;0,DE21*SQRT(DE$19),0)</f>
        <v>#NAME?</v>
      </c>
      <c r="DF34" s="37" t="e">
        <f t="shared" ca="1" si="78"/>
        <v>#NAME?</v>
      </c>
      <c r="DG34" s="37" t="e">
        <f t="shared" ca="1" si="78"/>
        <v>#NAME?</v>
      </c>
      <c r="DH34" s="37" t="e">
        <f t="shared" ca="1" si="78"/>
        <v>#NAME?</v>
      </c>
      <c r="DI34" s="37" t="e">
        <f t="shared" ca="1" si="78"/>
        <v>#NAME?</v>
      </c>
      <c r="DJ34" s="37" t="e">
        <f t="shared" ca="1" si="78"/>
        <v>#NAME?</v>
      </c>
      <c r="DK34" s="37" t="e">
        <f t="shared" ca="1" si="78"/>
        <v>#NAME?</v>
      </c>
      <c r="DL34" s="37" t="e">
        <f t="shared" ca="1" si="78"/>
        <v>#NAME?</v>
      </c>
      <c r="DM34" s="90" t="e">
        <f t="shared" ca="1" si="78"/>
        <v>#NAME?</v>
      </c>
      <c r="DN34" s="205" t="e">
        <f t="shared" ref="DN34:DN41" ca="1" si="79">SUMSQ(DE34:DM34)</f>
        <v>#NAME?</v>
      </c>
      <c r="DP34" t="str">
        <f t="shared" ref="DP34:DP41" si="80">DP7</f>
        <v>Entertain</v>
      </c>
      <c r="DQ34" s="36" t="e">
        <f t="shared" ref="DQ34:DY34" ca="1" si="81">IF(DQ$19&gt;0,DQ21*SQRT(DQ$19),0)</f>
        <v>#NAME?</v>
      </c>
      <c r="DR34" s="37" t="e">
        <f t="shared" ca="1" si="81"/>
        <v>#NAME?</v>
      </c>
      <c r="DS34" s="37" t="e">
        <f t="shared" ca="1" si="81"/>
        <v>#NAME?</v>
      </c>
      <c r="DT34" s="37" t="e">
        <f t="shared" ca="1" si="81"/>
        <v>#NAME?</v>
      </c>
      <c r="DU34" s="37" t="e">
        <f t="shared" ca="1" si="81"/>
        <v>#NAME?</v>
      </c>
      <c r="DV34" s="37" t="e">
        <f t="shared" ca="1" si="81"/>
        <v>#NAME?</v>
      </c>
      <c r="DW34" s="37" t="e">
        <f t="shared" ca="1" si="81"/>
        <v>#NAME?</v>
      </c>
      <c r="DX34" s="37" t="e">
        <f t="shared" ca="1" si="81"/>
        <v>#NAME?</v>
      </c>
      <c r="DY34" s="90" t="e">
        <f t="shared" ca="1" si="81"/>
        <v>#NAME?</v>
      </c>
      <c r="DZ34" s="205" t="e">
        <f t="shared" ref="DZ34:DZ41" ca="1" si="82">SUMSQ(DQ34:DY34)</f>
        <v>#NAME?</v>
      </c>
      <c r="EB34" t="str">
        <f t="shared" ref="EB34:EB41" si="83">EB7</f>
        <v>Entertain</v>
      </c>
      <c r="EC34" s="36" t="e">
        <f t="shared" ref="EC34:EK34" ca="1" si="84">IF(EC$19&gt;0,EC21*SQRT(EC$19),0)</f>
        <v>#NAME?</v>
      </c>
      <c r="ED34" s="37" t="e">
        <f t="shared" ca="1" si="84"/>
        <v>#NAME?</v>
      </c>
      <c r="EE34" s="37" t="e">
        <f t="shared" ca="1" si="84"/>
        <v>#NAME?</v>
      </c>
      <c r="EF34" s="37" t="e">
        <f t="shared" ca="1" si="84"/>
        <v>#NAME?</v>
      </c>
      <c r="EG34" s="37" t="e">
        <f t="shared" ca="1" si="84"/>
        <v>#NAME?</v>
      </c>
      <c r="EH34" s="37" t="e">
        <f t="shared" ca="1" si="84"/>
        <v>#NAME?</v>
      </c>
      <c r="EI34" s="37" t="e">
        <f t="shared" ca="1" si="84"/>
        <v>#NAME?</v>
      </c>
      <c r="EJ34" s="37" t="e">
        <f t="shared" ca="1" si="84"/>
        <v>#NAME?</v>
      </c>
      <c r="EK34" s="90" t="e">
        <f t="shared" ca="1" si="84"/>
        <v>#NAME?</v>
      </c>
      <c r="EL34" s="205" t="e">
        <f t="shared" ref="EL34:EL41" ca="1" si="85">SUMSQ(EC34:EK34)</f>
        <v>#NAME?</v>
      </c>
      <c r="EN34" t="str">
        <f t="shared" ref="EN34:EN41" si="86">EN7</f>
        <v>Entertain</v>
      </c>
      <c r="EO34" s="36" t="e">
        <f t="shared" ref="EO34:EW34" ca="1" si="87">IF(EO$19&gt;0,EO21*SQRT(EO$19),0)</f>
        <v>#NAME?</v>
      </c>
      <c r="EP34" s="37" t="e">
        <f t="shared" ca="1" si="87"/>
        <v>#NAME?</v>
      </c>
      <c r="EQ34" s="37" t="e">
        <f t="shared" ca="1" si="87"/>
        <v>#NAME?</v>
      </c>
      <c r="ER34" s="37" t="e">
        <f t="shared" ca="1" si="87"/>
        <v>#NAME?</v>
      </c>
      <c r="ES34" s="37" t="e">
        <f t="shared" ca="1" si="87"/>
        <v>#NAME?</v>
      </c>
      <c r="ET34" s="37" t="e">
        <f t="shared" ca="1" si="87"/>
        <v>#NAME?</v>
      </c>
      <c r="EU34" s="37" t="e">
        <f t="shared" ca="1" si="87"/>
        <v>#NAME?</v>
      </c>
      <c r="EV34" s="37" t="e">
        <f t="shared" ca="1" si="87"/>
        <v>#NAME?</v>
      </c>
      <c r="EW34" s="90" t="e">
        <f t="shared" ca="1" si="87"/>
        <v>#NAME?</v>
      </c>
      <c r="EX34" s="205" t="e">
        <f t="shared" ref="EX34:EX41" ca="1" si="88">SUMSQ(EO34:EW34)</f>
        <v>#NAME?</v>
      </c>
      <c r="EZ34" t="str">
        <f t="shared" ref="EZ34:EZ41" si="89">EZ7</f>
        <v>Entertain</v>
      </c>
      <c r="FA34" s="36" t="e">
        <f t="shared" ref="FA34:FI34" ca="1" si="90">IF(FA$19&gt;0,FA21*SQRT(FA$19),0)</f>
        <v>#NAME?</v>
      </c>
      <c r="FB34" s="37" t="e">
        <f t="shared" ca="1" si="90"/>
        <v>#NAME?</v>
      </c>
      <c r="FC34" s="37" t="e">
        <f t="shared" ca="1" si="90"/>
        <v>#NAME?</v>
      </c>
      <c r="FD34" s="37" t="e">
        <f t="shared" ca="1" si="90"/>
        <v>#NAME?</v>
      </c>
      <c r="FE34" s="37" t="e">
        <f t="shared" ca="1" si="90"/>
        <v>#NAME?</v>
      </c>
      <c r="FF34" s="37" t="e">
        <f t="shared" ca="1" si="90"/>
        <v>#NAME?</v>
      </c>
      <c r="FG34" s="37" t="e">
        <f t="shared" ca="1" si="90"/>
        <v>#NAME?</v>
      </c>
      <c r="FH34" s="37" t="e">
        <f t="shared" ca="1" si="90"/>
        <v>#NAME?</v>
      </c>
      <c r="FI34" s="90" t="e">
        <f t="shared" ca="1" si="90"/>
        <v>#NAME?</v>
      </c>
      <c r="FJ34" s="205" t="e">
        <f t="shared" ref="FJ34:FJ41" ca="1" si="91">SUMSQ(FA34:FI34)</f>
        <v>#NAME?</v>
      </c>
      <c r="FL34" t="str">
        <f t="shared" ref="FL34:FL41" si="92">FL7</f>
        <v>Entertain</v>
      </c>
      <c r="FM34" s="36" t="e">
        <f t="shared" ref="FM34:FU34" ca="1" si="93">IF(FM$19&gt;0,FM21*SQRT(FM$19),0)</f>
        <v>#NAME?</v>
      </c>
      <c r="FN34" s="37" t="e">
        <f t="shared" ca="1" si="93"/>
        <v>#NAME?</v>
      </c>
      <c r="FO34" s="37" t="e">
        <f t="shared" ca="1" si="93"/>
        <v>#NAME?</v>
      </c>
      <c r="FP34" s="37" t="e">
        <f t="shared" ca="1" si="93"/>
        <v>#NAME?</v>
      </c>
      <c r="FQ34" s="37" t="e">
        <f t="shared" ca="1" si="93"/>
        <v>#NAME?</v>
      </c>
      <c r="FR34" s="37" t="e">
        <f t="shared" ca="1" si="93"/>
        <v>#NAME?</v>
      </c>
      <c r="FS34" s="37" t="e">
        <f t="shared" ca="1" si="93"/>
        <v>#NAME?</v>
      </c>
      <c r="FT34" s="37" t="e">
        <f t="shared" ca="1" si="93"/>
        <v>#NAME?</v>
      </c>
      <c r="FU34" s="90" t="e">
        <f t="shared" ca="1" si="93"/>
        <v>#NAME?</v>
      </c>
      <c r="FV34" s="205" t="e">
        <f t="shared" ref="FV34:FV41" ca="1" si="94">SUMSQ(FM34:FU34)</f>
        <v>#NAME?</v>
      </c>
      <c r="FX34" t="str">
        <f t="shared" ref="FX34:FX41" si="95">FX7</f>
        <v>Entertain</v>
      </c>
      <c r="FY34" s="36" t="e">
        <f t="shared" ref="FY34:GG34" ca="1" si="96">IF(FY$19&gt;0,FY21*SQRT(FY$19),0)</f>
        <v>#NAME?</v>
      </c>
      <c r="FZ34" s="37" t="e">
        <f t="shared" ca="1" si="96"/>
        <v>#NAME?</v>
      </c>
      <c r="GA34" s="37" t="e">
        <f t="shared" ca="1" si="96"/>
        <v>#NAME?</v>
      </c>
      <c r="GB34" s="37" t="e">
        <f t="shared" ca="1" si="96"/>
        <v>#NAME?</v>
      </c>
      <c r="GC34" s="37" t="e">
        <f t="shared" ca="1" si="96"/>
        <v>#NAME?</v>
      </c>
      <c r="GD34" s="37" t="e">
        <f t="shared" ca="1" si="96"/>
        <v>#NAME?</v>
      </c>
      <c r="GE34" s="37" t="e">
        <f t="shared" ca="1" si="96"/>
        <v>#NAME?</v>
      </c>
      <c r="GF34" s="37" t="e">
        <f t="shared" ca="1" si="96"/>
        <v>#NAME?</v>
      </c>
      <c r="GG34" s="90" t="e">
        <f t="shared" ca="1" si="96"/>
        <v>#NAME?</v>
      </c>
      <c r="GH34" s="205" t="e">
        <f t="shared" ref="GH34:GH41" ca="1" si="97">SUMSQ(FY34:GG34)</f>
        <v>#NAME?</v>
      </c>
      <c r="GJ34" t="str">
        <f t="shared" ref="GJ34:GJ41" si="98">GJ7</f>
        <v>Entertain</v>
      </c>
      <c r="GK34" s="36" t="e">
        <f t="shared" ref="GK34:GS34" ca="1" si="99">IF(GK$19&gt;0,GK21*SQRT(GK$19),0)</f>
        <v>#NAME?</v>
      </c>
      <c r="GL34" s="37" t="e">
        <f t="shared" ca="1" si="99"/>
        <v>#NAME?</v>
      </c>
      <c r="GM34" s="37" t="e">
        <f t="shared" ca="1" si="99"/>
        <v>#NAME?</v>
      </c>
      <c r="GN34" s="37" t="e">
        <f t="shared" ca="1" si="99"/>
        <v>#NAME?</v>
      </c>
      <c r="GO34" s="37" t="e">
        <f t="shared" ca="1" si="99"/>
        <v>#NAME?</v>
      </c>
      <c r="GP34" s="37" t="e">
        <f t="shared" ca="1" si="99"/>
        <v>#NAME?</v>
      </c>
      <c r="GQ34" s="37" t="e">
        <f t="shared" ca="1" si="99"/>
        <v>#NAME?</v>
      </c>
      <c r="GR34" s="37" t="e">
        <f t="shared" ca="1" si="99"/>
        <v>#NAME?</v>
      </c>
      <c r="GS34" s="90" t="e">
        <f t="shared" ca="1" si="99"/>
        <v>#NAME?</v>
      </c>
      <c r="GT34" s="205" t="e">
        <f t="shared" ref="GT34:GT41" ca="1" si="100">SUMSQ(GK34:GS34)</f>
        <v>#NAME?</v>
      </c>
      <c r="GV34" t="str">
        <f t="shared" ref="GV34:GV41" si="101">GV7</f>
        <v>Entertain</v>
      </c>
      <c r="GW34" s="36" t="e">
        <f t="shared" ref="GW34:HE34" ca="1" si="102">IF(GW$19&gt;0,GW21*SQRT(GW$19),0)</f>
        <v>#NAME?</v>
      </c>
      <c r="GX34" s="37" t="e">
        <f t="shared" ca="1" si="102"/>
        <v>#NAME?</v>
      </c>
      <c r="GY34" s="37" t="e">
        <f t="shared" ca="1" si="102"/>
        <v>#NAME?</v>
      </c>
      <c r="GZ34" s="37" t="e">
        <f t="shared" ca="1" si="102"/>
        <v>#NAME?</v>
      </c>
      <c r="HA34" s="37" t="e">
        <f t="shared" ca="1" si="102"/>
        <v>#NAME?</v>
      </c>
      <c r="HB34" s="37" t="e">
        <f t="shared" ca="1" si="102"/>
        <v>#NAME?</v>
      </c>
      <c r="HC34" s="37" t="e">
        <f t="shared" ca="1" si="102"/>
        <v>#NAME?</v>
      </c>
      <c r="HD34" s="37" t="e">
        <f t="shared" ca="1" si="102"/>
        <v>#NAME?</v>
      </c>
      <c r="HE34" s="90" t="e">
        <f t="shared" ca="1" si="102"/>
        <v>#NAME?</v>
      </c>
      <c r="HF34" s="205" t="e">
        <f t="shared" ref="HF34:HF41" ca="1" si="103">SUMSQ(GW34:HE34)</f>
        <v>#NAME?</v>
      </c>
      <c r="HH34" t="str">
        <f t="shared" ref="HH34:HH41" si="104">HH7</f>
        <v>Entertain</v>
      </c>
      <c r="HI34" s="36" t="e">
        <f t="shared" ref="HI34:HQ34" ca="1" si="105">IF(HI$19&gt;0,HI21*SQRT(HI$19),0)</f>
        <v>#NAME?</v>
      </c>
      <c r="HJ34" s="37" t="e">
        <f t="shared" ca="1" si="105"/>
        <v>#NAME?</v>
      </c>
      <c r="HK34" s="37" t="e">
        <f t="shared" ca="1" si="105"/>
        <v>#NAME?</v>
      </c>
      <c r="HL34" s="37" t="e">
        <f t="shared" ca="1" si="105"/>
        <v>#NAME?</v>
      </c>
      <c r="HM34" s="37" t="e">
        <f t="shared" ca="1" si="105"/>
        <v>#NAME?</v>
      </c>
      <c r="HN34" s="37" t="e">
        <f t="shared" ca="1" si="105"/>
        <v>#NAME?</v>
      </c>
      <c r="HO34" s="37" t="e">
        <f t="shared" ca="1" si="105"/>
        <v>#NAME?</v>
      </c>
      <c r="HP34" s="37" t="e">
        <f t="shared" ca="1" si="105"/>
        <v>#NAME?</v>
      </c>
      <c r="HQ34" s="90" t="e">
        <f t="shared" ca="1" si="105"/>
        <v>#NAME?</v>
      </c>
      <c r="HR34" s="205" t="e">
        <f t="shared" ref="HR34:HR41" ca="1" si="106">SUMSQ(HI34:HQ34)</f>
        <v>#NAME?</v>
      </c>
      <c r="HT34" t="str">
        <f t="shared" ref="HT34:HT41" si="107">HT7</f>
        <v>Entertain</v>
      </c>
      <c r="HU34" s="36" t="e">
        <f t="shared" ref="HU34:IC34" ca="1" si="108">IF(HU$19&gt;0,HU21*SQRT(HU$19),0)</f>
        <v>#NAME?</v>
      </c>
      <c r="HV34" s="37" t="e">
        <f t="shared" ca="1" si="108"/>
        <v>#NAME?</v>
      </c>
      <c r="HW34" s="37" t="e">
        <f t="shared" ca="1" si="108"/>
        <v>#NAME?</v>
      </c>
      <c r="HX34" s="37" t="e">
        <f t="shared" ca="1" si="108"/>
        <v>#NAME?</v>
      </c>
      <c r="HY34" s="37" t="e">
        <f t="shared" ca="1" si="108"/>
        <v>#NAME?</v>
      </c>
      <c r="HZ34" s="37" t="e">
        <f t="shared" ca="1" si="108"/>
        <v>#NAME?</v>
      </c>
      <c r="IA34" s="37" t="e">
        <f t="shared" ca="1" si="108"/>
        <v>#NAME?</v>
      </c>
      <c r="IB34" s="37" t="e">
        <f t="shared" ca="1" si="108"/>
        <v>#NAME?</v>
      </c>
      <c r="IC34" s="90" t="e">
        <f t="shared" ca="1" si="108"/>
        <v>#NAME?</v>
      </c>
      <c r="ID34" s="205" t="e">
        <f t="shared" ref="ID34:ID41" ca="1" si="109">SUMSQ(HU34:IC34)</f>
        <v>#NAME?</v>
      </c>
      <c r="IF34" t="str">
        <f t="shared" ref="IF34:IF41" si="110">IF7</f>
        <v>Entertain</v>
      </c>
      <c r="IG34" s="36" t="e">
        <f t="shared" ref="IG34:IO34" ca="1" si="111">IF(IG$19&gt;0,IG21*SQRT(IG$19),0)</f>
        <v>#NAME?</v>
      </c>
      <c r="IH34" s="37" t="e">
        <f t="shared" ca="1" si="111"/>
        <v>#NAME?</v>
      </c>
      <c r="II34" s="37" t="e">
        <f t="shared" ca="1" si="111"/>
        <v>#NAME?</v>
      </c>
      <c r="IJ34" s="37" t="e">
        <f t="shared" ca="1" si="111"/>
        <v>#NAME?</v>
      </c>
      <c r="IK34" s="37" t="e">
        <f t="shared" ca="1" si="111"/>
        <v>#NAME?</v>
      </c>
      <c r="IL34" s="37" t="e">
        <f t="shared" ca="1" si="111"/>
        <v>#NAME?</v>
      </c>
      <c r="IM34" s="37" t="e">
        <f t="shared" ca="1" si="111"/>
        <v>#NAME?</v>
      </c>
      <c r="IN34" s="37" t="e">
        <f t="shared" ca="1" si="111"/>
        <v>#NAME?</v>
      </c>
      <c r="IO34" s="90" t="e">
        <f t="shared" ca="1" si="111"/>
        <v>#NAME?</v>
      </c>
      <c r="IP34" s="205" t="e">
        <f t="shared" ref="IP34:IP41" ca="1" si="112">SUMSQ(IG34:IO34)</f>
        <v>#NAME?</v>
      </c>
      <c r="IR34" t="str">
        <f t="shared" ref="IR34:IR41" si="113">IR7</f>
        <v>Entertain</v>
      </c>
      <c r="IS34" s="36" t="e">
        <f t="shared" ref="IS34:JA34" ca="1" si="114">IF(IS$19&gt;0,IS21*SQRT(IS$19),0)</f>
        <v>#NAME?</v>
      </c>
      <c r="IT34" s="37" t="e">
        <f t="shared" ca="1" si="114"/>
        <v>#NAME?</v>
      </c>
      <c r="IU34" s="37" t="e">
        <f t="shared" ca="1" si="114"/>
        <v>#NAME?</v>
      </c>
      <c r="IV34" s="37" t="e">
        <f t="shared" ca="1" si="114"/>
        <v>#NAME?</v>
      </c>
      <c r="IW34" s="37" t="e">
        <f t="shared" ca="1" si="114"/>
        <v>#NAME?</v>
      </c>
      <c r="IX34" s="37" t="e">
        <f t="shared" ca="1" si="114"/>
        <v>#NAME?</v>
      </c>
      <c r="IY34" s="37" t="e">
        <f t="shared" ca="1" si="114"/>
        <v>#NAME?</v>
      </c>
      <c r="IZ34" s="37" t="e">
        <f t="shared" ca="1" si="114"/>
        <v>#NAME?</v>
      </c>
      <c r="JA34" s="90" t="e">
        <f t="shared" ca="1" si="114"/>
        <v>#NAME?</v>
      </c>
      <c r="JB34" s="205" t="e">
        <f t="shared" ref="JB34:JB41" ca="1" si="115">SUMSQ(IS34:JA34)</f>
        <v>#NAME?</v>
      </c>
      <c r="JD34" t="str">
        <f t="shared" ref="JD34:JD41" si="116">JD7</f>
        <v>Entertain</v>
      </c>
      <c r="JE34" s="36" t="e">
        <f t="shared" ref="JE34:JM34" ca="1" si="117">IF(JE$19&gt;0,JE21*SQRT(JE$19),0)</f>
        <v>#NAME?</v>
      </c>
      <c r="JF34" s="37" t="e">
        <f t="shared" ca="1" si="117"/>
        <v>#NAME?</v>
      </c>
      <c r="JG34" s="37" t="e">
        <f t="shared" ca="1" si="117"/>
        <v>#NAME?</v>
      </c>
      <c r="JH34" s="37" t="e">
        <f t="shared" ca="1" si="117"/>
        <v>#NAME?</v>
      </c>
      <c r="JI34" s="37" t="e">
        <f t="shared" ca="1" si="117"/>
        <v>#NAME?</v>
      </c>
      <c r="JJ34" s="37" t="e">
        <f t="shared" ca="1" si="117"/>
        <v>#NAME?</v>
      </c>
      <c r="JK34" s="37" t="e">
        <f t="shared" ca="1" si="117"/>
        <v>#NAME?</v>
      </c>
      <c r="JL34" s="37" t="e">
        <f t="shared" ca="1" si="117"/>
        <v>#NAME?</v>
      </c>
      <c r="JM34" s="90" t="e">
        <f t="shared" ca="1" si="117"/>
        <v>#NAME?</v>
      </c>
      <c r="JN34" s="205" t="e">
        <f t="shared" ref="JN34:JN41" ca="1" si="118">SUMSQ(JE34:JM34)</f>
        <v>#NAME?</v>
      </c>
      <c r="JP34" t="str">
        <f t="shared" ref="JP34:JP41" si="119">JP7</f>
        <v>Entertain</v>
      </c>
      <c r="JQ34" s="36" t="e">
        <f t="shared" ref="JQ34:JY34" ca="1" si="120">IF(JQ$19&gt;0,JQ21*SQRT(JQ$19),0)</f>
        <v>#NAME?</v>
      </c>
      <c r="JR34" s="37" t="e">
        <f t="shared" ca="1" si="120"/>
        <v>#NAME?</v>
      </c>
      <c r="JS34" s="37" t="e">
        <f t="shared" ca="1" si="120"/>
        <v>#NAME?</v>
      </c>
      <c r="JT34" s="37" t="e">
        <f t="shared" ca="1" si="120"/>
        <v>#NAME?</v>
      </c>
      <c r="JU34" s="37" t="e">
        <f t="shared" ca="1" si="120"/>
        <v>#NAME?</v>
      </c>
      <c r="JV34" s="37" t="e">
        <f t="shared" ca="1" si="120"/>
        <v>#NAME?</v>
      </c>
      <c r="JW34" s="37" t="e">
        <f t="shared" ca="1" si="120"/>
        <v>#NAME?</v>
      </c>
      <c r="JX34" s="37" t="e">
        <f t="shared" ca="1" si="120"/>
        <v>#NAME?</v>
      </c>
      <c r="JY34" s="90" t="e">
        <f t="shared" ca="1" si="120"/>
        <v>#NAME?</v>
      </c>
      <c r="JZ34" s="205" t="e">
        <f t="shared" ref="JZ34:JZ41" ca="1" si="121">SUMSQ(JQ34:JY34)</f>
        <v>#NAME?</v>
      </c>
      <c r="KB34" t="str">
        <f t="shared" ref="KB34:KB41" si="122">KB7</f>
        <v>Entertain</v>
      </c>
      <c r="KC34" s="36" t="e">
        <f t="shared" ref="KC34:KK34" ca="1" si="123">IF(KC$19&gt;0,KC21*SQRT(KC$19),0)</f>
        <v>#NAME?</v>
      </c>
      <c r="KD34" s="37" t="e">
        <f t="shared" ca="1" si="123"/>
        <v>#NAME?</v>
      </c>
      <c r="KE34" s="37" t="e">
        <f t="shared" ca="1" si="123"/>
        <v>#NAME?</v>
      </c>
      <c r="KF34" s="37" t="e">
        <f t="shared" ca="1" si="123"/>
        <v>#NAME?</v>
      </c>
      <c r="KG34" s="37" t="e">
        <f t="shared" ca="1" si="123"/>
        <v>#NAME?</v>
      </c>
      <c r="KH34" s="37" t="e">
        <f t="shared" ca="1" si="123"/>
        <v>#NAME?</v>
      </c>
      <c r="KI34" s="37" t="e">
        <f t="shared" ca="1" si="123"/>
        <v>#NAME?</v>
      </c>
      <c r="KJ34" s="37" t="e">
        <f t="shared" ca="1" si="123"/>
        <v>#NAME?</v>
      </c>
      <c r="KK34" s="90" t="e">
        <f t="shared" ca="1" si="123"/>
        <v>#NAME?</v>
      </c>
      <c r="KL34" s="205" t="e">
        <f t="shared" ref="KL34:KL41" ca="1" si="124">SUMSQ(KC34:KK34)</f>
        <v>#NAME?</v>
      </c>
      <c r="KN34" t="str">
        <f t="shared" ref="KN34:KN41" si="125">KN7</f>
        <v>Entertain</v>
      </c>
      <c r="KO34" s="36" t="e">
        <f t="shared" ref="KO34:KW34" ca="1" si="126">IF(KO$19&gt;0,KO21*SQRT(KO$19),0)</f>
        <v>#NAME?</v>
      </c>
      <c r="KP34" s="37" t="e">
        <f t="shared" ca="1" si="126"/>
        <v>#NAME?</v>
      </c>
      <c r="KQ34" s="37" t="e">
        <f t="shared" ca="1" si="126"/>
        <v>#NAME?</v>
      </c>
      <c r="KR34" s="37" t="e">
        <f t="shared" ca="1" si="126"/>
        <v>#NAME?</v>
      </c>
      <c r="KS34" s="37" t="e">
        <f t="shared" ca="1" si="126"/>
        <v>#NAME?</v>
      </c>
      <c r="KT34" s="37" t="e">
        <f t="shared" ca="1" si="126"/>
        <v>#NAME?</v>
      </c>
      <c r="KU34" s="37" t="e">
        <f t="shared" ca="1" si="126"/>
        <v>#NAME?</v>
      </c>
      <c r="KV34" s="37" t="e">
        <f t="shared" ca="1" si="126"/>
        <v>#NAME?</v>
      </c>
      <c r="KW34" s="90" t="e">
        <f t="shared" ca="1" si="126"/>
        <v>#NAME?</v>
      </c>
      <c r="KX34" s="205" t="e">
        <f t="shared" ref="KX34:KX41" ca="1" si="127">SUMSQ(KO34:KW34)</f>
        <v>#NAME?</v>
      </c>
      <c r="KZ34" t="str">
        <f t="shared" ref="KZ34:KZ41" si="128">KZ7</f>
        <v>Entertain</v>
      </c>
      <c r="LA34" s="36" t="e">
        <f t="shared" ref="LA34:LI34" ca="1" si="129">IF(LA$19&gt;0,LA21*SQRT(LA$19),0)</f>
        <v>#NAME?</v>
      </c>
      <c r="LB34" s="37" t="e">
        <f t="shared" ca="1" si="129"/>
        <v>#NAME?</v>
      </c>
      <c r="LC34" s="37" t="e">
        <f t="shared" ca="1" si="129"/>
        <v>#NAME?</v>
      </c>
      <c r="LD34" s="37" t="e">
        <f t="shared" ca="1" si="129"/>
        <v>#NAME?</v>
      </c>
      <c r="LE34" s="37" t="e">
        <f t="shared" ca="1" si="129"/>
        <v>#NAME?</v>
      </c>
      <c r="LF34" s="37" t="e">
        <f t="shared" ca="1" si="129"/>
        <v>#NAME?</v>
      </c>
      <c r="LG34" s="37" t="e">
        <f t="shared" ca="1" si="129"/>
        <v>#NAME?</v>
      </c>
      <c r="LH34" s="37" t="e">
        <f t="shared" ca="1" si="129"/>
        <v>#NAME?</v>
      </c>
      <c r="LI34" s="90" t="e">
        <f t="shared" ca="1" si="129"/>
        <v>#NAME?</v>
      </c>
      <c r="LJ34" s="205" t="e">
        <f t="shared" ref="LJ34:LJ41" ca="1" si="130">SUMSQ(LA34:LI34)</f>
        <v>#NAME?</v>
      </c>
      <c r="LL34" t="str">
        <f t="shared" ref="LL34:LL41" si="131">LL7</f>
        <v>Entertain</v>
      </c>
      <c r="LM34" s="36" t="e">
        <f t="shared" ref="LM34:LU34" ca="1" si="132">IF(LM$19&gt;0,LM21*SQRT(LM$19),0)</f>
        <v>#NAME?</v>
      </c>
      <c r="LN34" s="37" t="e">
        <f t="shared" ca="1" si="132"/>
        <v>#NAME?</v>
      </c>
      <c r="LO34" s="37" t="e">
        <f t="shared" ca="1" si="132"/>
        <v>#NAME?</v>
      </c>
      <c r="LP34" s="37" t="e">
        <f t="shared" ca="1" si="132"/>
        <v>#NAME?</v>
      </c>
      <c r="LQ34" s="37" t="e">
        <f t="shared" ca="1" si="132"/>
        <v>#NAME?</v>
      </c>
      <c r="LR34" s="37" t="e">
        <f t="shared" ca="1" si="132"/>
        <v>#NAME?</v>
      </c>
      <c r="LS34" s="37" t="e">
        <f t="shared" ca="1" si="132"/>
        <v>#NAME?</v>
      </c>
      <c r="LT34" s="37" t="e">
        <f t="shared" ca="1" si="132"/>
        <v>#NAME?</v>
      </c>
      <c r="LU34" s="90" t="e">
        <f t="shared" ca="1" si="132"/>
        <v>#NAME?</v>
      </c>
      <c r="LV34" s="205" t="e">
        <f t="shared" ref="LV34:LV41" ca="1" si="133">SUMSQ(LM34:LU34)</f>
        <v>#NAME?</v>
      </c>
      <c r="LX34" t="str">
        <f t="shared" ref="LX34:LX41" si="134">LX7</f>
        <v>Entertain</v>
      </c>
      <c r="LY34" s="36" t="e">
        <f t="shared" ref="LY34:MG34" ca="1" si="135">IF(LY$19&gt;0,LY21*SQRT(LY$19),0)</f>
        <v>#NAME?</v>
      </c>
      <c r="LZ34" s="37" t="e">
        <f t="shared" ca="1" si="135"/>
        <v>#NAME?</v>
      </c>
      <c r="MA34" s="37" t="e">
        <f t="shared" ca="1" si="135"/>
        <v>#NAME?</v>
      </c>
      <c r="MB34" s="37" t="e">
        <f t="shared" ca="1" si="135"/>
        <v>#NAME?</v>
      </c>
      <c r="MC34" s="37" t="e">
        <f t="shared" ca="1" si="135"/>
        <v>#NAME?</v>
      </c>
      <c r="MD34" s="37" t="e">
        <f t="shared" ca="1" si="135"/>
        <v>#NAME?</v>
      </c>
      <c r="ME34" s="37" t="e">
        <f t="shared" ca="1" si="135"/>
        <v>#NAME?</v>
      </c>
      <c r="MF34" s="37" t="e">
        <f t="shared" ca="1" si="135"/>
        <v>#NAME?</v>
      </c>
      <c r="MG34" s="90" t="e">
        <f t="shared" ca="1" si="135"/>
        <v>#NAME?</v>
      </c>
      <c r="MH34" s="205" t="e">
        <f t="shared" ref="MH34:MH41" ca="1" si="136">SUMSQ(LY34:MG34)</f>
        <v>#NAME?</v>
      </c>
      <c r="MJ34" t="str">
        <f t="shared" ref="MJ34:MJ41" si="137">MJ7</f>
        <v>Entertain</v>
      </c>
      <c r="MK34" s="36" t="e">
        <f t="shared" ref="MK34:MS34" ca="1" si="138">IF(MK$19&gt;0,MK21*SQRT(MK$19),0)</f>
        <v>#NAME?</v>
      </c>
      <c r="ML34" s="37" t="e">
        <f t="shared" ca="1" si="138"/>
        <v>#NAME?</v>
      </c>
      <c r="MM34" s="37" t="e">
        <f t="shared" ca="1" si="138"/>
        <v>#NAME?</v>
      </c>
      <c r="MN34" s="37" t="e">
        <f t="shared" ca="1" si="138"/>
        <v>#NAME?</v>
      </c>
      <c r="MO34" s="37" t="e">
        <f t="shared" ca="1" si="138"/>
        <v>#NAME?</v>
      </c>
      <c r="MP34" s="37" t="e">
        <f t="shared" ca="1" si="138"/>
        <v>#NAME?</v>
      </c>
      <c r="MQ34" s="37" t="e">
        <f t="shared" ca="1" si="138"/>
        <v>#NAME?</v>
      </c>
      <c r="MR34" s="37" t="e">
        <f t="shared" ca="1" si="138"/>
        <v>#NAME?</v>
      </c>
      <c r="MS34" s="90" t="e">
        <f t="shared" ca="1" si="138"/>
        <v>#NAME?</v>
      </c>
      <c r="MT34" s="205" t="e">
        <f t="shared" ref="MT34:MT41" ca="1" si="139">SUMSQ(MK34:MS34)</f>
        <v>#NAME?</v>
      </c>
    </row>
    <row r="35" spans="1:358" x14ac:dyDescent="0.3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S35">
        <f t="shared" ref="S35:S41" si="140">S34+1</f>
        <v>3</v>
      </c>
      <c r="T35" s="49" t="e">
        <f ca="1">RSquare($B$4:$J$123,S35)</f>
        <v>#NAME?</v>
      </c>
      <c r="V35" s="205" t="e">
        <f ca="1"/>
        <v>#NAME?</v>
      </c>
      <c r="X35" t="str">
        <f t="shared" si="56"/>
        <v>Comm</v>
      </c>
      <c r="Y35" s="36" t="e">
        <f t="shared" ref="Y35:AG35" ca="1" si="141">IF(Y$19&gt;0,Y22*SQRT(Y$19),0)</f>
        <v>#NAME?</v>
      </c>
      <c r="Z35" s="37" t="e">
        <f t="shared" ca="1" si="141"/>
        <v>#NAME?</v>
      </c>
      <c r="AA35" s="37" t="e">
        <f t="shared" ca="1" si="141"/>
        <v>#NAME?</v>
      </c>
      <c r="AB35" s="37" t="e">
        <f t="shared" ca="1" si="141"/>
        <v>#NAME?</v>
      </c>
      <c r="AC35" s="37" t="e">
        <f t="shared" ca="1" si="141"/>
        <v>#NAME?</v>
      </c>
      <c r="AD35" s="37" t="e">
        <f t="shared" ca="1" si="141"/>
        <v>#NAME?</v>
      </c>
      <c r="AE35" s="37" t="e">
        <f t="shared" ca="1" si="141"/>
        <v>#NAME?</v>
      </c>
      <c r="AF35" s="37" t="e">
        <f t="shared" ca="1" si="141"/>
        <v>#NAME?</v>
      </c>
      <c r="AG35" s="90" t="e">
        <f t="shared" ca="1" si="141"/>
        <v>#NAME?</v>
      </c>
      <c r="AH35" s="205" t="e">
        <f t="shared" ca="1" si="58"/>
        <v>#NAME?</v>
      </c>
      <c r="AJ35" t="str">
        <f t="shared" si="59"/>
        <v>Comm</v>
      </c>
      <c r="AK35" s="36" t="e">
        <f t="shared" ref="AK35:AS35" ca="1" si="142">IF(AK$19&gt;0,AK22*SQRT(AK$19),0)</f>
        <v>#NAME?</v>
      </c>
      <c r="AL35" s="37" t="e">
        <f t="shared" ca="1" si="142"/>
        <v>#NAME?</v>
      </c>
      <c r="AM35" s="37" t="e">
        <f t="shared" ca="1" si="142"/>
        <v>#NAME?</v>
      </c>
      <c r="AN35" s="37" t="e">
        <f t="shared" ca="1" si="142"/>
        <v>#NAME?</v>
      </c>
      <c r="AO35" s="37" t="e">
        <f t="shared" ca="1" si="142"/>
        <v>#NAME?</v>
      </c>
      <c r="AP35" s="37" t="e">
        <f t="shared" ca="1" si="142"/>
        <v>#NAME?</v>
      </c>
      <c r="AQ35" s="37" t="e">
        <f t="shared" ca="1" si="142"/>
        <v>#NAME?</v>
      </c>
      <c r="AR35" s="37" t="e">
        <f t="shared" ca="1" si="142"/>
        <v>#NAME?</v>
      </c>
      <c r="AS35" s="90" t="e">
        <f t="shared" ca="1" si="142"/>
        <v>#NAME?</v>
      </c>
      <c r="AT35" s="205" t="e">
        <f t="shared" ca="1" si="61"/>
        <v>#NAME?</v>
      </c>
      <c r="AV35" t="str">
        <f t="shared" si="62"/>
        <v>Comm</v>
      </c>
      <c r="AW35" s="36" t="e">
        <f t="shared" ref="AW35:BE35" ca="1" si="143">IF(AW$19&gt;0,AW22*SQRT(AW$19),0)</f>
        <v>#NAME?</v>
      </c>
      <c r="AX35" s="37" t="e">
        <f t="shared" ca="1" si="143"/>
        <v>#NAME?</v>
      </c>
      <c r="AY35" s="37" t="e">
        <f t="shared" ca="1" si="143"/>
        <v>#NAME?</v>
      </c>
      <c r="AZ35" s="37" t="e">
        <f t="shared" ca="1" si="143"/>
        <v>#NAME?</v>
      </c>
      <c r="BA35" s="37" t="e">
        <f t="shared" ca="1" si="143"/>
        <v>#NAME?</v>
      </c>
      <c r="BB35" s="37" t="e">
        <f t="shared" ca="1" si="143"/>
        <v>#NAME?</v>
      </c>
      <c r="BC35" s="37" t="e">
        <f t="shared" ca="1" si="143"/>
        <v>#NAME?</v>
      </c>
      <c r="BD35" s="37" t="e">
        <f t="shared" ca="1" si="143"/>
        <v>#NAME?</v>
      </c>
      <c r="BE35" s="90" t="e">
        <f t="shared" ca="1" si="143"/>
        <v>#NAME?</v>
      </c>
      <c r="BF35" s="205" t="e">
        <f t="shared" ca="1" si="64"/>
        <v>#NAME?</v>
      </c>
      <c r="BH35" t="str">
        <f t="shared" si="65"/>
        <v>Comm</v>
      </c>
      <c r="BI35" s="36" t="e">
        <f t="shared" ref="BI35:BQ35" ca="1" si="144">IF(BI$19&gt;0,BI22*SQRT(BI$19),0)</f>
        <v>#NAME?</v>
      </c>
      <c r="BJ35" s="37" t="e">
        <f t="shared" ca="1" si="144"/>
        <v>#NAME?</v>
      </c>
      <c r="BK35" s="37" t="e">
        <f t="shared" ca="1" si="144"/>
        <v>#NAME?</v>
      </c>
      <c r="BL35" s="37" t="e">
        <f t="shared" ca="1" si="144"/>
        <v>#NAME?</v>
      </c>
      <c r="BM35" s="37" t="e">
        <f t="shared" ca="1" si="144"/>
        <v>#NAME?</v>
      </c>
      <c r="BN35" s="37" t="e">
        <f t="shared" ca="1" si="144"/>
        <v>#NAME?</v>
      </c>
      <c r="BO35" s="37" t="e">
        <f t="shared" ca="1" si="144"/>
        <v>#NAME?</v>
      </c>
      <c r="BP35" s="37" t="e">
        <f t="shared" ca="1" si="144"/>
        <v>#NAME?</v>
      </c>
      <c r="BQ35" s="90" t="e">
        <f t="shared" ca="1" si="144"/>
        <v>#NAME?</v>
      </c>
      <c r="BR35" s="205" t="e">
        <f t="shared" ca="1" si="67"/>
        <v>#NAME?</v>
      </c>
      <c r="BT35" t="str">
        <f t="shared" si="68"/>
        <v>Comm</v>
      </c>
      <c r="BU35" s="36" t="e">
        <f t="shared" ref="BU35:CC35" ca="1" si="145">IF(BU$19&gt;0,BU22*SQRT(BU$19),0)</f>
        <v>#NAME?</v>
      </c>
      <c r="BV35" s="37" t="e">
        <f t="shared" ca="1" si="145"/>
        <v>#NAME?</v>
      </c>
      <c r="BW35" s="37" t="e">
        <f t="shared" ca="1" si="145"/>
        <v>#NAME?</v>
      </c>
      <c r="BX35" s="37" t="e">
        <f t="shared" ca="1" si="145"/>
        <v>#NAME?</v>
      </c>
      <c r="BY35" s="37" t="e">
        <f t="shared" ca="1" si="145"/>
        <v>#NAME?</v>
      </c>
      <c r="BZ35" s="37" t="e">
        <f t="shared" ca="1" si="145"/>
        <v>#NAME?</v>
      </c>
      <c r="CA35" s="37" t="e">
        <f t="shared" ca="1" si="145"/>
        <v>#NAME?</v>
      </c>
      <c r="CB35" s="37" t="e">
        <f t="shared" ca="1" si="145"/>
        <v>#NAME?</v>
      </c>
      <c r="CC35" s="90" t="e">
        <f t="shared" ca="1" si="145"/>
        <v>#NAME?</v>
      </c>
      <c r="CD35" s="205" t="e">
        <f t="shared" ca="1" si="70"/>
        <v>#NAME?</v>
      </c>
      <c r="CF35" t="str">
        <f t="shared" si="71"/>
        <v>Comm</v>
      </c>
      <c r="CG35" s="36" t="e">
        <f t="shared" ref="CG35:CO35" ca="1" si="146">IF(CG$19&gt;0,CG22*SQRT(CG$19),0)</f>
        <v>#NAME?</v>
      </c>
      <c r="CH35" s="37" t="e">
        <f t="shared" ca="1" si="146"/>
        <v>#NAME?</v>
      </c>
      <c r="CI35" s="37" t="e">
        <f t="shared" ca="1" si="146"/>
        <v>#NAME?</v>
      </c>
      <c r="CJ35" s="37" t="e">
        <f t="shared" ca="1" si="146"/>
        <v>#NAME?</v>
      </c>
      <c r="CK35" s="37" t="e">
        <f t="shared" ca="1" si="146"/>
        <v>#NAME?</v>
      </c>
      <c r="CL35" s="37" t="e">
        <f t="shared" ca="1" si="146"/>
        <v>#NAME?</v>
      </c>
      <c r="CM35" s="37" t="e">
        <f t="shared" ca="1" si="146"/>
        <v>#NAME?</v>
      </c>
      <c r="CN35" s="37" t="e">
        <f t="shared" ca="1" si="146"/>
        <v>#NAME?</v>
      </c>
      <c r="CO35" s="90" t="e">
        <f t="shared" ca="1" si="146"/>
        <v>#NAME?</v>
      </c>
      <c r="CP35" s="205" t="e">
        <f t="shared" ca="1" si="73"/>
        <v>#NAME?</v>
      </c>
      <c r="CR35" t="str">
        <f t="shared" si="74"/>
        <v>Comm</v>
      </c>
      <c r="CS35" s="36" t="e">
        <f t="shared" ref="CS35:DA35" ca="1" si="147">IF(CS$19&gt;0,CS22*SQRT(CS$19),0)</f>
        <v>#NAME?</v>
      </c>
      <c r="CT35" s="37" t="e">
        <f t="shared" ca="1" si="147"/>
        <v>#NAME?</v>
      </c>
      <c r="CU35" s="37" t="e">
        <f t="shared" ca="1" si="147"/>
        <v>#NAME?</v>
      </c>
      <c r="CV35" s="37" t="e">
        <f t="shared" ca="1" si="147"/>
        <v>#NAME?</v>
      </c>
      <c r="CW35" s="37" t="e">
        <f t="shared" ca="1" si="147"/>
        <v>#NAME?</v>
      </c>
      <c r="CX35" s="37" t="e">
        <f t="shared" ca="1" si="147"/>
        <v>#NAME?</v>
      </c>
      <c r="CY35" s="37" t="e">
        <f t="shared" ca="1" si="147"/>
        <v>#NAME?</v>
      </c>
      <c r="CZ35" s="37" t="e">
        <f t="shared" ca="1" si="147"/>
        <v>#NAME?</v>
      </c>
      <c r="DA35" s="90" t="e">
        <f t="shared" ca="1" si="147"/>
        <v>#NAME?</v>
      </c>
      <c r="DB35" s="205" t="e">
        <f t="shared" ca="1" si="76"/>
        <v>#NAME?</v>
      </c>
      <c r="DD35" t="str">
        <f t="shared" si="77"/>
        <v>Comm</v>
      </c>
      <c r="DE35" s="36" t="e">
        <f t="shared" ref="DE35:DM35" ca="1" si="148">IF(DE$19&gt;0,DE22*SQRT(DE$19),0)</f>
        <v>#NAME?</v>
      </c>
      <c r="DF35" s="37" t="e">
        <f t="shared" ca="1" si="148"/>
        <v>#NAME?</v>
      </c>
      <c r="DG35" s="37" t="e">
        <f t="shared" ca="1" si="148"/>
        <v>#NAME?</v>
      </c>
      <c r="DH35" s="37" t="e">
        <f t="shared" ca="1" si="148"/>
        <v>#NAME?</v>
      </c>
      <c r="DI35" s="37" t="e">
        <f t="shared" ca="1" si="148"/>
        <v>#NAME?</v>
      </c>
      <c r="DJ35" s="37" t="e">
        <f t="shared" ca="1" si="148"/>
        <v>#NAME?</v>
      </c>
      <c r="DK35" s="37" t="e">
        <f t="shared" ca="1" si="148"/>
        <v>#NAME?</v>
      </c>
      <c r="DL35" s="37" t="e">
        <f t="shared" ca="1" si="148"/>
        <v>#NAME?</v>
      </c>
      <c r="DM35" s="90" t="e">
        <f t="shared" ca="1" si="148"/>
        <v>#NAME?</v>
      </c>
      <c r="DN35" s="205" t="e">
        <f t="shared" ca="1" si="79"/>
        <v>#NAME?</v>
      </c>
      <c r="DP35" t="str">
        <f t="shared" si="80"/>
        <v>Comm</v>
      </c>
      <c r="DQ35" s="36" t="e">
        <f t="shared" ref="DQ35:DY35" ca="1" si="149">IF(DQ$19&gt;0,DQ22*SQRT(DQ$19),0)</f>
        <v>#NAME?</v>
      </c>
      <c r="DR35" s="37" t="e">
        <f t="shared" ca="1" si="149"/>
        <v>#NAME?</v>
      </c>
      <c r="DS35" s="37" t="e">
        <f t="shared" ca="1" si="149"/>
        <v>#NAME?</v>
      </c>
      <c r="DT35" s="37" t="e">
        <f t="shared" ca="1" si="149"/>
        <v>#NAME?</v>
      </c>
      <c r="DU35" s="37" t="e">
        <f t="shared" ca="1" si="149"/>
        <v>#NAME?</v>
      </c>
      <c r="DV35" s="37" t="e">
        <f t="shared" ca="1" si="149"/>
        <v>#NAME?</v>
      </c>
      <c r="DW35" s="37" t="e">
        <f t="shared" ca="1" si="149"/>
        <v>#NAME?</v>
      </c>
      <c r="DX35" s="37" t="e">
        <f t="shared" ca="1" si="149"/>
        <v>#NAME?</v>
      </c>
      <c r="DY35" s="90" t="e">
        <f t="shared" ca="1" si="149"/>
        <v>#NAME?</v>
      </c>
      <c r="DZ35" s="205" t="e">
        <f t="shared" ca="1" si="82"/>
        <v>#NAME?</v>
      </c>
      <c r="EB35" t="str">
        <f t="shared" si="83"/>
        <v>Comm</v>
      </c>
      <c r="EC35" s="36" t="e">
        <f t="shared" ref="EC35:EK35" ca="1" si="150">IF(EC$19&gt;0,EC22*SQRT(EC$19),0)</f>
        <v>#NAME?</v>
      </c>
      <c r="ED35" s="37" t="e">
        <f t="shared" ca="1" si="150"/>
        <v>#NAME?</v>
      </c>
      <c r="EE35" s="37" t="e">
        <f t="shared" ca="1" si="150"/>
        <v>#NAME?</v>
      </c>
      <c r="EF35" s="37" t="e">
        <f t="shared" ca="1" si="150"/>
        <v>#NAME?</v>
      </c>
      <c r="EG35" s="37" t="e">
        <f t="shared" ca="1" si="150"/>
        <v>#NAME?</v>
      </c>
      <c r="EH35" s="37" t="e">
        <f t="shared" ca="1" si="150"/>
        <v>#NAME?</v>
      </c>
      <c r="EI35" s="37" t="e">
        <f t="shared" ca="1" si="150"/>
        <v>#NAME?</v>
      </c>
      <c r="EJ35" s="37" t="e">
        <f t="shared" ca="1" si="150"/>
        <v>#NAME?</v>
      </c>
      <c r="EK35" s="90" t="e">
        <f t="shared" ca="1" si="150"/>
        <v>#NAME?</v>
      </c>
      <c r="EL35" s="205" t="e">
        <f t="shared" ca="1" si="85"/>
        <v>#NAME?</v>
      </c>
      <c r="EN35" t="str">
        <f t="shared" si="86"/>
        <v>Comm</v>
      </c>
      <c r="EO35" s="36" t="e">
        <f t="shared" ref="EO35:EW35" ca="1" si="151">IF(EO$19&gt;0,EO22*SQRT(EO$19),0)</f>
        <v>#NAME?</v>
      </c>
      <c r="EP35" s="37" t="e">
        <f t="shared" ca="1" si="151"/>
        <v>#NAME?</v>
      </c>
      <c r="EQ35" s="37" t="e">
        <f t="shared" ca="1" si="151"/>
        <v>#NAME?</v>
      </c>
      <c r="ER35" s="37" t="e">
        <f t="shared" ca="1" si="151"/>
        <v>#NAME?</v>
      </c>
      <c r="ES35" s="37" t="e">
        <f t="shared" ca="1" si="151"/>
        <v>#NAME?</v>
      </c>
      <c r="ET35" s="37" t="e">
        <f t="shared" ca="1" si="151"/>
        <v>#NAME?</v>
      </c>
      <c r="EU35" s="37" t="e">
        <f t="shared" ca="1" si="151"/>
        <v>#NAME?</v>
      </c>
      <c r="EV35" s="37" t="e">
        <f t="shared" ca="1" si="151"/>
        <v>#NAME?</v>
      </c>
      <c r="EW35" s="90" t="e">
        <f t="shared" ca="1" si="151"/>
        <v>#NAME?</v>
      </c>
      <c r="EX35" s="205" t="e">
        <f t="shared" ca="1" si="88"/>
        <v>#NAME?</v>
      </c>
      <c r="EZ35" t="str">
        <f t="shared" si="89"/>
        <v>Comm</v>
      </c>
      <c r="FA35" s="36" t="e">
        <f t="shared" ref="FA35:FI35" ca="1" si="152">IF(FA$19&gt;0,FA22*SQRT(FA$19),0)</f>
        <v>#NAME?</v>
      </c>
      <c r="FB35" s="37" t="e">
        <f t="shared" ca="1" si="152"/>
        <v>#NAME?</v>
      </c>
      <c r="FC35" s="37" t="e">
        <f t="shared" ca="1" si="152"/>
        <v>#NAME?</v>
      </c>
      <c r="FD35" s="37" t="e">
        <f t="shared" ca="1" si="152"/>
        <v>#NAME?</v>
      </c>
      <c r="FE35" s="37" t="e">
        <f t="shared" ca="1" si="152"/>
        <v>#NAME?</v>
      </c>
      <c r="FF35" s="37" t="e">
        <f t="shared" ca="1" si="152"/>
        <v>#NAME?</v>
      </c>
      <c r="FG35" s="37" t="e">
        <f t="shared" ca="1" si="152"/>
        <v>#NAME?</v>
      </c>
      <c r="FH35" s="37" t="e">
        <f t="shared" ca="1" si="152"/>
        <v>#NAME?</v>
      </c>
      <c r="FI35" s="90" t="e">
        <f t="shared" ca="1" si="152"/>
        <v>#NAME?</v>
      </c>
      <c r="FJ35" s="205" t="e">
        <f t="shared" ca="1" si="91"/>
        <v>#NAME?</v>
      </c>
      <c r="FL35" t="str">
        <f t="shared" si="92"/>
        <v>Comm</v>
      </c>
      <c r="FM35" s="36" t="e">
        <f t="shared" ref="FM35:FU35" ca="1" si="153">IF(FM$19&gt;0,FM22*SQRT(FM$19),0)</f>
        <v>#NAME?</v>
      </c>
      <c r="FN35" s="37" t="e">
        <f t="shared" ca="1" si="153"/>
        <v>#NAME?</v>
      </c>
      <c r="FO35" s="37" t="e">
        <f t="shared" ca="1" si="153"/>
        <v>#NAME?</v>
      </c>
      <c r="FP35" s="37" t="e">
        <f t="shared" ca="1" si="153"/>
        <v>#NAME?</v>
      </c>
      <c r="FQ35" s="37" t="e">
        <f t="shared" ca="1" si="153"/>
        <v>#NAME?</v>
      </c>
      <c r="FR35" s="37" t="e">
        <f t="shared" ca="1" si="153"/>
        <v>#NAME?</v>
      </c>
      <c r="FS35" s="37" t="e">
        <f t="shared" ca="1" si="153"/>
        <v>#NAME?</v>
      </c>
      <c r="FT35" s="37" t="e">
        <f t="shared" ca="1" si="153"/>
        <v>#NAME?</v>
      </c>
      <c r="FU35" s="90" t="e">
        <f t="shared" ca="1" si="153"/>
        <v>#NAME?</v>
      </c>
      <c r="FV35" s="205" t="e">
        <f t="shared" ca="1" si="94"/>
        <v>#NAME?</v>
      </c>
      <c r="FX35" t="str">
        <f t="shared" si="95"/>
        <v>Comm</v>
      </c>
      <c r="FY35" s="36" t="e">
        <f t="shared" ref="FY35:GG35" ca="1" si="154">IF(FY$19&gt;0,FY22*SQRT(FY$19),0)</f>
        <v>#NAME?</v>
      </c>
      <c r="FZ35" s="37" t="e">
        <f t="shared" ca="1" si="154"/>
        <v>#NAME?</v>
      </c>
      <c r="GA35" s="37" t="e">
        <f t="shared" ca="1" si="154"/>
        <v>#NAME?</v>
      </c>
      <c r="GB35" s="37" t="e">
        <f t="shared" ca="1" si="154"/>
        <v>#NAME?</v>
      </c>
      <c r="GC35" s="37" t="e">
        <f t="shared" ca="1" si="154"/>
        <v>#NAME?</v>
      </c>
      <c r="GD35" s="37" t="e">
        <f t="shared" ca="1" si="154"/>
        <v>#NAME?</v>
      </c>
      <c r="GE35" s="37" t="e">
        <f t="shared" ca="1" si="154"/>
        <v>#NAME?</v>
      </c>
      <c r="GF35" s="37" t="e">
        <f t="shared" ca="1" si="154"/>
        <v>#NAME?</v>
      </c>
      <c r="GG35" s="90" t="e">
        <f t="shared" ca="1" si="154"/>
        <v>#NAME?</v>
      </c>
      <c r="GH35" s="205" t="e">
        <f t="shared" ca="1" si="97"/>
        <v>#NAME?</v>
      </c>
      <c r="GJ35" t="str">
        <f t="shared" si="98"/>
        <v>Comm</v>
      </c>
      <c r="GK35" s="36" t="e">
        <f t="shared" ref="GK35:GS35" ca="1" si="155">IF(GK$19&gt;0,GK22*SQRT(GK$19),0)</f>
        <v>#NAME?</v>
      </c>
      <c r="GL35" s="37" t="e">
        <f t="shared" ca="1" si="155"/>
        <v>#NAME?</v>
      </c>
      <c r="GM35" s="37" t="e">
        <f t="shared" ca="1" si="155"/>
        <v>#NAME?</v>
      </c>
      <c r="GN35" s="37" t="e">
        <f t="shared" ca="1" si="155"/>
        <v>#NAME?</v>
      </c>
      <c r="GO35" s="37" t="e">
        <f t="shared" ca="1" si="155"/>
        <v>#NAME?</v>
      </c>
      <c r="GP35" s="37" t="e">
        <f t="shared" ca="1" si="155"/>
        <v>#NAME?</v>
      </c>
      <c r="GQ35" s="37" t="e">
        <f t="shared" ca="1" si="155"/>
        <v>#NAME?</v>
      </c>
      <c r="GR35" s="37" t="e">
        <f t="shared" ca="1" si="155"/>
        <v>#NAME?</v>
      </c>
      <c r="GS35" s="90" t="e">
        <f t="shared" ca="1" si="155"/>
        <v>#NAME?</v>
      </c>
      <c r="GT35" s="205" t="e">
        <f t="shared" ca="1" si="100"/>
        <v>#NAME?</v>
      </c>
      <c r="GV35" t="str">
        <f t="shared" si="101"/>
        <v>Comm</v>
      </c>
      <c r="GW35" s="36" t="e">
        <f t="shared" ref="GW35:HE35" ca="1" si="156">IF(GW$19&gt;0,GW22*SQRT(GW$19),0)</f>
        <v>#NAME?</v>
      </c>
      <c r="GX35" s="37" t="e">
        <f t="shared" ca="1" si="156"/>
        <v>#NAME?</v>
      </c>
      <c r="GY35" s="37" t="e">
        <f t="shared" ca="1" si="156"/>
        <v>#NAME?</v>
      </c>
      <c r="GZ35" s="37" t="e">
        <f t="shared" ca="1" si="156"/>
        <v>#NAME?</v>
      </c>
      <c r="HA35" s="37" t="e">
        <f t="shared" ca="1" si="156"/>
        <v>#NAME?</v>
      </c>
      <c r="HB35" s="37" t="e">
        <f t="shared" ca="1" si="156"/>
        <v>#NAME?</v>
      </c>
      <c r="HC35" s="37" t="e">
        <f t="shared" ca="1" si="156"/>
        <v>#NAME?</v>
      </c>
      <c r="HD35" s="37" t="e">
        <f t="shared" ca="1" si="156"/>
        <v>#NAME?</v>
      </c>
      <c r="HE35" s="90" t="e">
        <f t="shared" ca="1" si="156"/>
        <v>#NAME?</v>
      </c>
      <c r="HF35" s="205" t="e">
        <f t="shared" ca="1" si="103"/>
        <v>#NAME?</v>
      </c>
      <c r="HH35" t="str">
        <f t="shared" si="104"/>
        <v>Comm</v>
      </c>
      <c r="HI35" s="36" t="e">
        <f t="shared" ref="HI35:HQ35" ca="1" si="157">IF(HI$19&gt;0,HI22*SQRT(HI$19),0)</f>
        <v>#NAME?</v>
      </c>
      <c r="HJ35" s="37" t="e">
        <f t="shared" ca="1" si="157"/>
        <v>#NAME?</v>
      </c>
      <c r="HK35" s="37" t="e">
        <f t="shared" ca="1" si="157"/>
        <v>#NAME?</v>
      </c>
      <c r="HL35" s="37" t="e">
        <f t="shared" ca="1" si="157"/>
        <v>#NAME?</v>
      </c>
      <c r="HM35" s="37" t="e">
        <f t="shared" ca="1" si="157"/>
        <v>#NAME?</v>
      </c>
      <c r="HN35" s="37" t="e">
        <f t="shared" ca="1" si="157"/>
        <v>#NAME?</v>
      </c>
      <c r="HO35" s="37" t="e">
        <f t="shared" ca="1" si="157"/>
        <v>#NAME?</v>
      </c>
      <c r="HP35" s="37" t="e">
        <f t="shared" ca="1" si="157"/>
        <v>#NAME?</v>
      </c>
      <c r="HQ35" s="90" t="e">
        <f t="shared" ca="1" si="157"/>
        <v>#NAME?</v>
      </c>
      <c r="HR35" s="205" t="e">
        <f t="shared" ca="1" si="106"/>
        <v>#NAME?</v>
      </c>
      <c r="HT35" t="str">
        <f t="shared" si="107"/>
        <v>Comm</v>
      </c>
      <c r="HU35" s="36" t="e">
        <f t="shared" ref="HU35:IC35" ca="1" si="158">IF(HU$19&gt;0,HU22*SQRT(HU$19),0)</f>
        <v>#NAME?</v>
      </c>
      <c r="HV35" s="37" t="e">
        <f t="shared" ca="1" si="158"/>
        <v>#NAME?</v>
      </c>
      <c r="HW35" s="37" t="e">
        <f t="shared" ca="1" si="158"/>
        <v>#NAME?</v>
      </c>
      <c r="HX35" s="37" t="e">
        <f t="shared" ca="1" si="158"/>
        <v>#NAME?</v>
      </c>
      <c r="HY35" s="37" t="e">
        <f t="shared" ca="1" si="158"/>
        <v>#NAME?</v>
      </c>
      <c r="HZ35" s="37" t="e">
        <f t="shared" ca="1" si="158"/>
        <v>#NAME?</v>
      </c>
      <c r="IA35" s="37" t="e">
        <f t="shared" ca="1" si="158"/>
        <v>#NAME?</v>
      </c>
      <c r="IB35" s="37" t="e">
        <f t="shared" ca="1" si="158"/>
        <v>#NAME?</v>
      </c>
      <c r="IC35" s="90" t="e">
        <f t="shared" ca="1" si="158"/>
        <v>#NAME?</v>
      </c>
      <c r="ID35" s="205" t="e">
        <f t="shared" ca="1" si="109"/>
        <v>#NAME?</v>
      </c>
      <c r="IF35" t="str">
        <f t="shared" si="110"/>
        <v>Comm</v>
      </c>
      <c r="IG35" s="36" t="e">
        <f t="shared" ref="IG35:IO35" ca="1" si="159">IF(IG$19&gt;0,IG22*SQRT(IG$19),0)</f>
        <v>#NAME?</v>
      </c>
      <c r="IH35" s="37" t="e">
        <f t="shared" ca="1" si="159"/>
        <v>#NAME?</v>
      </c>
      <c r="II35" s="37" t="e">
        <f t="shared" ca="1" si="159"/>
        <v>#NAME?</v>
      </c>
      <c r="IJ35" s="37" t="e">
        <f t="shared" ca="1" si="159"/>
        <v>#NAME?</v>
      </c>
      <c r="IK35" s="37" t="e">
        <f t="shared" ca="1" si="159"/>
        <v>#NAME?</v>
      </c>
      <c r="IL35" s="37" t="e">
        <f t="shared" ca="1" si="159"/>
        <v>#NAME?</v>
      </c>
      <c r="IM35" s="37" t="e">
        <f t="shared" ca="1" si="159"/>
        <v>#NAME?</v>
      </c>
      <c r="IN35" s="37" t="e">
        <f t="shared" ca="1" si="159"/>
        <v>#NAME?</v>
      </c>
      <c r="IO35" s="90" t="e">
        <f t="shared" ca="1" si="159"/>
        <v>#NAME?</v>
      </c>
      <c r="IP35" s="205" t="e">
        <f t="shared" ca="1" si="112"/>
        <v>#NAME?</v>
      </c>
      <c r="IR35" t="str">
        <f t="shared" si="113"/>
        <v>Comm</v>
      </c>
      <c r="IS35" s="36" t="e">
        <f t="shared" ref="IS35:JA35" ca="1" si="160">IF(IS$19&gt;0,IS22*SQRT(IS$19),0)</f>
        <v>#NAME?</v>
      </c>
      <c r="IT35" s="37" t="e">
        <f t="shared" ca="1" si="160"/>
        <v>#NAME?</v>
      </c>
      <c r="IU35" s="37" t="e">
        <f t="shared" ca="1" si="160"/>
        <v>#NAME?</v>
      </c>
      <c r="IV35" s="37" t="e">
        <f t="shared" ca="1" si="160"/>
        <v>#NAME?</v>
      </c>
      <c r="IW35" s="37" t="e">
        <f t="shared" ca="1" si="160"/>
        <v>#NAME?</v>
      </c>
      <c r="IX35" s="37" t="e">
        <f t="shared" ca="1" si="160"/>
        <v>#NAME?</v>
      </c>
      <c r="IY35" s="37" t="e">
        <f t="shared" ca="1" si="160"/>
        <v>#NAME?</v>
      </c>
      <c r="IZ35" s="37" t="e">
        <f t="shared" ca="1" si="160"/>
        <v>#NAME?</v>
      </c>
      <c r="JA35" s="90" t="e">
        <f t="shared" ca="1" si="160"/>
        <v>#NAME?</v>
      </c>
      <c r="JB35" s="205" t="e">
        <f t="shared" ca="1" si="115"/>
        <v>#NAME?</v>
      </c>
      <c r="JD35" t="str">
        <f t="shared" si="116"/>
        <v>Comm</v>
      </c>
      <c r="JE35" s="36" t="e">
        <f t="shared" ref="JE35:JM35" ca="1" si="161">IF(JE$19&gt;0,JE22*SQRT(JE$19),0)</f>
        <v>#NAME?</v>
      </c>
      <c r="JF35" s="37" t="e">
        <f t="shared" ca="1" si="161"/>
        <v>#NAME?</v>
      </c>
      <c r="JG35" s="37" t="e">
        <f t="shared" ca="1" si="161"/>
        <v>#NAME?</v>
      </c>
      <c r="JH35" s="37" t="e">
        <f t="shared" ca="1" si="161"/>
        <v>#NAME?</v>
      </c>
      <c r="JI35" s="37" t="e">
        <f t="shared" ca="1" si="161"/>
        <v>#NAME?</v>
      </c>
      <c r="JJ35" s="37" t="e">
        <f t="shared" ca="1" si="161"/>
        <v>#NAME?</v>
      </c>
      <c r="JK35" s="37" t="e">
        <f t="shared" ca="1" si="161"/>
        <v>#NAME?</v>
      </c>
      <c r="JL35" s="37" t="e">
        <f t="shared" ca="1" si="161"/>
        <v>#NAME?</v>
      </c>
      <c r="JM35" s="90" t="e">
        <f t="shared" ca="1" si="161"/>
        <v>#NAME?</v>
      </c>
      <c r="JN35" s="205" t="e">
        <f t="shared" ca="1" si="118"/>
        <v>#NAME?</v>
      </c>
      <c r="JP35" t="str">
        <f t="shared" si="119"/>
        <v>Comm</v>
      </c>
      <c r="JQ35" s="36" t="e">
        <f t="shared" ref="JQ35:JY35" ca="1" si="162">IF(JQ$19&gt;0,JQ22*SQRT(JQ$19),0)</f>
        <v>#NAME?</v>
      </c>
      <c r="JR35" s="37" t="e">
        <f t="shared" ca="1" si="162"/>
        <v>#NAME?</v>
      </c>
      <c r="JS35" s="37" t="e">
        <f t="shared" ca="1" si="162"/>
        <v>#NAME?</v>
      </c>
      <c r="JT35" s="37" t="e">
        <f t="shared" ca="1" si="162"/>
        <v>#NAME?</v>
      </c>
      <c r="JU35" s="37" t="e">
        <f t="shared" ca="1" si="162"/>
        <v>#NAME?</v>
      </c>
      <c r="JV35" s="37" t="e">
        <f t="shared" ca="1" si="162"/>
        <v>#NAME?</v>
      </c>
      <c r="JW35" s="37" t="e">
        <f t="shared" ca="1" si="162"/>
        <v>#NAME?</v>
      </c>
      <c r="JX35" s="37" t="e">
        <f t="shared" ca="1" si="162"/>
        <v>#NAME?</v>
      </c>
      <c r="JY35" s="90" t="e">
        <f t="shared" ca="1" si="162"/>
        <v>#NAME?</v>
      </c>
      <c r="JZ35" s="205" t="e">
        <f t="shared" ca="1" si="121"/>
        <v>#NAME?</v>
      </c>
      <c r="KB35" t="str">
        <f t="shared" si="122"/>
        <v>Comm</v>
      </c>
      <c r="KC35" s="36" t="e">
        <f t="shared" ref="KC35:KK35" ca="1" si="163">IF(KC$19&gt;0,KC22*SQRT(KC$19),0)</f>
        <v>#NAME?</v>
      </c>
      <c r="KD35" s="37" t="e">
        <f t="shared" ca="1" si="163"/>
        <v>#NAME?</v>
      </c>
      <c r="KE35" s="37" t="e">
        <f t="shared" ca="1" si="163"/>
        <v>#NAME?</v>
      </c>
      <c r="KF35" s="37" t="e">
        <f t="shared" ca="1" si="163"/>
        <v>#NAME?</v>
      </c>
      <c r="KG35" s="37" t="e">
        <f t="shared" ca="1" si="163"/>
        <v>#NAME?</v>
      </c>
      <c r="KH35" s="37" t="e">
        <f t="shared" ca="1" si="163"/>
        <v>#NAME?</v>
      </c>
      <c r="KI35" s="37" t="e">
        <f t="shared" ca="1" si="163"/>
        <v>#NAME?</v>
      </c>
      <c r="KJ35" s="37" t="e">
        <f t="shared" ca="1" si="163"/>
        <v>#NAME?</v>
      </c>
      <c r="KK35" s="90" t="e">
        <f t="shared" ca="1" si="163"/>
        <v>#NAME?</v>
      </c>
      <c r="KL35" s="205" t="e">
        <f t="shared" ca="1" si="124"/>
        <v>#NAME?</v>
      </c>
      <c r="KN35" t="str">
        <f t="shared" si="125"/>
        <v>Comm</v>
      </c>
      <c r="KO35" s="36" t="e">
        <f t="shared" ref="KO35:KW35" ca="1" si="164">IF(KO$19&gt;0,KO22*SQRT(KO$19),0)</f>
        <v>#NAME?</v>
      </c>
      <c r="KP35" s="37" t="e">
        <f t="shared" ca="1" si="164"/>
        <v>#NAME?</v>
      </c>
      <c r="KQ35" s="37" t="e">
        <f t="shared" ca="1" si="164"/>
        <v>#NAME?</v>
      </c>
      <c r="KR35" s="37" t="e">
        <f t="shared" ca="1" si="164"/>
        <v>#NAME?</v>
      </c>
      <c r="KS35" s="37" t="e">
        <f t="shared" ca="1" si="164"/>
        <v>#NAME?</v>
      </c>
      <c r="KT35" s="37" t="e">
        <f t="shared" ca="1" si="164"/>
        <v>#NAME?</v>
      </c>
      <c r="KU35" s="37" t="e">
        <f t="shared" ca="1" si="164"/>
        <v>#NAME?</v>
      </c>
      <c r="KV35" s="37" t="e">
        <f t="shared" ca="1" si="164"/>
        <v>#NAME?</v>
      </c>
      <c r="KW35" s="90" t="e">
        <f t="shared" ca="1" si="164"/>
        <v>#NAME?</v>
      </c>
      <c r="KX35" s="205" t="e">
        <f t="shared" ca="1" si="127"/>
        <v>#NAME?</v>
      </c>
      <c r="KZ35" t="str">
        <f t="shared" si="128"/>
        <v>Comm</v>
      </c>
      <c r="LA35" s="36" t="e">
        <f t="shared" ref="LA35:LI35" ca="1" si="165">IF(LA$19&gt;0,LA22*SQRT(LA$19),0)</f>
        <v>#NAME?</v>
      </c>
      <c r="LB35" s="37" t="e">
        <f t="shared" ca="1" si="165"/>
        <v>#NAME?</v>
      </c>
      <c r="LC35" s="37" t="e">
        <f t="shared" ca="1" si="165"/>
        <v>#NAME?</v>
      </c>
      <c r="LD35" s="37" t="e">
        <f t="shared" ca="1" si="165"/>
        <v>#NAME?</v>
      </c>
      <c r="LE35" s="37" t="e">
        <f t="shared" ca="1" si="165"/>
        <v>#NAME?</v>
      </c>
      <c r="LF35" s="37" t="e">
        <f t="shared" ca="1" si="165"/>
        <v>#NAME?</v>
      </c>
      <c r="LG35" s="37" t="e">
        <f t="shared" ca="1" si="165"/>
        <v>#NAME?</v>
      </c>
      <c r="LH35" s="37" t="e">
        <f t="shared" ca="1" si="165"/>
        <v>#NAME?</v>
      </c>
      <c r="LI35" s="90" t="e">
        <f t="shared" ca="1" si="165"/>
        <v>#NAME?</v>
      </c>
      <c r="LJ35" s="205" t="e">
        <f t="shared" ca="1" si="130"/>
        <v>#NAME?</v>
      </c>
      <c r="LL35" t="str">
        <f t="shared" si="131"/>
        <v>Comm</v>
      </c>
      <c r="LM35" s="36" t="e">
        <f t="shared" ref="LM35:LU35" ca="1" si="166">IF(LM$19&gt;0,LM22*SQRT(LM$19),0)</f>
        <v>#NAME?</v>
      </c>
      <c r="LN35" s="37" t="e">
        <f t="shared" ca="1" si="166"/>
        <v>#NAME?</v>
      </c>
      <c r="LO35" s="37" t="e">
        <f t="shared" ca="1" si="166"/>
        <v>#NAME?</v>
      </c>
      <c r="LP35" s="37" t="e">
        <f t="shared" ca="1" si="166"/>
        <v>#NAME?</v>
      </c>
      <c r="LQ35" s="37" t="e">
        <f t="shared" ca="1" si="166"/>
        <v>#NAME?</v>
      </c>
      <c r="LR35" s="37" t="e">
        <f t="shared" ca="1" si="166"/>
        <v>#NAME?</v>
      </c>
      <c r="LS35" s="37" t="e">
        <f t="shared" ca="1" si="166"/>
        <v>#NAME?</v>
      </c>
      <c r="LT35" s="37" t="e">
        <f t="shared" ca="1" si="166"/>
        <v>#NAME?</v>
      </c>
      <c r="LU35" s="90" t="e">
        <f t="shared" ca="1" si="166"/>
        <v>#NAME?</v>
      </c>
      <c r="LV35" s="205" t="e">
        <f t="shared" ca="1" si="133"/>
        <v>#NAME?</v>
      </c>
      <c r="LX35" t="str">
        <f t="shared" si="134"/>
        <v>Comm</v>
      </c>
      <c r="LY35" s="36" t="e">
        <f t="shared" ref="LY35:MG35" ca="1" si="167">IF(LY$19&gt;0,LY22*SQRT(LY$19),0)</f>
        <v>#NAME?</v>
      </c>
      <c r="LZ35" s="37" t="e">
        <f t="shared" ca="1" si="167"/>
        <v>#NAME?</v>
      </c>
      <c r="MA35" s="37" t="e">
        <f t="shared" ca="1" si="167"/>
        <v>#NAME?</v>
      </c>
      <c r="MB35" s="37" t="e">
        <f t="shared" ca="1" si="167"/>
        <v>#NAME?</v>
      </c>
      <c r="MC35" s="37" t="e">
        <f t="shared" ca="1" si="167"/>
        <v>#NAME?</v>
      </c>
      <c r="MD35" s="37" t="e">
        <f t="shared" ca="1" si="167"/>
        <v>#NAME?</v>
      </c>
      <c r="ME35" s="37" t="e">
        <f t="shared" ca="1" si="167"/>
        <v>#NAME?</v>
      </c>
      <c r="MF35" s="37" t="e">
        <f t="shared" ca="1" si="167"/>
        <v>#NAME?</v>
      </c>
      <c r="MG35" s="90" t="e">
        <f t="shared" ca="1" si="167"/>
        <v>#NAME?</v>
      </c>
      <c r="MH35" s="205" t="e">
        <f t="shared" ca="1" si="136"/>
        <v>#NAME?</v>
      </c>
      <c r="MJ35" t="str">
        <f t="shared" si="137"/>
        <v>Comm</v>
      </c>
      <c r="MK35" s="36" t="e">
        <f t="shared" ref="MK35:MS35" ca="1" si="168">IF(MK$19&gt;0,MK22*SQRT(MK$19),0)</f>
        <v>#NAME?</v>
      </c>
      <c r="ML35" s="37" t="e">
        <f t="shared" ca="1" si="168"/>
        <v>#NAME?</v>
      </c>
      <c r="MM35" s="37" t="e">
        <f t="shared" ca="1" si="168"/>
        <v>#NAME?</v>
      </c>
      <c r="MN35" s="37" t="e">
        <f t="shared" ca="1" si="168"/>
        <v>#NAME?</v>
      </c>
      <c r="MO35" s="37" t="e">
        <f t="shared" ca="1" si="168"/>
        <v>#NAME?</v>
      </c>
      <c r="MP35" s="37" t="e">
        <f t="shared" ca="1" si="168"/>
        <v>#NAME?</v>
      </c>
      <c r="MQ35" s="37" t="e">
        <f t="shared" ca="1" si="168"/>
        <v>#NAME?</v>
      </c>
      <c r="MR35" s="37" t="e">
        <f t="shared" ca="1" si="168"/>
        <v>#NAME?</v>
      </c>
      <c r="MS35" s="90" t="e">
        <f t="shared" ca="1" si="168"/>
        <v>#NAME?</v>
      </c>
      <c r="MT35" s="205" t="e">
        <f t="shared" ca="1" si="139"/>
        <v>#NAME?</v>
      </c>
    </row>
    <row r="36" spans="1:358" x14ac:dyDescent="0.3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S36">
        <f t="shared" si="140"/>
        <v>4</v>
      </c>
      <c r="T36" s="49" t="e">
        <f ca="1">RSquare($B$4:$J$123,S36)</f>
        <v>#NAME?</v>
      </c>
      <c r="V36" s="205" t="e">
        <f ca="1"/>
        <v>#NAME?</v>
      </c>
      <c r="X36" t="str">
        <f t="shared" si="56"/>
        <v>Expert</v>
      </c>
      <c r="Y36" s="36" t="e">
        <f t="shared" ref="Y36:AG36" ca="1" si="169">IF(Y$19&gt;0,Y23*SQRT(Y$19),0)</f>
        <v>#NAME?</v>
      </c>
      <c r="Z36" s="37" t="e">
        <f t="shared" ca="1" si="169"/>
        <v>#NAME?</v>
      </c>
      <c r="AA36" s="37" t="e">
        <f t="shared" ca="1" si="169"/>
        <v>#NAME?</v>
      </c>
      <c r="AB36" s="37" t="e">
        <f t="shared" ca="1" si="169"/>
        <v>#NAME?</v>
      </c>
      <c r="AC36" s="37" t="e">
        <f t="shared" ca="1" si="169"/>
        <v>#NAME?</v>
      </c>
      <c r="AD36" s="37" t="e">
        <f t="shared" ca="1" si="169"/>
        <v>#NAME?</v>
      </c>
      <c r="AE36" s="37" t="e">
        <f t="shared" ca="1" si="169"/>
        <v>#NAME?</v>
      </c>
      <c r="AF36" s="37" t="e">
        <f t="shared" ca="1" si="169"/>
        <v>#NAME?</v>
      </c>
      <c r="AG36" s="90" t="e">
        <f t="shared" ca="1" si="169"/>
        <v>#NAME?</v>
      </c>
      <c r="AH36" s="205" t="e">
        <f t="shared" ca="1" si="58"/>
        <v>#NAME?</v>
      </c>
      <c r="AJ36" t="str">
        <f t="shared" si="59"/>
        <v>Expert</v>
      </c>
      <c r="AK36" s="36" t="e">
        <f t="shared" ref="AK36:AS36" ca="1" si="170">IF(AK$19&gt;0,AK23*SQRT(AK$19),0)</f>
        <v>#NAME?</v>
      </c>
      <c r="AL36" s="37" t="e">
        <f t="shared" ca="1" si="170"/>
        <v>#NAME?</v>
      </c>
      <c r="AM36" s="37" t="e">
        <f t="shared" ca="1" si="170"/>
        <v>#NAME?</v>
      </c>
      <c r="AN36" s="37" t="e">
        <f t="shared" ca="1" si="170"/>
        <v>#NAME?</v>
      </c>
      <c r="AO36" s="37" t="e">
        <f t="shared" ca="1" si="170"/>
        <v>#NAME?</v>
      </c>
      <c r="AP36" s="37" t="e">
        <f t="shared" ca="1" si="170"/>
        <v>#NAME?</v>
      </c>
      <c r="AQ36" s="37" t="e">
        <f t="shared" ca="1" si="170"/>
        <v>#NAME?</v>
      </c>
      <c r="AR36" s="37" t="e">
        <f t="shared" ca="1" si="170"/>
        <v>#NAME?</v>
      </c>
      <c r="AS36" s="90" t="e">
        <f t="shared" ca="1" si="170"/>
        <v>#NAME?</v>
      </c>
      <c r="AT36" s="205" t="e">
        <f t="shared" ca="1" si="61"/>
        <v>#NAME?</v>
      </c>
      <c r="AV36" t="str">
        <f t="shared" si="62"/>
        <v>Expert</v>
      </c>
      <c r="AW36" s="36" t="e">
        <f t="shared" ref="AW36:BE36" ca="1" si="171">IF(AW$19&gt;0,AW23*SQRT(AW$19),0)</f>
        <v>#NAME?</v>
      </c>
      <c r="AX36" s="37" t="e">
        <f t="shared" ca="1" si="171"/>
        <v>#NAME?</v>
      </c>
      <c r="AY36" s="37" t="e">
        <f t="shared" ca="1" si="171"/>
        <v>#NAME?</v>
      </c>
      <c r="AZ36" s="37" t="e">
        <f t="shared" ca="1" si="171"/>
        <v>#NAME?</v>
      </c>
      <c r="BA36" s="37" t="e">
        <f t="shared" ca="1" si="171"/>
        <v>#NAME?</v>
      </c>
      <c r="BB36" s="37" t="e">
        <f t="shared" ca="1" si="171"/>
        <v>#NAME?</v>
      </c>
      <c r="BC36" s="37" t="e">
        <f t="shared" ca="1" si="171"/>
        <v>#NAME?</v>
      </c>
      <c r="BD36" s="37" t="e">
        <f t="shared" ca="1" si="171"/>
        <v>#NAME?</v>
      </c>
      <c r="BE36" s="90" t="e">
        <f t="shared" ca="1" si="171"/>
        <v>#NAME?</v>
      </c>
      <c r="BF36" s="205" t="e">
        <f t="shared" ca="1" si="64"/>
        <v>#NAME?</v>
      </c>
      <c r="BH36" t="str">
        <f t="shared" si="65"/>
        <v>Expert</v>
      </c>
      <c r="BI36" s="36" t="e">
        <f t="shared" ref="BI36:BQ36" ca="1" si="172">IF(BI$19&gt;0,BI23*SQRT(BI$19),0)</f>
        <v>#NAME?</v>
      </c>
      <c r="BJ36" s="37" t="e">
        <f t="shared" ca="1" si="172"/>
        <v>#NAME?</v>
      </c>
      <c r="BK36" s="37" t="e">
        <f t="shared" ca="1" si="172"/>
        <v>#NAME?</v>
      </c>
      <c r="BL36" s="37" t="e">
        <f t="shared" ca="1" si="172"/>
        <v>#NAME?</v>
      </c>
      <c r="BM36" s="37" t="e">
        <f t="shared" ca="1" si="172"/>
        <v>#NAME?</v>
      </c>
      <c r="BN36" s="37" t="e">
        <f t="shared" ca="1" si="172"/>
        <v>#NAME?</v>
      </c>
      <c r="BO36" s="37" t="e">
        <f t="shared" ca="1" si="172"/>
        <v>#NAME?</v>
      </c>
      <c r="BP36" s="37" t="e">
        <f t="shared" ca="1" si="172"/>
        <v>#NAME?</v>
      </c>
      <c r="BQ36" s="90" t="e">
        <f t="shared" ca="1" si="172"/>
        <v>#NAME?</v>
      </c>
      <c r="BR36" s="205" t="e">
        <f t="shared" ca="1" si="67"/>
        <v>#NAME?</v>
      </c>
      <c r="BT36" t="str">
        <f t="shared" si="68"/>
        <v>Expert</v>
      </c>
      <c r="BU36" s="36" t="e">
        <f t="shared" ref="BU36:CC36" ca="1" si="173">IF(BU$19&gt;0,BU23*SQRT(BU$19),0)</f>
        <v>#NAME?</v>
      </c>
      <c r="BV36" s="37" t="e">
        <f t="shared" ca="1" si="173"/>
        <v>#NAME?</v>
      </c>
      <c r="BW36" s="37" t="e">
        <f t="shared" ca="1" si="173"/>
        <v>#NAME?</v>
      </c>
      <c r="BX36" s="37" t="e">
        <f t="shared" ca="1" si="173"/>
        <v>#NAME?</v>
      </c>
      <c r="BY36" s="37" t="e">
        <f t="shared" ca="1" si="173"/>
        <v>#NAME?</v>
      </c>
      <c r="BZ36" s="37" t="e">
        <f t="shared" ca="1" si="173"/>
        <v>#NAME?</v>
      </c>
      <c r="CA36" s="37" t="e">
        <f t="shared" ca="1" si="173"/>
        <v>#NAME?</v>
      </c>
      <c r="CB36" s="37" t="e">
        <f t="shared" ca="1" si="173"/>
        <v>#NAME?</v>
      </c>
      <c r="CC36" s="90" t="e">
        <f t="shared" ca="1" si="173"/>
        <v>#NAME?</v>
      </c>
      <c r="CD36" s="205" t="e">
        <f t="shared" ca="1" si="70"/>
        <v>#NAME?</v>
      </c>
      <c r="CF36" t="str">
        <f t="shared" si="71"/>
        <v>Expert</v>
      </c>
      <c r="CG36" s="36" t="e">
        <f t="shared" ref="CG36:CO36" ca="1" si="174">IF(CG$19&gt;0,CG23*SQRT(CG$19),0)</f>
        <v>#NAME?</v>
      </c>
      <c r="CH36" s="37" t="e">
        <f t="shared" ca="1" si="174"/>
        <v>#NAME?</v>
      </c>
      <c r="CI36" s="37" t="e">
        <f t="shared" ca="1" si="174"/>
        <v>#NAME?</v>
      </c>
      <c r="CJ36" s="37" t="e">
        <f t="shared" ca="1" si="174"/>
        <v>#NAME?</v>
      </c>
      <c r="CK36" s="37" t="e">
        <f t="shared" ca="1" si="174"/>
        <v>#NAME?</v>
      </c>
      <c r="CL36" s="37" t="e">
        <f t="shared" ca="1" si="174"/>
        <v>#NAME?</v>
      </c>
      <c r="CM36" s="37" t="e">
        <f t="shared" ca="1" si="174"/>
        <v>#NAME?</v>
      </c>
      <c r="CN36" s="37" t="e">
        <f t="shared" ca="1" si="174"/>
        <v>#NAME?</v>
      </c>
      <c r="CO36" s="90" t="e">
        <f t="shared" ca="1" si="174"/>
        <v>#NAME?</v>
      </c>
      <c r="CP36" s="205" t="e">
        <f t="shared" ca="1" si="73"/>
        <v>#NAME?</v>
      </c>
      <c r="CR36" t="str">
        <f t="shared" si="74"/>
        <v>Expert</v>
      </c>
      <c r="CS36" s="36" t="e">
        <f t="shared" ref="CS36:DA36" ca="1" si="175">IF(CS$19&gt;0,CS23*SQRT(CS$19),0)</f>
        <v>#NAME?</v>
      </c>
      <c r="CT36" s="37" t="e">
        <f t="shared" ca="1" si="175"/>
        <v>#NAME?</v>
      </c>
      <c r="CU36" s="37" t="e">
        <f t="shared" ca="1" si="175"/>
        <v>#NAME?</v>
      </c>
      <c r="CV36" s="37" t="e">
        <f t="shared" ca="1" si="175"/>
        <v>#NAME?</v>
      </c>
      <c r="CW36" s="37" t="e">
        <f t="shared" ca="1" si="175"/>
        <v>#NAME?</v>
      </c>
      <c r="CX36" s="37" t="e">
        <f t="shared" ca="1" si="175"/>
        <v>#NAME?</v>
      </c>
      <c r="CY36" s="37" t="e">
        <f t="shared" ca="1" si="175"/>
        <v>#NAME?</v>
      </c>
      <c r="CZ36" s="37" t="e">
        <f t="shared" ca="1" si="175"/>
        <v>#NAME?</v>
      </c>
      <c r="DA36" s="90" t="e">
        <f t="shared" ca="1" si="175"/>
        <v>#NAME?</v>
      </c>
      <c r="DB36" s="205" t="e">
        <f t="shared" ca="1" si="76"/>
        <v>#NAME?</v>
      </c>
      <c r="DD36" t="str">
        <f t="shared" si="77"/>
        <v>Expert</v>
      </c>
      <c r="DE36" s="36" t="e">
        <f t="shared" ref="DE36:DM36" ca="1" si="176">IF(DE$19&gt;0,DE23*SQRT(DE$19),0)</f>
        <v>#NAME?</v>
      </c>
      <c r="DF36" s="37" t="e">
        <f t="shared" ca="1" si="176"/>
        <v>#NAME?</v>
      </c>
      <c r="DG36" s="37" t="e">
        <f t="shared" ca="1" si="176"/>
        <v>#NAME?</v>
      </c>
      <c r="DH36" s="37" t="e">
        <f t="shared" ca="1" si="176"/>
        <v>#NAME?</v>
      </c>
      <c r="DI36" s="37" t="e">
        <f t="shared" ca="1" si="176"/>
        <v>#NAME?</v>
      </c>
      <c r="DJ36" s="37" t="e">
        <f t="shared" ca="1" si="176"/>
        <v>#NAME?</v>
      </c>
      <c r="DK36" s="37" t="e">
        <f t="shared" ca="1" si="176"/>
        <v>#NAME?</v>
      </c>
      <c r="DL36" s="37" t="e">
        <f t="shared" ca="1" si="176"/>
        <v>#NAME?</v>
      </c>
      <c r="DM36" s="90" t="e">
        <f t="shared" ca="1" si="176"/>
        <v>#NAME?</v>
      </c>
      <c r="DN36" s="205" t="e">
        <f t="shared" ca="1" si="79"/>
        <v>#NAME?</v>
      </c>
      <c r="DP36" t="str">
        <f t="shared" si="80"/>
        <v>Expert</v>
      </c>
      <c r="DQ36" s="36" t="e">
        <f t="shared" ref="DQ36:DY36" ca="1" si="177">IF(DQ$19&gt;0,DQ23*SQRT(DQ$19),0)</f>
        <v>#NAME?</v>
      </c>
      <c r="DR36" s="37" t="e">
        <f t="shared" ca="1" si="177"/>
        <v>#NAME?</v>
      </c>
      <c r="DS36" s="37" t="e">
        <f t="shared" ca="1" si="177"/>
        <v>#NAME?</v>
      </c>
      <c r="DT36" s="37" t="e">
        <f t="shared" ca="1" si="177"/>
        <v>#NAME?</v>
      </c>
      <c r="DU36" s="37" t="e">
        <f t="shared" ca="1" si="177"/>
        <v>#NAME?</v>
      </c>
      <c r="DV36" s="37" t="e">
        <f t="shared" ca="1" si="177"/>
        <v>#NAME?</v>
      </c>
      <c r="DW36" s="37" t="e">
        <f t="shared" ca="1" si="177"/>
        <v>#NAME?</v>
      </c>
      <c r="DX36" s="37" t="e">
        <f t="shared" ca="1" si="177"/>
        <v>#NAME?</v>
      </c>
      <c r="DY36" s="90" t="e">
        <f t="shared" ca="1" si="177"/>
        <v>#NAME?</v>
      </c>
      <c r="DZ36" s="205" t="e">
        <f t="shared" ca="1" si="82"/>
        <v>#NAME?</v>
      </c>
      <c r="EB36" t="str">
        <f t="shared" si="83"/>
        <v>Expert</v>
      </c>
      <c r="EC36" s="36" t="e">
        <f t="shared" ref="EC36:EK36" ca="1" si="178">IF(EC$19&gt;0,EC23*SQRT(EC$19),0)</f>
        <v>#NAME?</v>
      </c>
      <c r="ED36" s="37" t="e">
        <f t="shared" ca="1" si="178"/>
        <v>#NAME?</v>
      </c>
      <c r="EE36" s="37" t="e">
        <f t="shared" ca="1" si="178"/>
        <v>#NAME?</v>
      </c>
      <c r="EF36" s="37" t="e">
        <f t="shared" ca="1" si="178"/>
        <v>#NAME?</v>
      </c>
      <c r="EG36" s="37" t="e">
        <f t="shared" ca="1" si="178"/>
        <v>#NAME?</v>
      </c>
      <c r="EH36" s="37" t="e">
        <f t="shared" ca="1" si="178"/>
        <v>#NAME?</v>
      </c>
      <c r="EI36" s="37" t="e">
        <f t="shared" ca="1" si="178"/>
        <v>#NAME?</v>
      </c>
      <c r="EJ36" s="37" t="e">
        <f t="shared" ca="1" si="178"/>
        <v>#NAME?</v>
      </c>
      <c r="EK36" s="90" t="e">
        <f t="shared" ca="1" si="178"/>
        <v>#NAME?</v>
      </c>
      <c r="EL36" s="205" t="e">
        <f t="shared" ca="1" si="85"/>
        <v>#NAME?</v>
      </c>
      <c r="EN36" t="str">
        <f t="shared" si="86"/>
        <v>Expert</v>
      </c>
      <c r="EO36" s="36" t="e">
        <f t="shared" ref="EO36:EW36" ca="1" si="179">IF(EO$19&gt;0,EO23*SQRT(EO$19),0)</f>
        <v>#NAME?</v>
      </c>
      <c r="EP36" s="37" t="e">
        <f t="shared" ca="1" si="179"/>
        <v>#NAME?</v>
      </c>
      <c r="EQ36" s="37" t="e">
        <f t="shared" ca="1" si="179"/>
        <v>#NAME?</v>
      </c>
      <c r="ER36" s="37" t="e">
        <f t="shared" ca="1" si="179"/>
        <v>#NAME?</v>
      </c>
      <c r="ES36" s="37" t="e">
        <f t="shared" ca="1" si="179"/>
        <v>#NAME?</v>
      </c>
      <c r="ET36" s="37" t="e">
        <f t="shared" ca="1" si="179"/>
        <v>#NAME?</v>
      </c>
      <c r="EU36" s="37" t="e">
        <f t="shared" ca="1" si="179"/>
        <v>#NAME?</v>
      </c>
      <c r="EV36" s="37" t="e">
        <f t="shared" ca="1" si="179"/>
        <v>#NAME?</v>
      </c>
      <c r="EW36" s="90" t="e">
        <f t="shared" ca="1" si="179"/>
        <v>#NAME?</v>
      </c>
      <c r="EX36" s="205" t="e">
        <f t="shared" ca="1" si="88"/>
        <v>#NAME?</v>
      </c>
      <c r="EZ36" t="str">
        <f t="shared" si="89"/>
        <v>Expert</v>
      </c>
      <c r="FA36" s="36" t="e">
        <f t="shared" ref="FA36:FI36" ca="1" si="180">IF(FA$19&gt;0,FA23*SQRT(FA$19),0)</f>
        <v>#NAME?</v>
      </c>
      <c r="FB36" s="37" t="e">
        <f t="shared" ca="1" si="180"/>
        <v>#NAME?</v>
      </c>
      <c r="FC36" s="37" t="e">
        <f t="shared" ca="1" si="180"/>
        <v>#NAME?</v>
      </c>
      <c r="FD36" s="37" t="e">
        <f t="shared" ca="1" si="180"/>
        <v>#NAME?</v>
      </c>
      <c r="FE36" s="37" t="e">
        <f t="shared" ca="1" si="180"/>
        <v>#NAME?</v>
      </c>
      <c r="FF36" s="37" t="e">
        <f t="shared" ca="1" si="180"/>
        <v>#NAME?</v>
      </c>
      <c r="FG36" s="37" t="e">
        <f t="shared" ca="1" si="180"/>
        <v>#NAME?</v>
      </c>
      <c r="FH36" s="37" t="e">
        <f t="shared" ca="1" si="180"/>
        <v>#NAME?</v>
      </c>
      <c r="FI36" s="90" t="e">
        <f t="shared" ca="1" si="180"/>
        <v>#NAME?</v>
      </c>
      <c r="FJ36" s="205" t="e">
        <f t="shared" ca="1" si="91"/>
        <v>#NAME?</v>
      </c>
      <c r="FL36" t="str">
        <f t="shared" si="92"/>
        <v>Expert</v>
      </c>
      <c r="FM36" s="36" t="e">
        <f t="shared" ref="FM36:FU36" ca="1" si="181">IF(FM$19&gt;0,FM23*SQRT(FM$19),0)</f>
        <v>#NAME?</v>
      </c>
      <c r="FN36" s="37" t="e">
        <f t="shared" ca="1" si="181"/>
        <v>#NAME?</v>
      </c>
      <c r="FO36" s="37" t="e">
        <f t="shared" ca="1" si="181"/>
        <v>#NAME?</v>
      </c>
      <c r="FP36" s="37" t="e">
        <f t="shared" ca="1" si="181"/>
        <v>#NAME?</v>
      </c>
      <c r="FQ36" s="37" t="e">
        <f t="shared" ca="1" si="181"/>
        <v>#NAME?</v>
      </c>
      <c r="FR36" s="37" t="e">
        <f t="shared" ca="1" si="181"/>
        <v>#NAME?</v>
      </c>
      <c r="FS36" s="37" t="e">
        <f t="shared" ca="1" si="181"/>
        <v>#NAME?</v>
      </c>
      <c r="FT36" s="37" t="e">
        <f t="shared" ca="1" si="181"/>
        <v>#NAME?</v>
      </c>
      <c r="FU36" s="90" t="e">
        <f t="shared" ca="1" si="181"/>
        <v>#NAME?</v>
      </c>
      <c r="FV36" s="205" t="e">
        <f t="shared" ca="1" si="94"/>
        <v>#NAME?</v>
      </c>
      <c r="FX36" t="str">
        <f t="shared" si="95"/>
        <v>Expert</v>
      </c>
      <c r="FY36" s="36" t="e">
        <f t="shared" ref="FY36:GG36" ca="1" si="182">IF(FY$19&gt;0,FY23*SQRT(FY$19),0)</f>
        <v>#NAME?</v>
      </c>
      <c r="FZ36" s="37" t="e">
        <f t="shared" ca="1" si="182"/>
        <v>#NAME?</v>
      </c>
      <c r="GA36" s="37" t="e">
        <f t="shared" ca="1" si="182"/>
        <v>#NAME?</v>
      </c>
      <c r="GB36" s="37" t="e">
        <f t="shared" ca="1" si="182"/>
        <v>#NAME?</v>
      </c>
      <c r="GC36" s="37" t="e">
        <f t="shared" ca="1" si="182"/>
        <v>#NAME?</v>
      </c>
      <c r="GD36" s="37" t="e">
        <f t="shared" ca="1" si="182"/>
        <v>#NAME?</v>
      </c>
      <c r="GE36" s="37" t="e">
        <f t="shared" ca="1" si="182"/>
        <v>#NAME?</v>
      </c>
      <c r="GF36" s="37" t="e">
        <f t="shared" ca="1" si="182"/>
        <v>#NAME?</v>
      </c>
      <c r="GG36" s="90" t="e">
        <f t="shared" ca="1" si="182"/>
        <v>#NAME?</v>
      </c>
      <c r="GH36" s="205" t="e">
        <f t="shared" ca="1" si="97"/>
        <v>#NAME?</v>
      </c>
      <c r="GJ36" t="str">
        <f t="shared" si="98"/>
        <v>Expert</v>
      </c>
      <c r="GK36" s="36" t="e">
        <f t="shared" ref="GK36:GS36" ca="1" si="183">IF(GK$19&gt;0,GK23*SQRT(GK$19),0)</f>
        <v>#NAME?</v>
      </c>
      <c r="GL36" s="37" t="e">
        <f t="shared" ca="1" si="183"/>
        <v>#NAME?</v>
      </c>
      <c r="GM36" s="37" t="e">
        <f t="shared" ca="1" si="183"/>
        <v>#NAME?</v>
      </c>
      <c r="GN36" s="37" t="e">
        <f t="shared" ca="1" si="183"/>
        <v>#NAME?</v>
      </c>
      <c r="GO36" s="37" t="e">
        <f t="shared" ca="1" si="183"/>
        <v>#NAME?</v>
      </c>
      <c r="GP36" s="37" t="e">
        <f t="shared" ca="1" si="183"/>
        <v>#NAME?</v>
      </c>
      <c r="GQ36" s="37" t="e">
        <f t="shared" ca="1" si="183"/>
        <v>#NAME?</v>
      </c>
      <c r="GR36" s="37" t="e">
        <f t="shared" ca="1" si="183"/>
        <v>#NAME?</v>
      </c>
      <c r="GS36" s="90" t="e">
        <f t="shared" ca="1" si="183"/>
        <v>#NAME?</v>
      </c>
      <c r="GT36" s="205" t="e">
        <f t="shared" ca="1" si="100"/>
        <v>#NAME?</v>
      </c>
      <c r="GV36" t="str">
        <f t="shared" si="101"/>
        <v>Expert</v>
      </c>
      <c r="GW36" s="36" t="e">
        <f t="shared" ref="GW36:HE36" ca="1" si="184">IF(GW$19&gt;0,GW23*SQRT(GW$19),0)</f>
        <v>#NAME?</v>
      </c>
      <c r="GX36" s="37" t="e">
        <f t="shared" ca="1" si="184"/>
        <v>#NAME?</v>
      </c>
      <c r="GY36" s="37" t="e">
        <f t="shared" ca="1" si="184"/>
        <v>#NAME?</v>
      </c>
      <c r="GZ36" s="37" t="e">
        <f t="shared" ca="1" si="184"/>
        <v>#NAME?</v>
      </c>
      <c r="HA36" s="37" t="e">
        <f t="shared" ca="1" si="184"/>
        <v>#NAME?</v>
      </c>
      <c r="HB36" s="37" t="e">
        <f t="shared" ca="1" si="184"/>
        <v>#NAME?</v>
      </c>
      <c r="HC36" s="37" t="e">
        <f t="shared" ca="1" si="184"/>
        <v>#NAME?</v>
      </c>
      <c r="HD36" s="37" t="e">
        <f t="shared" ca="1" si="184"/>
        <v>#NAME?</v>
      </c>
      <c r="HE36" s="90" t="e">
        <f t="shared" ca="1" si="184"/>
        <v>#NAME?</v>
      </c>
      <c r="HF36" s="205" t="e">
        <f t="shared" ca="1" si="103"/>
        <v>#NAME?</v>
      </c>
      <c r="HH36" t="str">
        <f t="shared" si="104"/>
        <v>Expert</v>
      </c>
      <c r="HI36" s="36" t="e">
        <f t="shared" ref="HI36:HQ36" ca="1" si="185">IF(HI$19&gt;0,HI23*SQRT(HI$19),0)</f>
        <v>#NAME?</v>
      </c>
      <c r="HJ36" s="37" t="e">
        <f t="shared" ca="1" si="185"/>
        <v>#NAME?</v>
      </c>
      <c r="HK36" s="37" t="e">
        <f t="shared" ca="1" si="185"/>
        <v>#NAME?</v>
      </c>
      <c r="HL36" s="37" t="e">
        <f t="shared" ca="1" si="185"/>
        <v>#NAME?</v>
      </c>
      <c r="HM36" s="37" t="e">
        <f t="shared" ca="1" si="185"/>
        <v>#NAME?</v>
      </c>
      <c r="HN36" s="37" t="e">
        <f t="shared" ca="1" si="185"/>
        <v>#NAME?</v>
      </c>
      <c r="HO36" s="37" t="e">
        <f t="shared" ca="1" si="185"/>
        <v>#NAME?</v>
      </c>
      <c r="HP36" s="37" t="e">
        <f t="shared" ca="1" si="185"/>
        <v>#NAME?</v>
      </c>
      <c r="HQ36" s="90" t="e">
        <f t="shared" ca="1" si="185"/>
        <v>#NAME?</v>
      </c>
      <c r="HR36" s="205" t="e">
        <f t="shared" ca="1" si="106"/>
        <v>#NAME?</v>
      </c>
      <c r="HT36" t="str">
        <f t="shared" si="107"/>
        <v>Expert</v>
      </c>
      <c r="HU36" s="36" t="e">
        <f t="shared" ref="HU36:IC36" ca="1" si="186">IF(HU$19&gt;0,HU23*SQRT(HU$19),0)</f>
        <v>#NAME?</v>
      </c>
      <c r="HV36" s="37" t="e">
        <f t="shared" ca="1" si="186"/>
        <v>#NAME?</v>
      </c>
      <c r="HW36" s="37" t="e">
        <f t="shared" ca="1" si="186"/>
        <v>#NAME?</v>
      </c>
      <c r="HX36" s="37" t="e">
        <f t="shared" ca="1" si="186"/>
        <v>#NAME?</v>
      </c>
      <c r="HY36" s="37" t="e">
        <f t="shared" ca="1" si="186"/>
        <v>#NAME?</v>
      </c>
      <c r="HZ36" s="37" t="e">
        <f t="shared" ca="1" si="186"/>
        <v>#NAME?</v>
      </c>
      <c r="IA36" s="37" t="e">
        <f t="shared" ca="1" si="186"/>
        <v>#NAME?</v>
      </c>
      <c r="IB36" s="37" t="e">
        <f t="shared" ca="1" si="186"/>
        <v>#NAME?</v>
      </c>
      <c r="IC36" s="90" t="e">
        <f t="shared" ca="1" si="186"/>
        <v>#NAME?</v>
      </c>
      <c r="ID36" s="205" t="e">
        <f t="shared" ca="1" si="109"/>
        <v>#NAME?</v>
      </c>
      <c r="IF36" t="str">
        <f t="shared" si="110"/>
        <v>Expert</v>
      </c>
      <c r="IG36" s="36" t="e">
        <f t="shared" ref="IG36:IO36" ca="1" si="187">IF(IG$19&gt;0,IG23*SQRT(IG$19),0)</f>
        <v>#NAME?</v>
      </c>
      <c r="IH36" s="37" t="e">
        <f t="shared" ca="1" si="187"/>
        <v>#NAME?</v>
      </c>
      <c r="II36" s="37" t="e">
        <f t="shared" ca="1" si="187"/>
        <v>#NAME?</v>
      </c>
      <c r="IJ36" s="37" t="e">
        <f t="shared" ca="1" si="187"/>
        <v>#NAME?</v>
      </c>
      <c r="IK36" s="37" t="e">
        <f t="shared" ca="1" si="187"/>
        <v>#NAME?</v>
      </c>
      <c r="IL36" s="37" t="e">
        <f t="shared" ca="1" si="187"/>
        <v>#NAME?</v>
      </c>
      <c r="IM36" s="37" t="e">
        <f t="shared" ca="1" si="187"/>
        <v>#NAME?</v>
      </c>
      <c r="IN36" s="37" t="e">
        <f t="shared" ca="1" si="187"/>
        <v>#NAME?</v>
      </c>
      <c r="IO36" s="90" t="e">
        <f t="shared" ca="1" si="187"/>
        <v>#NAME?</v>
      </c>
      <c r="IP36" s="205" t="e">
        <f t="shared" ca="1" si="112"/>
        <v>#NAME?</v>
      </c>
      <c r="IR36" t="str">
        <f t="shared" si="113"/>
        <v>Expert</v>
      </c>
      <c r="IS36" s="36" t="e">
        <f t="shared" ref="IS36:JA36" ca="1" si="188">IF(IS$19&gt;0,IS23*SQRT(IS$19),0)</f>
        <v>#NAME?</v>
      </c>
      <c r="IT36" s="37" t="e">
        <f t="shared" ca="1" si="188"/>
        <v>#NAME?</v>
      </c>
      <c r="IU36" s="37" t="e">
        <f t="shared" ca="1" si="188"/>
        <v>#NAME?</v>
      </c>
      <c r="IV36" s="37" t="e">
        <f t="shared" ca="1" si="188"/>
        <v>#NAME?</v>
      </c>
      <c r="IW36" s="37" t="e">
        <f t="shared" ca="1" si="188"/>
        <v>#NAME?</v>
      </c>
      <c r="IX36" s="37" t="e">
        <f t="shared" ca="1" si="188"/>
        <v>#NAME?</v>
      </c>
      <c r="IY36" s="37" t="e">
        <f t="shared" ca="1" si="188"/>
        <v>#NAME?</v>
      </c>
      <c r="IZ36" s="37" t="e">
        <f t="shared" ca="1" si="188"/>
        <v>#NAME?</v>
      </c>
      <c r="JA36" s="90" t="e">
        <f t="shared" ca="1" si="188"/>
        <v>#NAME?</v>
      </c>
      <c r="JB36" s="205" t="e">
        <f t="shared" ca="1" si="115"/>
        <v>#NAME?</v>
      </c>
      <c r="JD36" t="str">
        <f t="shared" si="116"/>
        <v>Expert</v>
      </c>
      <c r="JE36" s="36" t="e">
        <f t="shared" ref="JE36:JM36" ca="1" si="189">IF(JE$19&gt;0,JE23*SQRT(JE$19),0)</f>
        <v>#NAME?</v>
      </c>
      <c r="JF36" s="37" t="e">
        <f t="shared" ca="1" si="189"/>
        <v>#NAME?</v>
      </c>
      <c r="JG36" s="37" t="e">
        <f t="shared" ca="1" si="189"/>
        <v>#NAME?</v>
      </c>
      <c r="JH36" s="37" t="e">
        <f t="shared" ca="1" si="189"/>
        <v>#NAME?</v>
      </c>
      <c r="JI36" s="37" t="e">
        <f t="shared" ca="1" si="189"/>
        <v>#NAME?</v>
      </c>
      <c r="JJ36" s="37" t="e">
        <f t="shared" ca="1" si="189"/>
        <v>#NAME?</v>
      </c>
      <c r="JK36" s="37" t="e">
        <f t="shared" ca="1" si="189"/>
        <v>#NAME?</v>
      </c>
      <c r="JL36" s="37" t="e">
        <f t="shared" ca="1" si="189"/>
        <v>#NAME?</v>
      </c>
      <c r="JM36" s="90" t="e">
        <f t="shared" ca="1" si="189"/>
        <v>#NAME?</v>
      </c>
      <c r="JN36" s="205" t="e">
        <f t="shared" ca="1" si="118"/>
        <v>#NAME?</v>
      </c>
      <c r="JP36" t="str">
        <f t="shared" si="119"/>
        <v>Expert</v>
      </c>
      <c r="JQ36" s="36" t="e">
        <f t="shared" ref="JQ36:JY36" ca="1" si="190">IF(JQ$19&gt;0,JQ23*SQRT(JQ$19),0)</f>
        <v>#NAME?</v>
      </c>
      <c r="JR36" s="37" t="e">
        <f t="shared" ca="1" si="190"/>
        <v>#NAME?</v>
      </c>
      <c r="JS36" s="37" t="e">
        <f t="shared" ca="1" si="190"/>
        <v>#NAME?</v>
      </c>
      <c r="JT36" s="37" t="e">
        <f t="shared" ca="1" si="190"/>
        <v>#NAME?</v>
      </c>
      <c r="JU36" s="37" t="e">
        <f t="shared" ca="1" si="190"/>
        <v>#NAME?</v>
      </c>
      <c r="JV36" s="37" t="e">
        <f t="shared" ca="1" si="190"/>
        <v>#NAME?</v>
      </c>
      <c r="JW36" s="37" t="e">
        <f t="shared" ca="1" si="190"/>
        <v>#NAME?</v>
      </c>
      <c r="JX36" s="37" t="e">
        <f t="shared" ca="1" si="190"/>
        <v>#NAME?</v>
      </c>
      <c r="JY36" s="90" t="e">
        <f t="shared" ca="1" si="190"/>
        <v>#NAME?</v>
      </c>
      <c r="JZ36" s="205" t="e">
        <f t="shared" ca="1" si="121"/>
        <v>#NAME?</v>
      </c>
      <c r="KB36" t="str">
        <f t="shared" si="122"/>
        <v>Expert</v>
      </c>
      <c r="KC36" s="36" t="e">
        <f t="shared" ref="KC36:KK36" ca="1" si="191">IF(KC$19&gt;0,KC23*SQRT(KC$19),0)</f>
        <v>#NAME?</v>
      </c>
      <c r="KD36" s="37" t="e">
        <f t="shared" ca="1" si="191"/>
        <v>#NAME?</v>
      </c>
      <c r="KE36" s="37" t="e">
        <f t="shared" ca="1" si="191"/>
        <v>#NAME?</v>
      </c>
      <c r="KF36" s="37" t="e">
        <f t="shared" ca="1" si="191"/>
        <v>#NAME?</v>
      </c>
      <c r="KG36" s="37" t="e">
        <f t="shared" ca="1" si="191"/>
        <v>#NAME?</v>
      </c>
      <c r="KH36" s="37" t="e">
        <f t="shared" ca="1" si="191"/>
        <v>#NAME?</v>
      </c>
      <c r="KI36" s="37" t="e">
        <f t="shared" ca="1" si="191"/>
        <v>#NAME?</v>
      </c>
      <c r="KJ36" s="37" t="e">
        <f t="shared" ca="1" si="191"/>
        <v>#NAME?</v>
      </c>
      <c r="KK36" s="90" t="e">
        <f t="shared" ca="1" si="191"/>
        <v>#NAME?</v>
      </c>
      <c r="KL36" s="205" t="e">
        <f t="shared" ca="1" si="124"/>
        <v>#NAME?</v>
      </c>
      <c r="KN36" t="str">
        <f t="shared" si="125"/>
        <v>Expert</v>
      </c>
      <c r="KO36" s="36" t="e">
        <f t="shared" ref="KO36:KW36" ca="1" si="192">IF(KO$19&gt;0,KO23*SQRT(KO$19),0)</f>
        <v>#NAME?</v>
      </c>
      <c r="KP36" s="37" t="e">
        <f t="shared" ca="1" si="192"/>
        <v>#NAME?</v>
      </c>
      <c r="KQ36" s="37" t="e">
        <f t="shared" ca="1" si="192"/>
        <v>#NAME?</v>
      </c>
      <c r="KR36" s="37" t="e">
        <f t="shared" ca="1" si="192"/>
        <v>#NAME?</v>
      </c>
      <c r="KS36" s="37" t="e">
        <f t="shared" ca="1" si="192"/>
        <v>#NAME?</v>
      </c>
      <c r="KT36" s="37" t="e">
        <f t="shared" ca="1" si="192"/>
        <v>#NAME?</v>
      </c>
      <c r="KU36" s="37" t="e">
        <f t="shared" ca="1" si="192"/>
        <v>#NAME?</v>
      </c>
      <c r="KV36" s="37" t="e">
        <f t="shared" ca="1" si="192"/>
        <v>#NAME?</v>
      </c>
      <c r="KW36" s="90" t="e">
        <f t="shared" ca="1" si="192"/>
        <v>#NAME?</v>
      </c>
      <c r="KX36" s="205" t="e">
        <f t="shared" ca="1" si="127"/>
        <v>#NAME?</v>
      </c>
      <c r="KZ36" t="str">
        <f t="shared" si="128"/>
        <v>Expert</v>
      </c>
      <c r="LA36" s="36" t="e">
        <f t="shared" ref="LA36:LI36" ca="1" si="193">IF(LA$19&gt;0,LA23*SQRT(LA$19),0)</f>
        <v>#NAME?</v>
      </c>
      <c r="LB36" s="37" t="e">
        <f t="shared" ca="1" si="193"/>
        <v>#NAME?</v>
      </c>
      <c r="LC36" s="37" t="e">
        <f t="shared" ca="1" si="193"/>
        <v>#NAME?</v>
      </c>
      <c r="LD36" s="37" t="e">
        <f t="shared" ca="1" si="193"/>
        <v>#NAME?</v>
      </c>
      <c r="LE36" s="37" t="e">
        <f t="shared" ca="1" si="193"/>
        <v>#NAME?</v>
      </c>
      <c r="LF36" s="37" t="e">
        <f t="shared" ca="1" si="193"/>
        <v>#NAME?</v>
      </c>
      <c r="LG36" s="37" t="e">
        <f t="shared" ca="1" si="193"/>
        <v>#NAME?</v>
      </c>
      <c r="LH36" s="37" t="e">
        <f t="shared" ca="1" si="193"/>
        <v>#NAME?</v>
      </c>
      <c r="LI36" s="90" t="e">
        <f t="shared" ca="1" si="193"/>
        <v>#NAME?</v>
      </c>
      <c r="LJ36" s="205" t="e">
        <f t="shared" ca="1" si="130"/>
        <v>#NAME?</v>
      </c>
      <c r="LL36" t="str">
        <f t="shared" si="131"/>
        <v>Expert</v>
      </c>
      <c r="LM36" s="36" t="e">
        <f t="shared" ref="LM36:LU36" ca="1" si="194">IF(LM$19&gt;0,LM23*SQRT(LM$19),0)</f>
        <v>#NAME?</v>
      </c>
      <c r="LN36" s="37" t="e">
        <f t="shared" ca="1" si="194"/>
        <v>#NAME?</v>
      </c>
      <c r="LO36" s="37" t="e">
        <f t="shared" ca="1" si="194"/>
        <v>#NAME?</v>
      </c>
      <c r="LP36" s="37" t="e">
        <f t="shared" ca="1" si="194"/>
        <v>#NAME?</v>
      </c>
      <c r="LQ36" s="37" t="e">
        <f t="shared" ca="1" si="194"/>
        <v>#NAME?</v>
      </c>
      <c r="LR36" s="37" t="e">
        <f t="shared" ca="1" si="194"/>
        <v>#NAME?</v>
      </c>
      <c r="LS36" s="37" t="e">
        <f t="shared" ca="1" si="194"/>
        <v>#NAME?</v>
      </c>
      <c r="LT36" s="37" t="e">
        <f t="shared" ca="1" si="194"/>
        <v>#NAME?</v>
      </c>
      <c r="LU36" s="90" t="e">
        <f t="shared" ca="1" si="194"/>
        <v>#NAME?</v>
      </c>
      <c r="LV36" s="205" t="e">
        <f t="shared" ca="1" si="133"/>
        <v>#NAME?</v>
      </c>
      <c r="LX36" t="str">
        <f t="shared" si="134"/>
        <v>Expert</v>
      </c>
      <c r="LY36" s="36" t="e">
        <f t="shared" ref="LY36:MG36" ca="1" si="195">IF(LY$19&gt;0,LY23*SQRT(LY$19),0)</f>
        <v>#NAME?</v>
      </c>
      <c r="LZ36" s="37" t="e">
        <f t="shared" ca="1" si="195"/>
        <v>#NAME?</v>
      </c>
      <c r="MA36" s="37" t="e">
        <f t="shared" ca="1" si="195"/>
        <v>#NAME?</v>
      </c>
      <c r="MB36" s="37" t="e">
        <f t="shared" ca="1" si="195"/>
        <v>#NAME?</v>
      </c>
      <c r="MC36" s="37" t="e">
        <f t="shared" ca="1" si="195"/>
        <v>#NAME?</v>
      </c>
      <c r="MD36" s="37" t="e">
        <f t="shared" ca="1" si="195"/>
        <v>#NAME?</v>
      </c>
      <c r="ME36" s="37" t="e">
        <f t="shared" ca="1" si="195"/>
        <v>#NAME?</v>
      </c>
      <c r="MF36" s="37" t="e">
        <f t="shared" ca="1" si="195"/>
        <v>#NAME?</v>
      </c>
      <c r="MG36" s="90" t="e">
        <f t="shared" ca="1" si="195"/>
        <v>#NAME?</v>
      </c>
      <c r="MH36" s="205" t="e">
        <f t="shared" ca="1" si="136"/>
        <v>#NAME?</v>
      </c>
      <c r="MJ36" t="str">
        <f t="shared" si="137"/>
        <v>Expert</v>
      </c>
      <c r="MK36" s="36" t="e">
        <f t="shared" ref="MK36:MS36" ca="1" si="196">IF(MK$19&gt;0,MK23*SQRT(MK$19),0)</f>
        <v>#NAME?</v>
      </c>
      <c r="ML36" s="37" t="e">
        <f t="shared" ca="1" si="196"/>
        <v>#NAME?</v>
      </c>
      <c r="MM36" s="37" t="e">
        <f t="shared" ca="1" si="196"/>
        <v>#NAME?</v>
      </c>
      <c r="MN36" s="37" t="e">
        <f t="shared" ca="1" si="196"/>
        <v>#NAME?</v>
      </c>
      <c r="MO36" s="37" t="e">
        <f t="shared" ca="1" si="196"/>
        <v>#NAME?</v>
      </c>
      <c r="MP36" s="37" t="e">
        <f t="shared" ca="1" si="196"/>
        <v>#NAME?</v>
      </c>
      <c r="MQ36" s="37" t="e">
        <f t="shared" ca="1" si="196"/>
        <v>#NAME?</v>
      </c>
      <c r="MR36" s="37" t="e">
        <f t="shared" ca="1" si="196"/>
        <v>#NAME?</v>
      </c>
      <c r="MS36" s="90" t="e">
        <f t="shared" ca="1" si="196"/>
        <v>#NAME?</v>
      </c>
      <c r="MT36" s="205" t="e">
        <f t="shared" ca="1" si="139"/>
        <v>#NAME?</v>
      </c>
    </row>
    <row r="37" spans="1:358" x14ac:dyDescent="0.3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  <c r="S37">
        <f t="shared" si="140"/>
        <v>5</v>
      </c>
      <c r="T37" s="49" t="e">
        <f ca="1">RSquare($B$4:$J$123,S37)</f>
        <v>#NAME?</v>
      </c>
      <c r="V37" s="205" t="e">
        <f ca="1"/>
        <v>#NAME?</v>
      </c>
      <c r="X37" t="str">
        <f t="shared" si="56"/>
        <v>Motivate</v>
      </c>
      <c r="Y37" s="36" t="e">
        <f t="shared" ref="Y37:AG37" ca="1" si="197">IF(Y$19&gt;0,Y24*SQRT(Y$19),0)</f>
        <v>#NAME?</v>
      </c>
      <c r="Z37" s="37" t="e">
        <f t="shared" ca="1" si="197"/>
        <v>#NAME?</v>
      </c>
      <c r="AA37" s="37" t="e">
        <f t="shared" ca="1" si="197"/>
        <v>#NAME?</v>
      </c>
      <c r="AB37" s="37" t="e">
        <f t="shared" ca="1" si="197"/>
        <v>#NAME?</v>
      </c>
      <c r="AC37" s="37" t="e">
        <f t="shared" ca="1" si="197"/>
        <v>#NAME?</v>
      </c>
      <c r="AD37" s="37" t="e">
        <f t="shared" ca="1" si="197"/>
        <v>#NAME?</v>
      </c>
      <c r="AE37" s="37" t="e">
        <f t="shared" ca="1" si="197"/>
        <v>#NAME?</v>
      </c>
      <c r="AF37" s="37" t="e">
        <f t="shared" ca="1" si="197"/>
        <v>#NAME?</v>
      </c>
      <c r="AG37" s="90" t="e">
        <f t="shared" ca="1" si="197"/>
        <v>#NAME?</v>
      </c>
      <c r="AH37" s="205" t="e">
        <f t="shared" ca="1" si="58"/>
        <v>#NAME?</v>
      </c>
      <c r="AJ37" t="str">
        <f t="shared" si="59"/>
        <v>Motivate</v>
      </c>
      <c r="AK37" s="36" t="e">
        <f t="shared" ref="AK37:AS37" ca="1" si="198">IF(AK$19&gt;0,AK24*SQRT(AK$19),0)</f>
        <v>#NAME?</v>
      </c>
      <c r="AL37" s="37" t="e">
        <f t="shared" ca="1" si="198"/>
        <v>#NAME?</v>
      </c>
      <c r="AM37" s="37" t="e">
        <f t="shared" ca="1" si="198"/>
        <v>#NAME?</v>
      </c>
      <c r="AN37" s="37" t="e">
        <f t="shared" ca="1" si="198"/>
        <v>#NAME?</v>
      </c>
      <c r="AO37" s="37" t="e">
        <f t="shared" ca="1" si="198"/>
        <v>#NAME?</v>
      </c>
      <c r="AP37" s="37" t="e">
        <f t="shared" ca="1" si="198"/>
        <v>#NAME?</v>
      </c>
      <c r="AQ37" s="37" t="e">
        <f t="shared" ca="1" si="198"/>
        <v>#NAME?</v>
      </c>
      <c r="AR37" s="37" t="e">
        <f t="shared" ca="1" si="198"/>
        <v>#NAME?</v>
      </c>
      <c r="AS37" s="90" t="e">
        <f t="shared" ca="1" si="198"/>
        <v>#NAME?</v>
      </c>
      <c r="AT37" s="205" t="e">
        <f t="shared" ca="1" si="61"/>
        <v>#NAME?</v>
      </c>
      <c r="AV37" t="str">
        <f t="shared" si="62"/>
        <v>Motivate</v>
      </c>
      <c r="AW37" s="36" t="e">
        <f t="shared" ref="AW37:BE37" ca="1" si="199">IF(AW$19&gt;0,AW24*SQRT(AW$19),0)</f>
        <v>#NAME?</v>
      </c>
      <c r="AX37" s="37" t="e">
        <f t="shared" ca="1" si="199"/>
        <v>#NAME?</v>
      </c>
      <c r="AY37" s="37" t="e">
        <f t="shared" ca="1" si="199"/>
        <v>#NAME?</v>
      </c>
      <c r="AZ37" s="37" t="e">
        <f t="shared" ca="1" si="199"/>
        <v>#NAME?</v>
      </c>
      <c r="BA37" s="37" t="e">
        <f t="shared" ca="1" si="199"/>
        <v>#NAME?</v>
      </c>
      <c r="BB37" s="37" t="e">
        <f t="shared" ca="1" si="199"/>
        <v>#NAME?</v>
      </c>
      <c r="BC37" s="37" t="e">
        <f t="shared" ca="1" si="199"/>
        <v>#NAME?</v>
      </c>
      <c r="BD37" s="37" t="e">
        <f t="shared" ca="1" si="199"/>
        <v>#NAME?</v>
      </c>
      <c r="BE37" s="90" t="e">
        <f t="shared" ca="1" si="199"/>
        <v>#NAME?</v>
      </c>
      <c r="BF37" s="205" t="e">
        <f t="shared" ca="1" si="64"/>
        <v>#NAME?</v>
      </c>
      <c r="BH37" t="str">
        <f t="shared" si="65"/>
        <v>Motivate</v>
      </c>
      <c r="BI37" s="36" t="e">
        <f t="shared" ref="BI37:BQ37" ca="1" si="200">IF(BI$19&gt;0,BI24*SQRT(BI$19),0)</f>
        <v>#NAME?</v>
      </c>
      <c r="BJ37" s="37" t="e">
        <f t="shared" ca="1" si="200"/>
        <v>#NAME?</v>
      </c>
      <c r="BK37" s="37" t="e">
        <f t="shared" ca="1" si="200"/>
        <v>#NAME?</v>
      </c>
      <c r="BL37" s="37" t="e">
        <f t="shared" ca="1" si="200"/>
        <v>#NAME?</v>
      </c>
      <c r="BM37" s="37" t="e">
        <f t="shared" ca="1" si="200"/>
        <v>#NAME?</v>
      </c>
      <c r="BN37" s="37" t="e">
        <f t="shared" ca="1" si="200"/>
        <v>#NAME?</v>
      </c>
      <c r="BO37" s="37" t="e">
        <f t="shared" ca="1" si="200"/>
        <v>#NAME?</v>
      </c>
      <c r="BP37" s="37" t="e">
        <f t="shared" ca="1" si="200"/>
        <v>#NAME?</v>
      </c>
      <c r="BQ37" s="90" t="e">
        <f t="shared" ca="1" si="200"/>
        <v>#NAME?</v>
      </c>
      <c r="BR37" s="205" t="e">
        <f t="shared" ca="1" si="67"/>
        <v>#NAME?</v>
      </c>
      <c r="BT37" t="str">
        <f t="shared" si="68"/>
        <v>Motivate</v>
      </c>
      <c r="BU37" s="36" t="e">
        <f t="shared" ref="BU37:CC37" ca="1" si="201">IF(BU$19&gt;0,BU24*SQRT(BU$19),0)</f>
        <v>#NAME?</v>
      </c>
      <c r="BV37" s="37" t="e">
        <f t="shared" ca="1" si="201"/>
        <v>#NAME?</v>
      </c>
      <c r="BW37" s="37" t="e">
        <f t="shared" ca="1" si="201"/>
        <v>#NAME?</v>
      </c>
      <c r="BX37" s="37" t="e">
        <f t="shared" ca="1" si="201"/>
        <v>#NAME?</v>
      </c>
      <c r="BY37" s="37" t="e">
        <f t="shared" ca="1" si="201"/>
        <v>#NAME?</v>
      </c>
      <c r="BZ37" s="37" t="e">
        <f t="shared" ca="1" si="201"/>
        <v>#NAME?</v>
      </c>
      <c r="CA37" s="37" t="e">
        <f t="shared" ca="1" si="201"/>
        <v>#NAME?</v>
      </c>
      <c r="CB37" s="37" t="e">
        <f t="shared" ca="1" si="201"/>
        <v>#NAME?</v>
      </c>
      <c r="CC37" s="90" t="e">
        <f t="shared" ca="1" si="201"/>
        <v>#NAME?</v>
      </c>
      <c r="CD37" s="205" t="e">
        <f t="shared" ca="1" si="70"/>
        <v>#NAME?</v>
      </c>
      <c r="CF37" t="str">
        <f t="shared" si="71"/>
        <v>Motivate</v>
      </c>
      <c r="CG37" s="36" t="e">
        <f t="shared" ref="CG37:CO37" ca="1" si="202">IF(CG$19&gt;0,CG24*SQRT(CG$19),0)</f>
        <v>#NAME?</v>
      </c>
      <c r="CH37" s="37" t="e">
        <f t="shared" ca="1" si="202"/>
        <v>#NAME?</v>
      </c>
      <c r="CI37" s="37" t="e">
        <f t="shared" ca="1" si="202"/>
        <v>#NAME?</v>
      </c>
      <c r="CJ37" s="37" t="e">
        <f t="shared" ca="1" si="202"/>
        <v>#NAME?</v>
      </c>
      <c r="CK37" s="37" t="e">
        <f t="shared" ca="1" si="202"/>
        <v>#NAME?</v>
      </c>
      <c r="CL37" s="37" t="e">
        <f t="shared" ca="1" si="202"/>
        <v>#NAME?</v>
      </c>
      <c r="CM37" s="37" t="e">
        <f t="shared" ca="1" si="202"/>
        <v>#NAME?</v>
      </c>
      <c r="CN37" s="37" t="e">
        <f t="shared" ca="1" si="202"/>
        <v>#NAME?</v>
      </c>
      <c r="CO37" s="90" t="e">
        <f t="shared" ca="1" si="202"/>
        <v>#NAME?</v>
      </c>
      <c r="CP37" s="205" t="e">
        <f t="shared" ca="1" si="73"/>
        <v>#NAME?</v>
      </c>
      <c r="CR37" t="str">
        <f t="shared" si="74"/>
        <v>Motivate</v>
      </c>
      <c r="CS37" s="36" t="e">
        <f t="shared" ref="CS37:DA37" ca="1" si="203">IF(CS$19&gt;0,CS24*SQRT(CS$19),0)</f>
        <v>#NAME?</v>
      </c>
      <c r="CT37" s="37" t="e">
        <f t="shared" ca="1" si="203"/>
        <v>#NAME?</v>
      </c>
      <c r="CU37" s="37" t="e">
        <f t="shared" ca="1" si="203"/>
        <v>#NAME?</v>
      </c>
      <c r="CV37" s="37" t="e">
        <f t="shared" ca="1" si="203"/>
        <v>#NAME?</v>
      </c>
      <c r="CW37" s="37" t="e">
        <f t="shared" ca="1" si="203"/>
        <v>#NAME?</v>
      </c>
      <c r="CX37" s="37" t="e">
        <f t="shared" ca="1" si="203"/>
        <v>#NAME?</v>
      </c>
      <c r="CY37" s="37" t="e">
        <f t="shared" ca="1" si="203"/>
        <v>#NAME?</v>
      </c>
      <c r="CZ37" s="37" t="e">
        <f t="shared" ca="1" si="203"/>
        <v>#NAME?</v>
      </c>
      <c r="DA37" s="90" t="e">
        <f t="shared" ca="1" si="203"/>
        <v>#NAME?</v>
      </c>
      <c r="DB37" s="205" t="e">
        <f t="shared" ca="1" si="76"/>
        <v>#NAME?</v>
      </c>
      <c r="DD37" t="str">
        <f t="shared" si="77"/>
        <v>Motivate</v>
      </c>
      <c r="DE37" s="36" t="e">
        <f t="shared" ref="DE37:DM37" ca="1" si="204">IF(DE$19&gt;0,DE24*SQRT(DE$19),0)</f>
        <v>#NAME?</v>
      </c>
      <c r="DF37" s="37" t="e">
        <f t="shared" ca="1" si="204"/>
        <v>#NAME?</v>
      </c>
      <c r="DG37" s="37" t="e">
        <f t="shared" ca="1" si="204"/>
        <v>#NAME?</v>
      </c>
      <c r="DH37" s="37" t="e">
        <f t="shared" ca="1" si="204"/>
        <v>#NAME?</v>
      </c>
      <c r="DI37" s="37" t="e">
        <f t="shared" ca="1" si="204"/>
        <v>#NAME?</v>
      </c>
      <c r="DJ37" s="37" t="e">
        <f t="shared" ca="1" si="204"/>
        <v>#NAME?</v>
      </c>
      <c r="DK37" s="37" t="e">
        <f t="shared" ca="1" si="204"/>
        <v>#NAME?</v>
      </c>
      <c r="DL37" s="37" t="e">
        <f t="shared" ca="1" si="204"/>
        <v>#NAME?</v>
      </c>
      <c r="DM37" s="90" t="e">
        <f t="shared" ca="1" si="204"/>
        <v>#NAME?</v>
      </c>
      <c r="DN37" s="205" t="e">
        <f t="shared" ca="1" si="79"/>
        <v>#NAME?</v>
      </c>
      <c r="DP37" t="str">
        <f t="shared" si="80"/>
        <v>Motivate</v>
      </c>
      <c r="DQ37" s="36" t="e">
        <f t="shared" ref="DQ37:DY37" ca="1" si="205">IF(DQ$19&gt;0,DQ24*SQRT(DQ$19),0)</f>
        <v>#NAME?</v>
      </c>
      <c r="DR37" s="37" t="e">
        <f t="shared" ca="1" si="205"/>
        <v>#NAME?</v>
      </c>
      <c r="DS37" s="37" t="e">
        <f t="shared" ca="1" si="205"/>
        <v>#NAME?</v>
      </c>
      <c r="DT37" s="37" t="e">
        <f t="shared" ca="1" si="205"/>
        <v>#NAME?</v>
      </c>
      <c r="DU37" s="37" t="e">
        <f t="shared" ca="1" si="205"/>
        <v>#NAME?</v>
      </c>
      <c r="DV37" s="37" t="e">
        <f t="shared" ca="1" si="205"/>
        <v>#NAME?</v>
      </c>
      <c r="DW37" s="37" t="e">
        <f t="shared" ca="1" si="205"/>
        <v>#NAME?</v>
      </c>
      <c r="DX37" s="37" t="e">
        <f t="shared" ca="1" si="205"/>
        <v>#NAME?</v>
      </c>
      <c r="DY37" s="90" t="e">
        <f t="shared" ca="1" si="205"/>
        <v>#NAME?</v>
      </c>
      <c r="DZ37" s="205" t="e">
        <f t="shared" ca="1" si="82"/>
        <v>#NAME?</v>
      </c>
      <c r="EB37" t="str">
        <f t="shared" si="83"/>
        <v>Motivate</v>
      </c>
      <c r="EC37" s="36" t="e">
        <f t="shared" ref="EC37:EK37" ca="1" si="206">IF(EC$19&gt;0,EC24*SQRT(EC$19),0)</f>
        <v>#NAME?</v>
      </c>
      <c r="ED37" s="37" t="e">
        <f t="shared" ca="1" si="206"/>
        <v>#NAME?</v>
      </c>
      <c r="EE37" s="37" t="e">
        <f t="shared" ca="1" si="206"/>
        <v>#NAME?</v>
      </c>
      <c r="EF37" s="37" t="e">
        <f t="shared" ca="1" si="206"/>
        <v>#NAME?</v>
      </c>
      <c r="EG37" s="37" t="e">
        <f t="shared" ca="1" si="206"/>
        <v>#NAME?</v>
      </c>
      <c r="EH37" s="37" t="e">
        <f t="shared" ca="1" si="206"/>
        <v>#NAME?</v>
      </c>
      <c r="EI37" s="37" t="e">
        <f t="shared" ca="1" si="206"/>
        <v>#NAME?</v>
      </c>
      <c r="EJ37" s="37" t="e">
        <f t="shared" ca="1" si="206"/>
        <v>#NAME?</v>
      </c>
      <c r="EK37" s="90" t="e">
        <f t="shared" ca="1" si="206"/>
        <v>#NAME?</v>
      </c>
      <c r="EL37" s="205" t="e">
        <f t="shared" ca="1" si="85"/>
        <v>#NAME?</v>
      </c>
      <c r="EN37" t="str">
        <f t="shared" si="86"/>
        <v>Motivate</v>
      </c>
      <c r="EO37" s="36" t="e">
        <f t="shared" ref="EO37:EW37" ca="1" si="207">IF(EO$19&gt;0,EO24*SQRT(EO$19),0)</f>
        <v>#NAME?</v>
      </c>
      <c r="EP37" s="37" t="e">
        <f t="shared" ca="1" si="207"/>
        <v>#NAME?</v>
      </c>
      <c r="EQ37" s="37" t="e">
        <f t="shared" ca="1" si="207"/>
        <v>#NAME?</v>
      </c>
      <c r="ER37" s="37" t="e">
        <f t="shared" ca="1" si="207"/>
        <v>#NAME?</v>
      </c>
      <c r="ES37" s="37" t="e">
        <f t="shared" ca="1" si="207"/>
        <v>#NAME?</v>
      </c>
      <c r="ET37" s="37" t="e">
        <f t="shared" ca="1" si="207"/>
        <v>#NAME?</v>
      </c>
      <c r="EU37" s="37" t="e">
        <f t="shared" ca="1" si="207"/>
        <v>#NAME?</v>
      </c>
      <c r="EV37" s="37" t="e">
        <f t="shared" ca="1" si="207"/>
        <v>#NAME?</v>
      </c>
      <c r="EW37" s="90" t="e">
        <f t="shared" ca="1" si="207"/>
        <v>#NAME?</v>
      </c>
      <c r="EX37" s="205" t="e">
        <f t="shared" ca="1" si="88"/>
        <v>#NAME?</v>
      </c>
      <c r="EZ37" t="str">
        <f t="shared" si="89"/>
        <v>Motivate</v>
      </c>
      <c r="FA37" s="36" t="e">
        <f t="shared" ref="FA37:FI37" ca="1" si="208">IF(FA$19&gt;0,FA24*SQRT(FA$19),0)</f>
        <v>#NAME?</v>
      </c>
      <c r="FB37" s="37" t="e">
        <f t="shared" ca="1" si="208"/>
        <v>#NAME?</v>
      </c>
      <c r="FC37" s="37" t="e">
        <f t="shared" ca="1" si="208"/>
        <v>#NAME?</v>
      </c>
      <c r="FD37" s="37" t="e">
        <f t="shared" ca="1" si="208"/>
        <v>#NAME?</v>
      </c>
      <c r="FE37" s="37" t="e">
        <f t="shared" ca="1" si="208"/>
        <v>#NAME?</v>
      </c>
      <c r="FF37" s="37" t="e">
        <f t="shared" ca="1" si="208"/>
        <v>#NAME?</v>
      </c>
      <c r="FG37" s="37" t="e">
        <f t="shared" ca="1" si="208"/>
        <v>#NAME?</v>
      </c>
      <c r="FH37" s="37" t="e">
        <f t="shared" ca="1" si="208"/>
        <v>#NAME?</v>
      </c>
      <c r="FI37" s="90" t="e">
        <f t="shared" ca="1" si="208"/>
        <v>#NAME?</v>
      </c>
      <c r="FJ37" s="205" t="e">
        <f t="shared" ca="1" si="91"/>
        <v>#NAME?</v>
      </c>
      <c r="FL37" t="str">
        <f t="shared" si="92"/>
        <v>Motivate</v>
      </c>
      <c r="FM37" s="36" t="e">
        <f t="shared" ref="FM37:FU37" ca="1" si="209">IF(FM$19&gt;0,FM24*SQRT(FM$19),0)</f>
        <v>#NAME?</v>
      </c>
      <c r="FN37" s="37" t="e">
        <f t="shared" ca="1" si="209"/>
        <v>#NAME?</v>
      </c>
      <c r="FO37" s="37" t="e">
        <f t="shared" ca="1" si="209"/>
        <v>#NAME?</v>
      </c>
      <c r="FP37" s="37" t="e">
        <f t="shared" ca="1" si="209"/>
        <v>#NAME?</v>
      </c>
      <c r="FQ37" s="37" t="e">
        <f t="shared" ca="1" si="209"/>
        <v>#NAME?</v>
      </c>
      <c r="FR37" s="37" t="e">
        <f t="shared" ca="1" si="209"/>
        <v>#NAME?</v>
      </c>
      <c r="FS37" s="37" t="e">
        <f t="shared" ca="1" si="209"/>
        <v>#NAME?</v>
      </c>
      <c r="FT37" s="37" t="e">
        <f t="shared" ca="1" si="209"/>
        <v>#NAME?</v>
      </c>
      <c r="FU37" s="90" t="e">
        <f t="shared" ca="1" si="209"/>
        <v>#NAME?</v>
      </c>
      <c r="FV37" s="205" t="e">
        <f t="shared" ca="1" si="94"/>
        <v>#NAME?</v>
      </c>
      <c r="FX37" t="str">
        <f t="shared" si="95"/>
        <v>Motivate</v>
      </c>
      <c r="FY37" s="36" t="e">
        <f t="shared" ref="FY37:GG37" ca="1" si="210">IF(FY$19&gt;0,FY24*SQRT(FY$19),0)</f>
        <v>#NAME?</v>
      </c>
      <c r="FZ37" s="37" t="e">
        <f t="shared" ca="1" si="210"/>
        <v>#NAME?</v>
      </c>
      <c r="GA37" s="37" t="e">
        <f t="shared" ca="1" si="210"/>
        <v>#NAME?</v>
      </c>
      <c r="GB37" s="37" t="e">
        <f t="shared" ca="1" si="210"/>
        <v>#NAME?</v>
      </c>
      <c r="GC37" s="37" t="e">
        <f t="shared" ca="1" si="210"/>
        <v>#NAME?</v>
      </c>
      <c r="GD37" s="37" t="e">
        <f t="shared" ca="1" si="210"/>
        <v>#NAME?</v>
      </c>
      <c r="GE37" s="37" t="e">
        <f t="shared" ca="1" si="210"/>
        <v>#NAME?</v>
      </c>
      <c r="GF37" s="37" t="e">
        <f t="shared" ca="1" si="210"/>
        <v>#NAME?</v>
      </c>
      <c r="GG37" s="90" t="e">
        <f t="shared" ca="1" si="210"/>
        <v>#NAME?</v>
      </c>
      <c r="GH37" s="205" t="e">
        <f t="shared" ca="1" si="97"/>
        <v>#NAME?</v>
      </c>
      <c r="GJ37" t="str">
        <f t="shared" si="98"/>
        <v>Motivate</v>
      </c>
      <c r="GK37" s="36" t="e">
        <f t="shared" ref="GK37:GS37" ca="1" si="211">IF(GK$19&gt;0,GK24*SQRT(GK$19),0)</f>
        <v>#NAME?</v>
      </c>
      <c r="GL37" s="37" t="e">
        <f t="shared" ca="1" si="211"/>
        <v>#NAME?</v>
      </c>
      <c r="GM37" s="37" t="e">
        <f t="shared" ca="1" si="211"/>
        <v>#NAME?</v>
      </c>
      <c r="GN37" s="37" t="e">
        <f t="shared" ca="1" si="211"/>
        <v>#NAME?</v>
      </c>
      <c r="GO37" s="37" t="e">
        <f t="shared" ca="1" si="211"/>
        <v>#NAME?</v>
      </c>
      <c r="GP37" s="37" t="e">
        <f t="shared" ca="1" si="211"/>
        <v>#NAME?</v>
      </c>
      <c r="GQ37" s="37" t="e">
        <f t="shared" ca="1" si="211"/>
        <v>#NAME?</v>
      </c>
      <c r="GR37" s="37" t="e">
        <f t="shared" ca="1" si="211"/>
        <v>#NAME?</v>
      </c>
      <c r="GS37" s="90" t="e">
        <f t="shared" ca="1" si="211"/>
        <v>#NAME?</v>
      </c>
      <c r="GT37" s="205" t="e">
        <f t="shared" ca="1" si="100"/>
        <v>#NAME?</v>
      </c>
      <c r="GV37" t="str">
        <f t="shared" si="101"/>
        <v>Motivate</v>
      </c>
      <c r="GW37" s="36" t="e">
        <f t="shared" ref="GW37:HE37" ca="1" si="212">IF(GW$19&gt;0,GW24*SQRT(GW$19),0)</f>
        <v>#NAME?</v>
      </c>
      <c r="GX37" s="37" t="e">
        <f t="shared" ca="1" si="212"/>
        <v>#NAME?</v>
      </c>
      <c r="GY37" s="37" t="e">
        <f t="shared" ca="1" si="212"/>
        <v>#NAME?</v>
      </c>
      <c r="GZ37" s="37" t="e">
        <f t="shared" ca="1" si="212"/>
        <v>#NAME?</v>
      </c>
      <c r="HA37" s="37" t="e">
        <f t="shared" ca="1" si="212"/>
        <v>#NAME?</v>
      </c>
      <c r="HB37" s="37" t="e">
        <f t="shared" ca="1" si="212"/>
        <v>#NAME?</v>
      </c>
      <c r="HC37" s="37" t="e">
        <f t="shared" ca="1" si="212"/>
        <v>#NAME?</v>
      </c>
      <c r="HD37" s="37" t="e">
        <f t="shared" ca="1" si="212"/>
        <v>#NAME?</v>
      </c>
      <c r="HE37" s="90" t="e">
        <f t="shared" ca="1" si="212"/>
        <v>#NAME?</v>
      </c>
      <c r="HF37" s="205" t="e">
        <f t="shared" ca="1" si="103"/>
        <v>#NAME?</v>
      </c>
      <c r="HH37" t="str">
        <f t="shared" si="104"/>
        <v>Motivate</v>
      </c>
      <c r="HI37" s="36" t="e">
        <f t="shared" ref="HI37:HQ37" ca="1" si="213">IF(HI$19&gt;0,HI24*SQRT(HI$19),0)</f>
        <v>#NAME?</v>
      </c>
      <c r="HJ37" s="37" t="e">
        <f t="shared" ca="1" si="213"/>
        <v>#NAME?</v>
      </c>
      <c r="HK37" s="37" t="e">
        <f t="shared" ca="1" si="213"/>
        <v>#NAME?</v>
      </c>
      <c r="HL37" s="37" t="e">
        <f t="shared" ca="1" si="213"/>
        <v>#NAME?</v>
      </c>
      <c r="HM37" s="37" t="e">
        <f t="shared" ca="1" si="213"/>
        <v>#NAME?</v>
      </c>
      <c r="HN37" s="37" t="e">
        <f t="shared" ca="1" si="213"/>
        <v>#NAME?</v>
      </c>
      <c r="HO37" s="37" t="e">
        <f t="shared" ca="1" si="213"/>
        <v>#NAME?</v>
      </c>
      <c r="HP37" s="37" t="e">
        <f t="shared" ca="1" si="213"/>
        <v>#NAME?</v>
      </c>
      <c r="HQ37" s="90" t="e">
        <f t="shared" ca="1" si="213"/>
        <v>#NAME?</v>
      </c>
      <c r="HR37" s="205" t="e">
        <f t="shared" ca="1" si="106"/>
        <v>#NAME?</v>
      </c>
      <c r="HT37" t="str">
        <f t="shared" si="107"/>
        <v>Motivate</v>
      </c>
      <c r="HU37" s="36" t="e">
        <f t="shared" ref="HU37:IC37" ca="1" si="214">IF(HU$19&gt;0,HU24*SQRT(HU$19),0)</f>
        <v>#NAME?</v>
      </c>
      <c r="HV37" s="37" t="e">
        <f t="shared" ca="1" si="214"/>
        <v>#NAME?</v>
      </c>
      <c r="HW37" s="37" t="e">
        <f t="shared" ca="1" si="214"/>
        <v>#NAME?</v>
      </c>
      <c r="HX37" s="37" t="e">
        <f t="shared" ca="1" si="214"/>
        <v>#NAME?</v>
      </c>
      <c r="HY37" s="37" t="e">
        <f t="shared" ca="1" si="214"/>
        <v>#NAME?</v>
      </c>
      <c r="HZ37" s="37" t="e">
        <f t="shared" ca="1" si="214"/>
        <v>#NAME?</v>
      </c>
      <c r="IA37" s="37" t="e">
        <f t="shared" ca="1" si="214"/>
        <v>#NAME?</v>
      </c>
      <c r="IB37" s="37" t="e">
        <f t="shared" ca="1" si="214"/>
        <v>#NAME?</v>
      </c>
      <c r="IC37" s="90" t="e">
        <f t="shared" ca="1" si="214"/>
        <v>#NAME?</v>
      </c>
      <c r="ID37" s="205" t="e">
        <f t="shared" ca="1" si="109"/>
        <v>#NAME?</v>
      </c>
      <c r="IF37" t="str">
        <f t="shared" si="110"/>
        <v>Motivate</v>
      </c>
      <c r="IG37" s="36" t="e">
        <f t="shared" ref="IG37:IO37" ca="1" si="215">IF(IG$19&gt;0,IG24*SQRT(IG$19),0)</f>
        <v>#NAME?</v>
      </c>
      <c r="IH37" s="37" t="e">
        <f t="shared" ca="1" si="215"/>
        <v>#NAME?</v>
      </c>
      <c r="II37" s="37" t="e">
        <f t="shared" ca="1" si="215"/>
        <v>#NAME?</v>
      </c>
      <c r="IJ37" s="37" t="e">
        <f t="shared" ca="1" si="215"/>
        <v>#NAME?</v>
      </c>
      <c r="IK37" s="37" t="e">
        <f t="shared" ca="1" si="215"/>
        <v>#NAME?</v>
      </c>
      <c r="IL37" s="37" t="e">
        <f t="shared" ca="1" si="215"/>
        <v>#NAME?</v>
      </c>
      <c r="IM37" s="37" t="e">
        <f t="shared" ca="1" si="215"/>
        <v>#NAME?</v>
      </c>
      <c r="IN37" s="37" t="e">
        <f t="shared" ca="1" si="215"/>
        <v>#NAME?</v>
      </c>
      <c r="IO37" s="90" t="e">
        <f t="shared" ca="1" si="215"/>
        <v>#NAME?</v>
      </c>
      <c r="IP37" s="205" t="e">
        <f t="shared" ca="1" si="112"/>
        <v>#NAME?</v>
      </c>
      <c r="IR37" t="str">
        <f t="shared" si="113"/>
        <v>Motivate</v>
      </c>
      <c r="IS37" s="36" t="e">
        <f t="shared" ref="IS37:JA37" ca="1" si="216">IF(IS$19&gt;0,IS24*SQRT(IS$19),0)</f>
        <v>#NAME?</v>
      </c>
      <c r="IT37" s="37" t="e">
        <f t="shared" ca="1" si="216"/>
        <v>#NAME?</v>
      </c>
      <c r="IU37" s="37" t="e">
        <f t="shared" ca="1" si="216"/>
        <v>#NAME?</v>
      </c>
      <c r="IV37" s="37" t="e">
        <f t="shared" ca="1" si="216"/>
        <v>#NAME?</v>
      </c>
      <c r="IW37" s="37" t="e">
        <f t="shared" ca="1" si="216"/>
        <v>#NAME?</v>
      </c>
      <c r="IX37" s="37" t="e">
        <f t="shared" ca="1" si="216"/>
        <v>#NAME?</v>
      </c>
      <c r="IY37" s="37" t="e">
        <f t="shared" ca="1" si="216"/>
        <v>#NAME?</v>
      </c>
      <c r="IZ37" s="37" t="e">
        <f t="shared" ca="1" si="216"/>
        <v>#NAME?</v>
      </c>
      <c r="JA37" s="90" t="e">
        <f t="shared" ca="1" si="216"/>
        <v>#NAME?</v>
      </c>
      <c r="JB37" s="205" t="e">
        <f t="shared" ca="1" si="115"/>
        <v>#NAME?</v>
      </c>
      <c r="JD37" t="str">
        <f t="shared" si="116"/>
        <v>Motivate</v>
      </c>
      <c r="JE37" s="36" t="e">
        <f t="shared" ref="JE37:JM37" ca="1" si="217">IF(JE$19&gt;0,JE24*SQRT(JE$19),0)</f>
        <v>#NAME?</v>
      </c>
      <c r="JF37" s="37" t="e">
        <f t="shared" ca="1" si="217"/>
        <v>#NAME?</v>
      </c>
      <c r="JG37" s="37" t="e">
        <f t="shared" ca="1" si="217"/>
        <v>#NAME?</v>
      </c>
      <c r="JH37" s="37" t="e">
        <f t="shared" ca="1" si="217"/>
        <v>#NAME?</v>
      </c>
      <c r="JI37" s="37" t="e">
        <f t="shared" ca="1" si="217"/>
        <v>#NAME?</v>
      </c>
      <c r="JJ37" s="37" t="e">
        <f t="shared" ca="1" si="217"/>
        <v>#NAME?</v>
      </c>
      <c r="JK37" s="37" t="e">
        <f t="shared" ca="1" si="217"/>
        <v>#NAME?</v>
      </c>
      <c r="JL37" s="37" t="e">
        <f t="shared" ca="1" si="217"/>
        <v>#NAME?</v>
      </c>
      <c r="JM37" s="90" t="e">
        <f t="shared" ca="1" si="217"/>
        <v>#NAME?</v>
      </c>
      <c r="JN37" s="205" t="e">
        <f t="shared" ca="1" si="118"/>
        <v>#NAME?</v>
      </c>
      <c r="JP37" t="str">
        <f t="shared" si="119"/>
        <v>Motivate</v>
      </c>
      <c r="JQ37" s="36" t="e">
        <f t="shared" ref="JQ37:JY37" ca="1" si="218">IF(JQ$19&gt;0,JQ24*SQRT(JQ$19),0)</f>
        <v>#NAME?</v>
      </c>
      <c r="JR37" s="37" t="e">
        <f t="shared" ca="1" si="218"/>
        <v>#NAME?</v>
      </c>
      <c r="JS37" s="37" t="e">
        <f t="shared" ca="1" si="218"/>
        <v>#NAME?</v>
      </c>
      <c r="JT37" s="37" t="e">
        <f t="shared" ca="1" si="218"/>
        <v>#NAME?</v>
      </c>
      <c r="JU37" s="37" t="e">
        <f t="shared" ca="1" si="218"/>
        <v>#NAME?</v>
      </c>
      <c r="JV37" s="37" t="e">
        <f t="shared" ca="1" si="218"/>
        <v>#NAME?</v>
      </c>
      <c r="JW37" s="37" t="e">
        <f t="shared" ca="1" si="218"/>
        <v>#NAME?</v>
      </c>
      <c r="JX37" s="37" t="e">
        <f t="shared" ca="1" si="218"/>
        <v>#NAME?</v>
      </c>
      <c r="JY37" s="90" t="e">
        <f t="shared" ca="1" si="218"/>
        <v>#NAME?</v>
      </c>
      <c r="JZ37" s="205" t="e">
        <f t="shared" ca="1" si="121"/>
        <v>#NAME?</v>
      </c>
      <c r="KB37" t="str">
        <f t="shared" si="122"/>
        <v>Motivate</v>
      </c>
      <c r="KC37" s="36" t="e">
        <f t="shared" ref="KC37:KK37" ca="1" si="219">IF(KC$19&gt;0,KC24*SQRT(KC$19),0)</f>
        <v>#NAME?</v>
      </c>
      <c r="KD37" s="37" t="e">
        <f t="shared" ca="1" si="219"/>
        <v>#NAME?</v>
      </c>
      <c r="KE37" s="37" t="e">
        <f t="shared" ca="1" si="219"/>
        <v>#NAME?</v>
      </c>
      <c r="KF37" s="37" t="e">
        <f t="shared" ca="1" si="219"/>
        <v>#NAME?</v>
      </c>
      <c r="KG37" s="37" t="e">
        <f t="shared" ca="1" si="219"/>
        <v>#NAME?</v>
      </c>
      <c r="KH37" s="37" t="e">
        <f t="shared" ca="1" si="219"/>
        <v>#NAME?</v>
      </c>
      <c r="KI37" s="37" t="e">
        <f t="shared" ca="1" si="219"/>
        <v>#NAME?</v>
      </c>
      <c r="KJ37" s="37" t="e">
        <f t="shared" ca="1" si="219"/>
        <v>#NAME?</v>
      </c>
      <c r="KK37" s="90" t="e">
        <f t="shared" ca="1" si="219"/>
        <v>#NAME?</v>
      </c>
      <c r="KL37" s="205" t="e">
        <f t="shared" ca="1" si="124"/>
        <v>#NAME?</v>
      </c>
      <c r="KN37" t="str">
        <f t="shared" si="125"/>
        <v>Motivate</v>
      </c>
      <c r="KO37" s="36" t="e">
        <f t="shared" ref="KO37:KW37" ca="1" si="220">IF(KO$19&gt;0,KO24*SQRT(KO$19),0)</f>
        <v>#NAME?</v>
      </c>
      <c r="KP37" s="37" t="e">
        <f t="shared" ca="1" si="220"/>
        <v>#NAME?</v>
      </c>
      <c r="KQ37" s="37" t="e">
        <f t="shared" ca="1" si="220"/>
        <v>#NAME?</v>
      </c>
      <c r="KR37" s="37" t="e">
        <f t="shared" ca="1" si="220"/>
        <v>#NAME?</v>
      </c>
      <c r="KS37" s="37" t="e">
        <f t="shared" ca="1" si="220"/>
        <v>#NAME?</v>
      </c>
      <c r="KT37" s="37" t="e">
        <f t="shared" ca="1" si="220"/>
        <v>#NAME?</v>
      </c>
      <c r="KU37" s="37" t="e">
        <f t="shared" ca="1" si="220"/>
        <v>#NAME?</v>
      </c>
      <c r="KV37" s="37" t="e">
        <f t="shared" ca="1" si="220"/>
        <v>#NAME?</v>
      </c>
      <c r="KW37" s="90" t="e">
        <f t="shared" ca="1" si="220"/>
        <v>#NAME?</v>
      </c>
      <c r="KX37" s="205" t="e">
        <f t="shared" ca="1" si="127"/>
        <v>#NAME?</v>
      </c>
      <c r="KZ37" t="str">
        <f t="shared" si="128"/>
        <v>Motivate</v>
      </c>
      <c r="LA37" s="36" t="e">
        <f t="shared" ref="LA37:LI37" ca="1" si="221">IF(LA$19&gt;0,LA24*SQRT(LA$19),0)</f>
        <v>#NAME?</v>
      </c>
      <c r="LB37" s="37" t="e">
        <f t="shared" ca="1" si="221"/>
        <v>#NAME?</v>
      </c>
      <c r="LC37" s="37" t="e">
        <f t="shared" ca="1" si="221"/>
        <v>#NAME?</v>
      </c>
      <c r="LD37" s="37" t="e">
        <f t="shared" ca="1" si="221"/>
        <v>#NAME?</v>
      </c>
      <c r="LE37" s="37" t="e">
        <f t="shared" ca="1" si="221"/>
        <v>#NAME?</v>
      </c>
      <c r="LF37" s="37" t="e">
        <f t="shared" ca="1" si="221"/>
        <v>#NAME?</v>
      </c>
      <c r="LG37" s="37" t="e">
        <f t="shared" ca="1" si="221"/>
        <v>#NAME?</v>
      </c>
      <c r="LH37" s="37" t="e">
        <f t="shared" ca="1" si="221"/>
        <v>#NAME?</v>
      </c>
      <c r="LI37" s="90" t="e">
        <f t="shared" ca="1" si="221"/>
        <v>#NAME?</v>
      </c>
      <c r="LJ37" s="205" t="e">
        <f t="shared" ca="1" si="130"/>
        <v>#NAME?</v>
      </c>
      <c r="LL37" t="str">
        <f t="shared" si="131"/>
        <v>Motivate</v>
      </c>
      <c r="LM37" s="36" t="e">
        <f t="shared" ref="LM37:LU37" ca="1" si="222">IF(LM$19&gt;0,LM24*SQRT(LM$19),0)</f>
        <v>#NAME?</v>
      </c>
      <c r="LN37" s="37" t="e">
        <f t="shared" ca="1" si="222"/>
        <v>#NAME?</v>
      </c>
      <c r="LO37" s="37" t="e">
        <f t="shared" ca="1" si="222"/>
        <v>#NAME?</v>
      </c>
      <c r="LP37" s="37" t="e">
        <f t="shared" ca="1" si="222"/>
        <v>#NAME?</v>
      </c>
      <c r="LQ37" s="37" t="e">
        <f t="shared" ca="1" si="222"/>
        <v>#NAME?</v>
      </c>
      <c r="LR37" s="37" t="e">
        <f t="shared" ca="1" si="222"/>
        <v>#NAME?</v>
      </c>
      <c r="LS37" s="37" t="e">
        <f t="shared" ca="1" si="222"/>
        <v>#NAME?</v>
      </c>
      <c r="LT37" s="37" t="e">
        <f t="shared" ca="1" si="222"/>
        <v>#NAME?</v>
      </c>
      <c r="LU37" s="90" t="e">
        <f t="shared" ca="1" si="222"/>
        <v>#NAME?</v>
      </c>
      <c r="LV37" s="205" t="e">
        <f t="shared" ca="1" si="133"/>
        <v>#NAME?</v>
      </c>
      <c r="LX37" t="str">
        <f t="shared" si="134"/>
        <v>Motivate</v>
      </c>
      <c r="LY37" s="36" t="e">
        <f t="shared" ref="LY37:MG37" ca="1" si="223">IF(LY$19&gt;0,LY24*SQRT(LY$19),0)</f>
        <v>#NAME?</v>
      </c>
      <c r="LZ37" s="37" t="e">
        <f t="shared" ca="1" si="223"/>
        <v>#NAME?</v>
      </c>
      <c r="MA37" s="37" t="e">
        <f t="shared" ca="1" si="223"/>
        <v>#NAME?</v>
      </c>
      <c r="MB37" s="37" t="e">
        <f t="shared" ca="1" si="223"/>
        <v>#NAME?</v>
      </c>
      <c r="MC37" s="37" t="e">
        <f t="shared" ca="1" si="223"/>
        <v>#NAME?</v>
      </c>
      <c r="MD37" s="37" t="e">
        <f t="shared" ca="1" si="223"/>
        <v>#NAME?</v>
      </c>
      <c r="ME37" s="37" t="e">
        <f t="shared" ca="1" si="223"/>
        <v>#NAME?</v>
      </c>
      <c r="MF37" s="37" t="e">
        <f t="shared" ca="1" si="223"/>
        <v>#NAME?</v>
      </c>
      <c r="MG37" s="90" t="e">
        <f t="shared" ca="1" si="223"/>
        <v>#NAME?</v>
      </c>
      <c r="MH37" s="205" t="e">
        <f t="shared" ca="1" si="136"/>
        <v>#NAME?</v>
      </c>
      <c r="MJ37" t="str">
        <f t="shared" si="137"/>
        <v>Motivate</v>
      </c>
      <c r="MK37" s="36" t="e">
        <f t="shared" ref="MK37:MS37" ca="1" si="224">IF(MK$19&gt;0,MK24*SQRT(MK$19),0)</f>
        <v>#NAME?</v>
      </c>
      <c r="ML37" s="37" t="e">
        <f t="shared" ca="1" si="224"/>
        <v>#NAME?</v>
      </c>
      <c r="MM37" s="37" t="e">
        <f t="shared" ca="1" si="224"/>
        <v>#NAME?</v>
      </c>
      <c r="MN37" s="37" t="e">
        <f t="shared" ca="1" si="224"/>
        <v>#NAME?</v>
      </c>
      <c r="MO37" s="37" t="e">
        <f t="shared" ca="1" si="224"/>
        <v>#NAME?</v>
      </c>
      <c r="MP37" s="37" t="e">
        <f t="shared" ca="1" si="224"/>
        <v>#NAME?</v>
      </c>
      <c r="MQ37" s="37" t="e">
        <f t="shared" ca="1" si="224"/>
        <v>#NAME?</v>
      </c>
      <c r="MR37" s="37" t="e">
        <f t="shared" ca="1" si="224"/>
        <v>#NAME?</v>
      </c>
      <c r="MS37" s="90" t="e">
        <f t="shared" ca="1" si="224"/>
        <v>#NAME?</v>
      </c>
      <c r="MT37" s="205" t="e">
        <f t="shared" ca="1" si="139"/>
        <v>#NAME?</v>
      </c>
    </row>
    <row r="38" spans="1:358" x14ac:dyDescent="0.3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S38">
        <f t="shared" si="140"/>
        <v>6</v>
      </c>
      <c r="T38" s="49" t="e">
        <f ca="1">RSquare($B$4:$J$123,S38)</f>
        <v>#NAME?</v>
      </c>
      <c r="V38" s="205" t="e">
        <f ca="1"/>
        <v>#NAME?</v>
      </c>
      <c r="X38" t="str">
        <f t="shared" si="56"/>
        <v>Caring</v>
      </c>
      <c r="Y38" s="36" t="e">
        <f t="shared" ref="Y38:AG38" ca="1" si="225">IF(Y$19&gt;0,Y25*SQRT(Y$19),0)</f>
        <v>#NAME?</v>
      </c>
      <c r="Z38" s="37" t="e">
        <f t="shared" ca="1" si="225"/>
        <v>#NAME?</v>
      </c>
      <c r="AA38" s="37" t="e">
        <f t="shared" ca="1" si="225"/>
        <v>#NAME?</v>
      </c>
      <c r="AB38" s="37" t="e">
        <f t="shared" ca="1" si="225"/>
        <v>#NAME?</v>
      </c>
      <c r="AC38" s="37" t="e">
        <f t="shared" ca="1" si="225"/>
        <v>#NAME?</v>
      </c>
      <c r="AD38" s="37" t="e">
        <f t="shared" ca="1" si="225"/>
        <v>#NAME?</v>
      </c>
      <c r="AE38" s="37" t="e">
        <f t="shared" ca="1" si="225"/>
        <v>#NAME?</v>
      </c>
      <c r="AF38" s="37" t="e">
        <f t="shared" ca="1" si="225"/>
        <v>#NAME?</v>
      </c>
      <c r="AG38" s="90" t="e">
        <f t="shared" ca="1" si="225"/>
        <v>#NAME?</v>
      </c>
      <c r="AH38" s="205" t="e">
        <f t="shared" ca="1" si="58"/>
        <v>#NAME?</v>
      </c>
      <c r="AJ38" t="str">
        <f t="shared" si="59"/>
        <v>Caring</v>
      </c>
      <c r="AK38" s="36" t="e">
        <f t="shared" ref="AK38:AS38" ca="1" si="226">IF(AK$19&gt;0,AK25*SQRT(AK$19),0)</f>
        <v>#NAME?</v>
      </c>
      <c r="AL38" s="37" t="e">
        <f t="shared" ca="1" si="226"/>
        <v>#NAME?</v>
      </c>
      <c r="AM38" s="37" t="e">
        <f t="shared" ca="1" si="226"/>
        <v>#NAME?</v>
      </c>
      <c r="AN38" s="37" t="e">
        <f t="shared" ca="1" si="226"/>
        <v>#NAME?</v>
      </c>
      <c r="AO38" s="37" t="e">
        <f t="shared" ca="1" si="226"/>
        <v>#NAME?</v>
      </c>
      <c r="AP38" s="37" t="e">
        <f t="shared" ca="1" si="226"/>
        <v>#NAME?</v>
      </c>
      <c r="AQ38" s="37" t="e">
        <f t="shared" ca="1" si="226"/>
        <v>#NAME?</v>
      </c>
      <c r="AR38" s="37" t="e">
        <f t="shared" ca="1" si="226"/>
        <v>#NAME?</v>
      </c>
      <c r="AS38" s="90" t="e">
        <f t="shared" ca="1" si="226"/>
        <v>#NAME?</v>
      </c>
      <c r="AT38" s="205" t="e">
        <f t="shared" ca="1" si="61"/>
        <v>#NAME?</v>
      </c>
      <c r="AV38" t="str">
        <f t="shared" si="62"/>
        <v>Caring</v>
      </c>
      <c r="AW38" s="36" t="e">
        <f t="shared" ref="AW38:BE38" ca="1" si="227">IF(AW$19&gt;0,AW25*SQRT(AW$19),0)</f>
        <v>#NAME?</v>
      </c>
      <c r="AX38" s="37" t="e">
        <f t="shared" ca="1" si="227"/>
        <v>#NAME?</v>
      </c>
      <c r="AY38" s="37" t="e">
        <f t="shared" ca="1" si="227"/>
        <v>#NAME?</v>
      </c>
      <c r="AZ38" s="37" t="e">
        <f t="shared" ca="1" si="227"/>
        <v>#NAME?</v>
      </c>
      <c r="BA38" s="37" t="e">
        <f t="shared" ca="1" si="227"/>
        <v>#NAME?</v>
      </c>
      <c r="BB38" s="37" t="e">
        <f t="shared" ca="1" si="227"/>
        <v>#NAME?</v>
      </c>
      <c r="BC38" s="37" t="e">
        <f t="shared" ca="1" si="227"/>
        <v>#NAME?</v>
      </c>
      <c r="BD38" s="37" t="e">
        <f t="shared" ca="1" si="227"/>
        <v>#NAME?</v>
      </c>
      <c r="BE38" s="90" t="e">
        <f t="shared" ca="1" si="227"/>
        <v>#NAME?</v>
      </c>
      <c r="BF38" s="205" t="e">
        <f t="shared" ca="1" si="64"/>
        <v>#NAME?</v>
      </c>
      <c r="BH38" t="str">
        <f t="shared" si="65"/>
        <v>Caring</v>
      </c>
      <c r="BI38" s="36" t="e">
        <f t="shared" ref="BI38:BQ38" ca="1" si="228">IF(BI$19&gt;0,BI25*SQRT(BI$19),0)</f>
        <v>#NAME?</v>
      </c>
      <c r="BJ38" s="37" t="e">
        <f t="shared" ca="1" si="228"/>
        <v>#NAME?</v>
      </c>
      <c r="BK38" s="37" t="e">
        <f t="shared" ca="1" si="228"/>
        <v>#NAME?</v>
      </c>
      <c r="BL38" s="37" t="e">
        <f t="shared" ca="1" si="228"/>
        <v>#NAME?</v>
      </c>
      <c r="BM38" s="37" t="e">
        <f t="shared" ca="1" si="228"/>
        <v>#NAME?</v>
      </c>
      <c r="BN38" s="37" t="e">
        <f t="shared" ca="1" si="228"/>
        <v>#NAME?</v>
      </c>
      <c r="BO38" s="37" t="e">
        <f t="shared" ca="1" si="228"/>
        <v>#NAME?</v>
      </c>
      <c r="BP38" s="37" t="e">
        <f t="shared" ca="1" si="228"/>
        <v>#NAME?</v>
      </c>
      <c r="BQ38" s="90" t="e">
        <f t="shared" ca="1" si="228"/>
        <v>#NAME?</v>
      </c>
      <c r="BR38" s="205" t="e">
        <f t="shared" ca="1" si="67"/>
        <v>#NAME?</v>
      </c>
      <c r="BT38" t="str">
        <f t="shared" si="68"/>
        <v>Caring</v>
      </c>
      <c r="BU38" s="36" t="e">
        <f t="shared" ref="BU38:CC38" ca="1" si="229">IF(BU$19&gt;0,BU25*SQRT(BU$19),0)</f>
        <v>#NAME?</v>
      </c>
      <c r="BV38" s="37" t="e">
        <f t="shared" ca="1" si="229"/>
        <v>#NAME?</v>
      </c>
      <c r="BW38" s="37" t="e">
        <f t="shared" ca="1" si="229"/>
        <v>#NAME?</v>
      </c>
      <c r="BX38" s="37" t="e">
        <f t="shared" ca="1" si="229"/>
        <v>#NAME?</v>
      </c>
      <c r="BY38" s="37" t="e">
        <f t="shared" ca="1" si="229"/>
        <v>#NAME?</v>
      </c>
      <c r="BZ38" s="37" t="e">
        <f t="shared" ca="1" si="229"/>
        <v>#NAME?</v>
      </c>
      <c r="CA38" s="37" t="e">
        <f t="shared" ca="1" si="229"/>
        <v>#NAME?</v>
      </c>
      <c r="CB38" s="37" t="e">
        <f t="shared" ca="1" si="229"/>
        <v>#NAME?</v>
      </c>
      <c r="CC38" s="90" t="e">
        <f t="shared" ca="1" si="229"/>
        <v>#NAME?</v>
      </c>
      <c r="CD38" s="205" t="e">
        <f t="shared" ca="1" si="70"/>
        <v>#NAME?</v>
      </c>
      <c r="CF38" t="str">
        <f t="shared" si="71"/>
        <v>Caring</v>
      </c>
      <c r="CG38" s="36" t="e">
        <f t="shared" ref="CG38:CO38" ca="1" si="230">IF(CG$19&gt;0,CG25*SQRT(CG$19),0)</f>
        <v>#NAME?</v>
      </c>
      <c r="CH38" s="37" t="e">
        <f t="shared" ca="1" si="230"/>
        <v>#NAME?</v>
      </c>
      <c r="CI38" s="37" t="e">
        <f t="shared" ca="1" si="230"/>
        <v>#NAME?</v>
      </c>
      <c r="CJ38" s="37" t="e">
        <f t="shared" ca="1" si="230"/>
        <v>#NAME?</v>
      </c>
      <c r="CK38" s="37" t="e">
        <f t="shared" ca="1" si="230"/>
        <v>#NAME?</v>
      </c>
      <c r="CL38" s="37" t="e">
        <f t="shared" ca="1" si="230"/>
        <v>#NAME?</v>
      </c>
      <c r="CM38" s="37" t="e">
        <f t="shared" ca="1" si="230"/>
        <v>#NAME?</v>
      </c>
      <c r="CN38" s="37" t="e">
        <f t="shared" ca="1" si="230"/>
        <v>#NAME?</v>
      </c>
      <c r="CO38" s="90" t="e">
        <f t="shared" ca="1" si="230"/>
        <v>#NAME?</v>
      </c>
      <c r="CP38" s="205" t="e">
        <f t="shared" ca="1" si="73"/>
        <v>#NAME?</v>
      </c>
      <c r="CR38" t="str">
        <f t="shared" si="74"/>
        <v>Caring</v>
      </c>
      <c r="CS38" s="36" t="e">
        <f t="shared" ref="CS38:DA38" ca="1" si="231">IF(CS$19&gt;0,CS25*SQRT(CS$19),0)</f>
        <v>#NAME?</v>
      </c>
      <c r="CT38" s="37" t="e">
        <f t="shared" ca="1" si="231"/>
        <v>#NAME?</v>
      </c>
      <c r="CU38" s="37" t="e">
        <f t="shared" ca="1" si="231"/>
        <v>#NAME?</v>
      </c>
      <c r="CV38" s="37" t="e">
        <f t="shared" ca="1" si="231"/>
        <v>#NAME?</v>
      </c>
      <c r="CW38" s="37" t="e">
        <f t="shared" ca="1" si="231"/>
        <v>#NAME?</v>
      </c>
      <c r="CX38" s="37" t="e">
        <f t="shared" ca="1" si="231"/>
        <v>#NAME?</v>
      </c>
      <c r="CY38" s="37" t="e">
        <f t="shared" ca="1" si="231"/>
        <v>#NAME?</v>
      </c>
      <c r="CZ38" s="37" t="e">
        <f t="shared" ca="1" si="231"/>
        <v>#NAME?</v>
      </c>
      <c r="DA38" s="90" t="e">
        <f t="shared" ca="1" si="231"/>
        <v>#NAME?</v>
      </c>
      <c r="DB38" s="205" t="e">
        <f t="shared" ca="1" si="76"/>
        <v>#NAME?</v>
      </c>
      <c r="DD38" t="str">
        <f t="shared" si="77"/>
        <v>Caring</v>
      </c>
      <c r="DE38" s="36" t="e">
        <f t="shared" ref="DE38:DM38" ca="1" si="232">IF(DE$19&gt;0,DE25*SQRT(DE$19),0)</f>
        <v>#NAME?</v>
      </c>
      <c r="DF38" s="37" t="e">
        <f t="shared" ca="1" si="232"/>
        <v>#NAME?</v>
      </c>
      <c r="DG38" s="37" t="e">
        <f t="shared" ca="1" si="232"/>
        <v>#NAME?</v>
      </c>
      <c r="DH38" s="37" t="e">
        <f t="shared" ca="1" si="232"/>
        <v>#NAME?</v>
      </c>
      <c r="DI38" s="37" t="e">
        <f t="shared" ca="1" si="232"/>
        <v>#NAME?</v>
      </c>
      <c r="DJ38" s="37" t="e">
        <f t="shared" ca="1" si="232"/>
        <v>#NAME?</v>
      </c>
      <c r="DK38" s="37" t="e">
        <f t="shared" ca="1" si="232"/>
        <v>#NAME?</v>
      </c>
      <c r="DL38" s="37" t="e">
        <f t="shared" ca="1" si="232"/>
        <v>#NAME?</v>
      </c>
      <c r="DM38" s="90" t="e">
        <f t="shared" ca="1" si="232"/>
        <v>#NAME?</v>
      </c>
      <c r="DN38" s="205" t="e">
        <f t="shared" ca="1" si="79"/>
        <v>#NAME?</v>
      </c>
      <c r="DP38" t="str">
        <f t="shared" si="80"/>
        <v>Caring</v>
      </c>
      <c r="DQ38" s="36" t="e">
        <f t="shared" ref="DQ38:DY38" ca="1" si="233">IF(DQ$19&gt;0,DQ25*SQRT(DQ$19),0)</f>
        <v>#NAME?</v>
      </c>
      <c r="DR38" s="37" t="e">
        <f t="shared" ca="1" si="233"/>
        <v>#NAME?</v>
      </c>
      <c r="DS38" s="37" t="e">
        <f t="shared" ca="1" si="233"/>
        <v>#NAME?</v>
      </c>
      <c r="DT38" s="37" t="e">
        <f t="shared" ca="1" si="233"/>
        <v>#NAME?</v>
      </c>
      <c r="DU38" s="37" t="e">
        <f t="shared" ca="1" si="233"/>
        <v>#NAME?</v>
      </c>
      <c r="DV38" s="37" t="e">
        <f t="shared" ca="1" si="233"/>
        <v>#NAME?</v>
      </c>
      <c r="DW38" s="37" t="e">
        <f t="shared" ca="1" si="233"/>
        <v>#NAME?</v>
      </c>
      <c r="DX38" s="37" t="e">
        <f t="shared" ca="1" si="233"/>
        <v>#NAME?</v>
      </c>
      <c r="DY38" s="90" t="e">
        <f t="shared" ca="1" si="233"/>
        <v>#NAME?</v>
      </c>
      <c r="DZ38" s="205" t="e">
        <f t="shared" ca="1" si="82"/>
        <v>#NAME?</v>
      </c>
      <c r="EB38" t="str">
        <f t="shared" si="83"/>
        <v>Caring</v>
      </c>
      <c r="EC38" s="36" t="e">
        <f t="shared" ref="EC38:EK38" ca="1" si="234">IF(EC$19&gt;0,EC25*SQRT(EC$19),0)</f>
        <v>#NAME?</v>
      </c>
      <c r="ED38" s="37" t="e">
        <f t="shared" ca="1" si="234"/>
        <v>#NAME?</v>
      </c>
      <c r="EE38" s="37" t="e">
        <f t="shared" ca="1" si="234"/>
        <v>#NAME?</v>
      </c>
      <c r="EF38" s="37" t="e">
        <f t="shared" ca="1" si="234"/>
        <v>#NAME?</v>
      </c>
      <c r="EG38" s="37" t="e">
        <f t="shared" ca="1" si="234"/>
        <v>#NAME?</v>
      </c>
      <c r="EH38" s="37" t="e">
        <f t="shared" ca="1" si="234"/>
        <v>#NAME?</v>
      </c>
      <c r="EI38" s="37" t="e">
        <f t="shared" ca="1" si="234"/>
        <v>#NAME?</v>
      </c>
      <c r="EJ38" s="37" t="e">
        <f t="shared" ca="1" si="234"/>
        <v>#NAME?</v>
      </c>
      <c r="EK38" s="90" t="e">
        <f t="shared" ca="1" si="234"/>
        <v>#NAME?</v>
      </c>
      <c r="EL38" s="205" t="e">
        <f t="shared" ca="1" si="85"/>
        <v>#NAME?</v>
      </c>
      <c r="EN38" t="str">
        <f t="shared" si="86"/>
        <v>Caring</v>
      </c>
      <c r="EO38" s="36" t="e">
        <f t="shared" ref="EO38:EW38" ca="1" si="235">IF(EO$19&gt;0,EO25*SQRT(EO$19),0)</f>
        <v>#NAME?</v>
      </c>
      <c r="EP38" s="37" t="e">
        <f t="shared" ca="1" si="235"/>
        <v>#NAME?</v>
      </c>
      <c r="EQ38" s="37" t="e">
        <f t="shared" ca="1" si="235"/>
        <v>#NAME?</v>
      </c>
      <c r="ER38" s="37" t="e">
        <f t="shared" ca="1" si="235"/>
        <v>#NAME?</v>
      </c>
      <c r="ES38" s="37" t="e">
        <f t="shared" ca="1" si="235"/>
        <v>#NAME?</v>
      </c>
      <c r="ET38" s="37" t="e">
        <f t="shared" ca="1" si="235"/>
        <v>#NAME?</v>
      </c>
      <c r="EU38" s="37" t="e">
        <f t="shared" ca="1" si="235"/>
        <v>#NAME?</v>
      </c>
      <c r="EV38" s="37" t="e">
        <f t="shared" ca="1" si="235"/>
        <v>#NAME?</v>
      </c>
      <c r="EW38" s="90" t="e">
        <f t="shared" ca="1" si="235"/>
        <v>#NAME?</v>
      </c>
      <c r="EX38" s="205" t="e">
        <f t="shared" ca="1" si="88"/>
        <v>#NAME?</v>
      </c>
      <c r="EZ38" t="str">
        <f t="shared" si="89"/>
        <v>Caring</v>
      </c>
      <c r="FA38" s="36" t="e">
        <f t="shared" ref="FA38:FI38" ca="1" si="236">IF(FA$19&gt;0,FA25*SQRT(FA$19),0)</f>
        <v>#NAME?</v>
      </c>
      <c r="FB38" s="37" t="e">
        <f t="shared" ca="1" si="236"/>
        <v>#NAME?</v>
      </c>
      <c r="FC38" s="37" t="e">
        <f t="shared" ca="1" si="236"/>
        <v>#NAME?</v>
      </c>
      <c r="FD38" s="37" t="e">
        <f t="shared" ca="1" si="236"/>
        <v>#NAME?</v>
      </c>
      <c r="FE38" s="37" t="e">
        <f t="shared" ca="1" si="236"/>
        <v>#NAME?</v>
      </c>
      <c r="FF38" s="37" t="e">
        <f t="shared" ca="1" si="236"/>
        <v>#NAME?</v>
      </c>
      <c r="FG38" s="37" t="e">
        <f t="shared" ca="1" si="236"/>
        <v>#NAME?</v>
      </c>
      <c r="FH38" s="37" t="e">
        <f t="shared" ca="1" si="236"/>
        <v>#NAME?</v>
      </c>
      <c r="FI38" s="90" t="e">
        <f t="shared" ca="1" si="236"/>
        <v>#NAME?</v>
      </c>
      <c r="FJ38" s="205" t="e">
        <f t="shared" ca="1" si="91"/>
        <v>#NAME?</v>
      </c>
      <c r="FL38" t="str">
        <f t="shared" si="92"/>
        <v>Caring</v>
      </c>
      <c r="FM38" s="36" t="e">
        <f t="shared" ref="FM38:FU38" ca="1" si="237">IF(FM$19&gt;0,FM25*SQRT(FM$19),0)</f>
        <v>#NAME?</v>
      </c>
      <c r="FN38" s="37" t="e">
        <f t="shared" ca="1" si="237"/>
        <v>#NAME?</v>
      </c>
      <c r="FO38" s="37" t="e">
        <f t="shared" ca="1" si="237"/>
        <v>#NAME?</v>
      </c>
      <c r="FP38" s="37" t="e">
        <f t="shared" ca="1" si="237"/>
        <v>#NAME?</v>
      </c>
      <c r="FQ38" s="37" t="e">
        <f t="shared" ca="1" si="237"/>
        <v>#NAME?</v>
      </c>
      <c r="FR38" s="37" t="e">
        <f t="shared" ca="1" si="237"/>
        <v>#NAME?</v>
      </c>
      <c r="FS38" s="37" t="e">
        <f t="shared" ca="1" si="237"/>
        <v>#NAME?</v>
      </c>
      <c r="FT38" s="37" t="e">
        <f t="shared" ca="1" si="237"/>
        <v>#NAME?</v>
      </c>
      <c r="FU38" s="90" t="e">
        <f t="shared" ca="1" si="237"/>
        <v>#NAME?</v>
      </c>
      <c r="FV38" s="205" t="e">
        <f t="shared" ca="1" si="94"/>
        <v>#NAME?</v>
      </c>
      <c r="FX38" t="str">
        <f t="shared" si="95"/>
        <v>Caring</v>
      </c>
      <c r="FY38" s="36" t="e">
        <f t="shared" ref="FY38:GG38" ca="1" si="238">IF(FY$19&gt;0,FY25*SQRT(FY$19),0)</f>
        <v>#NAME?</v>
      </c>
      <c r="FZ38" s="37" t="e">
        <f t="shared" ca="1" si="238"/>
        <v>#NAME?</v>
      </c>
      <c r="GA38" s="37" t="e">
        <f t="shared" ca="1" si="238"/>
        <v>#NAME?</v>
      </c>
      <c r="GB38" s="37" t="e">
        <f t="shared" ca="1" si="238"/>
        <v>#NAME?</v>
      </c>
      <c r="GC38" s="37" t="e">
        <f t="shared" ca="1" si="238"/>
        <v>#NAME?</v>
      </c>
      <c r="GD38" s="37" t="e">
        <f t="shared" ca="1" si="238"/>
        <v>#NAME?</v>
      </c>
      <c r="GE38" s="37" t="e">
        <f t="shared" ca="1" si="238"/>
        <v>#NAME?</v>
      </c>
      <c r="GF38" s="37" t="e">
        <f t="shared" ca="1" si="238"/>
        <v>#NAME?</v>
      </c>
      <c r="GG38" s="90" t="e">
        <f t="shared" ca="1" si="238"/>
        <v>#NAME?</v>
      </c>
      <c r="GH38" s="205" t="e">
        <f t="shared" ca="1" si="97"/>
        <v>#NAME?</v>
      </c>
      <c r="GJ38" t="str">
        <f t="shared" si="98"/>
        <v>Caring</v>
      </c>
      <c r="GK38" s="36" t="e">
        <f t="shared" ref="GK38:GS38" ca="1" si="239">IF(GK$19&gt;0,GK25*SQRT(GK$19),0)</f>
        <v>#NAME?</v>
      </c>
      <c r="GL38" s="37" t="e">
        <f t="shared" ca="1" si="239"/>
        <v>#NAME?</v>
      </c>
      <c r="GM38" s="37" t="e">
        <f t="shared" ca="1" si="239"/>
        <v>#NAME?</v>
      </c>
      <c r="GN38" s="37" t="e">
        <f t="shared" ca="1" si="239"/>
        <v>#NAME?</v>
      </c>
      <c r="GO38" s="37" t="e">
        <f t="shared" ca="1" si="239"/>
        <v>#NAME?</v>
      </c>
      <c r="GP38" s="37" t="e">
        <f t="shared" ca="1" si="239"/>
        <v>#NAME?</v>
      </c>
      <c r="GQ38" s="37" t="e">
        <f t="shared" ca="1" si="239"/>
        <v>#NAME?</v>
      </c>
      <c r="GR38" s="37" t="e">
        <f t="shared" ca="1" si="239"/>
        <v>#NAME?</v>
      </c>
      <c r="GS38" s="90" t="e">
        <f t="shared" ca="1" si="239"/>
        <v>#NAME?</v>
      </c>
      <c r="GT38" s="205" t="e">
        <f t="shared" ca="1" si="100"/>
        <v>#NAME?</v>
      </c>
      <c r="GV38" t="str">
        <f t="shared" si="101"/>
        <v>Caring</v>
      </c>
      <c r="GW38" s="36" t="e">
        <f t="shared" ref="GW38:HE38" ca="1" si="240">IF(GW$19&gt;0,GW25*SQRT(GW$19),0)</f>
        <v>#NAME?</v>
      </c>
      <c r="GX38" s="37" t="e">
        <f t="shared" ca="1" si="240"/>
        <v>#NAME?</v>
      </c>
      <c r="GY38" s="37" t="e">
        <f t="shared" ca="1" si="240"/>
        <v>#NAME?</v>
      </c>
      <c r="GZ38" s="37" t="e">
        <f t="shared" ca="1" si="240"/>
        <v>#NAME?</v>
      </c>
      <c r="HA38" s="37" t="e">
        <f t="shared" ca="1" si="240"/>
        <v>#NAME?</v>
      </c>
      <c r="HB38" s="37" t="e">
        <f t="shared" ca="1" si="240"/>
        <v>#NAME?</v>
      </c>
      <c r="HC38" s="37" t="e">
        <f t="shared" ca="1" si="240"/>
        <v>#NAME?</v>
      </c>
      <c r="HD38" s="37" t="e">
        <f t="shared" ca="1" si="240"/>
        <v>#NAME?</v>
      </c>
      <c r="HE38" s="90" t="e">
        <f t="shared" ca="1" si="240"/>
        <v>#NAME?</v>
      </c>
      <c r="HF38" s="205" t="e">
        <f t="shared" ca="1" si="103"/>
        <v>#NAME?</v>
      </c>
      <c r="HH38" t="str">
        <f t="shared" si="104"/>
        <v>Caring</v>
      </c>
      <c r="HI38" s="36" t="e">
        <f t="shared" ref="HI38:HQ38" ca="1" si="241">IF(HI$19&gt;0,HI25*SQRT(HI$19),0)</f>
        <v>#NAME?</v>
      </c>
      <c r="HJ38" s="37" t="e">
        <f t="shared" ca="1" si="241"/>
        <v>#NAME?</v>
      </c>
      <c r="HK38" s="37" t="e">
        <f t="shared" ca="1" si="241"/>
        <v>#NAME?</v>
      </c>
      <c r="HL38" s="37" t="e">
        <f t="shared" ca="1" si="241"/>
        <v>#NAME?</v>
      </c>
      <c r="HM38" s="37" t="e">
        <f t="shared" ca="1" si="241"/>
        <v>#NAME?</v>
      </c>
      <c r="HN38" s="37" t="e">
        <f t="shared" ca="1" si="241"/>
        <v>#NAME?</v>
      </c>
      <c r="HO38" s="37" t="e">
        <f t="shared" ca="1" si="241"/>
        <v>#NAME?</v>
      </c>
      <c r="HP38" s="37" t="e">
        <f t="shared" ca="1" si="241"/>
        <v>#NAME?</v>
      </c>
      <c r="HQ38" s="90" t="e">
        <f t="shared" ca="1" si="241"/>
        <v>#NAME?</v>
      </c>
      <c r="HR38" s="205" t="e">
        <f t="shared" ca="1" si="106"/>
        <v>#NAME?</v>
      </c>
      <c r="HT38" t="str">
        <f t="shared" si="107"/>
        <v>Caring</v>
      </c>
      <c r="HU38" s="36" t="e">
        <f t="shared" ref="HU38:IC38" ca="1" si="242">IF(HU$19&gt;0,HU25*SQRT(HU$19),0)</f>
        <v>#NAME?</v>
      </c>
      <c r="HV38" s="37" t="e">
        <f t="shared" ca="1" si="242"/>
        <v>#NAME?</v>
      </c>
      <c r="HW38" s="37" t="e">
        <f t="shared" ca="1" si="242"/>
        <v>#NAME?</v>
      </c>
      <c r="HX38" s="37" t="e">
        <f t="shared" ca="1" si="242"/>
        <v>#NAME?</v>
      </c>
      <c r="HY38" s="37" t="e">
        <f t="shared" ca="1" si="242"/>
        <v>#NAME?</v>
      </c>
      <c r="HZ38" s="37" t="e">
        <f t="shared" ca="1" si="242"/>
        <v>#NAME?</v>
      </c>
      <c r="IA38" s="37" t="e">
        <f t="shared" ca="1" si="242"/>
        <v>#NAME?</v>
      </c>
      <c r="IB38" s="37" t="e">
        <f t="shared" ca="1" si="242"/>
        <v>#NAME?</v>
      </c>
      <c r="IC38" s="90" t="e">
        <f t="shared" ca="1" si="242"/>
        <v>#NAME?</v>
      </c>
      <c r="ID38" s="205" t="e">
        <f t="shared" ca="1" si="109"/>
        <v>#NAME?</v>
      </c>
      <c r="IF38" t="str">
        <f t="shared" si="110"/>
        <v>Caring</v>
      </c>
      <c r="IG38" s="36" t="e">
        <f t="shared" ref="IG38:IO38" ca="1" si="243">IF(IG$19&gt;0,IG25*SQRT(IG$19),0)</f>
        <v>#NAME?</v>
      </c>
      <c r="IH38" s="37" t="e">
        <f t="shared" ca="1" si="243"/>
        <v>#NAME?</v>
      </c>
      <c r="II38" s="37" t="e">
        <f t="shared" ca="1" si="243"/>
        <v>#NAME?</v>
      </c>
      <c r="IJ38" s="37" t="e">
        <f t="shared" ca="1" si="243"/>
        <v>#NAME?</v>
      </c>
      <c r="IK38" s="37" t="e">
        <f t="shared" ca="1" si="243"/>
        <v>#NAME?</v>
      </c>
      <c r="IL38" s="37" t="e">
        <f t="shared" ca="1" si="243"/>
        <v>#NAME?</v>
      </c>
      <c r="IM38" s="37" t="e">
        <f t="shared" ca="1" si="243"/>
        <v>#NAME?</v>
      </c>
      <c r="IN38" s="37" t="e">
        <f t="shared" ca="1" si="243"/>
        <v>#NAME?</v>
      </c>
      <c r="IO38" s="90" t="e">
        <f t="shared" ca="1" si="243"/>
        <v>#NAME?</v>
      </c>
      <c r="IP38" s="205" t="e">
        <f t="shared" ca="1" si="112"/>
        <v>#NAME?</v>
      </c>
      <c r="IR38" t="str">
        <f t="shared" si="113"/>
        <v>Caring</v>
      </c>
      <c r="IS38" s="36" t="e">
        <f t="shared" ref="IS38:JA38" ca="1" si="244">IF(IS$19&gt;0,IS25*SQRT(IS$19),0)</f>
        <v>#NAME?</v>
      </c>
      <c r="IT38" s="37" t="e">
        <f t="shared" ca="1" si="244"/>
        <v>#NAME?</v>
      </c>
      <c r="IU38" s="37" t="e">
        <f t="shared" ca="1" si="244"/>
        <v>#NAME?</v>
      </c>
      <c r="IV38" s="37" t="e">
        <f t="shared" ca="1" si="244"/>
        <v>#NAME?</v>
      </c>
      <c r="IW38" s="37" t="e">
        <f t="shared" ca="1" si="244"/>
        <v>#NAME?</v>
      </c>
      <c r="IX38" s="37" t="e">
        <f t="shared" ca="1" si="244"/>
        <v>#NAME?</v>
      </c>
      <c r="IY38" s="37" t="e">
        <f t="shared" ca="1" si="244"/>
        <v>#NAME?</v>
      </c>
      <c r="IZ38" s="37" t="e">
        <f t="shared" ca="1" si="244"/>
        <v>#NAME?</v>
      </c>
      <c r="JA38" s="90" t="e">
        <f t="shared" ca="1" si="244"/>
        <v>#NAME?</v>
      </c>
      <c r="JB38" s="205" t="e">
        <f t="shared" ca="1" si="115"/>
        <v>#NAME?</v>
      </c>
      <c r="JD38" t="str">
        <f t="shared" si="116"/>
        <v>Caring</v>
      </c>
      <c r="JE38" s="36" t="e">
        <f t="shared" ref="JE38:JM38" ca="1" si="245">IF(JE$19&gt;0,JE25*SQRT(JE$19),0)</f>
        <v>#NAME?</v>
      </c>
      <c r="JF38" s="37" t="e">
        <f t="shared" ca="1" si="245"/>
        <v>#NAME?</v>
      </c>
      <c r="JG38" s="37" t="e">
        <f t="shared" ca="1" si="245"/>
        <v>#NAME?</v>
      </c>
      <c r="JH38" s="37" t="e">
        <f t="shared" ca="1" si="245"/>
        <v>#NAME?</v>
      </c>
      <c r="JI38" s="37" t="e">
        <f t="shared" ca="1" si="245"/>
        <v>#NAME?</v>
      </c>
      <c r="JJ38" s="37" t="e">
        <f t="shared" ca="1" si="245"/>
        <v>#NAME?</v>
      </c>
      <c r="JK38" s="37" t="e">
        <f t="shared" ca="1" si="245"/>
        <v>#NAME?</v>
      </c>
      <c r="JL38" s="37" t="e">
        <f t="shared" ca="1" si="245"/>
        <v>#NAME?</v>
      </c>
      <c r="JM38" s="90" t="e">
        <f t="shared" ca="1" si="245"/>
        <v>#NAME?</v>
      </c>
      <c r="JN38" s="205" t="e">
        <f t="shared" ca="1" si="118"/>
        <v>#NAME?</v>
      </c>
      <c r="JP38" t="str">
        <f t="shared" si="119"/>
        <v>Caring</v>
      </c>
      <c r="JQ38" s="36" t="e">
        <f t="shared" ref="JQ38:JY38" ca="1" si="246">IF(JQ$19&gt;0,JQ25*SQRT(JQ$19),0)</f>
        <v>#NAME?</v>
      </c>
      <c r="JR38" s="37" t="e">
        <f t="shared" ca="1" si="246"/>
        <v>#NAME?</v>
      </c>
      <c r="JS38" s="37" t="e">
        <f t="shared" ca="1" si="246"/>
        <v>#NAME?</v>
      </c>
      <c r="JT38" s="37" t="e">
        <f t="shared" ca="1" si="246"/>
        <v>#NAME?</v>
      </c>
      <c r="JU38" s="37" t="e">
        <f t="shared" ca="1" si="246"/>
        <v>#NAME?</v>
      </c>
      <c r="JV38" s="37" t="e">
        <f t="shared" ca="1" si="246"/>
        <v>#NAME?</v>
      </c>
      <c r="JW38" s="37" t="e">
        <f t="shared" ca="1" si="246"/>
        <v>#NAME?</v>
      </c>
      <c r="JX38" s="37" t="e">
        <f t="shared" ca="1" si="246"/>
        <v>#NAME?</v>
      </c>
      <c r="JY38" s="90" t="e">
        <f t="shared" ca="1" si="246"/>
        <v>#NAME?</v>
      </c>
      <c r="JZ38" s="205" t="e">
        <f t="shared" ca="1" si="121"/>
        <v>#NAME?</v>
      </c>
      <c r="KB38" t="str">
        <f t="shared" si="122"/>
        <v>Caring</v>
      </c>
      <c r="KC38" s="36" t="e">
        <f t="shared" ref="KC38:KK38" ca="1" si="247">IF(KC$19&gt;0,KC25*SQRT(KC$19),0)</f>
        <v>#NAME?</v>
      </c>
      <c r="KD38" s="37" t="e">
        <f t="shared" ca="1" si="247"/>
        <v>#NAME?</v>
      </c>
      <c r="KE38" s="37" t="e">
        <f t="shared" ca="1" si="247"/>
        <v>#NAME?</v>
      </c>
      <c r="KF38" s="37" t="e">
        <f t="shared" ca="1" si="247"/>
        <v>#NAME?</v>
      </c>
      <c r="KG38" s="37" t="e">
        <f t="shared" ca="1" si="247"/>
        <v>#NAME?</v>
      </c>
      <c r="KH38" s="37" t="e">
        <f t="shared" ca="1" si="247"/>
        <v>#NAME?</v>
      </c>
      <c r="KI38" s="37" t="e">
        <f t="shared" ca="1" si="247"/>
        <v>#NAME?</v>
      </c>
      <c r="KJ38" s="37" t="e">
        <f t="shared" ca="1" si="247"/>
        <v>#NAME?</v>
      </c>
      <c r="KK38" s="90" t="e">
        <f t="shared" ca="1" si="247"/>
        <v>#NAME?</v>
      </c>
      <c r="KL38" s="205" t="e">
        <f t="shared" ca="1" si="124"/>
        <v>#NAME?</v>
      </c>
      <c r="KN38" t="str">
        <f t="shared" si="125"/>
        <v>Caring</v>
      </c>
      <c r="KO38" s="36" t="e">
        <f t="shared" ref="KO38:KW38" ca="1" si="248">IF(KO$19&gt;0,KO25*SQRT(KO$19),0)</f>
        <v>#NAME?</v>
      </c>
      <c r="KP38" s="37" t="e">
        <f t="shared" ca="1" si="248"/>
        <v>#NAME?</v>
      </c>
      <c r="KQ38" s="37" t="e">
        <f t="shared" ca="1" si="248"/>
        <v>#NAME?</v>
      </c>
      <c r="KR38" s="37" t="e">
        <f t="shared" ca="1" si="248"/>
        <v>#NAME?</v>
      </c>
      <c r="KS38" s="37" t="e">
        <f t="shared" ca="1" si="248"/>
        <v>#NAME?</v>
      </c>
      <c r="KT38" s="37" t="e">
        <f t="shared" ca="1" si="248"/>
        <v>#NAME?</v>
      </c>
      <c r="KU38" s="37" t="e">
        <f t="shared" ca="1" si="248"/>
        <v>#NAME?</v>
      </c>
      <c r="KV38" s="37" t="e">
        <f t="shared" ca="1" si="248"/>
        <v>#NAME?</v>
      </c>
      <c r="KW38" s="90" t="e">
        <f t="shared" ca="1" si="248"/>
        <v>#NAME?</v>
      </c>
      <c r="KX38" s="205" t="e">
        <f t="shared" ca="1" si="127"/>
        <v>#NAME?</v>
      </c>
      <c r="KZ38" t="str">
        <f t="shared" si="128"/>
        <v>Caring</v>
      </c>
      <c r="LA38" s="36" t="e">
        <f t="shared" ref="LA38:LI38" ca="1" si="249">IF(LA$19&gt;0,LA25*SQRT(LA$19),0)</f>
        <v>#NAME?</v>
      </c>
      <c r="LB38" s="37" t="e">
        <f t="shared" ca="1" si="249"/>
        <v>#NAME?</v>
      </c>
      <c r="LC38" s="37" t="e">
        <f t="shared" ca="1" si="249"/>
        <v>#NAME?</v>
      </c>
      <c r="LD38" s="37" t="e">
        <f t="shared" ca="1" si="249"/>
        <v>#NAME?</v>
      </c>
      <c r="LE38" s="37" t="e">
        <f t="shared" ca="1" si="249"/>
        <v>#NAME?</v>
      </c>
      <c r="LF38" s="37" t="e">
        <f t="shared" ca="1" si="249"/>
        <v>#NAME?</v>
      </c>
      <c r="LG38" s="37" t="e">
        <f t="shared" ca="1" si="249"/>
        <v>#NAME?</v>
      </c>
      <c r="LH38" s="37" t="e">
        <f t="shared" ca="1" si="249"/>
        <v>#NAME?</v>
      </c>
      <c r="LI38" s="90" t="e">
        <f t="shared" ca="1" si="249"/>
        <v>#NAME?</v>
      </c>
      <c r="LJ38" s="205" t="e">
        <f t="shared" ca="1" si="130"/>
        <v>#NAME?</v>
      </c>
      <c r="LL38" t="str">
        <f t="shared" si="131"/>
        <v>Caring</v>
      </c>
      <c r="LM38" s="36" t="e">
        <f t="shared" ref="LM38:LU38" ca="1" si="250">IF(LM$19&gt;0,LM25*SQRT(LM$19),0)</f>
        <v>#NAME?</v>
      </c>
      <c r="LN38" s="37" t="e">
        <f t="shared" ca="1" si="250"/>
        <v>#NAME?</v>
      </c>
      <c r="LO38" s="37" t="e">
        <f t="shared" ca="1" si="250"/>
        <v>#NAME?</v>
      </c>
      <c r="LP38" s="37" t="e">
        <f t="shared" ca="1" si="250"/>
        <v>#NAME?</v>
      </c>
      <c r="LQ38" s="37" t="e">
        <f t="shared" ca="1" si="250"/>
        <v>#NAME?</v>
      </c>
      <c r="LR38" s="37" t="e">
        <f t="shared" ca="1" si="250"/>
        <v>#NAME?</v>
      </c>
      <c r="LS38" s="37" t="e">
        <f t="shared" ca="1" si="250"/>
        <v>#NAME?</v>
      </c>
      <c r="LT38" s="37" t="e">
        <f t="shared" ca="1" si="250"/>
        <v>#NAME?</v>
      </c>
      <c r="LU38" s="90" t="e">
        <f t="shared" ca="1" si="250"/>
        <v>#NAME?</v>
      </c>
      <c r="LV38" s="205" t="e">
        <f t="shared" ca="1" si="133"/>
        <v>#NAME?</v>
      </c>
      <c r="LX38" t="str">
        <f t="shared" si="134"/>
        <v>Caring</v>
      </c>
      <c r="LY38" s="36" t="e">
        <f t="shared" ref="LY38:MG38" ca="1" si="251">IF(LY$19&gt;0,LY25*SQRT(LY$19),0)</f>
        <v>#NAME?</v>
      </c>
      <c r="LZ38" s="37" t="e">
        <f t="shared" ca="1" si="251"/>
        <v>#NAME?</v>
      </c>
      <c r="MA38" s="37" t="e">
        <f t="shared" ca="1" si="251"/>
        <v>#NAME?</v>
      </c>
      <c r="MB38" s="37" t="e">
        <f t="shared" ca="1" si="251"/>
        <v>#NAME?</v>
      </c>
      <c r="MC38" s="37" t="e">
        <f t="shared" ca="1" si="251"/>
        <v>#NAME?</v>
      </c>
      <c r="MD38" s="37" t="e">
        <f t="shared" ca="1" si="251"/>
        <v>#NAME?</v>
      </c>
      <c r="ME38" s="37" t="e">
        <f t="shared" ca="1" si="251"/>
        <v>#NAME?</v>
      </c>
      <c r="MF38" s="37" t="e">
        <f t="shared" ca="1" si="251"/>
        <v>#NAME?</v>
      </c>
      <c r="MG38" s="90" t="e">
        <f t="shared" ca="1" si="251"/>
        <v>#NAME?</v>
      </c>
      <c r="MH38" s="205" t="e">
        <f t="shared" ca="1" si="136"/>
        <v>#NAME?</v>
      </c>
      <c r="MJ38" t="str">
        <f t="shared" si="137"/>
        <v>Caring</v>
      </c>
      <c r="MK38" s="36" t="e">
        <f t="shared" ref="MK38:MS38" ca="1" si="252">IF(MK$19&gt;0,MK25*SQRT(MK$19),0)</f>
        <v>#NAME?</v>
      </c>
      <c r="ML38" s="37" t="e">
        <f t="shared" ca="1" si="252"/>
        <v>#NAME?</v>
      </c>
      <c r="MM38" s="37" t="e">
        <f t="shared" ca="1" si="252"/>
        <v>#NAME?</v>
      </c>
      <c r="MN38" s="37" t="e">
        <f t="shared" ca="1" si="252"/>
        <v>#NAME?</v>
      </c>
      <c r="MO38" s="37" t="e">
        <f t="shared" ca="1" si="252"/>
        <v>#NAME?</v>
      </c>
      <c r="MP38" s="37" t="e">
        <f t="shared" ca="1" si="252"/>
        <v>#NAME?</v>
      </c>
      <c r="MQ38" s="37" t="e">
        <f t="shared" ca="1" si="252"/>
        <v>#NAME?</v>
      </c>
      <c r="MR38" s="37" t="e">
        <f t="shared" ca="1" si="252"/>
        <v>#NAME?</v>
      </c>
      <c r="MS38" s="90" t="e">
        <f t="shared" ca="1" si="252"/>
        <v>#NAME?</v>
      </c>
      <c r="MT38" s="205" t="e">
        <f t="shared" ca="1" si="139"/>
        <v>#NAME?</v>
      </c>
    </row>
    <row r="39" spans="1:358" x14ac:dyDescent="0.3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  <c r="S39">
        <f t="shared" si="140"/>
        <v>7</v>
      </c>
      <c r="T39" s="49" t="e">
        <f ca="1">RSquare($B$4:$J$123,S39)</f>
        <v>#NAME?</v>
      </c>
      <c r="V39" s="205" t="e">
        <f ca="1"/>
        <v>#NAME?</v>
      </c>
      <c r="X39" t="str">
        <f t="shared" si="56"/>
        <v>Charisma</v>
      </c>
      <c r="Y39" s="36" t="e">
        <f t="shared" ref="Y39:AG39" ca="1" si="253">IF(Y$19&gt;0,Y26*SQRT(Y$19),0)</f>
        <v>#NAME?</v>
      </c>
      <c r="Z39" s="37" t="e">
        <f t="shared" ca="1" si="253"/>
        <v>#NAME?</v>
      </c>
      <c r="AA39" s="37" t="e">
        <f t="shared" ca="1" si="253"/>
        <v>#NAME?</v>
      </c>
      <c r="AB39" s="37" t="e">
        <f t="shared" ca="1" si="253"/>
        <v>#NAME?</v>
      </c>
      <c r="AC39" s="37" t="e">
        <f t="shared" ca="1" si="253"/>
        <v>#NAME?</v>
      </c>
      <c r="AD39" s="37" t="e">
        <f t="shared" ca="1" si="253"/>
        <v>#NAME?</v>
      </c>
      <c r="AE39" s="37" t="e">
        <f t="shared" ca="1" si="253"/>
        <v>#NAME?</v>
      </c>
      <c r="AF39" s="37" t="e">
        <f t="shared" ca="1" si="253"/>
        <v>#NAME?</v>
      </c>
      <c r="AG39" s="90" t="e">
        <f t="shared" ca="1" si="253"/>
        <v>#NAME?</v>
      </c>
      <c r="AH39" s="205" t="e">
        <f t="shared" ca="1" si="58"/>
        <v>#NAME?</v>
      </c>
      <c r="AJ39" t="str">
        <f t="shared" si="59"/>
        <v>Charisma</v>
      </c>
      <c r="AK39" s="36" t="e">
        <f t="shared" ref="AK39:AS39" ca="1" si="254">IF(AK$19&gt;0,AK26*SQRT(AK$19),0)</f>
        <v>#NAME?</v>
      </c>
      <c r="AL39" s="37" t="e">
        <f t="shared" ca="1" si="254"/>
        <v>#NAME?</v>
      </c>
      <c r="AM39" s="37" t="e">
        <f t="shared" ca="1" si="254"/>
        <v>#NAME?</v>
      </c>
      <c r="AN39" s="37" t="e">
        <f t="shared" ca="1" si="254"/>
        <v>#NAME?</v>
      </c>
      <c r="AO39" s="37" t="e">
        <f t="shared" ca="1" si="254"/>
        <v>#NAME?</v>
      </c>
      <c r="AP39" s="37" t="e">
        <f t="shared" ca="1" si="254"/>
        <v>#NAME?</v>
      </c>
      <c r="AQ39" s="37" t="e">
        <f t="shared" ca="1" si="254"/>
        <v>#NAME?</v>
      </c>
      <c r="AR39" s="37" t="e">
        <f t="shared" ca="1" si="254"/>
        <v>#NAME?</v>
      </c>
      <c r="AS39" s="90" t="e">
        <f t="shared" ca="1" si="254"/>
        <v>#NAME?</v>
      </c>
      <c r="AT39" s="205" t="e">
        <f t="shared" ca="1" si="61"/>
        <v>#NAME?</v>
      </c>
      <c r="AV39" t="str">
        <f t="shared" si="62"/>
        <v>Charisma</v>
      </c>
      <c r="AW39" s="36" t="e">
        <f t="shared" ref="AW39:BE39" ca="1" si="255">IF(AW$19&gt;0,AW26*SQRT(AW$19),0)</f>
        <v>#NAME?</v>
      </c>
      <c r="AX39" s="37" t="e">
        <f t="shared" ca="1" si="255"/>
        <v>#NAME?</v>
      </c>
      <c r="AY39" s="37" t="e">
        <f t="shared" ca="1" si="255"/>
        <v>#NAME?</v>
      </c>
      <c r="AZ39" s="37" t="e">
        <f t="shared" ca="1" si="255"/>
        <v>#NAME?</v>
      </c>
      <c r="BA39" s="37" t="e">
        <f t="shared" ca="1" si="255"/>
        <v>#NAME?</v>
      </c>
      <c r="BB39" s="37" t="e">
        <f t="shared" ca="1" si="255"/>
        <v>#NAME?</v>
      </c>
      <c r="BC39" s="37" t="e">
        <f t="shared" ca="1" si="255"/>
        <v>#NAME?</v>
      </c>
      <c r="BD39" s="37" t="e">
        <f t="shared" ca="1" si="255"/>
        <v>#NAME?</v>
      </c>
      <c r="BE39" s="90" t="e">
        <f t="shared" ca="1" si="255"/>
        <v>#NAME?</v>
      </c>
      <c r="BF39" s="205" t="e">
        <f t="shared" ca="1" si="64"/>
        <v>#NAME?</v>
      </c>
      <c r="BH39" t="str">
        <f t="shared" si="65"/>
        <v>Charisma</v>
      </c>
      <c r="BI39" s="36" t="e">
        <f t="shared" ref="BI39:BQ39" ca="1" si="256">IF(BI$19&gt;0,BI26*SQRT(BI$19),0)</f>
        <v>#NAME?</v>
      </c>
      <c r="BJ39" s="37" t="e">
        <f t="shared" ca="1" si="256"/>
        <v>#NAME?</v>
      </c>
      <c r="BK39" s="37" t="e">
        <f t="shared" ca="1" si="256"/>
        <v>#NAME?</v>
      </c>
      <c r="BL39" s="37" t="e">
        <f t="shared" ca="1" si="256"/>
        <v>#NAME?</v>
      </c>
      <c r="BM39" s="37" t="e">
        <f t="shared" ca="1" si="256"/>
        <v>#NAME?</v>
      </c>
      <c r="BN39" s="37" t="e">
        <f t="shared" ca="1" si="256"/>
        <v>#NAME?</v>
      </c>
      <c r="BO39" s="37" t="e">
        <f t="shared" ca="1" si="256"/>
        <v>#NAME?</v>
      </c>
      <c r="BP39" s="37" t="e">
        <f t="shared" ca="1" si="256"/>
        <v>#NAME?</v>
      </c>
      <c r="BQ39" s="90" t="e">
        <f t="shared" ca="1" si="256"/>
        <v>#NAME?</v>
      </c>
      <c r="BR39" s="205" t="e">
        <f t="shared" ca="1" si="67"/>
        <v>#NAME?</v>
      </c>
      <c r="BT39" t="str">
        <f t="shared" si="68"/>
        <v>Charisma</v>
      </c>
      <c r="BU39" s="36" t="e">
        <f t="shared" ref="BU39:CC39" ca="1" si="257">IF(BU$19&gt;0,BU26*SQRT(BU$19),0)</f>
        <v>#NAME?</v>
      </c>
      <c r="BV39" s="37" t="e">
        <f t="shared" ca="1" si="257"/>
        <v>#NAME?</v>
      </c>
      <c r="BW39" s="37" t="e">
        <f t="shared" ca="1" si="257"/>
        <v>#NAME?</v>
      </c>
      <c r="BX39" s="37" t="e">
        <f t="shared" ca="1" si="257"/>
        <v>#NAME?</v>
      </c>
      <c r="BY39" s="37" t="e">
        <f t="shared" ca="1" si="257"/>
        <v>#NAME?</v>
      </c>
      <c r="BZ39" s="37" t="e">
        <f t="shared" ca="1" si="257"/>
        <v>#NAME?</v>
      </c>
      <c r="CA39" s="37" t="e">
        <f t="shared" ca="1" si="257"/>
        <v>#NAME?</v>
      </c>
      <c r="CB39" s="37" t="e">
        <f t="shared" ca="1" si="257"/>
        <v>#NAME?</v>
      </c>
      <c r="CC39" s="90" t="e">
        <f t="shared" ca="1" si="257"/>
        <v>#NAME?</v>
      </c>
      <c r="CD39" s="205" t="e">
        <f t="shared" ca="1" si="70"/>
        <v>#NAME?</v>
      </c>
      <c r="CF39" t="str">
        <f t="shared" si="71"/>
        <v>Charisma</v>
      </c>
      <c r="CG39" s="36" t="e">
        <f t="shared" ref="CG39:CO39" ca="1" si="258">IF(CG$19&gt;0,CG26*SQRT(CG$19),0)</f>
        <v>#NAME?</v>
      </c>
      <c r="CH39" s="37" t="e">
        <f t="shared" ca="1" si="258"/>
        <v>#NAME?</v>
      </c>
      <c r="CI39" s="37" t="e">
        <f t="shared" ca="1" si="258"/>
        <v>#NAME?</v>
      </c>
      <c r="CJ39" s="37" t="e">
        <f t="shared" ca="1" si="258"/>
        <v>#NAME?</v>
      </c>
      <c r="CK39" s="37" t="e">
        <f t="shared" ca="1" si="258"/>
        <v>#NAME?</v>
      </c>
      <c r="CL39" s="37" t="e">
        <f t="shared" ca="1" si="258"/>
        <v>#NAME?</v>
      </c>
      <c r="CM39" s="37" t="e">
        <f t="shared" ca="1" si="258"/>
        <v>#NAME?</v>
      </c>
      <c r="CN39" s="37" t="e">
        <f t="shared" ca="1" si="258"/>
        <v>#NAME?</v>
      </c>
      <c r="CO39" s="90" t="e">
        <f t="shared" ca="1" si="258"/>
        <v>#NAME?</v>
      </c>
      <c r="CP39" s="205" t="e">
        <f t="shared" ca="1" si="73"/>
        <v>#NAME?</v>
      </c>
      <c r="CR39" t="str">
        <f t="shared" si="74"/>
        <v>Charisma</v>
      </c>
      <c r="CS39" s="36" t="e">
        <f t="shared" ref="CS39:DA39" ca="1" si="259">IF(CS$19&gt;0,CS26*SQRT(CS$19),0)</f>
        <v>#NAME?</v>
      </c>
      <c r="CT39" s="37" t="e">
        <f t="shared" ca="1" si="259"/>
        <v>#NAME?</v>
      </c>
      <c r="CU39" s="37" t="e">
        <f t="shared" ca="1" si="259"/>
        <v>#NAME?</v>
      </c>
      <c r="CV39" s="37" t="e">
        <f t="shared" ca="1" si="259"/>
        <v>#NAME?</v>
      </c>
      <c r="CW39" s="37" t="e">
        <f t="shared" ca="1" si="259"/>
        <v>#NAME?</v>
      </c>
      <c r="CX39" s="37" t="e">
        <f t="shared" ca="1" si="259"/>
        <v>#NAME?</v>
      </c>
      <c r="CY39" s="37" t="e">
        <f t="shared" ca="1" si="259"/>
        <v>#NAME?</v>
      </c>
      <c r="CZ39" s="37" t="e">
        <f t="shared" ca="1" si="259"/>
        <v>#NAME?</v>
      </c>
      <c r="DA39" s="90" t="e">
        <f t="shared" ca="1" si="259"/>
        <v>#NAME?</v>
      </c>
      <c r="DB39" s="205" t="e">
        <f t="shared" ca="1" si="76"/>
        <v>#NAME?</v>
      </c>
      <c r="DD39" t="str">
        <f t="shared" si="77"/>
        <v>Charisma</v>
      </c>
      <c r="DE39" s="36" t="e">
        <f t="shared" ref="DE39:DM39" ca="1" si="260">IF(DE$19&gt;0,DE26*SQRT(DE$19),0)</f>
        <v>#NAME?</v>
      </c>
      <c r="DF39" s="37" t="e">
        <f t="shared" ca="1" si="260"/>
        <v>#NAME?</v>
      </c>
      <c r="DG39" s="37" t="e">
        <f t="shared" ca="1" si="260"/>
        <v>#NAME?</v>
      </c>
      <c r="DH39" s="37" t="e">
        <f t="shared" ca="1" si="260"/>
        <v>#NAME?</v>
      </c>
      <c r="DI39" s="37" t="e">
        <f t="shared" ca="1" si="260"/>
        <v>#NAME?</v>
      </c>
      <c r="DJ39" s="37" t="e">
        <f t="shared" ca="1" si="260"/>
        <v>#NAME?</v>
      </c>
      <c r="DK39" s="37" t="e">
        <f t="shared" ca="1" si="260"/>
        <v>#NAME?</v>
      </c>
      <c r="DL39" s="37" t="e">
        <f t="shared" ca="1" si="260"/>
        <v>#NAME?</v>
      </c>
      <c r="DM39" s="90" t="e">
        <f t="shared" ca="1" si="260"/>
        <v>#NAME?</v>
      </c>
      <c r="DN39" s="205" t="e">
        <f t="shared" ca="1" si="79"/>
        <v>#NAME?</v>
      </c>
      <c r="DP39" t="str">
        <f t="shared" si="80"/>
        <v>Charisma</v>
      </c>
      <c r="DQ39" s="36" t="e">
        <f t="shared" ref="DQ39:DY39" ca="1" si="261">IF(DQ$19&gt;0,DQ26*SQRT(DQ$19),0)</f>
        <v>#NAME?</v>
      </c>
      <c r="DR39" s="37" t="e">
        <f t="shared" ca="1" si="261"/>
        <v>#NAME?</v>
      </c>
      <c r="DS39" s="37" t="e">
        <f t="shared" ca="1" si="261"/>
        <v>#NAME?</v>
      </c>
      <c r="DT39" s="37" t="e">
        <f t="shared" ca="1" si="261"/>
        <v>#NAME?</v>
      </c>
      <c r="DU39" s="37" t="e">
        <f t="shared" ca="1" si="261"/>
        <v>#NAME?</v>
      </c>
      <c r="DV39" s="37" t="e">
        <f t="shared" ca="1" si="261"/>
        <v>#NAME?</v>
      </c>
      <c r="DW39" s="37" t="e">
        <f t="shared" ca="1" si="261"/>
        <v>#NAME?</v>
      </c>
      <c r="DX39" s="37" t="e">
        <f t="shared" ca="1" si="261"/>
        <v>#NAME?</v>
      </c>
      <c r="DY39" s="90" t="e">
        <f t="shared" ca="1" si="261"/>
        <v>#NAME?</v>
      </c>
      <c r="DZ39" s="205" t="e">
        <f t="shared" ca="1" si="82"/>
        <v>#NAME?</v>
      </c>
      <c r="EB39" t="str">
        <f t="shared" si="83"/>
        <v>Charisma</v>
      </c>
      <c r="EC39" s="36" t="e">
        <f t="shared" ref="EC39:EK39" ca="1" si="262">IF(EC$19&gt;0,EC26*SQRT(EC$19),0)</f>
        <v>#NAME?</v>
      </c>
      <c r="ED39" s="37" t="e">
        <f t="shared" ca="1" si="262"/>
        <v>#NAME?</v>
      </c>
      <c r="EE39" s="37" t="e">
        <f t="shared" ca="1" si="262"/>
        <v>#NAME?</v>
      </c>
      <c r="EF39" s="37" t="e">
        <f t="shared" ca="1" si="262"/>
        <v>#NAME?</v>
      </c>
      <c r="EG39" s="37" t="e">
        <f t="shared" ca="1" si="262"/>
        <v>#NAME?</v>
      </c>
      <c r="EH39" s="37" t="e">
        <f t="shared" ca="1" si="262"/>
        <v>#NAME?</v>
      </c>
      <c r="EI39" s="37" t="e">
        <f t="shared" ca="1" si="262"/>
        <v>#NAME?</v>
      </c>
      <c r="EJ39" s="37" t="e">
        <f t="shared" ca="1" si="262"/>
        <v>#NAME?</v>
      </c>
      <c r="EK39" s="90" t="e">
        <f t="shared" ca="1" si="262"/>
        <v>#NAME?</v>
      </c>
      <c r="EL39" s="205" t="e">
        <f t="shared" ca="1" si="85"/>
        <v>#NAME?</v>
      </c>
      <c r="EN39" t="str">
        <f t="shared" si="86"/>
        <v>Charisma</v>
      </c>
      <c r="EO39" s="36" t="e">
        <f t="shared" ref="EO39:EW39" ca="1" si="263">IF(EO$19&gt;0,EO26*SQRT(EO$19),0)</f>
        <v>#NAME?</v>
      </c>
      <c r="EP39" s="37" t="e">
        <f t="shared" ca="1" si="263"/>
        <v>#NAME?</v>
      </c>
      <c r="EQ39" s="37" t="e">
        <f t="shared" ca="1" si="263"/>
        <v>#NAME?</v>
      </c>
      <c r="ER39" s="37" t="e">
        <f t="shared" ca="1" si="263"/>
        <v>#NAME?</v>
      </c>
      <c r="ES39" s="37" t="e">
        <f t="shared" ca="1" si="263"/>
        <v>#NAME?</v>
      </c>
      <c r="ET39" s="37" t="e">
        <f t="shared" ca="1" si="263"/>
        <v>#NAME?</v>
      </c>
      <c r="EU39" s="37" t="e">
        <f t="shared" ca="1" si="263"/>
        <v>#NAME?</v>
      </c>
      <c r="EV39" s="37" t="e">
        <f t="shared" ca="1" si="263"/>
        <v>#NAME?</v>
      </c>
      <c r="EW39" s="90" t="e">
        <f t="shared" ca="1" si="263"/>
        <v>#NAME?</v>
      </c>
      <c r="EX39" s="205" t="e">
        <f t="shared" ca="1" si="88"/>
        <v>#NAME?</v>
      </c>
      <c r="EZ39" t="str">
        <f t="shared" si="89"/>
        <v>Charisma</v>
      </c>
      <c r="FA39" s="36" t="e">
        <f t="shared" ref="FA39:FI39" ca="1" si="264">IF(FA$19&gt;0,FA26*SQRT(FA$19),0)</f>
        <v>#NAME?</v>
      </c>
      <c r="FB39" s="37" t="e">
        <f t="shared" ca="1" si="264"/>
        <v>#NAME?</v>
      </c>
      <c r="FC39" s="37" t="e">
        <f t="shared" ca="1" si="264"/>
        <v>#NAME?</v>
      </c>
      <c r="FD39" s="37" t="e">
        <f t="shared" ca="1" si="264"/>
        <v>#NAME?</v>
      </c>
      <c r="FE39" s="37" t="e">
        <f t="shared" ca="1" si="264"/>
        <v>#NAME?</v>
      </c>
      <c r="FF39" s="37" t="e">
        <f t="shared" ca="1" si="264"/>
        <v>#NAME?</v>
      </c>
      <c r="FG39" s="37" t="e">
        <f t="shared" ca="1" si="264"/>
        <v>#NAME?</v>
      </c>
      <c r="FH39" s="37" t="e">
        <f t="shared" ca="1" si="264"/>
        <v>#NAME?</v>
      </c>
      <c r="FI39" s="90" t="e">
        <f t="shared" ca="1" si="264"/>
        <v>#NAME?</v>
      </c>
      <c r="FJ39" s="205" t="e">
        <f t="shared" ca="1" si="91"/>
        <v>#NAME?</v>
      </c>
      <c r="FL39" t="str">
        <f t="shared" si="92"/>
        <v>Charisma</v>
      </c>
      <c r="FM39" s="36" t="e">
        <f t="shared" ref="FM39:FU39" ca="1" si="265">IF(FM$19&gt;0,FM26*SQRT(FM$19),0)</f>
        <v>#NAME?</v>
      </c>
      <c r="FN39" s="37" t="e">
        <f t="shared" ca="1" si="265"/>
        <v>#NAME?</v>
      </c>
      <c r="FO39" s="37" t="e">
        <f t="shared" ca="1" si="265"/>
        <v>#NAME?</v>
      </c>
      <c r="FP39" s="37" t="e">
        <f t="shared" ca="1" si="265"/>
        <v>#NAME?</v>
      </c>
      <c r="FQ39" s="37" t="e">
        <f t="shared" ca="1" si="265"/>
        <v>#NAME?</v>
      </c>
      <c r="FR39" s="37" t="e">
        <f t="shared" ca="1" si="265"/>
        <v>#NAME?</v>
      </c>
      <c r="FS39" s="37" t="e">
        <f t="shared" ca="1" si="265"/>
        <v>#NAME?</v>
      </c>
      <c r="FT39" s="37" t="e">
        <f t="shared" ca="1" si="265"/>
        <v>#NAME?</v>
      </c>
      <c r="FU39" s="90" t="e">
        <f t="shared" ca="1" si="265"/>
        <v>#NAME?</v>
      </c>
      <c r="FV39" s="205" t="e">
        <f t="shared" ca="1" si="94"/>
        <v>#NAME?</v>
      </c>
      <c r="FX39" t="str">
        <f t="shared" si="95"/>
        <v>Charisma</v>
      </c>
      <c r="FY39" s="36" t="e">
        <f t="shared" ref="FY39:GG39" ca="1" si="266">IF(FY$19&gt;0,FY26*SQRT(FY$19),0)</f>
        <v>#NAME?</v>
      </c>
      <c r="FZ39" s="37" t="e">
        <f t="shared" ca="1" si="266"/>
        <v>#NAME?</v>
      </c>
      <c r="GA39" s="37" t="e">
        <f t="shared" ca="1" si="266"/>
        <v>#NAME?</v>
      </c>
      <c r="GB39" s="37" t="e">
        <f t="shared" ca="1" si="266"/>
        <v>#NAME?</v>
      </c>
      <c r="GC39" s="37" t="e">
        <f t="shared" ca="1" si="266"/>
        <v>#NAME?</v>
      </c>
      <c r="GD39" s="37" t="e">
        <f t="shared" ca="1" si="266"/>
        <v>#NAME?</v>
      </c>
      <c r="GE39" s="37" t="e">
        <f t="shared" ca="1" si="266"/>
        <v>#NAME?</v>
      </c>
      <c r="GF39" s="37" t="e">
        <f t="shared" ca="1" si="266"/>
        <v>#NAME?</v>
      </c>
      <c r="GG39" s="90" t="e">
        <f t="shared" ca="1" si="266"/>
        <v>#NAME?</v>
      </c>
      <c r="GH39" s="205" t="e">
        <f t="shared" ca="1" si="97"/>
        <v>#NAME?</v>
      </c>
      <c r="GJ39" t="str">
        <f t="shared" si="98"/>
        <v>Charisma</v>
      </c>
      <c r="GK39" s="36" t="e">
        <f t="shared" ref="GK39:GS39" ca="1" si="267">IF(GK$19&gt;0,GK26*SQRT(GK$19),0)</f>
        <v>#NAME?</v>
      </c>
      <c r="GL39" s="37" t="e">
        <f t="shared" ca="1" si="267"/>
        <v>#NAME?</v>
      </c>
      <c r="GM39" s="37" t="e">
        <f t="shared" ca="1" si="267"/>
        <v>#NAME?</v>
      </c>
      <c r="GN39" s="37" t="e">
        <f t="shared" ca="1" si="267"/>
        <v>#NAME?</v>
      </c>
      <c r="GO39" s="37" t="e">
        <f t="shared" ca="1" si="267"/>
        <v>#NAME?</v>
      </c>
      <c r="GP39" s="37" t="e">
        <f t="shared" ca="1" si="267"/>
        <v>#NAME?</v>
      </c>
      <c r="GQ39" s="37" t="e">
        <f t="shared" ca="1" si="267"/>
        <v>#NAME?</v>
      </c>
      <c r="GR39" s="37" t="e">
        <f t="shared" ca="1" si="267"/>
        <v>#NAME?</v>
      </c>
      <c r="GS39" s="90" t="e">
        <f t="shared" ca="1" si="267"/>
        <v>#NAME?</v>
      </c>
      <c r="GT39" s="205" t="e">
        <f t="shared" ca="1" si="100"/>
        <v>#NAME?</v>
      </c>
      <c r="GV39" t="str">
        <f t="shared" si="101"/>
        <v>Charisma</v>
      </c>
      <c r="GW39" s="36" t="e">
        <f t="shared" ref="GW39:HE39" ca="1" si="268">IF(GW$19&gt;0,GW26*SQRT(GW$19),0)</f>
        <v>#NAME?</v>
      </c>
      <c r="GX39" s="37" t="e">
        <f t="shared" ca="1" si="268"/>
        <v>#NAME?</v>
      </c>
      <c r="GY39" s="37" t="e">
        <f t="shared" ca="1" si="268"/>
        <v>#NAME?</v>
      </c>
      <c r="GZ39" s="37" t="e">
        <f t="shared" ca="1" si="268"/>
        <v>#NAME?</v>
      </c>
      <c r="HA39" s="37" t="e">
        <f t="shared" ca="1" si="268"/>
        <v>#NAME?</v>
      </c>
      <c r="HB39" s="37" t="e">
        <f t="shared" ca="1" si="268"/>
        <v>#NAME?</v>
      </c>
      <c r="HC39" s="37" t="e">
        <f t="shared" ca="1" si="268"/>
        <v>#NAME?</v>
      </c>
      <c r="HD39" s="37" t="e">
        <f t="shared" ca="1" si="268"/>
        <v>#NAME?</v>
      </c>
      <c r="HE39" s="90" t="e">
        <f t="shared" ca="1" si="268"/>
        <v>#NAME?</v>
      </c>
      <c r="HF39" s="205" t="e">
        <f t="shared" ca="1" si="103"/>
        <v>#NAME?</v>
      </c>
      <c r="HH39" t="str">
        <f t="shared" si="104"/>
        <v>Charisma</v>
      </c>
      <c r="HI39" s="36" t="e">
        <f t="shared" ref="HI39:HQ39" ca="1" si="269">IF(HI$19&gt;0,HI26*SQRT(HI$19),0)</f>
        <v>#NAME?</v>
      </c>
      <c r="HJ39" s="37" t="e">
        <f t="shared" ca="1" si="269"/>
        <v>#NAME?</v>
      </c>
      <c r="HK39" s="37" t="e">
        <f t="shared" ca="1" si="269"/>
        <v>#NAME?</v>
      </c>
      <c r="HL39" s="37" t="e">
        <f t="shared" ca="1" si="269"/>
        <v>#NAME?</v>
      </c>
      <c r="HM39" s="37" t="e">
        <f t="shared" ca="1" si="269"/>
        <v>#NAME?</v>
      </c>
      <c r="HN39" s="37" t="e">
        <f t="shared" ca="1" si="269"/>
        <v>#NAME?</v>
      </c>
      <c r="HO39" s="37" t="e">
        <f t="shared" ca="1" si="269"/>
        <v>#NAME?</v>
      </c>
      <c r="HP39" s="37" t="e">
        <f t="shared" ca="1" si="269"/>
        <v>#NAME?</v>
      </c>
      <c r="HQ39" s="90" t="e">
        <f t="shared" ca="1" si="269"/>
        <v>#NAME?</v>
      </c>
      <c r="HR39" s="205" t="e">
        <f t="shared" ca="1" si="106"/>
        <v>#NAME?</v>
      </c>
      <c r="HT39" t="str">
        <f t="shared" si="107"/>
        <v>Charisma</v>
      </c>
      <c r="HU39" s="36" t="e">
        <f t="shared" ref="HU39:IC39" ca="1" si="270">IF(HU$19&gt;0,HU26*SQRT(HU$19),0)</f>
        <v>#NAME?</v>
      </c>
      <c r="HV39" s="37" t="e">
        <f t="shared" ca="1" si="270"/>
        <v>#NAME?</v>
      </c>
      <c r="HW39" s="37" t="e">
        <f t="shared" ca="1" si="270"/>
        <v>#NAME?</v>
      </c>
      <c r="HX39" s="37" t="e">
        <f t="shared" ca="1" si="270"/>
        <v>#NAME?</v>
      </c>
      <c r="HY39" s="37" t="e">
        <f t="shared" ca="1" si="270"/>
        <v>#NAME?</v>
      </c>
      <c r="HZ39" s="37" t="e">
        <f t="shared" ca="1" si="270"/>
        <v>#NAME?</v>
      </c>
      <c r="IA39" s="37" t="e">
        <f t="shared" ca="1" si="270"/>
        <v>#NAME?</v>
      </c>
      <c r="IB39" s="37" t="e">
        <f t="shared" ca="1" si="270"/>
        <v>#NAME?</v>
      </c>
      <c r="IC39" s="90" t="e">
        <f t="shared" ca="1" si="270"/>
        <v>#NAME?</v>
      </c>
      <c r="ID39" s="205" t="e">
        <f t="shared" ca="1" si="109"/>
        <v>#NAME?</v>
      </c>
      <c r="IF39" t="str">
        <f t="shared" si="110"/>
        <v>Charisma</v>
      </c>
      <c r="IG39" s="36" t="e">
        <f t="shared" ref="IG39:IO39" ca="1" si="271">IF(IG$19&gt;0,IG26*SQRT(IG$19),0)</f>
        <v>#NAME?</v>
      </c>
      <c r="IH39" s="37" t="e">
        <f t="shared" ca="1" si="271"/>
        <v>#NAME?</v>
      </c>
      <c r="II39" s="37" t="e">
        <f t="shared" ca="1" si="271"/>
        <v>#NAME?</v>
      </c>
      <c r="IJ39" s="37" t="e">
        <f t="shared" ca="1" si="271"/>
        <v>#NAME?</v>
      </c>
      <c r="IK39" s="37" t="e">
        <f t="shared" ca="1" si="271"/>
        <v>#NAME?</v>
      </c>
      <c r="IL39" s="37" t="e">
        <f t="shared" ca="1" si="271"/>
        <v>#NAME?</v>
      </c>
      <c r="IM39" s="37" t="e">
        <f t="shared" ca="1" si="271"/>
        <v>#NAME?</v>
      </c>
      <c r="IN39" s="37" t="e">
        <f t="shared" ca="1" si="271"/>
        <v>#NAME?</v>
      </c>
      <c r="IO39" s="90" t="e">
        <f t="shared" ca="1" si="271"/>
        <v>#NAME?</v>
      </c>
      <c r="IP39" s="205" t="e">
        <f t="shared" ca="1" si="112"/>
        <v>#NAME?</v>
      </c>
      <c r="IR39" t="str">
        <f t="shared" si="113"/>
        <v>Charisma</v>
      </c>
      <c r="IS39" s="36" t="e">
        <f t="shared" ref="IS39:JA39" ca="1" si="272">IF(IS$19&gt;0,IS26*SQRT(IS$19),0)</f>
        <v>#NAME?</v>
      </c>
      <c r="IT39" s="37" t="e">
        <f t="shared" ca="1" si="272"/>
        <v>#NAME?</v>
      </c>
      <c r="IU39" s="37" t="e">
        <f t="shared" ca="1" si="272"/>
        <v>#NAME?</v>
      </c>
      <c r="IV39" s="37" t="e">
        <f t="shared" ca="1" si="272"/>
        <v>#NAME?</v>
      </c>
      <c r="IW39" s="37" t="e">
        <f t="shared" ca="1" si="272"/>
        <v>#NAME?</v>
      </c>
      <c r="IX39" s="37" t="e">
        <f t="shared" ca="1" si="272"/>
        <v>#NAME?</v>
      </c>
      <c r="IY39" s="37" t="e">
        <f t="shared" ca="1" si="272"/>
        <v>#NAME?</v>
      </c>
      <c r="IZ39" s="37" t="e">
        <f t="shared" ca="1" si="272"/>
        <v>#NAME?</v>
      </c>
      <c r="JA39" s="90" t="e">
        <f t="shared" ca="1" si="272"/>
        <v>#NAME?</v>
      </c>
      <c r="JB39" s="205" t="e">
        <f t="shared" ca="1" si="115"/>
        <v>#NAME?</v>
      </c>
      <c r="JD39" t="str">
        <f t="shared" si="116"/>
        <v>Charisma</v>
      </c>
      <c r="JE39" s="36" t="e">
        <f t="shared" ref="JE39:JM39" ca="1" si="273">IF(JE$19&gt;0,JE26*SQRT(JE$19),0)</f>
        <v>#NAME?</v>
      </c>
      <c r="JF39" s="37" t="e">
        <f t="shared" ca="1" si="273"/>
        <v>#NAME?</v>
      </c>
      <c r="JG39" s="37" t="e">
        <f t="shared" ca="1" si="273"/>
        <v>#NAME?</v>
      </c>
      <c r="JH39" s="37" t="e">
        <f t="shared" ca="1" si="273"/>
        <v>#NAME?</v>
      </c>
      <c r="JI39" s="37" t="e">
        <f t="shared" ca="1" si="273"/>
        <v>#NAME?</v>
      </c>
      <c r="JJ39" s="37" t="e">
        <f t="shared" ca="1" si="273"/>
        <v>#NAME?</v>
      </c>
      <c r="JK39" s="37" t="e">
        <f t="shared" ca="1" si="273"/>
        <v>#NAME?</v>
      </c>
      <c r="JL39" s="37" t="e">
        <f t="shared" ca="1" si="273"/>
        <v>#NAME?</v>
      </c>
      <c r="JM39" s="90" t="e">
        <f t="shared" ca="1" si="273"/>
        <v>#NAME?</v>
      </c>
      <c r="JN39" s="205" t="e">
        <f t="shared" ca="1" si="118"/>
        <v>#NAME?</v>
      </c>
      <c r="JP39" t="str">
        <f t="shared" si="119"/>
        <v>Charisma</v>
      </c>
      <c r="JQ39" s="36" t="e">
        <f t="shared" ref="JQ39:JY39" ca="1" si="274">IF(JQ$19&gt;0,JQ26*SQRT(JQ$19),0)</f>
        <v>#NAME?</v>
      </c>
      <c r="JR39" s="37" t="e">
        <f t="shared" ca="1" si="274"/>
        <v>#NAME?</v>
      </c>
      <c r="JS39" s="37" t="e">
        <f t="shared" ca="1" si="274"/>
        <v>#NAME?</v>
      </c>
      <c r="JT39" s="37" t="e">
        <f t="shared" ca="1" si="274"/>
        <v>#NAME?</v>
      </c>
      <c r="JU39" s="37" t="e">
        <f t="shared" ca="1" si="274"/>
        <v>#NAME?</v>
      </c>
      <c r="JV39" s="37" t="e">
        <f t="shared" ca="1" si="274"/>
        <v>#NAME?</v>
      </c>
      <c r="JW39" s="37" t="e">
        <f t="shared" ca="1" si="274"/>
        <v>#NAME?</v>
      </c>
      <c r="JX39" s="37" t="e">
        <f t="shared" ca="1" si="274"/>
        <v>#NAME?</v>
      </c>
      <c r="JY39" s="90" t="e">
        <f t="shared" ca="1" si="274"/>
        <v>#NAME?</v>
      </c>
      <c r="JZ39" s="205" t="e">
        <f t="shared" ca="1" si="121"/>
        <v>#NAME?</v>
      </c>
      <c r="KB39" t="str">
        <f t="shared" si="122"/>
        <v>Charisma</v>
      </c>
      <c r="KC39" s="36" t="e">
        <f t="shared" ref="KC39:KK39" ca="1" si="275">IF(KC$19&gt;0,KC26*SQRT(KC$19),0)</f>
        <v>#NAME?</v>
      </c>
      <c r="KD39" s="37" t="e">
        <f t="shared" ca="1" si="275"/>
        <v>#NAME?</v>
      </c>
      <c r="KE39" s="37" t="e">
        <f t="shared" ca="1" si="275"/>
        <v>#NAME?</v>
      </c>
      <c r="KF39" s="37" t="e">
        <f t="shared" ca="1" si="275"/>
        <v>#NAME?</v>
      </c>
      <c r="KG39" s="37" t="e">
        <f t="shared" ca="1" si="275"/>
        <v>#NAME?</v>
      </c>
      <c r="KH39" s="37" t="e">
        <f t="shared" ca="1" si="275"/>
        <v>#NAME?</v>
      </c>
      <c r="KI39" s="37" t="e">
        <f t="shared" ca="1" si="275"/>
        <v>#NAME?</v>
      </c>
      <c r="KJ39" s="37" t="e">
        <f t="shared" ca="1" si="275"/>
        <v>#NAME?</v>
      </c>
      <c r="KK39" s="90" t="e">
        <f t="shared" ca="1" si="275"/>
        <v>#NAME?</v>
      </c>
      <c r="KL39" s="205" t="e">
        <f t="shared" ca="1" si="124"/>
        <v>#NAME?</v>
      </c>
      <c r="KN39" t="str">
        <f t="shared" si="125"/>
        <v>Charisma</v>
      </c>
      <c r="KO39" s="36" t="e">
        <f t="shared" ref="KO39:KW39" ca="1" si="276">IF(KO$19&gt;0,KO26*SQRT(KO$19),0)</f>
        <v>#NAME?</v>
      </c>
      <c r="KP39" s="37" t="e">
        <f t="shared" ca="1" si="276"/>
        <v>#NAME?</v>
      </c>
      <c r="KQ39" s="37" t="e">
        <f t="shared" ca="1" si="276"/>
        <v>#NAME?</v>
      </c>
      <c r="KR39" s="37" t="e">
        <f t="shared" ca="1" si="276"/>
        <v>#NAME?</v>
      </c>
      <c r="KS39" s="37" t="e">
        <f t="shared" ca="1" si="276"/>
        <v>#NAME?</v>
      </c>
      <c r="KT39" s="37" t="e">
        <f t="shared" ca="1" si="276"/>
        <v>#NAME?</v>
      </c>
      <c r="KU39" s="37" t="e">
        <f t="shared" ca="1" si="276"/>
        <v>#NAME?</v>
      </c>
      <c r="KV39" s="37" t="e">
        <f t="shared" ca="1" si="276"/>
        <v>#NAME?</v>
      </c>
      <c r="KW39" s="90" t="e">
        <f t="shared" ca="1" si="276"/>
        <v>#NAME?</v>
      </c>
      <c r="KX39" s="205" t="e">
        <f t="shared" ca="1" si="127"/>
        <v>#NAME?</v>
      </c>
      <c r="KZ39" t="str">
        <f t="shared" si="128"/>
        <v>Charisma</v>
      </c>
      <c r="LA39" s="36" t="e">
        <f t="shared" ref="LA39:LI39" ca="1" si="277">IF(LA$19&gt;0,LA26*SQRT(LA$19),0)</f>
        <v>#NAME?</v>
      </c>
      <c r="LB39" s="37" t="e">
        <f t="shared" ca="1" si="277"/>
        <v>#NAME?</v>
      </c>
      <c r="LC39" s="37" t="e">
        <f t="shared" ca="1" si="277"/>
        <v>#NAME?</v>
      </c>
      <c r="LD39" s="37" t="e">
        <f t="shared" ca="1" si="277"/>
        <v>#NAME?</v>
      </c>
      <c r="LE39" s="37" t="e">
        <f t="shared" ca="1" si="277"/>
        <v>#NAME?</v>
      </c>
      <c r="LF39" s="37" t="e">
        <f t="shared" ca="1" si="277"/>
        <v>#NAME?</v>
      </c>
      <c r="LG39" s="37" t="e">
        <f t="shared" ca="1" si="277"/>
        <v>#NAME?</v>
      </c>
      <c r="LH39" s="37" t="e">
        <f t="shared" ca="1" si="277"/>
        <v>#NAME?</v>
      </c>
      <c r="LI39" s="90" t="e">
        <f t="shared" ca="1" si="277"/>
        <v>#NAME?</v>
      </c>
      <c r="LJ39" s="205" t="e">
        <f t="shared" ca="1" si="130"/>
        <v>#NAME?</v>
      </c>
      <c r="LL39" t="str">
        <f t="shared" si="131"/>
        <v>Charisma</v>
      </c>
      <c r="LM39" s="36" t="e">
        <f t="shared" ref="LM39:LU39" ca="1" si="278">IF(LM$19&gt;0,LM26*SQRT(LM$19),0)</f>
        <v>#NAME?</v>
      </c>
      <c r="LN39" s="37" t="e">
        <f t="shared" ca="1" si="278"/>
        <v>#NAME?</v>
      </c>
      <c r="LO39" s="37" t="e">
        <f t="shared" ca="1" si="278"/>
        <v>#NAME?</v>
      </c>
      <c r="LP39" s="37" t="e">
        <f t="shared" ca="1" si="278"/>
        <v>#NAME?</v>
      </c>
      <c r="LQ39" s="37" t="e">
        <f t="shared" ca="1" si="278"/>
        <v>#NAME?</v>
      </c>
      <c r="LR39" s="37" t="e">
        <f t="shared" ca="1" si="278"/>
        <v>#NAME?</v>
      </c>
      <c r="LS39" s="37" t="e">
        <f t="shared" ca="1" si="278"/>
        <v>#NAME?</v>
      </c>
      <c r="LT39" s="37" t="e">
        <f t="shared" ca="1" si="278"/>
        <v>#NAME?</v>
      </c>
      <c r="LU39" s="90" t="e">
        <f t="shared" ca="1" si="278"/>
        <v>#NAME?</v>
      </c>
      <c r="LV39" s="205" t="e">
        <f t="shared" ca="1" si="133"/>
        <v>#NAME?</v>
      </c>
      <c r="LX39" t="str">
        <f t="shared" si="134"/>
        <v>Charisma</v>
      </c>
      <c r="LY39" s="36" t="e">
        <f t="shared" ref="LY39:MG39" ca="1" si="279">IF(LY$19&gt;0,LY26*SQRT(LY$19),0)</f>
        <v>#NAME?</v>
      </c>
      <c r="LZ39" s="37" t="e">
        <f t="shared" ca="1" si="279"/>
        <v>#NAME?</v>
      </c>
      <c r="MA39" s="37" t="e">
        <f t="shared" ca="1" si="279"/>
        <v>#NAME?</v>
      </c>
      <c r="MB39" s="37" t="e">
        <f t="shared" ca="1" si="279"/>
        <v>#NAME?</v>
      </c>
      <c r="MC39" s="37" t="e">
        <f t="shared" ca="1" si="279"/>
        <v>#NAME?</v>
      </c>
      <c r="MD39" s="37" t="e">
        <f t="shared" ca="1" si="279"/>
        <v>#NAME?</v>
      </c>
      <c r="ME39" s="37" t="e">
        <f t="shared" ca="1" si="279"/>
        <v>#NAME?</v>
      </c>
      <c r="MF39" s="37" t="e">
        <f t="shared" ca="1" si="279"/>
        <v>#NAME?</v>
      </c>
      <c r="MG39" s="90" t="e">
        <f t="shared" ca="1" si="279"/>
        <v>#NAME?</v>
      </c>
      <c r="MH39" s="205" t="e">
        <f t="shared" ca="1" si="136"/>
        <v>#NAME?</v>
      </c>
      <c r="MJ39" t="str">
        <f t="shared" si="137"/>
        <v>Charisma</v>
      </c>
      <c r="MK39" s="36" t="e">
        <f t="shared" ref="MK39:MS39" ca="1" si="280">IF(MK$19&gt;0,MK26*SQRT(MK$19),0)</f>
        <v>#NAME?</v>
      </c>
      <c r="ML39" s="37" t="e">
        <f t="shared" ca="1" si="280"/>
        <v>#NAME?</v>
      </c>
      <c r="MM39" s="37" t="e">
        <f t="shared" ca="1" si="280"/>
        <v>#NAME?</v>
      </c>
      <c r="MN39" s="37" t="e">
        <f t="shared" ca="1" si="280"/>
        <v>#NAME?</v>
      </c>
      <c r="MO39" s="37" t="e">
        <f t="shared" ca="1" si="280"/>
        <v>#NAME?</v>
      </c>
      <c r="MP39" s="37" t="e">
        <f t="shared" ca="1" si="280"/>
        <v>#NAME?</v>
      </c>
      <c r="MQ39" s="37" t="e">
        <f t="shared" ca="1" si="280"/>
        <v>#NAME?</v>
      </c>
      <c r="MR39" s="37" t="e">
        <f t="shared" ca="1" si="280"/>
        <v>#NAME?</v>
      </c>
      <c r="MS39" s="90" t="e">
        <f t="shared" ca="1" si="280"/>
        <v>#NAME?</v>
      </c>
      <c r="MT39" s="205" t="e">
        <f t="shared" ca="1" si="139"/>
        <v>#NAME?</v>
      </c>
    </row>
    <row r="40" spans="1:358" x14ac:dyDescent="0.3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S40">
        <f t="shared" si="140"/>
        <v>8</v>
      </c>
      <c r="T40" s="49" t="e">
        <f ca="1">RSquare($B$4:$J$123,S40)</f>
        <v>#NAME?</v>
      </c>
      <c r="V40" s="205" t="e">
        <f ca="1"/>
        <v>#NAME?</v>
      </c>
      <c r="X40" t="str">
        <f t="shared" si="56"/>
        <v>Passion</v>
      </c>
      <c r="Y40" s="36" t="e">
        <f t="shared" ref="Y40:AG40" ca="1" si="281">IF(Y$19&gt;0,Y27*SQRT(Y$19),0)</f>
        <v>#NAME?</v>
      </c>
      <c r="Z40" s="37" t="e">
        <f t="shared" ca="1" si="281"/>
        <v>#NAME?</v>
      </c>
      <c r="AA40" s="37" t="e">
        <f t="shared" ca="1" si="281"/>
        <v>#NAME?</v>
      </c>
      <c r="AB40" s="37" t="e">
        <f t="shared" ca="1" si="281"/>
        <v>#NAME?</v>
      </c>
      <c r="AC40" s="37" t="e">
        <f t="shared" ca="1" si="281"/>
        <v>#NAME?</v>
      </c>
      <c r="AD40" s="37" t="e">
        <f t="shared" ca="1" si="281"/>
        <v>#NAME?</v>
      </c>
      <c r="AE40" s="37" t="e">
        <f t="shared" ca="1" si="281"/>
        <v>#NAME?</v>
      </c>
      <c r="AF40" s="37" t="e">
        <f t="shared" ca="1" si="281"/>
        <v>#NAME?</v>
      </c>
      <c r="AG40" s="90" t="e">
        <f t="shared" ca="1" si="281"/>
        <v>#NAME?</v>
      </c>
      <c r="AH40" s="205" t="e">
        <f t="shared" ca="1" si="58"/>
        <v>#NAME?</v>
      </c>
      <c r="AJ40" t="str">
        <f t="shared" si="59"/>
        <v>Passion</v>
      </c>
      <c r="AK40" s="36" t="e">
        <f t="shared" ref="AK40:AS40" ca="1" si="282">IF(AK$19&gt;0,AK27*SQRT(AK$19),0)</f>
        <v>#NAME?</v>
      </c>
      <c r="AL40" s="37" t="e">
        <f t="shared" ca="1" si="282"/>
        <v>#NAME?</v>
      </c>
      <c r="AM40" s="37" t="e">
        <f t="shared" ca="1" si="282"/>
        <v>#NAME?</v>
      </c>
      <c r="AN40" s="37" t="e">
        <f t="shared" ca="1" si="282"/>
        <v>#NAME?</v>
      </c>
      <c r="AO40" s="37" t="e">
        <f t="shared" ca="1" si="282"/>
        <v>#NAME?</v>
      </c>
      <c r="AP40" s="37" t="e">
        <f t="shared" ca="1" si="282"/>
        <v>#NAME?</v>
      </c>
      <c r="AQ40" s="37" t="e">
        <f t="shared" ca="1" si="282"/>
        <v>#NAME?</v>
      </c>
      <c r="AR40" s="37" t="e">
        <f t="shared" ca="1" si="282"/>
        <v>#NAME?</v>
      </c>
      <c r="AS40" s="90" t="e">
        <f t="shared" ca="1" si="282"/>
        <v>#NAME?</v>
      </c>
      <c r="AT40" s="205" t="e">
        <f t="shared" ca="1" si="61"/>
        <v>#NAME?</v>
      </c>
      <c r="AV40" t="str">
        <f t="shared" si="62"/>
        <v>Passion</v>
      </c>
      <c r="AW40" s="36" t="e">
        <f t="shared" ref="AW40:BE40" ca="1" si="283">IF(AW$19&gt;0,AW27*SQRT(AW$19),0)</f>
        <v>#NAME?</v>
      </c>
      <c r="AX40" s="37" t="e">
        <f t="shared" ca="1" si="283"/>
        <v>#NAME?</v>
      </c>
      <c r="AY40" s="37" t="e">
        <f t="shared" ca="1" si="283"/>
        <v>#NAME?</v>
      </c>
      <c r="AZ40" s="37" t="e">
        <f t="shared" ca="1" si="283"/>
        <v>#NAME?</v>
      </c>
      <c r="BA40" s="37" t="e">
        <f t="shared" ca="1" si="283"/>
        <v>#NAME?</v>
      </c>
      <c r="BB40" s="37" t="e">
        <f t="shared" ca="1" si="283"/>
        <v>#NAME?</v>
      </c>
      <c r="BC40" s="37" t="e">
        <f t="shared" ca="1" si="283"/>
        <v>#NAME?</v>
      </c>
      <c r="BD40" s="37" t="e">
        <f t="shared" ca="1" si="283"/>
        <v>#NAME?</v>
      </c>
      <c r="BE40" s="90" t="e">
        <f t="shared" ca="1" si="283"/>
        <v>#NAME?</v>
      </c>
      <c r="BF40" s="205" t="e">
        <f t="shared" ca="1" si="64"/>
        <v>#NAME?</v>
      </c>
      <c r="BH40" t="str">
        <f t="shared" si="65"/>
        <v>Passion</v>
      </c>
      <c r="BI40" s="36" t="e">
        <f t="shared" ref="BI40:BQ40" ca="1" si="284">IF(BI$19&gt;0,BI27*SQRT(BI$19),0)</f>
        <v>#NAME?</v>
      </c>
      <c r="BJ40" s="37" t="e">
        <f t="shared" ca="1" si="284"/>
        <v>#NAME?</v>
      </c>
      <c r="BK40" s="37" t="e">
        <f t="shared" ca="1" si="284"/>
        <v>#NAME?</v>
      </c>
      <c r="BL40" s="37" t="e">
        <f t="shared" ca="1" si="284"/>
        <v>#NAME?</v>
      </c>
      <c r="BM40" s="37" t="e">
        <f t="shared" ca="1" si="284"/>
        <v>#NAME?</v>
      </c>
      <c r="BN40" s="37" t="e">
        <f t="shared" ca="1" si="284"/>
        <v>#NAME?</v>
      </c>
      <c r="BO40" s="37" t="e">
        <f t="shared" ca="1" si="284"/>
        <v>#NAME?</v>
      </c>
      <c r="BP40" s="37" t="e">
        <f t="shared" ca="1" si="284"/>
        <v>#NAME?</v>
      </c>
      <c r="BQ40" s="90" t="e">
        <f t="shared" ca="1" si="284"/>
        <v>#NAME?</v>
      </c>
      <c r="BR40" s="205" t="e">
        <f t="shared" ca="1" si="67"/>
        <v>#NAME?</v>
      </c>
      <c r="BT40" t="str">
        <f t="shared" si="68"/>
        <v>Passion</v>
      </c>
      <c r="BU40" s="36" t="e">
        <f t="shared" ref="BU40:CC40" ca="1" si="285">IF(BU$19&gt;0,BU27*SQRT(BU$19),0)</f>
        <v>#NAME?</v>
      </c>
      <c r="BV40" s="37" t="e">
        <f t="shared" ca="1" si="285"/>
        <v>#NAME?</v>
      </c>
      <c r="BW40" s="37" t="e">
        <f t="shared" ca="1" si="285"/>
        <v>#NAME?</v>
      </c>
      <c r="BX40" s="37" t="e">
        <f t="shared" ca="1" si="285"/>
        <v>#NAME?</v>
      </c>
      <c r="BY40" s="37" t="e">
        <f t="shared" ca="1" si="285"/>
        <v>#NAME?</v>
      </c>
      <c r="BZ40" s="37" t="e">
        <f t="shared" ca="1" si="285"/>
        <v>#NAME?</v>
      </c>
      <c r="CA40" s="37" t="e">
        <f t="shared" ca="1" si="285"/>
        <v>#NAME?</v>
      </c>
      <c r="CB40" s="37" t="e">
        <f t="shared" ca="1" si="285"/>
        <v>#NAME?</v>
      </c>
      <c r="CC40" s="90" t="e">
        <f t="shared" ca="1" si="285"/>
        <v>#NAME?</v>
      </c>
      <c r="CD40" s="205" t="e">
        <f t="shared" ca="1" si="70"/>
        <v>#NAME?</v>
      </c>
      <c r="CF40" t="str">
        <f t="shared" si="71"/>
        <v>Passion</v>
      </c>
      <c r="CG40" s="36" t="e">
        <f t="shared" ref="CG40:CO40" ca="1" si="286">IF(CG$19&gt;0,CG27*SQRT(CG$19),0)</f>
        <v>#NAME?</v>
      </c>
      <c r="CH40" s="37" t="e">
        <f t="shared" ca="1" si="286"/>
        <v>#NAME?</v>
      </c>
      <c r="CI40" s="37" t="e">
        <f t="shared" ca="1" si="286"/>
        <v>#NAME?</v>
      </c>
      <c r="CJ40" s="37" t="e">
        <f t="shared" ca="1" si="286"/>
        <v>#NAME?</v>
      </c>
      <c r="CK40" s="37" t="e">
        <f t="shared" ca="1" si="286"/>
        <v>#NAME?</v>
      </c>
      <c r="CL40" s="37" t="e">
        <f t="shared" ca="1" si="286"/>
        <v>#NAME?</v>
      </c>
      <c r="CM40" s="37" t="e">
        <f t="shared" ca="1" si="286"/>
        <v>#NAME?</v>
      </c>
      <c r="CN40" s="37" t="e">
        <f t="shared" ca="1" si="286"/>
        <v>#NAME?</v>
      </c>
      <c r="CO40" s="90" t="e">
        <f t="shared" ca="1" si="286"/>
        <v>#NAME?</v>
      </c>
      <c r="CP40" s="205" t="e">
        <f t="shared" ca="1" si="73"/>
        <v>#NAME?</v>
      </c>
      <c r="CR40" t="str">
        <f t="shared" si="74"/>
        <v>Passion</v>
      </c>
      <c r="CS40" s="36" t="e">
        <f t="shared" ref="CS40:DA40" ca="1" si="287">IF(CS$19&gt;0,CS27*SQRT(CS$19),0)</f>
        <v>#NAME?</v>
      </c>
      <c r="CT40" s="37" t="e">
        <f t="shared" ca="1" si="287"/>
        <v>#NAME?</v>
      </c>
      <c r="CU40" s="37" t="e">
        <f t="shared" ca="1" si="287"/>
        <v>#NAME?</v>
      </c>
      <c r="CV40" s="37" t="e">
        <f t="shared" ca="1" si="287"/>
        <v>#NAME?</v>
      </c>
      <c r="CW40" s="37" t="e">
        <f t="shared" ca="1" si="287"/>
        <v>#NAME?</v>
      </c>
      <c r="CX40" s="37" t="e">
        <f t="shared" ca="1" si="287"/>
        <v>#NAME?</v>
      </c>
      <c r="CY40" s="37" t="e">
        <f t="shared" ca="1" si="287"/>
        <v>#NAME?</v>
      </c>
      <c r="CZ40" s="37" t="e">
        <f t="shared" ca="1" si="287"/>
        <v>#NAME?</v>
      </c>
      <c r="DA40" s="90" t="e">
        <f t="shared" ca="1" si="287"/>
        <v>#NAME?</v>
      </c>
      <c r="DB40" s="205" t="e">
        <f t="shared" ca="1" si="76"/>
        <v>#NAME?</v>
      </c>
      <c r="DD40" t="str">
        <f t="shared" si="77"/>
        <v>Passion</v>
      </c>
      <c r="DE40" s="36" t="e">
        <f t="shared" ref="DE40:DM40" ca="1" si="288">IF(DE$19&gt;0,DE27*SQRT(DE$19),0)</f>
        <v>#NAME?</v>
      </c>
      <c r="DF40" s="37" t="e">
        <f t="shared" ca="1" si="288"/>
        <v>#NAME?</v>
      </c>
      <c r="DG40" s="37" t="e">
        <f t="shared" ca="1" si="288"/>
        <v>#NAME?</v>
      </c>
      <c r="DH40" s="37" t="e">
        <f t="shared" ca="1" si="288"/>
        <v>#NAME?</v>
      </c>
      <c r="DI40" s="37" t="e">
        <f t="shared" ca="1" si="288"/>
        <v>#NAME?</v>
      </c>
      <c r="DJ40" s="37" t="e">
        <f t="shared" ca="1" si="288"/>
        <v>#NAME?</v>
      </c>
      <c r="DK40" s="37" t="e">
        <f t="shared" ca="1" si="288"/>
        <v>#NAME?</v>
      </c>
      <c r="DL40" s="37" t="e">
        <f t="shared" ca="1" si="288"/>
        <v>#NAME?</v>
      </c>
      <c r="DM40" s="90" t="e">
        <f t="shared" ca="1" si="288"/>
        <v>#NAME?</v>
      </c>
      <c r="DN40" s="205" t="e">
        <f t="shared" ca="1" si="79"/>
        <v>#NAME?</v>
      </c>
      <c r="DP40" t="str">
        <f t="shared" si="80"/>
        <v>Passion</v>
      </c>
      <c r="DQ40" s="36" t="e">
        <f t="shared" ref="DQ40:DY40" ca="1" si="289">IF(DQ$19&gt;0,DQ27*SQRT(DQ$19),0)</f>
        <v>#NAME?</v>
      </c>
      <c r="DR40" s="37" t="e">
        <f t="shared" ca="1" si="289"/>
        <v>#NAME?</v>
      </c>
      <c r="DS40" s="37" t="e">
        <f t="shared" ca="1" si="289"/>
        <v>#NAME?</v>
      </c>
      <c r="DT40" s="37" t="e">
        <f t="shared" ca="1" si="289"/>
        <v>#NAME?</v>
      </c>
      <c r="DU40" s="37" t="e">
        <f t="shared" ca="1" si="289"/>
        <v>#NAME?</v>
      </c>
      <c r="DV40" s="37" t="e">
        <f t="shared" ca="1" si="289"/>
        <v>#NAME?</v>
      </c>
      <c r="DW40" s="37" t="e">
        <f t="shared" ca="1" si="289"/>
        <v>#NAME?</v>
      </c>
      <c r="DX40" s="37" t="e">
        <f t="shared" ca="1" si="289"/>
        <v>#NAME?</v>
      </c>
      <c r="DY40" s="90" t="e">
        <f t="shared" ca="1" si="289"/>
        <v>#NAME?</v>
      </c>
      <c r="DZ40" s="205" t="e">
        <f t="shared" ca="1" si="82"/>
        <v>#NAME?</v>
      </c>
      <c r="EB40" t="str">
        <f t="shared" si="83"/>
        <v>Passion</v>
      </c>
      <c r="EC40" s="36" t="e">
        <f t="shared" ref="EC40:EK40" ca="1" si="290">IF(EC$19&gt;0,EC27*SQRT(EC$19),0)</f>
        <v>#NAME?</v>
      </c>
      <c r="ED40" s="37" t="e">
        <f t="shared" ca="1" si="290"/>
        <v>#NAME?</v>
      </c>
      <c r="EE40" s="37" t="e">
        <f t="shared" ca="1" si="290"/>
        <v>#NAME?</v>
      </c>
      <c r="EF40" s="37" t="e">
        <f t="shared" ca="1" si="290"/>
        <v>#NAME?</v>
      </c>
      <c r="EG40" s="37" t="e">
        <f t="shared" ca="1" si="290"/>
        <v>#NAME?</v>
      </c>
      <c r="EH40" s="37" t="e">
        <f t="shared" ca="1" si="290"/>
        <v>#NAME?</v>
      </c>
      <c r="EI40" s="37" t="e">
        <f t="shared" ca="1" si="290"/>
        <v>#NAME?</v>
      </c>
      <c r="EJ40" s="37" t="e">
        <f t="shared" ca="1" si="290"/>
        <v>#NAME?</v>
      </c>
      <c r="EK40" s="90" t="e">
        <f t="shared" ca="1" si="290"/>
        <v>#NAME?</v>
      </c>
      <c r="EL40" s="205" t="e">
        <f t="shared" ca="1" si="85"/>
        <v>#NAME?</v>
      </c>
      <c r="EN40" t="str">
        <f t="shared" si="86"/>
        <v>Passion</v>
      </c>
      <c r="EO40" s="36" t="e">
        <f t="shared" ref="EO40:EW40" ca="1" si="291">IF(EO$19&gt;0,EO27*SQRT(EO$19),0)</f>
        <v>#NAME?</v>
      </c>
      <c r="EP40" s="37" t="e">
        <f t="shared" ca="1" si="291"/>
        <v>#NAME?</v>
      </c>
      <c r="EQ40" s="37" t="e">
        <f t="shared" ca="1" si="291"/>
        <v>#NAME?</v>
      </c>
      <c r="ER40" s="37" t="e">
        <f t="shared" ca="1" si="291"/>
        <v>#NAME?</v>
      </c>
      <c r="ES40" s="37" t="e">
        <f t="shared" ca="1" si="291"/>
        <v>#NAME?</v>
      </c>
      <c r="ET40" s="37" t="e">
        <f t="shared" ca="1" si="291"/>
        <v>#NAME?</v>
      </c>
      <c r="EU40" s="37" t="e">
        <f t="shared" ca="1" si="291"/>
        <v>#NAME?</v>
      </c>
      <c r="EV40" s="37" t="e">
        <f t="shared" ca="1" si="291"/>
        <v>#NAME?</v>
      </c>
      <c r="EW40" s="90" t="e">
        <f t="shared" ca="1" si="291"/>
        <v>#NAME?</v>
      </c>
      <c r="EX40" s="205" t="e">
        <f t="shared" ca="1" si="88"/>
        <v>#NAME?</v>
      </c>
      <c r="EZ40" t="str">
        <f t="shared" si="89"/>
        <v>Passion</v>
      </c>
      <c r="FA40" s="36" t="e">
        <f t="shared" ref="FA40:FI40" ca="1" si="292">IF(FA$19&gt;0,FA27*SQRT(FA$19),0)</f>
        <v>#NAME?</v>
      </c>
      <c r="FB40" s="37" t="e">
        <f t="shared" ca="1" si="292"/>
        <v>#NAME?</v>
      </c>
      <c r="FC40" s="37" t="e">
        <f t="shared" ca="1" si="292"/>
        <v>#NAME?</v>
      </c>
      <c r="FD40" s="37" t="e">
        <f t="shared" ca="1" si="292"/>
        <v>#NAME?</v>
      </c>
      <c r="FE40" s="37" t="e">
        <f t="shared" ca="1" si="292"/>
        <v>#NAME?</v>
      </c>
      <c r="FF40" s="37" t="e">
        <f t="shared" ca="1" si="292"/>
        <v>#NAME?</v>
      </c>
      <c r="FG40" s="37" t="e">
        <f t="shared" ca="1" si="292"/>
        <v>#NAME?</v>
      </c>
      <c r="FH40" s="37" t="e">
        <f t="shared" ca="1" si="292"/>
        <v>#NAME?</v>
      </c>
      <c r="FI40" s="90" t="e">
        <f t="shared" ca="1" si="292"/>
        <v>#NAME?</v>
      </c>
      <c r="FJ40" s="205" t="e">
        <f t="shared" ca="1" si="91"/>
        <v>#NAME?</v>
      </c>
      <c r="FL40" t="str">
        <f t="shared" si="92"/>
        <v>Passion</v>
      </c>
      <c r="FM40" s="36" t="e">
        <f t="shared" ref="FM40:FU40" ca="1" si="293">IF(FM$19&gt;0,FM27*SQRT(FM$19),0)</f>
        <v>#NAME?</v>
      </c>
      <c r="FN40" s="37" t="e">
        <f t="shared" ca="1" si="293"/>
        <v>#NAME?</v>
      </c>
      <c r="FO40" s="37" t="e">
        <f t="shared" ca="1" si="293"/>
        <v>#NAME?</v>
      </c>
      <c r="FP40" s="37" t="e">
        <f t="shared" ca="1" si="293"/>
        <v>#NAME?</v>
      </c>
      <c r="FQ40" s="37" t="e">
        <f t="shared" ca="1" si="293"/>
        <v>#NAME?</v>
      </c>
      <c r="FR40" s="37" t="e">
        <f t="shared" ca="1" si="293"/>
        <v>#NAME?</v>
      </c>
      <c r="FS40" s="37" t="e">
        <f t="shared" ca="1" si="293"/>
        <v>#NAME?</v>
      </c>
      <c r="FT40" s="37" t="e">
        <f t="shared" ca="1" si="293"/>
        <v>#NAME?</v>
      </c>
      <c r="FU40" s="90" t="e">
        <f t="shared" ca="1" si="293"/>
        <v>#NAME?</v>
      </c>
      <c r="FV40" s="205" t="e">
        <f t="shared" ca="1" si="94"/>
        <v>#NAME?</v>
      </c>
      <c r="FX40" t="str">
        <f t="shared" si="95"/>
        <v>Passion</v>
      </c>
      <c r="FY40" s="36" t="e">
        <f t="shared" ref="FY40:GG40" ca="1" si="294">IF(FY$19&gt;0,FY27*SQRT(FY$19),0)</f>
        <v>#NAME?</v>
      </c>
      <c r="FZ40" s="37" t="e">
        <f t="shared" ca="1" si="294"/>
        <v>#NAME?</v>
      </c>
      <c r="GA40" s="37" t="e">
        <f t="shared" ca="1" si="294"/>
        <v>#NAME?</v>
      </c>
      <c r="GB40" s="37" t="e">
        <f t="shared" ca="1" si="294"/>
        <v>#NAME?</v>
      </c>
      <c r="GC40" s="37" t="e">
        <f t="shared" ca="1" si="294"/>
        <v>#NAME?</v>
      </c>
      <c r="GD40" s="37" t="e">
        <f t="shared" ca="1" si="294"/>
        <v>#NAME?</v>
      </c>
      <c r="GE40" s="37" t="e">
        <f t="shared" ca="1" si="294"/>
        <v>#NAME?</v>
      </c>
      <c r="GF40" s="37" t="e">
        <f t="shared" ca="1" si="294"/>
        <v>#NAME?</v>
      </c>
      <c r="GG40" s="90" t="e">
        <f t="shared" ca="1" si="294"/>
        <v>#NAME?</v>
      </c>
      <c r="GH40" s="205" t="e">
        <f t="shared" ca="1" si="97"/>
        <v>#NAME?</v>
      </c>
      <c r="GJ40" t="str">
        <f t="shared" si="98"/>
        <v>Passion</v>
      </c>
      <c r="GK40" s="36" t="e">
        <f t="shared" ref="GK40:GS40" ca="1" si="295">IF(GK$19&gt;0,GK27*SQRT(GK$19),0)</f>
        <v>#NAME?</v>
      </c>
      <c r="GL40" s="37" t="e">
        <f t="shared" ca="1" si="295"/>
        <v>#NAME?</v>
      </c>
      <c r="GM40" s="37" t="e">
        <f t="shared" ca="1" si="295"/>
        <v>#NAME?</v>
      </c>
      <c r="GN40" s="37" t="e">
        <f t="shared" ca="1" si="295"/>
        <v>#NAME?</v>
      </c>
      <c r="GO40" s="37" t="e">
        <f t="shared" ca="1" si="295"/>
        <v>#NAME?</v>
      </c>
      <c r="GP40" s="37" t="e">
        <f t="shared" ca="1" si="295"/>
        <v>#NAME?</v>
      </c>
      <c r="GQ40" s="37" t="e">
        <f t="shared" ca="1" si="295"/>
        <v>#NAME?</v>
      </c>
      <c r="GR40" s="37" t="e">
        <f t="shared" ca="1" si="295"/>
        <v>#NAME?</v>
      </c>
      <c r="GS40" s="90" t="e">
        <f t="shared" ca="1" si="295"/>
        <v>#NAME?</v>
      </c>
      <c r="GT40" s="205" t="e">
        <f t="shared" ca="1" si="100"/>
        <v>#NAME?</v>
      </c>
      <c r="GV40" t="str">
        <f t="shared" si="101"/>
        <v>Passion</v>
      </c>
      <c r="GW40" s="36" t="e">
        <f t="shared" ref="GW40:HE40" ca="1" si="296">IF(GW$19&gt;0,GW27*SQRT(GW$19),0)</f>
        <v>#NAME?</v>
      </c>
      <c r="GX40" s="37" t="e">
        <f t="shared" ca="1" si="296"/>
        <v>#NAME?</v>
      </c>
      <c r="GY40" s="37" t="e">
        <f t="shared" ca="1" si="296"/>
        <v>#NAME?</v>
      </c>
      <c r="GZ40" s="37" t="e">
        <f t="shared" ca="1" si="296"/>
        <v>#NAME?</v>
      </c>
      <c r="HA40" s="37" t="e">
        <f t="shared" ca="1" si="296"/>
        <v>#NAME?</v>
      </c>
      <c r="HB40" s="37" t="e">
        <f t="shared" ca="1" si="296"/>
        <v>#NAME?</v>
      </c>
      <c r="HC40" s="37" t="e">
        <f t="shared" ca="1" si="296"/>
        <v>#NAME?</v>
      </c>
      <c r="HD40" s="37" t="e">
        <f t="shared" ca="1" si="296"/>
        <v>#NAME?</v>
      </c>
      <c r="HE40" s="90" t="e">
        <f t="shared" ca="1" si="296"/>
        <v>#NAME?</v>
      </c>
      <c r="HF40" s="205" t="e">
        <f t="shared" ca="1" si="103"/>
        <v>#NAME?</v>
      </c>
      <c r="HH40" t="str">
        <f t="shared" si="104"/>
        <v>Passion</v>
      </c>
      <c r="HI40" s="36" t="e">
        <f t="shared" ref="HI40:HQ40" ca="1" si="297">IF(HI$19&gt;0,HI27*SQRT(HI$19),0)</f>
        <v>#NAME?</v>
      </c>
      <c r="HJ40" s="37" t="e">
        <f t="shared" ca="1" si="297"/>
        <v>#NAME?</v>
      </c>
      <c r="HK40" s="37" t="e">
        <f t="shared" ca="1" si="297"/>
        <v>#NAME?</v>
      </c>
      <c r="HL40" s="37" t="e">
        <f t="shared" ca="1" si="297"/>
        <v>#NAME?</v>
      </c>
      <c r="HM40" s="37" t="e">
        <f t="shared" ca="1" si="297"/>
        <v>#NAME?</v>
      </c>
      <c r="HN40" s="37" t="e">
        <f t="shared" ca="1" si="297"/>
        <v>#NAME?</v>
      </c>
      <c r="HO40" s="37" t="e">
        <f t="shared" ca="1" si="297"/>
        <v>#NAME?</v>
      </c>
      <c r="HP40" s="37" t="e">
        <f t="shared" ca="1" si="297"/>
        <v>#NAME?</v>
      </c>
      <c r="HQ40" s="90" t="e">
        <f t="shared" ca="1" si="297"/>
        <v>#NAME?</v>
      </c>
      <c r="HR40" s="205" t="e">
        <f t="shared" ca="1" si="106"/>
        <v>#NAME?</v>
      </c>
      <c r="HT40" t="str">
        <f t="shared" si="107"/>
        <v>Passion</v>
      </c>
      <c r="HU40" s="36" t="e">
        <f t="shared" ref="HU40:IC40" ca="1" si="298">IF(HU$19&gt;0,HU27*SQRT(HU$19),0)</f>
        <v>#NAME?</v>
      </c>
      <c r="HV40" s="37" t="e">
        <f t="shared" ca="1" si="298"/>
        <v>#NAME?</v>
      </c>
      <c r="HW40" s="37" t="e">
        <f t="shared" ca="1" si="298"/>
        <v>#NAME?</v>
      </c>
      <c r="HX40" s="37" t="e">
        <f t="shared" ca="1" si="298"/>
        <v>#NAME?</v>
      </c>
      <c r="HY40" s="37" t="e">
        <f t="shared" ca="1" si="298"/>
        <v>#NAME?</v>
      </c>
      <c r="HZ40" s="37" t="e">
        <f t="shared" ca="1" si="298"/>
        <v>#NAME?</v>
      </c>
      <c r="IA40" s="37" t="e">
        <f t="shared" ca="1" si="298"/>
        <v>#NAME?</v>
      </c>
      <c r="IB40" s="37" t="e">
        <f t="shared" ca="1" si="298"/>
        <v>#NAME?</v>
      </c>
      <c r="IC40" s="90" t="e">
        <f t="shared" ca="1" si="298"/>
        <v>#NAME?</v>
      </c>
      <c r="ID40" s="205" t="e">
        <f t="shared" ca="1" si="109"/>
        <v>#NAME?</v>
      </c>
      <c r="IF40" t="str">
        <f t="shared" si="110"/>
        <v>Passion</v>
      </c>
      <c r="IG40" s="36" t="e">
        <f t="shared" ref="IG40:IO40" ca="1" si="299">IF(IG$19&gt;0,IG27*SQRT(IG$19),0)</f>
        <v>#NAME?</v>
      </c>
      <c r="IH40" s="37" t="e">
        <f t="shared" ca="1" si="299"/>
        <v>#NAME?</v>
      </c>
      <c r="II40" s="37" t="e">
        <f t="shared" ca="1" si="299"/>
        <v>#NAME?</v>
      </c>
      <c r="IJ40" s="37" t="e">
        <f t="shared" ca="1" si="299"/>
        <v>#NAME?</v>
      </c>
      <c r="IK40" s="37" t="e">
        <f t="shared" ca="1" si="299"/>
        <v>#NAME?</v>
      </c>
      <c r="IL40" s="37" t="e">
        <f t="shared" ca="1" si="299"/>
        <v>#NAME?</v>
      </c>
      <c r="IM40" s="37" t="e">
        <f t="shared" ca="1" si="299"/>
        <v>#NAME?</v>
      </c>
      <c r="IN40" s="37" t="e">
        <f t="shared" ca="1" si="299"/>
        <v>#NAME?</v>
      </c>
      <c r="IO40" s="90" t="e">
        <f t="shared" ca="1" si="299"/>
        <v>#NAME?</v>
      </c>
      <c r="IP40" s="205" t="e">
        <f t="shared" ca="1" si="112"/>
        <v>#NAME?</v>
      </c>
      <c r="IR40" t="str">
        <f t="shared" si="113"/>
        <v>Passion</v>
      </c>
      <c r="IS40" s="36" t="e">
        <f t="shared" ref="IS40:JA40" ca="1" si="300">IF(IS$19&gt;0,IS27*SQRT(IS$19),0)</f>
        <v>#NAME?</v>
      </c>
      <c r="IT40" s="37" t="e">
        <f t="shared" ca="1" si="300"/>
        <v>#NAME?</v>
      </c>
      <c r="IU40" s="37" t="e">
        <f t="shared" ca="1" si="300"/>
        <v>#NAME?</v>
      </c>
      <c r="IV40" s="37" t="e">
        <f t="shared" ca="1" si="300"/>
        <v>#NAME?</v>
      </c>
      <c r="IW40" s="37" t="e">
        <f t="shared" ca="1" si="300"/>
        <v>#NAME?</v>
      </c>
      <c r="IX40" s="37" t="e">
        <f t="shared" ca="1" si="300"/>
        <v>#NAME?</v>
      </c>
      <c r="IY40" s="37" t="e">
        <f t="shared" ca="1" si="300"/>
        <v>#NAME?</v>
      </c>
      <c r="IZ40" s="37" t="e">
        <f t="shared" ca="1" si="300"/>
        <v>#NAME?</v>
      </c>
      <c r="JA40" s="90" t="e">
        <f t="shared" ca="1" si="300"/>
        <v>#NAME?</v>
      </c>
      <c r="JB40" s="205" t="e">
        <f t="shared" ca="1" si="115"/>
        <v>#NAME?</v>
      </c>
      <c r="JD40" t="str">
        <f t="shared" si="116"/>
        <v>Passion</v>
      </c>
      <c r="JE40" s="36" t="e">
        <f t="shared" ref="JE40:JM40" ca="1" si="301">IF(JE$19&gt;0,JE27*SQRT(JE$19),0)</f>
        <v>#NAME?</v>
      </c>
      <c r="JF40" s="37" t="e">
        <f t="shared" ca="1" si="301"/>
        <v>#NAME?</v>
      </c>
      <c r="JG40" s="37" t="e">
        <f t="shared" ca="1" si="301"/>
        <v>#NAME?</v>
      </c>
      <c r="JH40" s="37" t="e">
        <f t="shared" ca="1" si="301"/>
        <v>#NAME?</v>
      </c>
      <c r="JI40" s="37" t="e">
        <f t="shared" ca="1" si="301"/>
        <v>#NAME?</v>
      </c>
      <c r="JJ40" s="37" t="e">
        <f t="shared" ca="1" si="301"/>
        <v>#NAME?</v>
      </c>
      <c r="JK40" s="37" t="e">
        <f t="shared" ca="1" si="301"/>
        <v>#NAME?</v>
      </c>
      <c r="JL40" s="37" t="e">
        <f t="shared" ca="1" si="301"/>
        <v>#NAME?</v>
      </c>
      <c r="JM40" s="90" t="e">
        <f t="shared" ca="1" si="301"/>
        <v>#NAME?</v>
      </c>
      <c r="JN40" s="205" t="e">
        <f t="shared" ca="1" si="118"/>
        <v>#NAME?</v>
      </c>
      <c r="JP40" t="str">
        <f t="shared" si="119"/>
        <v>Passion</v>
      </c>
      <c r="JQ40" s="36" t="e">
        <f t="shared" ref="JQ40:JY40" ca="1" si="302">IF(JQ$19&gt;0,JQ27*SQRT(JQ$19),0)</f>
        <v>#NAME?</v>
      </c>
      <c r="JR40" s="37" t="e">
        <f t="shared" ca="1" si="302"/>
        <v>#NAME?</v>
      </c>
      <c r="JS40" s="37" t="e">
        <f t="shared" ca="1" si="302"/>
        <v>#NAME?</v>
      </c>
      <c r="JT40" s="37" t="e">
        <f t="shared" ca="1" si="302"/>
        <v>#NAME?</v>
      </c>
      <c r="JU40" s="37" t="e">
        <f t="shared" ca="1" si="302"/>
        <v>#NAME?</v>
      </c>
      <c r="JV40" s="37" t="e">
        <f t="shared" ca="1" si="302"/>
        <v>#NAME?</v>
      </c>
      <c r="JW40" s="37" t="e">
        <f t="shared" ca="1" si="302"/>
        <v>#NAME?</v>
      </c>
      <c r="JX40" s="37" t="e">
        <f t="shared" ca="1" si="302"/>
        <v>#NAME?</v>
      </c>
      <c r="JY40" s="90" t="e">
        <f t="shared" ca="1" si="302"/>
        <v>#NAME?</v>
      </c>
      <c r="JZ40" s="205" t="e">
        <f t="shared" ca="1" si="121"/>
        <v>#NAME?</v>
      </c>
      <c r="KB40" t="str">
        <f t="shared" si="122"/>
        <v>Passion</v>
      </c>
      <c r="KC40" s="36" t="e">
        <f t="shared" ref="KC40:KK40" ca="1" si="303">IF(KC$19&gt;0,KC27*SQRT(KC$19),0)</f>
        <v>#NAME?</v>
      </c>
      <c r="KD40" s="37" t="e">
        <f t="shared" ca="1" si="303"/>
        <v>#NAME?</v>
      </c>
      <c r="KE40" s="37" t="e">
        <f t="shared" ca="1" si="303"/>
        <v>#NAME?</v>
      </c>
      <c r="KF40" s="37" t="e">
        <f t="shared" ca="1" si="303"/>
        <v>#NAME?</v>
      </c>
      <c r="KG40" s="37" t="e">
        <f t="shared" ca="1" si="303"/>
        <v>#NAME?</v>
      </c>
      <c r="KH40" s="37" t="e">
        <f t="shared" ca="1" si="303"/>
        <v>#NAME?</v>
      </c>
      <c r="KI40" s="37" t="e">
        <f t="shared" ca="1" si="303"/>
        <v>#NAME?</v>
      </c>
      <c r="KJ40" s="37" t="e">
        <f t="shared" ca="1" si="303"/>
        <v>#NAME?</v>
      </c>
      <c r="KK40" s="90" t="e">
        <f t="shared" ca="1" si="303"/>
        <v>#NAME?</v>
      </c>
      <c r="KL40" s="205" t="e">
        <f t="shared" ca="1" si="124"/>
        <v>#NAME?</v>
      </c>
      <c r="KN40" t="str">
        <f t="shared" si="125"/>
        <v>Passion</v>
      </c>
      <c r="KO40" s="36" t="e">
        <f t="shared" ref="KO40:KW40" ca="1" si="304">IF(KO$19&gt;0,KO27*SQRT(KO$19),0)</f>
        <v>#NAME?</v>
      </c>
      <c r="KP40" s="37" t="e">
        <f t="shared" ca="1" si="304"/>
        <v>#NAME?</v>
      </c>
      <c r="KQ40" s="37" t="e">
        <f t="shared" ca="1" si="304"/>
        <v>#NAME?</v>
      </c>
      <c r="KR40" s="37" t="e">
        <f t="shared" ca="1" si="304"/>
        <v>#NAME?</v>
      </c>
      <c r="KS40" s="37" t="e">
        <f t="shared" ca="1" si="304"/>
        <v>#NAME?</v>
      </c>
      <c r="KT40" s="37" t="e">
        <f t="shared" ca="1" si="304"/>
        <v>#NAME?</v>
      </c>
      <c r="KU40" s="37" t="e">
        <f t="shared" ca="1" si="304"/>
        <v>#NAME?</v>
      </c>
      <c r="KV40" s="37" t="e">
        <f t="shared" ca="1" si="304"/>
        <v>#NAME?</v>
      </c>
      <c r="KW40" s="90" t="e">
        <f t="shared" ca="1" si="304"/>
        <v>#NAME?</v>
      </c>
      <c r="KX40" s="205" t="e">
        <f t="shared" ca="1" si="127"/>
        <v>#NAME?</v>
      </c>
      <c r="KZ40" t="str">
        <f t="shared" si="128"/>
        <v>Passion</v>
      </c>
      <c r="LA40" s="36" t="e">
        <f t="shared" ref="LA40:LI40" ca="1" si="305">IF(LA$19&gt;0,LA27*SQRT(LA$19),0)</f>
        <v>#NAME?</v>
      </c>
      <c r="LB40" s="37" t="e">
        <f t="shared" ca="1" si="305"/>
        <v>#NAME?</v>
      </c>
      <c r="LC40" s="37" t="e">
        <f t="shared" ca="1" si="305"/>
        <v>#NAME?</v>
      </c>
      <c r="LD40" s="37" t="e">
        <f t="shared" ca="1" si="305"/>
        <v>#NAME?</v>
      </c>
      <c r="LE40" s="37" t="e">
        <f t="shared" ca="1" si="305"/>
        <v>#NAME?</v>
      </c>
      <c r="LF40" s="37" t="e">
        <f t="shared" ca="1" si="305"/>
        <v>#NAME?</v>
      </c>
      <c r="LG40" s="37" t="e">
        <f t="shared" ca="1" si="305"/>
        <v>#NAME?</v>
      </c>
      <c r="LH40" s="37" t="e">
        <f t="shared" ca="1" si="305"/>
        <v>#NAME?</v>
      </c>
      <c r="LI40" s="90" t="e">
        <f t="shared" ca="1" si="305"/>
        <v>#NAME?</v>
      </c>
      <c r="LJ40" s="205" t="e">
        <f t="shared" ca="1" si="130"/>
        <v>#NAME?</v>
      </c>
      <c r="LL40" t="str">
        <f t="shared" si="131"/>
        <v>Passion</v>
      </c>
      <c r="LM40" s="36" t="e">
        <f t="shared" ref="LM40:LU40" ca="1" si="306">IF(LM$19&gt;0,LM27*SQRT(LM$19),0)</f>
        <v>#NAME?</v>
      </c>
      <c r="LN40" s="37" t="e">
        <f t="shared" ca="1" si="306"/>
        <v>#NAME?</v>
      </c>
      <c r="LO40" s="37" t="e">
        <f t="shared" ca="1" si="306"/>
        <v>#NAME?</v>
      </c>
      <c r="LP40" s="37" t="e">
        <f t="shared" ca="1" si="306"/>
        <v>#NAME?</v>
      </c>
      <c r="LQ40" s="37" t="e">
        <f t="shared" ca="1" si="306"/>
        <v>#NAME?</v>
      </c>
      <c r="LR40" s="37" t="e">
        <f t="shared" ca="1" si="306"/>
        <v>#NAME?</v>
      </c>
      <c r="LS40" s="37" t="e">
        <f t="shared" ca="1" si="306"/>
        <v>#NAME?</v>
      </c>
      <c r="LT40" s="37" t="e">
        <f t="shared" ca="1" si="306"/>
        <v>#NAME?</v>
      </c>
      <c r="LU40" s="90" t="e">
        <f t="shared" ca="1" si="306"/>
        <v>#NAME?</v>
      </c>
      <c r="LV40" s="205" t="e">
        <f t="shared" ca="1" si="133"/>
        <v>#NAME?</v>
      </c>
      <c r="LX40" t="str">
        <f t="shared" si="134"/>
        <v>Passion</v>
      </c>
      <c r="LY40" s="36" t="e">
        <f t="shared" ref="LY40:MG40" ca="1" si="307">IF(LY$19&gt;0,LY27*SQRT(LY$19),0)</f>
        <v>#NAME?</v>
      </c>
      <c r="LZ40" s="37" t="e">
        <f t="shared" ca="1" si="307"/>
        <v>#NAME?</v>
      </c>
      <c r="MA40" s="37" t="e">
        <f t="shared" ca="1" si="307"/>
        <v>#NAME?</v>
      </c>
      <c r="MB40" s="37" t="e">
        <f t="shared" ca="1" si="307"/>
        <v>#NAME?</v>
      </c>
      <c r="MC40" s="37" t="e">
        <f t="shared" ca="1" si="307"/>
        <v>#NAME?</v>
      </c>
      <c r="MD40" s="37" t="e">
        <f t="shared" ca="1" si="307"/>
        <v>#NAME?</v>
      </c>
      <c r="ME40" s="37" t="e">
        <f t="shared" ca="1" si="307"/>
        <v>#NAME?</v>
      </c>
      <c r="MF40" s="37" t="e">
        <f t="shared" ca="1" si="307"/>
        <v>#NAME?</v>
      </c>
      <c r="MG40" s="90" t="e">
        <f t="shared" ca="1" si="307"/>
        <v>#NAME?</v>
      </c>
      <c r="MH40" s="205" t="e">
        <f t="shared" ca="1" si="136"/>
        <v>#NAME?</v>
      </c>
      <c r="MJ40" t="str">
        <f t="shared" si="137"/>
        <v>Passion</v>
      </c>
      <c r="MK40" s="36" t="e">
        <f t="shared" ref="MK40:MS40" ca="1" si="308">IF(MK$19&gt;0,MK27*SQRT(MK$19),0)</f>
        <v>#NAME?</v>
      </c>
      <c r="ML40" s="37" t="e">
        <f t="shared" ca="1" si="308"/>
        <v>#NAME?</v>
      </c>
      <c r="MM40" s="37" t="e">
        <f t="shared" ca="1" si="308"/>
        <v>#NAME?</v>
      </c>
      <c r="MN40" s="37" t="e">
        <f t="shared" ca="1" si="308"/>
        <v>#NAME?</v>
      </c>
      <c r="MO40" s="37" t="e">
        <f t="shared" ca="1" si="308"/>
        <v>#NAME?</v>
      </c>
      <c r="MP40" s="37" t="e">
        <f t="shared" ca="1" si="308"/>
        <v>#NAME?</v>
      </c>
      <c r="MQ40" s="37" t="e">
        <f t="shared" ca="1" si="308"/>
        <v>#NAME?</v>
      </c>
      <c r="MR40" s="37" t="e">
        <f t="shared" ca="1" si="308"/>
        <v>#NAME?</v>
      </c>
      <c r="MS40" s="90" t="e">
        <f t="shared" ca="1" si="308"/>
        <v>#NAME?</v>
      </c>
      <c r="MT40" s="205" t="e">
        <f t="shared" ca="1" si="139"/>
        <v>#NAME?</v>
      </c>
    </row>
    <row r="41" spans="1:358" x14ac:dyDescent="0.3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S41">
        <f t="shared" si="140"/>
        <v>9</v>
      </c>
      <c r="T41" s="174" t="e">
        <f ca="1">RSquare($B$4:$J$123,S41)</f>
        <v>#NAME?</v>
      </c>
      <c r="V41" s="171" t="e">
        <f ca="1"/>
        <v>#NAME?</v>
      </c>
      <c r="X41" t="str">
        <f t="shared" si="56"/>
        <v>Friendly</v>
      </c>
      <c r="Y41" s="91" t="e">
        <f t="shared" ref="Y41:AG41" ca="1" si="309">IF(Y$19&gt;0,Y28*SQRT(Y$19),0)</f>
        <v>#NAME?</v>
      </c>
      <c r="Z41" s="92" t="e">
        <f t="shared" ca="1" si="309"/>
        <v>#NAME?</v>
      </c>
      <c r="AA41" s="92" t="e">
        <f t="shared" ca="1" si="309"/>
        <v>#NAME?</v>
      </c>
      <c r="AB41" s="92" t="e">
        <f t="shared" ca="1" si="309"/>
        <v>#NAME?</v>
      </c>
      <c r="AC41" s="92" t="e">
        <f t="shared" ca="1" si="309"/>
        <v>#NAME?</v>
      </c>
      <c r="AD41" s="92" t="e">
        <f t="shared" ca="1" si="309"/>
        <v>#NAME?</v>
      </c>
      <c r="AE41" s="92" t="e">
        <f t="shared" ca="1" si="309"/>
        <v>#NAME?</v>
      </c>
      <c r="AF41" s="92" t="e">
        <f t="shared" ca="1" si="309"/>
        <v>#NAME?</v>
      </c>
      <c r="AG41" s="93" t="e">
        <f t="shared" ca="1" si="309"/>
        <v>#NAME?</v>
      </c>
      <c r="AH41" s="171" t="e">
        <f t="shared" ca="1" si="58"/>
        <v>#NAME?</v>
      </c>
      <c r="AJ41" t="str">
        <f t="shared" si="59"/>
        <v>Friendly</v>
      </c>
      <c r="AK41" s="91" t="e">
        <f t="shared" ref="AK41:AS41" ca="1" si="310">IF(AK$19&gt;0,AK28*SQRT(AK$19),0)</f>
        <v>#NAME?</v>
      </c>
      <c r="AL41" s="92" t="e">
        <f t="shared" ca="1" si="310"/>
        <v>#NAME?</v>
      </c>
      <c r="AM41" s="92" t="e">
        <f t="shared" ca="1" si="310"/>
        <v>#NAME?</v>
      </c>
      <c r="AN41" s="92" t="e">
        <f t="shared" ca="1" si="310"/>
        <v>#NAME?</v>
      </c>
      <c r="AO41" s="92" t="e">
        <f t="shared" ca="1" si="310"/>
        <v>#NAME?</v>
      </c>
      <c r="AP41" s="92" t="e">
        <f t="shared" ca="1" si="310"/>
        <v>#NAME?</v>
      </c>
      <c r="AQ41" s="92" t="e">
        <f t="shared" ca="1" si="310"/>
        <v>#NAME?</v>
      </c>
      <c r="AR41" s="92" t="e">
        <f t="shared" ca="1" si="310"/>
        <v>#NAME?</v>
      </c>
      <c r="AS41" s="93" t="e">
        <f t="shared" ca="1" si="310"/>
        <v>#NAME?</v>
      </c>
      <c r="AT41" s="171" t="e">
        <f t="shared" ca="1" si="61"/>
        <v>#NAME?</v>
      </c>
      <c r="AV41" t="str">
        <f t="shared" si="62"/>
        <v>Friendly</v>
      </c>
      <c r="AW41" s="91" t="e">
        <f t="shared" ref="AW41:BE41" ca="1" si="311">IF(AW$19&gt;0,AW28*SQRT(AW$19),0)</f>
        <v>#NAME?</v>
      </c>
      <c r="AX41" s="92" t="e">
        <f t="shared" ca="1" si="311"/>
        <v>#NAME?</v>
      </c>
      <c r="AY41" s="92" t="e">
        <f t="shared" ca="1" si="311"/>
        <v>#NAME?</v>
      </c>
      <c r="AZ41" s="92" t="e">
        <f t="shared" ca="1" si="311"/>
        <v>#NAME?</v>
      </c>
      <c r="BA41" s="92" t="e">
        <f t="shared" ca="1" si="311"/>
        <v>#NAME?</v>
      </c>
      <c r="BB41" s="92" t="e">
        <f t="shared" ca="1" si="311"/>
        <v>#NAME?</v>
      </c>
      <c r="BC41" s="92" t="e">
        <f t="shared" ca="1" si="311"/>
        <v>#NAME?</v>
      </c>
      <c r="BD41" s="92" t="e">
        <f t="shared" ca="1" si="311"/>
        <v>#NAME?</v>
      </c>
      <c r="BE41" s="93" t="e">
        <f t="shared" ca="1" si="311"/>
        <v>#NAME?</v>
      </c>
      <c r="BF41" s="171" t="e">
        <f t="shared" ca="1" si="64"/>
        <v>#NAME?</v>
      </c>
      <c r="BH41" t="str">
        <f t="shared" si="65"/>
        <v>Friendly</v>
      </c>
      <c r="BI41" s="91" t="e">
        <f t="shared" ref="BI41:BQ41" ca="1" si="312">IF(BI$19&gt;0,BI28*SQRT(BI$19),0)</f>
        <v>#NAME?</v>
      </c>
      <c r="BJ41" s="92" t="e">
        <f t="shared" ca="1" si="312"/>
        <v>#NAME?</v>
      </c>
      <c r="BK41" s="92" t="e">
        <f t="shared" ca="1" si="312"/>
        <v>#NAME?</v>
      </c>
      <c r="BL41" s="92" t="e">
        <f t="shared" ca="1" si="312"/>
        <v>#NAME?</v>
      </c>
      <c r="BM41" s="92" t="e">
        <f t="shared" ca="1" si="312"/>
        <v>#NAME?</v>
      </c>
      <c r="BN41" s="92" t="e">
        <f t="shared" ca="1" si="312"/>
        <v>#NAME?</v>
      </c>
      <c r="BO41" s="92" t="e">
        <f t="shared" ca="1" si="312"/>
        <v>#NAME?</v>
      </c>
      <c r="BP41" s="92" t="e">
        <f t="shared" ca="1" si="312"/>
        <v>#NAME?</v>
      </c>
      <c r="BQ41" s="93" t="e">
        <f t="shared" ca="1" si="312"/>
        <v>#NAME?</v>
      </c>
      <c r="BR41" s="171" t="e">
        <f t="shared" ca="1" si="67"/>
        <v>#NAME?</v>
      </c>
      <c r="BT41" t="str">
        <f t="shared" si="68"/>
        <v>Friendly</v>
      </c>
      <c r="BU41" s="91" t="e">
        <f t="shared" ref="BU41:CC41" ca="1" si="313">IF(BU$19&gt;0,BU28*SQRT(BU$19),0)</f>
        <v>#NAME?</v>
      </c>
      <c r="BV41" s="92" t="e">
        <f t="shared" ca="1" si="313"/>
        <v>#NAME?</v>
      </c>
      <c r="BW41" s="92" t="e">
        <f t="shared" ca="1" si="313"/>
        <v>#NAME?</v>
      </c>
      <c r="BX41" s="92" t="e">
        <f t="shared" ca="1" si="313"/>
        <v>#NAME?</v>
      </c>
      <c r="BY41" s="92" t="e">
        <f t="shared" ca="1" si="313"/>
        <v>#NAME?</v>
      </c>
      <c r="BZ41" s="92" t="e">
        <f t="shared" ca="1" si="313"/>
        <v>#NAME?</v>
      </c>
      <c r="CA41" s="92" t="e">
        <f t="shared" ca="1" si="313"/>
        <v>#NAME?</v>
      </c>
      <c r="CB41" s="92" t="e">
        <f t="shared" ca="1" si="313"/>
        <v>#NAME?</v>
      </c>
      <c r="CC41" s="93" t="e">
        <f t="shared" ca="1" si="313"/>
        <v>#NAME?</v>
      </c>
      <c r="CD41" s="171" t="e">
        <f t="shared" ca="1" si="70"/>
        <v>#NAME?</v>
      </c>
      <c r="CF41" t="str">
        <f t="shared" si="71"/>
        <v>Friendly</v>
      </c>
      <c r="CG41" s="91" t="e">
        <f t="shared" ref="CG41:CO41" ca="1" si="314">IF(CG$19&gt;0,CG28*SQRT(CG$19),0)</f>
        <v>#NAME?</v>
      </c>
      <c r="CH41" s="92" t="e">
        <f t="shared" ca="1" si="314"/>
        <v>#NAME?</v>
      </c>
      <c r="CI41" s="92" t="e">
        <f t="shared" ca="1" si="314"/>
        <v>#NAME?</v>
      </c>
      <c r="CJ41" s="92" t="e">
        <f t="shared" ca="1" si="314"/>
        <v>#NAME?</v>
      </c>
      <c r="CK41" s="92" t="e">
        <f t="shared" ca="1" si="314"/>
        <v>#NAME?</v>
      </c>
      <c r="CL41" s="92" t="e">
        <f t="shared" ca="1" si="314"/>
        <v>#NAME?</v>
      </c>
      <c r="CM41" s="92" t="e">
        <f t="shared" ca="1" si="314"/>
        <v>#NAME?</v>
      </c>
      <c r="CN41" s="92" t="e">
        <f t="shared" ca="1" si="314"/>
        <v>#NAME?</v>
      </c>
      <c r="CO41" s="93" t="e">
        <f t="shared" ca="1" si="314"/>
        <v>#NAME?</v>
      </c>
      <c r="CP41" s="171" t="e">
        <f t="shared" ca="1" si="73"/>
        <v>#NAME?</v>
      </c>
      <c r="CR41" t="str">
        <f t="shared" si="74"/>
        <v>Friendly</v>
      </c>
      <c r="CS41" s="91" t="e">
        <f t="shared" ref="CS41:DA41" ca="1" si="315">IF(CS$19&gt;0,CS28*SQRT(CS$19),0)</f>
        <v>#NAME?</v>
      </c>
      <c r="CT41" s="92" t="e">
        <f t="shared" ca="1" si="315"/>
        <v>#NAME?</v>
      </c>
      <c r="CU41" s="92" t="e">
        <f t="shared" ca="1" si="315"/>
        <v>#NAME?</v>
      </c>
      <c r="CV41" s="92" t="e">
        <f t="shared" ca="1" si="315"/>
        <v>#NAME?</v>
      </c>
      <c r="CW41" s="92" t="e">
        <f t="shared" ca="1" si="315"/>
        <v>#NAME?</v>
      </c>
      <c r="CX41" s="92" t="e">
        <f t="shared" ca="1" si="315"/>
        <v>#NAME?</v>
      </c>
      <c r="CY41" s="92" t="e">
        <f t="shared" ca="1" si="315"/>
        <v>#NAME?</v>
      </c>
      <c r="CZ41" s="92" t="e">
        <f t="shared" ca="1" si="315"/>
        <v>#NAME?</v>
      </c>
      <c r="DA41" s="93" t="e">
        <f t="shared" ca="1" si="315"/>
        <v>#NAME?</v>
      </c>
      <c r="DB41" s="171" t="e">
        <f t="shared" ca="1" si="76"/>
        <v>#NAME?</v>
      </c>
      <c r="DD41" t="str">
        <f t="shared" si="77"/>
        <v>Friendly</v>
      </c>
      <c r="DE41" s="91" t="e">
        <f t="shared" ref="DE41:DM41" ca="1" si="316">IF(DE$19&gt;0,DE28*SQRT(DE$19),0)</f>
        <v>#NAME?</v>
      </c>
      <c r="DF41" s="92" t="e">
        <f t="shared" ca="1" si="316"/>
        <v>#NAME?</v>
      </c>
      <c r="DG41" s="92" t="e">
        <f t="shared" ca="1" si="316"/>
        <v>#NAME?</v>
      </c>
      <c r="DH41" s="92" t="e">
        <f t="shared" ca="1" si="316"/>
        <v>#NAME?</v>
      </c>
      <c r="DI41" s="92" t="e">
        <f t="shared" ca="1" si="316"/>
        <v>#NAME?</v>
      </c>
      <c r="DJ41" s="92" t="e">
        <f t="shared" ca="1" si="316"/>
        <v>#NAME?</v>
      </c>
      <c r="DK41" s="92" t="e">
        <f t="shared" ca="1" si="316"/>
        <v>#NAME?</v>
      </c>
      <c r="DL41" s="92" t="e">
        <f t="shared" ca="1" si="316"/>
        <v>#NAME?</v>
      </c>
      <c r="DM41" s="93" t="e">
        <f t="shared" ca="1" si="316"/>
        <v>#NAME?</v>
      </c>
      <c r="DN41" s="171" t="e">
        <f t="shared" ca="1" si="79"/>
        <v>#NAME?</v>
      </c>
      <c r="DP41" t="str">
        <f t="shared" si="80"/>
        <v>Friendly</v>
      </c>
      <c r="DQ41" s="91" t="e">
        <f t="shared" ref="DQ41:DY41" ca="1" si="317">IF(DQ$19&gt;0,DQ28*SQRT(DQ$19),0)</f>
        <v>#NAME?</v>
      </c>
      <c r="DR41" s="92" t="e">
        <f t="shared" ca="1" si="317"/>
        <v>#NAME?</v>
      </c>
      <c r="DS41" s="92" t="e">
        <f t="shared" ca="1" si="317"/>
        <v>#NAME?</v>
      </c>
      <c r="DT41" s="92" t="e">
        <f t="shared" ca="1" si="317"/>
        <v>#NAME?</v>
      </c>
      <c r="DU41" s="92" t="e">
        <f t="shared" ca="1" si="317"/>
        <v>#NAME?</v>
      </c>
      <c r="DV41" s="92" t="e">
        <f t="shared" ca="1" si="317"/>
        <v>#NAME?</v>
      </c>
      <c r="DW41" s="92" t="e">
        <f t="shared" ca="1" si="317"/>
        <v>#NAME?</v>
      </c>
      <c r="DX41" s="92" t="e">
        <f t="shared" ca="1" si="317"/>
        <v>#NAME?</v>
      </c>
      <c r="DY41" s="93" t="e">
        <f t="shared" ca="1" si="317"/>
        <v>#NAME?</v>
      </c>
      <c r="DZ41" s="171" t="e">
        <f t="shared" ca="1" si="82"/>
        <v>#NAME?</v>
      </c>
      <c r="EB41" t="str">
        <f t="shared" si="83"/>
        <v>Friendly</v>
      </c>
      <c r="EC41" s="91" t="e">
        <f t="shared" ref="EC41:EK41" ca="1" si="318">IF(EC$19&gt;0,EC28*SQRT(EC$19),0)</f>
        <v>#NAME?</v>
      </c>
      <c r="ED41" s="92" t="e">
        <f t="shared" ca="1" si="318"/>
        <v>#NAME?</v>
      </c>
      <c r="EE41" s="92" t="e">
        <f t="shared" ca="1" si="318"/>
        <v>#NAME?</v>
      </c>
      <c r="EF41" s="92" t="e">
        <f t="shared" ca="1" si="318"/>
        <v>#NAME?</v>
      </c>
      <c r="EG41" s="92" t="e">
        <f t="shared" ca="1" si="318"/>
        <v>#NAME?</v>
      </c>
      <c r="EH41" s="92" t="e">
        <f t="shared" ca="1" si="318"/>
        <v>#NAME?</v>
      </c>
      <c r="EI41" s="92" t="e">
        <f t="shared" ca="1" si="318"/>
        <v>#NAME?</v>
      </c>
      <c r="EJ41" s="92" t="e">
        <f t="shared" ca="1" si="318"/>
        <v>#NAME?</v>
      </c>
      <c r="EK41" s="93" t="e">
        <f t="shared" ca="1" si="318"/>
        <v>#NAME?</v>
      </c>
      <c r="EL41" s="171" t="e">
        <f t="shared" ca="1" si="85"/>
        <v>#NAME?</v>
      </c>
      <c r="EN41" t="str">
        <f t="shared" si="86"/>
        <v>Friendly</v>
      </c>
      <c r="EO41" s="91" t="e">
        <f t="shared" ref="EO41:EW41" ca="1" si="319">IF(EO$19&gt;0,EO28*SQRT(EO$19),0)</f>
        <v>#NAME?</v>
      </c>
      <c r="EP41" s="92" t="e">
        <f t="shared" ca="1" si="319"/>
        <v>#NAME?</v>
      </c>
      <c r="EQ41" s="92" t="e">
        <f t="shared" ca="1" si="319"/>
        <v>#NAME?</v>
      </c>
      <c r="ER41" s="92" t="e">
        <f t="shared" ca="1" si="319"/>
        <v>#NAME?</v>
      </c>
      <c r="ES41" s="92" t="e">
        <f t="shared" ca="1" si="319"/>
        <v>#NAME?</v>
      </c>
      <c r="ET41" s="92" t="e">
        <f t="shared" ca="1" si="319"/>
        <v>#NAME?</v>
      </c>
      <c r="EU41" s="92" t="e">
        <f t="shared" ca="1" si="319"/>
        <v>#NAME?</v>
      </c>
      <c r="EV41" s="92" t="e">
        <f t="shared" ca="1" si="319"/>
        <v>#NAME?</v>
      </c>
      <c r="EW41" s="93" t="e">
        <f t="shared" ca="1" si="319"/>
        <v>#NAME?</v>
      </c>
      <c r="EX41" s="171" t="e">
        <f t="shared" ca="1" si="88"/>
        <v>#NAME?</v>
      </c>
      <c r="EZ41" t="str">
        <f t="shared" si="89"/>
        <v>Friendly</v>
      </c>
      <c r="FA41" s="91" t="e">
        <f t="shared" ref="FA41:FI41" ca="1" si="320">IF(FA$19&gt;0,FA28*SQRT(FA$19),0)</f>
        <v>#NAME?</v>
      </c>
      <c r="FB41" s="92" t="e">
        <f t="shared" ca="1" si="320"/>
        <v>#NAME?</v>
      </c>
      <c r="FC41" s="92" t="e">
        <f t="shared" ca="1" si="320"/>
        <v>#NAME?</v>
      </c>
      <c r="FD41" s="92" t="e">
        <f t="shared" ca="1" si="320"/>
        <v>#NAME?</v>
      </c>
      <c r="FE41" s="92" t="e">
        <f t="shared" ca="1" si="320"/>
        <v>#NAME?</v>
      </c>
      <c r="FF41" s="92" t="e">
        <f t="shared" ca="1" si="320"/>
        <v>#NAME?</v>
      </c>
      <c r="FG41" s="92" t="e">
        <f t="shared" ca="1" si="320"/>
        <v>#NAME?</v>
      </c>
      <c r="FH41" s="92" t="e">
        <f t="shared" ca="1" si="320"/>
        <v>#NAME?</v>
      </c>
      <c r="FI41" s="93" t="e">
        <f t="shared" ca="1" si="320"/>
        <v>#NAME?</v>
      </c>
      <c r="FJ41" s="171" t="e">
        <f t="shared" ca="1" si="91"/>
        <v>#NAME?</v>
      </c>
      <c r="FL41" t="str">
        <f t="shared" si="92"/>
        <v>Friendly</v>
      </c>
      <c r="FM41" s="91" t="e">
        <f t="shared" ref="FM41:FU41" ca="1" si="321">IF(FM$19&gt;0,FM28*SQRT(FM$19),0)</f>
        <v>#NAME?</v>
      </c>
      <c r="FN41" s="92" t="e">
        <f t="shared" ca="1" si="321"/>
        <v>#NAME?</v>
      </c>
      <c r="FO41" s="92" t="e">
        <f t="shared" ca="1" si="321"/>
        <v>#NAME?</v>
      </c>
      <c r="FP41" s="92" t="e">
        <f t="shared" ca="1" si="321"/>
        <v>#NAME?</v>
      </c>
      <c r="FQ41" s="92" t="e">
        <f t="shared" ca="1" si="321"/>
        <v>#NAME?</v>
      </c>
      <c r="FR41" s="92" t="e">
        <f t="shared" ca="1" si="321"/>
        <v>#NAME?</v>
      </c>
      <c r="FS41" s="92" t="e">
        <f t="shared" ca="1" si="321"/>
        <v>#NAME?</v>
      </c>
      <c r="FT41" s="92" t="e">
        <f t="shared" ca="1" si="321"/>
        <v>#NAME?</v>
      </c>
      <c r="FU41" s="93" t="e">
        <f t="shared" ca="1" si="321"/>
        <v>#NAME?</v>
      </c>
      <c r="FV41" s="171" t="e">
        <f t="shared" ca="1" si="94"/>
        <v>#NAME?</v>
      </c>
      <c r="FX41" t="str">
        <f t="shared" si="95"/>
        <v>Friendly</v>
      </c>
      <c r="FY41" s="91" t="e">
        <f t="shared" ref="FY41:GG41" ca="1" si="322">IF(FY$19&gt;0,FY28*SQRT(FY$19),0)</f>
        <v>#NAME?</v>
      </c>
      <c r="FZ41" s="92" t="e">
        <f t="shared" ca="1" si="322"/>
        <v>#NAME?</v>
      </c>
      <c r="GA41" s="92" t="e">
        <f t="shared" ca="1" si="322"/>
        <v>#NAME?</v>
      </c>
      <c r="GB41" s="92" t="e">
        <f t="shared" ca="1" si="322"/>
        <v>#NAME?</v>
      </c>
      <c r="GC41" s="92" t="e">
        <f t="shared" ca="1" si="322"/>
        <v>#NAME?</v>
      </c>
      <c r="GD41" s="92" t="e">
        <f t="shared" ca="1" si="322"/>
        <v>#NAME?</v>
      </c>
      <c r="GE41" s="92" t="e">
        <f t="shared" ca="1" si="322"/>
        <v>#NAME?</v>
      </c>
      <c r="GF41" s="92" t="e">
        <f t="shared" ca="1" si="322"/>
        <v>#NAME?</v>
      </c>
      <c r="GG41" s="93" t="e">
        <f t="shared" ca="1" si="322"/>
        <v>#NAME?</v>
      </c>
      <c r="GH41" s="171" t="e">
        <f t="shared" ca="1" si="97"/>
        <v>#NAME?</v>
      </c>
      <c r="GJ41" t="str">
        <f t="shared" si="98"/>
        <v>Friendly</v>
      </c>
      <c r="GK41" s="91" t="e">
        <f t="shared" ref="GK41:GS41" ca="1" si="323">IF(GK$19&gt;0,GK28*SQRT(GK$19),0)</f>
        <v>#NAME?</v>
      </c>
      <c r="GL41" s="92" t="e">
        <f t="shared" ca="1" si="323"/>
        <v>#NAME?</v>
      </c>
      <c r="GM41" s="92" t="e">
        <f t="shared" ca="1" si="323"/>
        <v>#NAME?</v>
      </c>
      <c r="GN41" s="92" t="e">
        <f t="shared" ca="1" si="323"/>
        <v>#NAME?</v>
      </c>
      <c r="GO41" s="92" t="e">
        <f t="shared" ca="1" si="323"/>
        <v>#NAME?</v>
      </c>
      <c r="GP41" s="92" t="e">
        <f t="shared" ca="1" si="323"/>
        <v>#NAME?</v>
      </c>
      <c r="GQ41" s="92" t="e">
        <f t="shared" ca="1" si="323"/>
        <v>#NAME?</v>
      </c>
      <c r="GR41" s="92" t="e">
        <f t="shared" ca="1" si="323"/>
        <v>#NAME?</v>
      </c>
      <c r="GS41" s="93" t="e">
        <f t="shared" ca="1" si="323"/>
        <v>#NAME?</v>
      </c>
      <c r="GT41" s="171" t="e">
        <f t="shared" ca="1" si="100"/>
        <v>#NAME?</v>
      </c>
      <c r="GV41" t="str">
        <f t="shared" si="101"/>
        <v>Friendly</v>
      </c>
      <c r="GW41" s="91" t="e">
        <f t="shared" ref="GW41:HE41" ca="1" si="324">IF(GW$19&gt;0,GW28*SQRT(GW$19),0)</f>
        <v>#NAME?</v>
      </c>
      <c r="GX41" s="92" t="e">
        <f t="shared" ca="1" si="324"/>
        <v>#NAME?</v>
      </c>
      <c r="GY41" s="92" t="e">
        <f t="shared" ca="1" si="324"/>
        <v>#NAME?</v>
      </c>
      <c r="GZ41" s="92" t="e">
        <f t="shared" ca="1" si="324"/>
        <v>#NAME?</v>
      </c>
      <c r="HA41" s="92" t="e">
        <f t="shared" ca="1" si="324"/>
        <v>#NAME?</v>
      </c>
      <c r="HB41" s="92" t="e">
        <f t="shared" ca="1" si="324"/>
        <v>#NAME?</v>
      </c>
      <c r="HC41" s="92" t="e">
        <f t="shared" ca="1" si="324"/>
        <v>#NAME?</v>
      </c>
      <c r="HD41" s="92" t="e">
        <f t="shared" ca="1" si="324"/>
        <v>#NAME?</v>
      </c>
      <c r="HE41" s="93" t="e">
        <f t="shared" ca="1" si="324"/>
        <v>#NAME?</v>
      </c>
      <c r="HF41" s="171" t="e">
        <f t="shared" ca="1" si="103"/>
        <v>#NAME?</v>
      </c>
      <c r="HH41" t="str">
        <f t="shared" si="104"/>
        <v>Friendly</v>
      </c>
      <c r="HI41" s="91" t="e">
        <f t="shared" ref="HI41:HQ41" ca="1" si="325">IF(HI$19&gt;0,HI28*SQRT(HI$19),0)</f>
        <v>#NAME?</v>
      </c>
      <c r="HJ41" s="92" t="e">
        <f t="shared" ca="1" si="325"/>
        <v>#NAME?</v>
      </c>
      <c r="HK41" s="92" t="e">
        <f t="shared" ca="1" si="325"/>
        <v>#NAME?</v>
      </c>
      <c r="HL41" s="92" t="e">
        <f t="shared" ca="1" si="325"/>
        <v>#NAME?</v>
      </c>
      <c r="HM41" s="92" t="e">
        <f t="shared" ca="1" si="325"/>
        <v>#NAME?</v>
      </c>
      <c r="HN41" s="92" t="e">
        <f t="shared" ca="1" si="325"/>
        <v>#NAME?</v>
      </c>
      <c r="HO41" s="92" t="e">
        <f t="shared" ca="1" si="325"/>
        <v>#NAME?</v>
      </c>
      <c r="HP41" s="92" t="e">
        <f t="shared" ca="1" si="325"/>
        <v>#NAME?</v>
      </c>
      <c r="HQ41" s="93" t="e">
        <f t="shared" ca="1" si="325"/>
        <v>#NAME?</v>
      </c>
      <c r="HR41" s="171" t="e">
        <f t="shared" ca="1" si="106"/>
        <v>#NAME?</v>
      </c>
      <c r="HT41" t="str">
        <f t="shared" si="107"/>
        <v>Friendly</v>
      </c>
      <c r="HU41" s="91" t="e">
        <f t="shared" ref="HU41:IC41" ca="1" si="326">IF(HU$19&gt;0,HU28*SQRT(HU$19),0)</f>
        <v>#NAME?</v>
      </c>
      <c r="HV41" s="92" t="e">
        <f t="shared" ca="1" si="326"/>
        <v>#NAME?</v>
      </c>
      <c r="HW41" s="92" t="e">
        <f t="shared" ca="1" si="326"/>
        <v>#NAME?</v>
      </c>
      <c r="HX41" s="92" t="e">
        <f t="shared" ca="1" si="326"/>
        <v>#NAME?</v>
      </c>
      <c r="HY41" s="92" t="e">
        <f t="shared" ca="1" si="326"/>
        <v>#NAME?</v>
      </c>
      <c r="HZ41" s="92" t="e">
        <f t="shared" ca="1" si="326"/>
        <v>#NAME?</v>
      </c>
      <c r="IA41" s="92" t="e">
        <f t="shared" ca="1" si="326"/>
        <v>#NAME?</v>
      </c>
      <c r="IB41" s="92" t="e">
        <f t="shared" ca="1" si="326"/>
        <v>#NAME?</v>
      </c>
      <c r="IC41" s="93" t="e">
        <f t="shared" ca="1" si="326"/>
        <v>#NAME?</v>
      </c>
      <c r="ID41" s="171" t="e">
        <f t="shared" ca="1" si="109"/>
        <v>#NAME?</v>
      </c>
      <c r="IF41" t="str">
        <f t="shared" si="110"/>
        <v>Friendly</v>
      </c>
      <c r="IG41" s="91" t="e">
        <f t="shared" ref="IG41:IO41" ca="1" si="327">IF(IG$19&gt;0,IG28*SQRT(IG$19),0)</f>
        <v>#NAME?</v>
      </c>
      <c r="IH41" s="92" t="e">
        <f t="shared" ca="1" si="327"/>
        <v>#NAME?</v>
      </c>
      <c r="II41" s="92" t="e">
        <f t="shared" ca="1" si="327"/>
        <v>#NAME?</v>
      </c>
      <c r="IJ41" s="92" t="e">
        <f t="shared" ca="1" si="327"/>
        <v>#NAME?</v>
      </c>
      <c r="IK41" s="92" t="e">
        <f t="shared" ca="1" si="327"/>
        <v>#NAME?</v>
      </c>
      <c r="IL41" s="92" t="e">
        <f t="shared" ca="1" si="327"/>
        <v>#NAME?</v>
      </c>
      <c r="IM41" s="92" t="e">
        <f t="shared" ca="1" si="327"/>
        <v>#NAME?</v>
      </c>
      <c r="IN41" s="92" t="e">
        <f t="shared" ca="1" si="327"/>
        <v>#NAME?</v>
      </c>
      <c r="IO41" s="93" t="e">
        <f t="shared" ca="1" si="327"/>
        <v>#NAME?</v>
      </c>
      <c r="IP41" s="171" t="e">
        <f t="shared" ca="1" si="112"/>
        <v>#NAME?</v>
      </c>
      <c r="IR41" t="str">
        <f t="shared" si="113"/>
        <v>Friendly</v>
      </c>
      <c r="IS41" s="91" t="e">
        <f t="shared" ref="IS41:JA41" ca="1" si="328">IF(IS$19&gt;0,IS28*SQRT(IS$19),0)</f>
        <v>#NAME?</v>
      </c>
      <c r="IT41" s="92" t="e">
        <f t="shared" ca="1" si="328"/>
        <v>#NAME?</v>
      </c>
      <c r="IU41" s="92" t="e">
        <f t="shared" ca="1" si="328"/>
        <v>#NAME?</v>
      </c>
      <c r="IV41" s="92" t="e">
        <f t="shared" ca="1" si="328"/>
        <v>#NAME?</v>
      </c>
      <c r="IW41" s="92" t="e">
        <f t="shared" ca="1" si="328"/>
        <v>#NAME?</v>
      </c>
      <c r="IX41" s="92" t="e">
        <f t="shared" ca="1" si="328"/>
        <v>#NAME?</v>
      </c>
      <c r="IY41" s="92" t="e">
        <f t="shared" ca="1" si="328"/>
        <v>#NAME?</v>
      </c>
      <c r="IZ41" s="92" t="e">
        <f t="shared" ca="1" si="328"/>
        <v>#NAME?</v>
      </c>
      <c r="JA41" s="93" t="e">
        <f t="shared" ca="1" si="328"/>
        <v>#NAME?</v>
      </c>
      <c r="JB41" s="171" t="e">
        <f t="shared" ca="1" si="115"/>
        <v>#NAME?</v>
      </c>
      <c r="JD41" t="str">
        <f t="shared" si="116"/>
        <v>Friendly</v>
      </c>
      <c r="JE41" s="91" t="e">
        <f t="shared" ref="JE41:JM41" ca="1" si="329">IF(JE$19&gt;0,JE28*SQRT(JE$19),0)</f>
        <v>#NAME?</v>
      </c>
      <c r="JF41" s="92" t="e">
        <f t="shared" ca="1" si="329"/>
        <v>#NAME?</v>
      </c>
      <c r="JG41" s="92" t="e">
        <f t="shared" ca="1" si="329"/>
        <v>#NAME?</v>
      </c>
      <c r="JH41" s="92" t="e">
        <f t="shared" ca="1" si="329"/>
        <v>#NAME?</v>
      </c>
      <c r="JI41" s="92" t="e">
        <f t="shared" ca="1" si="329"/>
        <v>#NAME?</v>
      </c>
      <c r="JJ41" s="92" t="e">
        <f t="shared" ca="1" si="329"/>
        <v>#NAME?</v>
      </c>
      <c r="JK41" s="92" t="e">
        <f t="shared" ca="1" si="329"/>
        <v>#NAME?</v>
      </c>
      <c r="JL41" s="92" t="e">
        <f t="shared" ca="1" si="329"/>
        <v>#NAME?</v>
      </c>
      <c r="JM41" s="93" t="e">
        <f t="shared" ca="1" si="329"/>
        <v>#NAME?</v>
      </c>
      <c r="JN41" s="171" t="e">
        <f t="shared" ca="1" si="118"/>
        <v>#NAME?</v>
      </c>
      <c r="JP41" t="str">
        <f t="shared" si="119"/>
        <v>Friendly</v>
      </c>
      <c r="JQ41" s="91" t="e">
        <f t="shared" ref="JQ41:JY41" ca="1" si="330">IF(JQ$19&gt;0,JQ28*SQRT(JQ$19),0)</f>
        <v>#NAME?</v>
      </c>
      <c r="JR41" s="92" t="e">
        <f t="shared" ca="1" si="330"/>
        <v>#NAME?</v>
      </c>
      <c r="JS41" s="92" t="e">
        <f t="shared" ca="1" si="330"/>
        <v>#NAME?</v>
      </c>
      <c r="JT41" s="92" t="e">
        <f t="shared" ca="1" si="330"/>
        <v>#NAME?</v>
      </c>
      <c r="JU41" s="92" t="e">
        <f t="shared" ca="1" si="330"/>
        <v>#NAME?</v>
      </c>
      <c r="JV41" s="92" t="e">
        <f t="shared" ca="1" si="330"/>
        <v>#NAME?</v>
      </c>
      <c r="JW41" s="92" t="e">
        <f t="shared" ca="1" si="330"/>
        <v>#NAME?</v>
      </c>
      <c r="JX41" s="92" t="e">
        <f t="shared" ca="1" si="330"/>
        <v>#NAME?</v>
      </c>
      <c r="JY41" s="93" t="e">
        <f t="shared" ca="1" si="330"/>
        <v>#NAME?</v>
      </c>
      <c r="JZ41" s="171" t="e">
        <f t="shared" ca="1" si="121"/>
        <v>#NAME?</v>
      </c>
      <c r="KB41" t="str">
        <f t="shared" si="122"/>
        <v>Friendly</v>
      </c>
      <c r="KC41" s="91" t="e">
        <f t="shared" ref="KC41:KK41" ca="1" si="331">IF(KC$19&gt;0,KC28*SQRT(KC$19),0)</f>
        <v>#NAME?</v>
      </c>
      <c r="KD41" s="92" t="e">
        <f t="shared" ca="1" si="331"/>
        <v>#NAME?</v>
      </c>
      <c r="KE41" s="92" t="e">
        <f t="shared" ca="1" si="331"/>
        <v>#NAME?</v>
      </c>
      <c r="KF41" s="92" t="e">
        <f t="shared" ca="1" si="331"/>
        <v>#NAME?</v>
      </c>
      <c r="KG41" s="92" t="e">
        <f t="shared" ca="1" si="331"/>
        <v>#NAME?</v>
      </c>
      <c r="KH41" s="92" t="e">
        <f t="shared" ca="1" si="331"/>
        <v>#NAME?</v>
      </c>
      <c r="KI41" s="92" t="e">
        <f t="shared" ca="1" si="331"/>
        <v>#NAME?</v>
      </c>
      <c r="KJ41" s="92" t="e">
        <f t="shared" ca="1" si="331"/>
        <v>#NAME?</v>
      </c>
      <c r="KK41" s="93" t="e">
        <f t="shared" ca="1" si="331"/>
        <v>#NAME?</v>
      </c>
      <c r="KL41" s="171" t="e">
        <f t="shared" ca="1" si="124"/>
        <v>#NAME?</v>
      </c>
      <c r="KN41" t="str">
        <f t="shared" si="125"/>
        <v>Friendly</v>
      </c>
      <c r="KO41" s="91" t="e">
        <f t="shared" ref="KO41:KW41" ca="1" si="332">IF(KO$19&gt;0,KO28*SQRT(KO$19),0)</f>
        <v>#NAME?</v>
      </c>
      <c r="KP41" s="92" t="e">
        <f t="shared" ca="1" si="332"/>
        <v>#NAME?</v>
      </c>
      <c r="KQ41" s="92" t="e">
        <f t="shared" ca="1" si="332"/>
        <v>#NAME?</v>
      </c>
      <c r="KR41" s="92" t="e">
        <f t="shared" ca="1" si="332"/>
        <v>#NAME?</v>
      </c>
      <c r="KS41" s="92" t="e">
        <f t="shared" ca="1" si="332"/>
        <v>#NAME?</v>
      </c>
      <c r="KT41" s="92" t="e">
        <f t="shared" ca="1" si="332"/>
        <v>#NAME?</v>
      </c>
      <c r="KU41" s="92" t="e">
        <f t="shared" ca="1" si="332"/>
        <v>#NAME?</v>
      </c>
      <c r="KV41" s="92" t="e">
        <f t="shared" ca="1" si="332"/>
        <v>#NAME?</v>
      </c>
      <c r="KW41" s="93" t="e">
        <f t="shared" ca="1" si="332"/>
        <v>#NAME?</v>
      </c>
      <c r="KX41" s="171" t="e">
        <f t="shared" ca="1" si="127"/>
        <v>#NAME?</v>
      </c>
      <c r="KZ41" t="str">
        <f t="shared" si="128"/>
        <v>Friendly</v>
      </c>
      <c r="LA41" s="91" t="e">
        <f t="shared" ref="LA41:LI41" ca="1" si="333">IF(LA$19&gt;0,LA28*SQRT(LA$19),0)</f>
        <v>#NAME?</v>
      </c>
      <c r="LB41" s="92" t="e">
        <f t="shared" ca="1" si="333"/>
        <v>#NAME?</v>
      </c>
      <c r="LC41" s="92" t="e">
        <f t="shared" ca="1" si="333"/>
        <v>#NAME?</v>
      </c>
      <c r="LD41" s="92" t="e">
        <f t="shared" ca="1" si="333"/>
        <v>#NAME?</v>
      </c>
      <c r="LE41" s="92" t="e">
        <f t="shared" ca="1" si="333"/>
        <v>#NAME?</v>
      </c>
      <c r="LF41" s="92" t="e">
        <f t="shared" ca="1" si="333"/>
        <v>#NAME?</v>
      </c>
      <c r="LG41" s="92" t="e">
        <f t="shared" ca="1" si="333"/>
        <v>#NAME?</v>
      </c>
      <c r="LH41" s="92" t="e">
        <f t="shared" ca="1" si="333"/>
        <v>#NAME?</v>
      </c>
      <c r="LI41" s="93" t="e">
        <f t="shared" ca="1" si="333"/>
        <v>#NAME?</v>
      </c>
      <c r="LJ41" s="171" t="e">
        <f t="shared" ca="1" si="130"/>
        <v>#NAME?</v>
      </c>
      <c r="LL41" t="str">
        <f t="shared" si="131"/>
        <v>Friendly</v>
      </c>
      <c r="LM41" s="91" t="e">
        <f t="shared" ref="LM41:LU41" ca="1" si="334">IF(LM$19&gt;0,LM28*SQRT(LM$19),0)</f>
        <v>#NAME?</v>
      </c>
      <c r="LN41" s="92" t="e">
        <f t="shared" ca="1" si="334"/>
        <v>#NAME?</v>
      </c>
      <c r="LO41" s="92" t="e">
        <f t="shared" ca="1" si="334"/>
        <v>#NAME?</v>
      </c>
      <c r="LP41" s="92" t="e">
        <f t="shared" ca="1" si="334"/>
        <v>#NAME?</v>
      </c>
      <c r="LQ41" s="92" t="e">
        <f t="shared" ca="1" si="334"/>
        <v>#NAME?</v>
      </c>
      <c r="LR41" s="92" t="e">
        <f t="shared" ca="1" si="334"/>
        <v>#NAME?</v>
      </c>
      <c r="LS41" s="92" t="e">
        <f t="shared" ca="1" si="334"/>
        <v>#NAME?</v>
      </c>
      <c r="LT41" s="92" t="e">
        <f t="shared" ca="1" si="334"/>
        <v>#NAME?</v>
      </c>
      <c r="LU41" s="93" t="e">
        <f t="shared" ca="1" si="334"/>
        <v>#NAME?</v>
      </c>
      <c r="LV41" s="171" t="e">
        <f t="shared" ca="1" si="133"/>
        <v>#NAME?</v>
      </c>
      <c r="LX41" t="str">
        <f t="shared" si="134"/>
        <v>Friendly</v>
      </c>
      <c r="LY41" s="91" t="e">
        <f t="shared" ref="LY41:MG41" ca="1" si="335">IF(LY$19&gt;0,LY28*SQRT(LY$19),0)</f>
        <v>#NAME?</v>
      </c>
      <c r="LZ41" s="92" t="e">
        <f t="shared" ca="1" si="335"/>
        <v>#NAME?</v>
      </c>
      <c r="MA41" s="92" t="e">
        <f t="shared" ca="1" si="335"/>
        <v>#NAME?</v>
      </c>
      <c r="MB41" s="92" t="e">
        <f t="shared" ca="1" si="335"/>
        <v>#NAME?</v>
      </c>
      <c r="MC41" s="92" t="e">
        <f t="shared" ca="1" si="335"/>
        <v>#NAME?</v>
      </c>
      <c r="MD41" s="92" t="e">
        <f t="shared" ca="1" si="335"/>
        <v>#NAME?</v>
      </c>
      <c r="ME41" s="92" t="e">
        <f t="shared" ca="1" si="335"/>
        <v>#NAME?</v>
      </c>
      <c r="MF41" s="92" t="e">
        <f t="shared" ca="1" si="335"/>
        <v>#NAME?</v>
      </c>
      <c r="MG41" s="93" t="e">
        <f t="shared" ca="1" si="335"/>
        <v>#NAME?</v>
      </c>
      <c r="MH41" s="171" t="e">
        <f t="shared" ca="1" si="136"/>
        <v>#NAME?</v>
      </c>
      <c r="MJ41" t="str">
        <f t="shared" si="137"/>
        <v>Friendly</v>
      </c>
      <c r="MK41" s="91" t="e">
        <f t="shared" ref="MK41:MS41" ca="1" si="336">IF(MK$19&gt;0,MK28*SQRT(MK$19),0)</f>
        <v>#NAME?</v>
      </c>
      <c r="ML41" s="92" t="e">
        <f t="shared" ca="1" si="336"/>
        <v>#NAME?</v>
      </c>
      <c r="MM41" s="92" t="e">
        <f t="shared" ca="1" si="336"/>
        <v>#NAME?</v>
      </c>
      <c r="MN41" s="92" t="e">
        <f t="shared" ca="1" si="336"/>
        <v>#NAME?</v>
      </c>
      <c r="MO41" s="92" t="e">
        <f t="shared" ca="1" si="336"/>
        <v>#NAME?</v>
      </c>
      <c r="MP41" s="92" t="e">
        <f t="shared" ca="1" si="336"/>
        <v>#NAME?</v>
      </c>
      <c r="MQ41" s="92" t="e">
        <f t="shared" ca="1" si="336"/>
        <v>#NAME?</v>
      </c>
      <c r="MR41" s="92" t="e">
        <f t="shared" ca="1" si="336"/>
        <v>#NAME?</v>
      </c>
      <c r="MS41" s="93" t="e">
        <f t="shared" ca="1" si="336"/>
        <v>#NAME?</v>
      </c>
      <c r="MT41" s="171" t="e">
        <f t="shared" ca="1" si="139"/>
        <v>#NAME?</v>
      </c>
    </row>
    <row r="42" spans="1:358" x14ac:dyDescent="0.3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</row>
    <row r="43" spans="1:358" x14ac:dyDescent="0.3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AG43" t="s">
        <v>524</v>
      </c>
      <c r="AH43" s="206" t="e">
        <f ca="1">SUMXMY2(AH33:AH41,V33:V41)</f>
        <v>#NAME?</v>
      </c>
      <c r="AS43" t="s">
        <v>524</v>
      </c>
      <c r="AT43" s="206" t="e">
        <f ca="1">SUMXMY2(AT33:AT41,AH33:AH41)</f>
        <v>#NAME?</v>
      </c>
      <c r="BE43" t="s">
        <v>524</v>
      </c>
      <c r="BF43" s="206" t="e">
        <f ca="1">SUMXMY2(BF33:BF41,AT33:AT41)</f>
        <v>#NAME?</v>
      </c>
      <c r="BQ43" t="s">
        <v>524</v>
      </c>
      <c r="BR43" s="206" t="e">
        <f ca="1">SUMXMY2(BR33:BR41,BF33:BF41)</f>
        <v>#NAME?</v>
      </c>
      <c r="CC43" t="s">
        <v>524</v>
      </c>
      <c r="CD43" s="206" t="e">
        <f ca="1">SUMXMY2(CD33:CD41,BR33:BR41)</f>
        <v>#NAME?</v>
      </c>
      <c r="CO43" t="s">
        <v>524</v>
      </c>
      <c r="CP43" s="206" t="e">
        <f ca="1">SUMXMY2(CP33:CP41,CD33:CD41)</f>
        <v>#NAME?</v>
      </c>
      <c r="DA43" t="s">
        <v>524</v>
      </c>
      <c r="DB43" s="206" t="e">
        <f ca="1">SUMXMY2(DB33:DB41,CP33:CP41)</f>
        <v>#NAME?</v>
      </c>
      <c r="DM43" t="s">
        <v>524</v>
      </c>
      <c r="DN43" s="206" t="e">
        <f ca="1">SUMXMY2(DN33:DN41,DB33:DB41)</f>
        <v>#NAME?</v>
      </c>
      <c r="DY43" t="s">
        <v>524</v>
      </c>
      <c r="DZ43" s="206" t="e">
        <f ca="1">SUMXMY2(DZ33:DZ41,DN33:DN41)</f>
        <v>#NAME?</v>
      </c>
      <c r="EK43" t="s">
        <v>524</v>
      </c>
      <c r="EL43" s="206" t="e">
        <f ca="1">SUMXMY2(EL33:EL41,DZ33:DZ41)</f>
        <v>#NAME?</v>
      </c>
      <c r="EW43" t="s">
        <v>524</v>
      </c>
      <c r="EX43" s="206" t="e">
        <f ca="1">SUMXMY2(EX33:EX41,EL33:EL41)</f>
        <v>#NAME?</v>
      </c>
      <c r="FI43" t="s">
        <v>524</v>
      </c>
      <c r="FJ43" s="206" t="e">
        <f ca="1">SUMXMY2(FJ33:FJ41,EX33:EX41)</f>
        <v>#NAME?</v>
      </c>
      <c r="FU43" t="s">
        <v>524</v>
      </c>
      <c r="FV43" s="206" t="e">
        <f ca="1">SUMXMY2(FV33:FV41,FJ33:FJ41)</f>
        <v>#NAME?</v>
      </c>
      <c r="GG43" t="s">
        <v>524</v>
      </c>
      <c r="GH43" s="206" t="e">
        <f ca="1">SUMXMY2(GH33:GH41,FV33:FV41)</f>
        <v>#NAME?</v>
      </c>
      <c r="GS43" t="s">
        <v>524</v>
      </c>
      <c r="GT43" s="206" t="e">
        <f ca="1">SUMXMY2(GT33:GT41,GH33:GH41)</f>
        <v>#NAME?</v>
      </c>
      <c r="HE43" t="s">
        <v>524</v>
      </c>
      <c r="HF43" s="206" t="e">
        <f ca="1">SUMXMY2(HF33:HF41,GT33:GT41)</f>
        <v>#NAME?</v>
      </c>
      <c r="HQ43" t="s">
        <v>524</v>
      </c>
      <c r="HR43" s="206" t="e">
        <f ca="1">SUMXMY2(HR33:HR41,HF33:HF41)</f>
        <v>#NAME?</v>
      </c>
      <c r="IC43" t="s">
        <v>524</v>
      </c>
      <c r="ID43" s="206" t="e">
        <f ca="1">SUMXMY2(ID33:ID41,HR33:HR41)</f>
        <v>#NAME?</v>
      </c>
      <c r="IO43" t="s">
        <v>524</v>
      </c>
      <c r="IP43" s="206" t="e">
        <f ca="1">SUMXMY2(IP33:IP41,ID33:ID41)</f>
        <v>#NAME?</v>
      </c>
      <c r="JA43" t="s">
        <v>524</v>
      </c>
      <c r="JB43" s="206" t="e">
        <f ca="1">SUMXMY2(JB33:JB41,IP33:IP41)</f>
        <v>#NAME?</v>
      </c>
      <c r="JM43" t="s">
        <v>524</v>
      </c>
      <c r="JN43" s="206" t="e">
        <f ca="1">SUMXMY2(JN33:JN41,JB33:JB41)</f>
        <v>#NAME?</v>
      </c>
      <c r="JY43" t="s">
        <v>524</v>
      </c>
      <c r="JZ43" s="206" t="e">
        <f ca="1">SUMXMY2(JZ33:JZ41,JN33:JN41)</f>
        <v>#NAME?</v>
      </c>
      <c r="KK43" t="s">
        <v>524</v>
      </c>
      <c r="KL43" s="206" t="e">
        <f ca="1">SUMXMY2(KL33:KL41,JZ33:JZ41)</f>
        <v>#NAME?</v>
      </c>
      <c r="KW43" t="s">
        <v>524</v>
      </c>
      <c r="KX43" s="206" t="e">
        <f ca="1">SUMXMY2(KX33:KX41,KL33:KL41)</f>
        <v>#NAME?</v>
      </c>
      <c r="LI43" t="s">
        <v>524</v>
      </c>
      <c r="LJ43" s="206" t="e">
        <f ca="1">SUMXMY2(LJ33:LJ41,KX33:KX41)</f>
        <v>#NAME?</v>
      </c>
      <c r="LU43" t="s">
        <v>524</v>
      </c>
      <c r="LV43" s="206" t="e">
        <f ca="1">SUMXMY2(LV33:LV41,LJ33:LJ41)</f>
        <v>#NAME?</v>
      </c>
      <c r="MG43" t="s">
        <v>524</v>
      </c>
      <c r="MH43" s="206" t="e">
        <f ca="1">SUMXMY2(MH33:MH41,LV33:LV41)</f>
        <v>#NAME?</v>
      </c>
      <c r="MS43" t="s">
        <v>524</v>
      </c>
      <c r="MT43" s="206" t="e">
        <f ca="1">SUMXMY2(MT33:MT41,MH33:MH41)</f>
        <v>#NAME?</v>
      </c>
    </row>
    <row r="44" spans="1:358" x14ac:dyDescent="0.3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</row>
    <row r="45" spans="1:358" x14ac:dyDescent="0.3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</row>
    <row r="46" spans="1:358" x14ac:dyDescent="0.3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</row>
    <row r="47" spans="1:358" x14ac:dyDescent="0.3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</row>
    <row r="48" spans="1:358" x14ac:dyDescent="0.3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</row>
    <row r="49" spans="1:10" x14ac:dyDescent="0.3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</row>
    <row r="50" spans="1:10" x14ac:dyDescent="0.3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</row>
    <row r="51" spans="1:10" x14ac:dyDescent="0.3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10" x14ac:dyDescent="0.3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</row>
    <row r="53" spans="1:10" x14ac:dyDescent="0.3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10" x14ac:dyDescent="0.3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</row>
    <row r="55" spans="1:10" x14ac:dyDescent="0.3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</row>
    <row r="56" spans="1:10" x14ac:dyDescent="0.3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10" x14ac:dyDescent="0.3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</row>
    <row r="58" spans="1:10" x14ac:dyDescent="0.3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10" x14ac:dyDescent="0.3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</row>
    <row r="60" spans="1:10" x14ac:dyDescent="0.3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</row>
    <row r="61" spans="1:10" x14ac:dyDescent="0.3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</row>
    <row r="62" spans="1:10" x14ac:dyDescent="0.3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</row>
    <row r="63" spans="1:10" x14ac:dyDescent="0.3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</row>
    <row r="64" spans="1:10" x14ac:dyDescent="0.3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</row>
    <row r="65" spans="1:10" x14ac:dyDescent="0.3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</row>
    <row r="66" spans="1:10" x14ac:dyDescent="0.3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</row>
    <row r="67" spans="1:10" x14ac:dyDescent="0.3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</row>
    <row r="68" spans="1:10" x14ac:dyDescent="0.3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</row>
    <row r="69" spans="1:10" x14ac:dyDescent="0.3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10" x14ac:dyDescent="0.3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</row>
    <row r="71" spans="1:10" x14ac:dyDescent="0.3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10" x14ac:dyDescent="0.3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</row>
    <row r="73" spans="1:10" x14ac:dyDescent="0.3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</row>
    <row r="74" spans="1:10" x14ac:dyDescent="0.3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</row>
    <row r="75" spans="1:10" x14ac:dyDescent="0.3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</row>
    <row r="76" spans="1:10" x14ac:dyDescent="0.3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</row>
    <row r="77" spans="1:10" x14ac:dyDescent="0.3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</row>
    <row r="78" spans="1:10" x14ac:dyDescent="0.3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</row>
    <row r="79" spans="1:10" x14ac:dyDescent="0.3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</row>
    <row r="80" spans="1:10" x14ac:dyDescent="0.3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</row>
    <row r="81" spans="1:10" x14ac:dyDescent="0.3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</row>
    <row r="82" spans="1:10" x14ac:dyDescent="0.3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10" x14ac:dyDescent="0.3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</row>
    <row r="84" spans="1:10" x14ac:dyDescent="0.3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10" x14ac:dyDescent="0.3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</row>
    <row r="86" spans="1:10" x14ac:dyDescent="0.3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</row>
    <row r="87" spans="1:10" x14ac:dyDescent="0.3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</row>
    <row r="88" spans="1:10" x14ac:dyDescent="0.3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</row>
    <row r="89" spans="1:10" x14ac:dyDescent="0.3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</row>
    <row r="90" spans="1:10" x14ac:dyDescent="0.3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</row>
    <row r="91" spans="1:10" x14ac:dyDescent="0.3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</row>
    <row r="92" spans="1:10" x14ac:dyDescent="0.3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</row>
    <row r="93" spans="1:10" x14ac:dyDescent="0.3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</row>
    <row r="94" spans="1:10" x14ac:dyDescent="0.3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</row>
    <row r="95" spans="1:10" x14ac:dyDescent="0.3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</row>
    <row r="96" spans="1:10" x14ac:dyDescent="0.3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</row>
    <row r="97" spans="1:10" x14ac:dyDescent="0.3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</row>
    <row r="98" spans="1:10" x14ac:dyDescent="0.3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</row>
    <row r="99" spans="1:10" x14ac:dyDescent="0.3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</row>
    <row r="100" spans="1:10" x14ac:dyDescent="0.3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</row>
    <row r="101" spans="1:10" x14ac:dyDescent="0.3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</row>
    <row r="102" spans="1:10" x14ac:dyDescent="0.3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</row>
    <row r="103" spans="1:10" x14ac:dyDescent="0.3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</row>
    <row r="104" spans="1:10" x14ac:dyDescent="0.3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</row>
    <row r="105" spans="1:10" x14ac:dyDescent="0.35">
      <c r="A105">
        <f t="shared" ref="A105:A123" si="337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</row>
    <row r="106" spans="1:10" x14ac:dyDescent="0.35">
      <c r="A106">
        <f t="shared" si="337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</row>
    <row r="107" spans="1:10" x14ac:dyDescent="0.35">
      <c r="A107">
        <f t="shared" si="337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</row>
    <row r="108" spans="1:10" x14ac:dyDescent="0.35">
      <c r="A108">
        <f t="shared" si="337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</row>
    <row r="109" spans="1:10" x14ac:dyDescent="0.35">
      <c r="A109">
        <f t="shared" si="337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</row>
    <row r="110" spans="1:10" x14ac:dyDescent="0.35">
      <c r="A110">
        <f t="shared" si="337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</row>
    <row r="111" spans="1:10" x14ac:dyDescent="0.35">
      <c r="A111">
        <f t="shared" si="337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</row>
    <row r="112" spans="1:10" x14ac:dyDescent="0.35">
      <c r="A112">
        <f t="shared" si="337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</row>
    <row r="113" spans="1:10" x14ac:dyDescent="0.35">
      <c r="A113">
        <f t="shared" si="337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</row>
    <row r="114" spans="1:10" x14ac:dyDescent="0.35">
      <c r="A114">
        <f t="shared" si="337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</row>
    <row r="115" spans="1:10" x14ac:dyDescent="0.35">
      <c r="A115">
        <f t="shared" si="337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</row>
    <row r="116" spans="1:10" x14ac:dyDescent="0.35">
      <c r="A116">
        <f t="shared" si="337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</row>
    <row r="117" spans="1:10" x14ac:dyDescent="0.35">
      <c r="A117">
        <f t="shared" si="337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</row>
    <row r="118" spans="1:10" x14ac:dyDescent="0.35">
      <c r="A118">
        <f t="shared" si="337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</row>
    <row r="119" spans="1:10" x14ac:dyDescent="0.35">
      <c r="A119">
        <f t="shared" si="337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</row>
    <row r="120" spans="1:10" x14ac:dyDescent="0.35">
      <c r="A120">
        <f t="shared" si="337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</row>
    <row r="121" spans="1:10" x14ac:dyDescent="0.35">
      <c r="A121">
        <f t="shared" si="337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</row>
    <row r="122" spans="1:10" x14ac:dyDescent="0.35">
      <c r="A122">
        <f t="shared" si="337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</row>
    <row r="123" spans="1:10" x14ac:dyDescent="0.35">
      <c r="A123">
        <f t="shared" si="337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</row>
    <row r="124" spans="1:10" x14ac:dyDescent="0.35"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10" x14ac:dyDescent="0.35">
      <c r="B125" s="47" t="str">
        <f>B3</f>
        <v>Expect</v>
      </c>
      <c r="C125" s="47" t="str">
        <f t="shared" ref="C125:J125" si="338">C3</f>
        <v>Entertain</v>
      </c>
      <c r="D125" s="47" t="str">
        <f t="shared" si="338"/>
        <v>Comm</v>
      </c>
      <c r="E125" s="47" t="str">
        <f t="shared" si="338"/>
        <v>Expert</v>
      </c>
      <c r="F125" s="47" t="str">
        <f t="shared" si="338"/>
        <v>Motivate</v>
      </c>
      <c r="G125" s="47" t="str">
        <f t="shared" si="338"/>
        <v>Caring</v>
      </c>
      <c r="H125" s="47" t="str">
        <f t="shared" si="338"/>
        <v>Charisma</v>
      </c>
      <c r="I125" s="47" t="str">
        <f t="shared" si="338"/>
        <v>Passion</v>
      </c>
      <c r="J125" s="47" t="str">
        <f t="shared" si="338"/>
        <v>Friendly</v>
      </c>
    </row>
    <row r="126" spans="1:10" x14ac:dyDescent="0.35">
      <c r="A126" t="s">
        <v>48</v>
      </c>
      <c r="B126" s="156">
        <f>AVERAGE(B4:B123)</f>
        <v>3.7083333333333335</v>
      </c>
      <c r="C126" s="157">
        <f t="shared" ref="C126:J126" si="339">AVERAGE(C4:C123)</f>
        <v>8.1666666666666661</v>
      </c>
      <c r="D126" s="157">
        <f t="shared" si="339"/>
        <v>3.45</v>
      </c>
      <c r="E126" s="157">
        <f t="shared" si="339"/>
        <v>3.3833333333333333</v>
      </c>
      <c r="F126" s="157">
        <f t="shared" si="339"/>
        <v>6.708333333333333</v>
      </c>
      <c r="G126" s="157">
        <f t="shared" si="339"/>
        <v>6.0083333333333337</v>
      </c>
      <c r="H126" s="157">
        <f t="shared" si="339"/>
        <v>4.8416666666666668</v>
      </c>
      <c r="I126" s="157">
        <f t="shared" si="339"/>
        <v>4.7249999999999996</v>
      </c>
      <c r="J126" s="158">
        <f t="shared" si="339"/>
        <v>7.3</v>
      </c>
    </row>
    <row r="127" spans="1:10" x14ac:dyDescent="0.35">
      <c r="A127" t="s">
        <v>49</v>
      </c>
      <c r="B127" s="123">
        <f>STDEV(B4:B123)</f>
        <v>1.2662114027786242</v>
      </c>
      <c r="C127" s="37">
        <f t="shared" ref="C127:J127" si="340">STDEV(C4:C123)</f>
        <v>0.57002629061192933</v>
      </c>
      <c r="D127" s="37">
        <f t="shared" si="340"/>
        <v>1.6492932023224043</v>
      </c>
      <c r="E127" s="37">
        <f t="shared" si="340"/>
        <v>1.0140469991704575</v>
      </c>
      <c r="F127" s="37">
        <f t="shared" si="340"/>
        <v>0.95614626824273719</v>
      </c>
      <c r="G127" s="37">
        <f t="shared" si="340"/>
        <v>1.3688972027952755</v>
      </c>
      <c r="H127" s="37">
        <f t="shared" si="340"/>
        <v>2.5895583262266895</v>
      </c>
      <c r="I127" s="37">
        <f t="shared" si="340"/>
        <v>0.95233018071950515</v>
      </c>
      <c r="J127" s="90">
        <f t="shared" si="340"/>
        <v>0.58840333734179207</v>
      </c>
    </row>
    <row r="128" spans="1:10" x14ac:dyDescent="0.35">
      <c r="A128" t="s">
        <v>394</v>
      </c>
      <c r="B128" s="123">
        <f>SKEW(B4:B123)</f>
        <v>0.13857831473517168</v>
      </c>
      <c r="C128" s="37">
        <f t="shared" ref="C128:J128" si="341">SKEW(C4:C123)</f>
        <v>0.55879383518869019</v>
      </c>
      <c r="D128" s="37">
        <f t="shared" si="341"/>
        <v>0.60968237468969244</v>
      </c>
      <c r="E128" s="37">
        <f t="shared" si="341"/>
        <v>0.25011903407769448</v>
      </c>
      <c r="F128" s="37">
        <f t="shared" si="341"/>
        <v>3.0992568092345463E-2</v>
      </c>
      <c r="G128" s="37">
        <f t="shared" si="341"/>
        <v>-0.23512012357640227</v>
      </c>
      <c r="H128" s="37">
        <f t="shared" si="341"/>
        <v>4.7501040439116834E-2</v>
      </c>
      <c r="I128" s="37">
        <f t="shared" si="341"/>
        <v>-7.3874092896665661E-2</v>
      </c>
      <c r="J128" s="90">
        <f t="shared" si="341"/>
        <v>0.32217223907072601</v>
      </c>
    </row>
    <row r="129" spans="1:10" x14ac:dyDescent="0.35">
      <c r="A129" s="60" t="s">
        <v>395</v>
      </c>
      <c r="B129" s="91">
        <f>KURT(B4:B123)</f>
        <v>-7.5087531931202989E-2</v>
      </c>
      <c r="C129" s="92">
        <f t="shared" ref="C129:J129" si="342">KURT(C4:C123)</f>
        <v>1.2245729768528379</v>
      </c>
      <c r="D129" s="92">
        <f t="shared" si="342"/>
        <v>-0.37097323594953835</v>
      </c>
      <c r="E129" s="92">
        <f t="shared" si="342"/>
        <v>0.79048099823017459</v>
      </c>
      <c r="F129" s="92">
        <f t="shared" si="342"/>
        <v>-9.1985537444213339E-2</v>
      </c>
      <c r="G129" s="92">
        <f t="shared" si="342"/>
        <v>-0.42617618904263521</v>
      </c>
      <c r="H129" s="92">
        <f t="shared" si="342"/>
        <v>-0.92188768731537785</v>
      </c>
      <c r="I129" s="92">
        <f t="shared" si="342"/>
        <v>-0.24984145123189316</v>
      </c>
      <c r="J129" s="93">
        <f t="shared" si="342"/>
        <v>0.13488543363239947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42"/>
  <dimension ref="A1:W242"/>
  <sheetViews>
    <sheetView topLeftCell="A70" zoomScaleNormal="100" workbookViewId="0">
      <selection activeCell="S14" sqref="S14"/>
    </sheetView>
  </sheetViews>
  <sheetFormatPr defaultRowHeight="14.5" x14ac:dyDescent="0.35"/>
  <cols>
    <col min="12" max="12" width="9.453125" customWidth="1"/>
  </cols>
  <sheetData>
    <row r="1" spans="1:21" x14ac:dyDescent="0.35">
      <c r="A1" s="42" t="s">
        <v>521</v>
      </c>
      <c r="L1" t="s">
        <v>492</v>
      </c>
    </row>
    <row r="3" spans="1:21" x14ac:dyDescent="0.35">
      <c r="A3" s="47"/>
      <c r="B3" s="47" t="s">
        <v>371</v>
      </c>
      <c r="C3" s="47" t="s">
        <v>372</v>
      </c>
      <c r="D3" s="47" t="s">
        <v>373</v>
      </c>
      <c r="E3" s="47" t="s">
        <v>374</v>
      </c>
      <c r="F3" s="47" t="s">
        <v>375</v>
      </c>
      <c r="G3" s="47" t="s">
        <v>376</v>
      </c>
      <c r="H3" s="47" t="s">
        <v>377</v>
      </c>
      <c r="I3" s="47" t="s">
        <v>378</v>
      </c>
      <c r="J3" s="47" t="s">
        <v>379</v>
      </c>
      <c r="L3" t="s">
        <v>473</v>
      </c>
    </row>
    <row r="4" spans="1:21" x14ac:dyDescent="0.35">
      <c r="A4">
        <v>1</v>
      </c>
      <c r="B4" s="156">
        <v>2</v>
      </c>
      <c r="C4" s="157">
        <v>8</v>
      </c>
      <c r="D4" s="157">
        <v>1</v>
      </c>
      <c r="E4" s="157">
        <v>4</v>
      </c>
      <c r="F4" s="157">
        <v>7</v>
      </c>
      <c r="G4" s="157">
        <v>5</v>
      </c>
      <c r="H4" s="157">
        <v>4</v>
      </c>
      <c r="I4" s="157">
        <v>4</v>
      </c>
      <c r="J4" s="158">
        <v>8</v>
      </c>
    </row>
    <row r="5" spans="1:21" x14ac:dyDescent="0.35">
      <c r="A5">
        <v>2</v>
      </c>
      <c r="B5" s="123">
        <v>4</v>
      </c>
      <c r="C5" s="37">
        <v>8</v>
      </c>
      <c r="D5" s="37">
        <v>5</v>
      </c>
      <c r="E5" s="37">
        <v>3</v>
      </c>
      <c r="F5" s="37">
        <v>7</v>
      </c>
      <c r="G5" s="37">
        <v>7</v>
      </c>
      <c r="H5" s="37">
        <v>7</v>
      </c>
      <c r="I5" s="37">
        <v>6</v>
      </c>
      <c r="J5" s="90">
        <v>6</v>
      </c>
      <c r="M5" t="str">
        <f t="array" ref="M5:U5">B3:J3</f>
        <v>Expect</v>
      </c>
      <c r="N5" t="str">
        <v>Entertain</v>
      </c>
      <c r="O5" t="str">
        <v>Comm</v>
      </c>
      <c r="P5" t="str">
        <v>Expert</v>
      </c>
      <c r="Q5" t="str">
        <v>Motivate</v>
      </c>
      <c r="R5" t="str">
        <v>Caring</v>
      </c>
      <c r="S5" t="str">
        <v>Charisma</v>
      </c>
      <c r="T5" t="str">
        <v>Passion</v>
      </c>
      <c r="U5" t="str">
        <v>Friendly</v>
      </c>
    </row>
    <row r="6" spans="1:21" x14ac:dyDescent="0.35">
      <c r="A6">
        <v>3</v>
      </c>
      <c r="B6" s="123">
        <v>2</v>
      </c>
      <c r="C6" s="37">
        <v>8</v>
      </c>
      <c r="D6" s="37">
        <v>2</v>
      </c>
      <c r="E6" s="37">
        <v>3</v>
      </c>
      <c r="F6" s="37">
        <v>6</v>
      </c>
      <c r="G6" s="37">
        <v>7</v>
      </c>
      <c r="H6" s="37">
        <v>1</v>
      </c>
      <c r="I6" s="37">
        <v>3</v>
      </c>
      <c r="J6" s="90">
        <v>7</v>
      </c>
      <c r="L6" t="s">
        <v>34</v>
      </c>
      <c r="M6" s="187">
        <f>AVERAGE(B4:B123)</f>
        <v>3.7083333333333335</v>
      </c>
      <c r="N6" s="188">
        <f t="shared" ref="N6:U6" si="0">AVERAGE(C4:C123)</f>
        <v>8.1666666666666661</v>
      </c>
      <c r="O6" s="188">
        <f t="shared" si="0"/>
        <v>3.45</v>
      </c>
      <c r="P6" s="188">
        <f t="shared" si="0"/>
        <v>3.3833333333333333</v>
      </c>
      <c r="Q6" s="188">
        <f t="shared" si="0"/>
        <v>6.708333333333333</v>
      </c>
      <c r="R6" s="188">
        <f t="shared" si="0"/>
        <v>6.0083333333333337</v>
      </c>
      <c r="S6" s="188">
        <f t="shared" si="0"/>
        <v>4.8416666666666668</v>
      </c>
      <c r="T6" s="188">
        <f t="shared" si="0"/>
        <v>4.7249999999999996</v>
      </c>
      <c r="U6" s="189">
        <f t="shared" si="0"/>
        <v>7.3</v>
      </c>
    </row>
    <row r="7" spans="1:21" x14ac:dyDescent="0.35">
      <c r="A7">
        <v>4</v>
      </c>
      <c r="B7" s="123">
        <v>4</v>
      </c>
      <c r="C7" s="37">
        <v>8</v>
      </c>
      <c r="D7" s="37">
        <v>4</v>
      </c>
      <c r="E7" s="37">
        <v>2</v>
      </c>
      <c r="F7" s="37">
        <v>8</v>
      </c>
      <c r="G7" s="37">
        <v>7</v>
      </c>
      <c r="H7" s="37">
        <v>7</v>
      </c>
      <c r="I7" s="37">
        <v>5</v>
      </c>
      <c r="J7" s="90">
        <v>7</v>
      </c>
      <c r="L7" t="s">
        <v>474</v>
      </c>
      <c r="M7" s="83">
        <f>STDEV(B4:B123)</f>
        <v>1.2662114027786242</v>
      </c>
      <c r="N7" s="37">
        <f t="shared" ref="N7:U7" si="1">STDEV(C4:C123)</f>
        <v>0.57002629061192933</v>
      </c>
      <c r="O7" s="37">
        <f t="shared" si="1"/>
        <v>1.6492932023224043</v>
      </c>
      <c r="P7" s="37">
        <f t="shared" si="1"/>
        <v>1.0140469991704575</v>
      </c>
      <c r="Q7" s="37">
        <f t="shared" si="1"/>
        <v>0.95614626824273719</v>
      </c>
      <c r="R7" s="37">
        <f t="shared" si="1"/>
        <v>1.3688972027952755</v>
      </c>
      <c r="S7" s="37">
        <f t="shared" si="1"/>
        <v>2.5895583262266895</v>
      </c>
      <c r="T7" s="37">
        <f t="shared" si="1"/>
        <v>0.95233018071950515</v>
      </c>
      <c r="U7" s="84">
        <f t="shared" si="1"/>
        <v>0.58840333734179207</v>
      </c>
    </row>
    <row r="8" spans="1:21" x14ac:dyDescent="0.35">
      <c r="A8">
        <v>5</v>
      </c>
      <c r="B8" s="123">
        <v>3</v>
      </c>
      <c r="C8" s="37">
        <v>8</v>
      </c>
      <c r="D8" s="37">
        <v>5</v>
      </c>
      <c r="E8" s="37">
        <v>4</v>
      </c>
      <c r="F8" s="37">
        <v>8</v>
      </c>
      <c r="G8" s="37">
        <v>8</v>
      </c>
      <c r="H8" s="37">
        <v>7</v>
      </c>
      <c r="I8" s="37">
        <v>6</v>
      </c>
      <c r="J8" s="90">
        <v>7</v>
      </c>
      <c r="L8" t="s">
        <v>268</v>
      </c>
      <c r="M8" s="83">
        <f>SKEW(B4:B123)</f>
        <v>0.13857831473517168</v>
      </c>
      <c r="N8" s="37">
        <f t="shared" ref="N8:U8" si="2">SKEW(C4:C123)</f>
        <v>0.55879383518869019</v>
      </c>
      <c r="O8" s="37">
        <f t="shared" si="2"/>
        <v>0.60968237468969244</v>
      </c>
      <c r="P8" s="37">
        <f t="shared" si="2"/>
        <v>0.25011903407769448</v>
      </c>
      <c r="Q8" s="37">
        <f t="shared" si="2"/>
        <v>3.0992568092345463E-2</v>
      </c>
      <c r="R8" s="37">
        <f t="shared" si="2"/>
        <v>-0.23512012357640227</v>
      </c>
      <c r="S8" s="37">
        <f t="shared" si="2"/>
        <v>4.7501040439116834E-2</v>
      </c>
      <c r="T8" s="37">
        <f t="shared" si="2"/>
        <v>-7.3874092896665661E-2</v>
      </c>
      <c r="U8" s="84">
        <f t="shared" si="2"/>
        <v>0.32217223907072601</v>
      </c>
    </row>
    <row r="9" spans="1:21" x14ac:dyDescent="0.35">
      <c r="A9">
        <v>6</v>
      </c>
      <c r="B9" s="123">
        <v>4</v>
      </c>
      <c r="C9" s="37">
        <v>7</v>
      </c>
      <c r="D9" s="37">
        <v>3</v>
      </c>
      <c r="E9" s="37">
        <v>3</v>
      </c>
      <c r="F9" s="37">
        <v>6</v>
      </c>
      <c r="G9" s="37">
        <v>6</v>
      </c>
      <c r="H9" s="37">
        <v>1</v>
      </c>
      <c r="I9" s="37">
        <v>4</v>
      </c>
      <c r="J9" s="90">
        <v>7</v>
      </c>
      <c r="L9" t="s">
        <v>267</v>
      </c>
      <c r="M9" s="85">
        <f>KURT(B4:B123)</f>
        <v>-7.5087531931202989E-2</v>
      </c>
      <c r="N9" s="86">
        <f t="shared" ref="N9:U9" si="3">KURT(C4:C123)</f>
        <v>1.2245729768528379</v>
      </c>
      <c r="O9" s="86">
        <f t="shared" si="3"/>
        <v>-0.37097323594953835</v>
      </c>
      <c r="P9" s="86">
        <f t="shared" si="3"/>
        <v>0.79048099823017459</v>
      </c>
      <c r="Q9" s="86">
        <f t="shared" si="3"/>
        <v>-9.1985537444213339E-2</v>
      </c>
      <c r="R9" s="86">
        <f t="shared" si="3"/>
        <v>-0.42617618904263521</v>
      </c>
      <c r="S9" s="86">
        <f t="shared" si="3"/>
        <v>-0.92188768731537785</v>
      </c>
      <c r="T9" s="86">
        <f t="shared" si="3"/>
        <v>-0.24984145123189316</v>
      </c>
      <c r="U9" s="87">
        <f t="shared" si="3"/>
        <v>0.13488543363239947</v>
      </c>
    </row>
    <row r="10" spans="1:21" x14ac:dyDescent="0.35">
      <c r="A10">
        <v>7</v>
      </c>
      <c r="B10" s="123">
        <v>4</v>
      </c>
      <c r="C10" s="37">
        <v>8</v>
      </c>
      <c r="D10" s="37">
        <v>4</v>
      </c>
      <c r="E10" s="37">
        <v>2</v>
      </c>
      <c r="F10" s="37">
        <v>6</v>
      </c>
      <c r="G10" s="37">
        <v>4</v>
      </c>
      <c r="H10" s="37">
        <v>5</v>
      </c>
      <c r="I10" s="37">
        <v>4</v>
      </c>
      <c r="J10" s="90">
        <v>7</v>
      </c>
    </row>
    <row r="11" spans="1:21" x14ac:dyDescent="0.35">
      <c r="A11">
        <v>8</v>
      </c>
      <c r="B11" s="123">
        <v>4</v>
      </c>
      <c r="C11" s="37">
        <v>8</v>
      </c>
      <c r="D11" s="37">
        <v>3</v>
      </c>
      <c r="E11" s="37">
        <v>3</v>
      </c>
      <c r="F11" s="37">
        <v>7</v>
      </c>
      <c r="G11" s="37">
        <v>5</v>
      </c>
      <c r="H11" s="37">
        <v>4</v>
      </c>
      <c r="I11" s="37">
        <v>4</v>
      </c>
      <c r="J11" s="90">
        <v>7</v>
      </c>
      <c r="L11" t="s">
        <v>39</v>
      </c>
    </row>
    <row r="12" spans="1:21" x14ac:dyDescent="0.35">
      <c r="A12">
        <v>9</v>
      </c>
      <c r="B12" s="123">
        <v>2</v>
      </c>
      <c r="C12" s="37">
        <v>8</v>
      </c>
      <c r="D12" s="37">
        <v>2</v>
      </c>
      <c r="E12" s="37">
        <v>2</v>
      </c>
      <c r="F12" s="37">
        <v>7</v>
      </c>
      <c r="G12" s="37">
        <v>6</v>
      </c>
      <c r="H12" s="37">
        <v>1</v>
      </c>
      <c r="I12" s="37">
        <v>4</v>
      </c>
      <c r="J12" s="90">
        <v>7</v>
      </c>
    </row>
    <row r="13" spans="1:21" x14ac:dyDescent="0.35">
      <c r="A13">
        <v>10</v>
      </c>
      <c r="B13" s="123">
        <v>4</v>
      </c>
      <c r="C13" s="37">
        <v>8</v>
      </c>
      <c r="D13" s="37">
        <v>3</v>
      </c>
      <c r="E13" s="37">
        <v>4</v>
      </c>
      <c r="F13" s="37">
        <v>8</v>
      </c>
      <c r="G13" s="37">
        <v>7</v>
      </c>
      <c r="H13" s="37">
        <v>4</v>
      </c>
      <c r="I13" s="37">
        <v>4</v>
      </c>
      <c r="J13" s="90">
        <v>8</v>
      </c>
      <c r="M13" t="str">
        <f t="array" ref="M13:U13">B3:J3</f>
        <v>Expect</v>
      </c>
      <c r="N13" t="str">
        <v>Entertain</v>
      </c>
      <c r="O13" t="str">
        <v>Comm</v>
      </c>
      <c r="P13" t="str">
        <v>Expert</v>
      </c>
      <c r="Q13" t="str">
        <v>Motivate</v>
      </c>
      <c r="R13" t="str">
        <v>Caring</v>
      </c>
      <c r="S13" t="str">
        <v>Charisma</v>
      </c>
      <c r="T13" t="str">
        <v>Passion</v>
      </c>
      <c r="U13" t="str">
        <v>Friendly</v>
      </c>
    </row>
    <row r="14" spans="1:21" x14ac:dyDescent="0.35">
      <c r="A14">
        <v>11</v>
      </c>
      <c r="B14" s="123">
        <v>3</v>
      </c>
      <c r="C14" s="37">
        <v>10</v>
      </c>
      <c r="D14" s="37">
        <v>5</v>
      </c>
      <c r="E14" s="37">
        <v>4</v>
      </c>
      <c r="F14" s="37">
        <v>7</v>
      </c>
      <c r="G14" s="37">
        <v>8</v>
      </c>
      <c r="H14" s="37">
        <v>7</v>
      </c>
      <c r="I14" s="37">
        <v>6</v>
      </c>
      <c r="J14" s="90">
        <v>8</v>
      </c>
      <c r="L14" t="str">
        <f t="array" ref="L14:L22">TRANSPOSE(B3:J3)</f>
        <v>Expect</v>
      </c>
      <c r="M14" s="187" t="e">
        <f t="array" aca="1" ref="M14:U22" ca="1">CORR(B4:J123)</f>
        <v>#NAME?</v>
      </c>
      <c r="N14" s="188" t="e">
        <f ca="1"/>
        <v>#NAME?</v>
      </c>
      <c r="O14" s="188" t="e">
        <f ca="1"/>
        <v>#NAME?</v>
      </c>
      <c r="P14" s="188" t="e">
        <f ca="1"/>
        <v>#NAME?</v>
      </c>
      <c r="Q14" s="188" t="e">
        <f ca="1"/>
        <v>#NAME?</v>
      </c>
      <c r="R14" s="188" t="e">
        <f ca="1"/>
        <v>#NAME?</v>
      </c>
      <c r="S14" s="188" t="e">
        <f ca="1"/>
        <v>#NAME?</v>
      </c>
      <c r="T14" s="188" t="e">
        <f ca="1"/>
        <v>#NAME?</v>
      </c>
      <c r="U14" s="189" t="e">
        <f ca="1"/>
        <v>#NAME?</v>
      </c>
    </row>
    <row r="15" spans="1:21" x14ac:dyDescent="0.35">
      <c r="A15">
        <v>12</v>
      </c>
      <c r="B15" s="123">
        <v>1</v>
      </c>
      <c r="C15" s="37">
        <v>9</v>
      </c>
      <c r="D15" s="37">
        <v>2</v>
      </c>
      <c r="E15" s="37">
        <v>5</v>
      </c>
      <c r="F15" s="37">
        <v>9</v>
      </c>
      <c r="G15" s="37">
        <v>7</v>
      </c>
      <c r="H15" s="37">
        <v>5</v>
      </c>
      <c r="I15" s="37">
        <v>6</v>
      </c>
      <c r="J15" s="90">
        <v>9</v>
      </c>
      <c r="L15" t="str">
        <v>Entertain</v>
      </c>
      <c r="M15" s="83" t="e">
        <f ca="1"/>
        <v>#NAME?</v>
      </c>
      <c r="N15" s="37" t="e">
        <f ca="1"/>
        <v>#NAME?</v>
      </c>
      <c r="O15" s="37" t="e">
        <f ca="1"/>
        <v>#NAME?</v>
      </c>
      <c r="P15" s="37" t="e">
        <f ca="1"/>
        <v>#NAME?</v>
      </c>
      <c r="Q15" s="37" t="e">
        <f ca="1"/>
        <v>#NAME?</v>
      </c>
      <c r="R15" s="37" t="e">
        <f ca="1"/>
        <v>#NAME?</v>
      </c>
      <c r="S15" s="37" t="e">
        <f ca="1"/>
        <v>#NAME?</v>
      </c>
      <c r="T15" s="37" t="e">
        <f ca="1"/>
        <v>#NAME?</v>
      </c>
      <c r="U15" s="84" t="e">
        <f ca="1"/>
        <v>#NAME?</v>
      </c>
    </row>
    <row r="16" spans="1:21" x14ac:dyDescent="0.35">
      <c r="A16">
        <v>13</v>
      </c>
      <c r="B16" s="123">
        <v>5</v>
      </c>
      <c r="C16" s="37">
        <v>7</v>
      </c>
      <c r="D16" s="37">
        <v>2</v>
      </c>
      <c r="E16" s="37">
        <v>3</v>
      </c>
      <c r="F16" s="37">
        <v>6</v>
      </c>
      <c r="G16" s="37">
        <v>4</v>
      </c>
      <c r="H16" s="37">
        <v>2</v>
      </c>
      <c r="I16" s="37">
        <v>3</v>
      </c>
      <c r="J16" s="90">
        <v>6</v>
      </c>
      <c r="L16" t="str">
        <v>Comm</v>
      </c>
      <c r="M16" s="83" t="e">
        <f ca="1"/>
        <v>#NAME?</v>
      </c>
      <c r="N16" s="37" t="e">
        <f ca="1"/>
        <v>#NAME?</v>
      </c>
      <c r="O16" s="37" t="e">
        <f ca="1"/>
        <v>#NAME?</v>
      </c>
      <c r="P16" s="37" t="e">
        <f ca="1"/>
        <v>#NAME?</v>
      </c>
      <c r="Q16" s="37" t="e">
        <f ca="1"/>
        <v>#NAME?</v>
      </c>
      <c r="R16" s="37" t="e">
        <f ca="1"/>
        <v>#NAME?</v>
      </c>
      <c r="S16" s="37" t="e">
        <f ca="1"/>
        <v>#NAME?</v>
      </c>
      <c r="T16" s="37" t="e">
        <f ca="1"/>
        <v>#NAME?</v>
      </c>
      <c r="U16" s="84" t="e">
        <f ca="1"/>
        <v>#NAME?</v>
      </c>
    </row>
    <row r="17" spans="1:23" x14ac:dyDescent="0.35">
      <c r="A17">
        <v>14</v>
      </c>
      <c r="B17" s="123">
        <v>3</v>
      </c>
      <c r="C17" s="37">
        <v>7</v>
      </c>
      <c r="D17" s="37">
        <v>3</v>
      </c>
      <c r="E17" s="37">
        <v>4</v>
      </c>
      <c r="F17" s="37">
        <v>6</v>
      </c>
      <c r="G17" s="37">
        <v>7</v>
      </c>
      <c r="H17" s="37">
        <v>1</v>
      </c>
      <c r="I17" s="37">
        <v>3</v>
      </c>
      <c r="J17" s="90">
        <v>7</v>
      </c>
      <c r="L17" t="str">
        <v>Expert</v>
      </c>
      <c r="M17" s="83" t="e">
        <f ca="1"/>
        <v>#NAME?</v>
      </c>
      <c r="N17" s="37" t="e">
        <f ca="1"/>
        <v>#NAME?</v>
      </c>
      <c r="O17" s="37" t="e">
        <f ca="1"/>
        <v>#NAME?</v>
      </c>
      <c r="P17" s="37" t="e">
        <f ca="1"/>
        <v>#NAME?</v>
      </c>
      <c r="Q17" s="37" t="e">
        <f ca="1"/>
        <v>#NAME?</v>
      </c>
      <c r="R17" s="37" t="e">
        <f ca="1"/>
        <v>#NAME?</v>
      </c>
      <c r="S17" s="37" t="e">
        <f ca="1"/>
        <v>#NAME?</v>
      </c>
      <c r="T17" s="37" t="e">
        <f ca="1"/>
        <v>#NAME?</v>
      </c>
      <c r="U17" s="84" t="e">
        <f ca="1"/>
        <v>#NAME?</v>
      </c>
    </row>
    <row r="18" spans="1:23" x14ac:dyDescent="0.35">
      <c r="A18">
        <v>15</v>
      </c>
      <c r="B18" s="123">
        <v>2</v>
      </c>
      <c r="C18" s="37">
        <v>9</v>
      </c>
      <c r="D18" s="37">
        <v>6</v>
      </c>
      <c r="E18" s="37">
        <v>4</v>
      </c>
      <c r="F18" s="37">
        <v>6</v>
      </c>
      <c r="G18" s="37">
        <v>3</v>
      </c>
      <c r="H18" s="37">
        <v>8</v>
      </c>
      <c r="I18" s="37">
        <v>5</v>
      </c>
      <c r="J18" s="90">
        <v>7</v>
      </c>
      <c r="L18" t="str">
        <v>Motivate</v>
      </c>
      <c r="M18" s="83" t="e">
        <f ca="1"/>
        <v>#NAME?</v>
      </c>
      <c r="N18" s="37" t="e">
        <f ca="1"/>
        <v>#NAME?</v>
      </c>
      <c r="O18" s="37" t="e">
        <f ca="1"/>
        <v>#NAME?</v>
      </c>
      <c r="P18" s="37" t="e">
        <f ca="1"/>
        <v>#NAME?</v>
      </c>
      <c r="Q18" s="37" t="e">
        <f ca="1"/>
        <v>#NAME?</v>
      </c>
      <c r="R18" s="37" t="e">
        <f ca="1"/>
        <v>#NAME?</v>
      </c>
      <c r="S18" s="37" t="e">
        <f ca="1"/>
        <v>#NAME?</v>
      </c>
      <c r="T18" s="37" t="e">
        <f ca="1"/>
        <v>#NAME?</v>
      </c>
      <c r="U18" s="84" t="e">
        <f ca="1"/>
        <v>#NAME?</v>
      </c>
    </row>
    <row r="19" spans="1:23" x14ac:dyDescent="0.35">
      <c r="A19">
        <v>16</v>
      </c>
      <c r="B19" s="123">
        <v>7</v>
      </c>
      <c r="C19" s="37">
        <v>7</v>
      </c>
      <c r="D19" s="37">
        <v>2</v>
      </c>
      <c r="E19" s="37">
        <v>7</v>
      </c>
      <c r="F19" s="37">
        <v>6</v>
      </c>
      <c r="G19" s="37">
        <v>5</v>
      </c>
      <c r="H19" s="37">
        <v>1</v>
      </c>
      <c r="I19" s="37">
        <v>4</v>
      </c>
      <c r="J19" s="90">
        <v>7</v>
      </c>
      <c r="L19" t="str">
        <v>Caring</v>
      </c>
      <c r="M19" s="83" t="e">
        <f ca="1"/>
        <v>#NAME?</v>
      </c>
      <c r="N19" s="37" t="e">
        <f ca="1"/>
        <v>#NAME?</v>
      </c>
      <c r="O19" s="37" t="e">
        <f ca="1"/>
        <v>#NAME?</v>
      </c>
      <c r="P19" s="37" t="e">
        <f ca="1"/>
        <v>#NAME?</v>
      </c>
      <c r="Q19" s="37" t="e">
        <f ca="1"/>
        <v>#NAME?</v>
      </c>
      <c r="R19" s="37" t="e">
        <f ca="1"/>
        <v>#NAME?</v>
      </c>
      <c r="S19" s="37" t="e">
        <f ca="1"/>
        <v>#NAME?</v>
      </c>
      <c r="T19" s="37" t="e">
        <f ca="1"/>
        <v>#NAME?</v>
      </c>
      <c r="U19" s="84" t="e">
        <f ca="1"/>
        <v>#NAME?</v>
      </c>
    </row>
    <row r="20" spans="1:23" x14ac:dyDescent="0.35">
      <c r="A20">
        <v>17</v>
      </c>
      <c r="B20" s="123">
        <v>2</v>
      </c>
      <c r="C20" s="37">
        <v>8</v>
      </c>
      <c r="D20" s="37">
        <v>3</v>
      </c>
      <c r="E20" s="37">
        <v>2</v>
      </c>
      <c r="F20" s="37">
        <v>6</v>
      </c>
      <c r="G20" s="37">
        <v>7</v>
      </c>
      <c r="H20" s="37">
        <v>4</v>
      </c>
      <c r="I20" s="37">
        <v>5</v>
      </c>
      <c r="J20" s="90">
        <v>7</v>
      </c>
      <c r="L20" t="str">
        <v>Charisma</v>
      </c>
      <c r="M20" s="83" t="e">
        <f ca="1"/>
        <v>#NAME?</v>
      </c>
      <c r="N20" s="37" t="e">
        <f ca="1"/>
        <v>#NAME?</v>
      </c>
      <c r="O20" s="37" t="e">
        <f ca="1"/>
        <v>#NAME?</v>
      </c>
      <c r="P20" s="37" t="e">
        <f ca="1"/>
        <v>#NAME?</v>
      </c>
      <c r="Q20" s="37" t="e">
        <f ca="1"/>
        <v>#NAME?</v>
      </c>
      <c r="R20" s="37" t="e">
        <f ca="1"/>
        <v>#NAME?</v>
      </c>
      <c r="S20" s="37" t="e">
        <f ca="1"/>
        <v>#NAME?</v>
      </c>
      <c r="T20" s="37" t="e">
        <f ca="1"/>
        <v>#NAME?</v>
      </c>
      <c r="U20" s="84" t="e">
        <f ca="1"/>
        <v>#NAME?</v>
      </c>
    </row>
    <row r="21" spans="1:23" x14ac:dyDescent="0.35">
      <c r="A21">
        <v>18</v>
      </c>
      <c r="B21" s="123">
        <v>4</v>
      </c>
      <c r="C21" s="37">
        <v>8</v>
      </c>
      <c r="D21" s="37">
        <v>4</v>
      </c>
      <c r="E21" s="37">
        <v>2</v>
      </c>
      <c r="F21" s="37">
        <v>7</v>
      </c>
      <c r="G21" s="37">
        <v>8</v>
      </c>
      <c r="H21" s="37">
        <v>4</v>
      </c>
      <c r="I21" s="37">
        <v>5</v>
      </c>
      <c r="J21" s="90">
        <v>7</v>
      </c>
      <c r="L21" t="str">
        <v>Passion</v>
      </c>
      <c r="M21" s="83" t="e">
        <f ca="1"/>
        <v>#NAME?</v>
      </c>
      <c r="N21" s="37" t="e">
        <f ca="1"/>
        <v>#NAME?</v>
      </c>
      <c r="O21" s="37" t="e">
        <f ca="1"/>
        <v>#NAME?</v>
      </c>
      <c r="P21" s="37" t="e">
        <f ca="1"/>
        <v>#NAME?</v>
      </c>
      <c r="Q21" s="37" t="e">
        <f ca="1"/>
        <v>#NAME?</v>
      </c>
      <c r="R21" s="37" t="e">
        <f ca="1"/>
        <v>#NAME?</v>
      </c>
      <c r="S21" s="37" t="e">
        <f ca="1"/>
        <v>#NAME?</v>
      </c>
      <c r="T21" s="37" t="e">
        <f ca="1"/>
        <v>#NAME?</v>
      </c>
      <c r="U21" s="84" t="e">
        <f ca="1"/>
        <v>#NAME?</v>
      </c>
    </row>
    <row r="22" spans="1:23" x14ac:dyDescent="0.35">
      <c r="A22">
        <v>19</v>
      </c>
      <c r="B22" s="123">
        <v>2</v>
      </c>
      <c r="C22" s="37">
        <v>8</v>
      </c>
      <c r="D22" s="37">
        <v>2</v>
      </c>
      <c r="E22" s="37">
        <v>3</v>
      </c>
      <c r="F22" s="37">
        <v>5</v>
      </c>
      <c r="G22" s="37">
        <v>4</v>
      </c>
      <c r="H22" s="37">
        <v>6</v>
      </c>
      <c r="I22" s="37">
        <v>4</v>
      </c>
      <c r="J22" s="90">
        <v>9</v>
      </c>
      <c r="L22" t="str">
        <v>Friendly</v>
      </c>
      <c r="M22" s="85" t="e">
        <f ca="1"/>
        <v>#NAME?</v>
      </c>
      <c r="N22" s="86" t="e">
        <f ca="1"/>
        <v>#NAME?</v>
      </c>
      <c r="O22" s="86" t="e">
        <f ca="1"/>
        <v>#NAME?</v>
      </c>
      <c r="P22" s="86" t="e">
        <f ca="1"/>
        <v>#NAME?</v>
      </c>
      <c r="Q22" s="86" t="e">
        <f ca="1"/>
        <v>#NAME?</v>
      </c>
      <c r="R22" s="86" t="e">
        <f ca="1"/>
        <v>#NAME?</v>
      </c>
      <c r="S22" s="86" t="e">
        <f ca="1"/>
        <v>#NAME?</v>
      </c>
      <c r="T22" s="86" t="e">
        <f ca="1"/>
        <v>#NAME?</v>
      </c>
      <c r="U22" s="87" t="e">
        <f ca="1"/>
        <v>#NAME?</v>
      </c>
    </row>
    <row r="23" spans="1:23" x14ac:dyDescent="0.35">
      <c r="A23">
        <v>20</v>
      </c>
      <c r="B23" s="123">
        <v>3</v>
      </c>
      <c r="C23" s="37">
        <v>8</v>
      </c>
      <c r="D23" s="37">
        <v>6</v>
      </c>
      <c r="E23" s="37">
        <v>4</v>
      </c>
      <c r="F23" s="37">
        <v>9</v>
      </c>
      <c r="G23" s="37">
        <v>9</v>
      </c>
      <c r="H23" s="37">
        <v>8</v>
      </c>
      <c r="I23" s="37">
        <v>5</v>
      </c>
      <c r="J23" s="90">
        <v>7</v>
      </c>
      <c r="M23" t="e">
        <f ca="1">SUMSQ(M14:M22)-1</f>
        <v>#NAME?</v>
      </c>
      <c r="N23" t="e">
        <f t="shared" ref="N23:U23" ca="1" si="4">SUMSQ(N14:N22)-1</f>
        <v>#NAME?</v>
      </c>
      <c r="O23" t="e">
        <f t="shared" ca="1" si="4"/>
        <v>#NAME?</v>
      </c>
      <c r="P23" t="e">
        <f t="shared" ca="1" si="4"/>
        <v>#NAME?</v>
      </c>
      <c r="Q23" t="e">
        <f t="shared" ca="1" si="4"/>
        <v>#NAME?</v>
      </c>
      <c r="R23" t="e">
        <f t="shared" ca="1" si="4"/>
        <v>#NAME?</v>
      </c>
      <c r="S23" t="e">
        <f t="shared" ca="1" si="4"/>
        <v>#NAME?</v>
      </c>
      <c r="T23" t="e">
        <f t="shared" ca="1" si="4"/>
        <v>#NAME?</v>
      </c>
      <c r="U23" t="e">
        <f t="shared" ca="1" si="4"/>
        <v>#NAME?</v>
      </c>
      <c r="V23" t="e">
        <f ca="1">SUM(M23:U23)</f>
        <v>#NAME?</v>
      </c>
    </row>
    <row r="24" spans="1:23" x14ac:dyDescent="0.35">
      <c r="A24">
        <v>21</v>
      </c>
      <c r="B24" s="123">
        <v>5</v>
      </c>
      <c r="C24" s="37">
        <v>9</v>
      </c>
      <c r="D24" s="37">
        <v>3</v>
      </c>
      <c r="E24" s="37">
        <v>5</v>
      </c>
      <c r="F24" s="37">
        <v>6</v>
      </c>
      <c r="G24" s="37">
        <v>3</v>
      </c>
      <c r="H24" s="37">
        <v>3</v>
      </c>
      <c r="I24" s="37">
        <v>6</v>
      </c>
      <c r="J24" s="90">
        <v>8</v>
      </c>
    </row>
    <row r="25" spans="1:23" x14ac:dyDescent="0.35">
      <c r="A25">
        <v>22</v>
      </c>
      <c r="B25" s="123">
        <v>5</v>
      </c>
      <c r="C25" s="37">
        <v>8</v>
      </c>
      <c r="D25" s="37">
        <v>5</v>
      </c>
      <c r="E25" s="37">
        <v>3</v>
      </c>
      <c r="F25" s="37">
        <v>6</v>
      </c>
      <c r="G25" s="37">
        <v>4</v>
      </c>
      <c r="H25" s="37">
        <v>4</v>
      </c>
      <c r="I25" s="37">
        <v>3</v>
      </c>
      <c r="J25" s="90">
        <v>7</v>
      </c>
      <c r="L25" t="s">
        <v>475</v>
      </c>
    </row>
    <row r="26" spans="1:23" x14ac:dyDescent="0.35">
      <c r="A26">
        <v>23</v>
      </c>
      <c r="B26" s="123">
        <v>4</v>
      </c>
      <c r="C26" s="37">
        <v>9</v>
      </c>
      <c r="D26" s="37">
        <v>4</v>
      </c>
      <c r="E26" s="37">
        <v>3</v>
      </c>
      <c r="F26" s="37">
        <v>7</v>
      </c>
      <c r="G26" s="37">
        <v>7</v>
      </c>
      <c r="H26" s="37">
        <v>7</v>
      </c>
      <c r="I26" s="37">
        <v>5</v>
      </c>
      <c r="J26" s="90">
        <v>7</v>
      </c>
    </row>
    <row r="27" spans="1:23" x14ac:dyDescent="0.35">
      <c r="A27">
        <v>24</v>
      </c>
      <c r="B27" s="123">
        <v>4</v>
      </c>
      <c r="C27" s="37">
        <v>8</v>
      </c>
      <c r="D27" s="37">
        <v>3</v>
      </c>
      <c r="E27" s="37">
        <v>4</v>
      </c>
      <c r="F27" s="37">
        <v>6</v>
      </c>
      <c r="G27" s="37">
        <v>5</v>
      </c>
      <c r="H27" s="37">
        <v>7</v>
      </c>
      <c r="I27" s="37">
        <v>4</v>
      </c>
      <c r="J27" s="90">
        <v>8</v>
      </c>
      <c r="M27" t="str">
        <f t="array" ref="M27:U27">B3:J3</f>
        <v>Expect</v>
      </c>
      <c r="N27" t="str">
        <v>Entertain</v>
      </c>
      <c r="O27" t="str">
        <v>Comm</v>
      </c>
      <c r="P27" t="str">
        <v>Expert</v>
      </c>
      <c r="Q27" t="str">
        <v>Motivate</v>
      </c>
      <c r="R27" t="str">
        <v>Caring</v>
      </c>
      <c r="S27" t="str">
        <v>Charisma</v>
      </c>
      <c r="T27" t="str">
        <v>Passion</v>
      </c>
      <c r="U27" t="str">
        <v>Friendly</v>
      </c>
      <c r="W27" t="s">
        <v>476</v>
      </c>
    </row>
    <row r="28" spans="1:23" x14ac:dyDescent="0.35">
      <c r="A28">
        <v>25</v>
      </c>
      <c r="B28" s="123">
        <v>2</v>
      </c>
      <c r="C28" s="37">
        <v>8</v>
      </c>
      <c r="D28" s="37">
        <v>2</v>
      </c>
      <c r="E28" s="37">
        <v>5</v>
      </c>
      <c r="F28" s="37">
        <v>6</v>
      </c>
      <c r="G28" s="37">
        <v>8</v>
      </c>
      <c r="H28" s="37">
        <v>4</v>
      </c>
      <c r="I28" s="37">
        <v>5</v>
      </c>
      <c r="J28" s="90">
        <v>8</v>
      </c>
      <c r="L28" t="str">
        <f t="array" ref="L28:L36">TRANSPOSE(B3:J3)</f>
        <v>Expect</v>
      </c>
      <c r="M28" s="187" t="e">
        <f t="array" aca="1" ref="M28:U36" ca="1">MINVERSE(M14:U22)</f>
        <v>#NAME?</v>
      </c>
      <c r="N28" s="188" t="e">
        <f ca="1"/>
        <v>#NAME?</v>
      </c>
      <c r="O28" s="188" t="e">
        <f ca="1"/>
        <v>#NAME?</v>
      </c>
      <c r="P28" s="188" t="e">
        <f ca="1"/>
        <v>#NAME?</v>
      </c>
      <c r="Q28" s="188" t="e">
        <f ca="1"/>
        <v>#NAME?</v>
      </c>
      <c r="R28" s="188" t="e">
        <f ca="1"/>
        <v>#NAME?</v>
      </c>
      <c r="S28" s="188" t="e">
        <f ca="1"/>
        <v>#NAME?</v>
      </c>
      <c r="T28" s="188" t="e">
        <f ca="1"/>
        <v>#NAME?</v>
      </c>
      <c r="U28" s="189" t="e">
        <f ca="1"/>
        <v>#NAME?</v>
      </c>
      <c r="W28" s="190" t="e">
        <f t="array" aca="1" ref="W28:W36" ca="1">SQRT(DIAG(M28:U36))</f>
        <v>#NAME?</v>
      </c>
    </row>
    <row r="29" spans="1:23" x14ac:dyDescent="0.35">
      <c r="A29">
        <v>26</v>
      </c>
      <c r="B29" s="123">
        <v>4</v>
      </c>
      <c r="C29" s="37">
        <v>8</v>
      </c>
      <c r="D29" s="37">
        <v>6</v>
      </c>
      <c r="E29" s="37">
        <v>5</v>
      </c>
      <c r="F29" s="37">
        <v>8</v>
      </c>
      <c r="G29" s="37">
        <v>7</v>
      </c>
      <c r="H29" s="37">
        <v>9</v>
      </c>
      <c r="I29" s="37">
        <v>6</v>
      </c>
      <c r="J29" s="90">
        <v>7</v>
      </c>
      <c r="L29" t="str">
        <v>Entertain</v>
      </c>
      <c r="M29" s="83" t="e">
        <f ca="1"/>
        <v>#NAME?</v>
      </c>
      <c r="N29" s="37" t="e">
        <f ca="1"/>
        <v>#NAME?</v>
      </c>
      <c r="O29" s="37" t="e">
        <f ca="1"/>
        <v>#NAME?</v>
      </c>
      <c r="P29" s="37" t="e">
        <f ca="1"/>
        <v>#NAME?</v>
      </c>
      <c r="Q29" s="37" t="e">
        <f ca="1"/>
        <v>#NAME?</v>
      </c>
      <c r="R29" s="37" t="e">
        <f ca="1"/>
        <v>#NAME?</v>
      </c>
      <c r="S29" s="37" t="e">
        <f ca="1"/>
        <v>#NAME?</v>
      </c>
      <c r="T29" s="37" t="e">
        <f ca="1"/>
        <v>#NAME?</v>
      </c>
      <c r="U29" s="84" t="e">
        <f ca="1"/>
        <v>#NAME?</v>
      </c>
      <c r="W29" s="98" t="e">
        <f ca="1"/>
        <v>#NAME?</v>
      </c>
    </row>
    <row r="30" spans="1:23" x14ac:dyDescent="0.35">
      <c r="A30">
        <v>27</v>
      </c>
      <c r="B30" s="123">
        <v>2</v>
      </c>
      <c r="C30" s="37">
        <v>8</v>
      </c>
      <c r="D30" s="37">
        <v>3</v>
      </c>
      <c r="E30" s="37">
        <v>3</v>
      </c>
      <c r="F30" s="37">
        <v>7</v>
      </c>
      <c r="G30" s="37">
        <v>5</v>
      </c>
      <c r="H30" s="37">
        <v>5</v>
      </c>
      <c r="I30" s="37">
        <v>5</v>
      </c>
      <c r="J30" s="90">
        <v>7</v>
      </c>
      <c r="L30" t="str">
        <v>Comm</v>
      </c>
      <c r="M30" s="83" t="e">
        <f ca="1"/>
        <v>#NAME?</v>
      </c>
      <c r="N30" s="37" t="e">
        <f ca="1"/>
        <v>#NAME?</v>
      </c>
      <c r="O30" s="37" t="e">
        <f ca="1"/>
        <v>#NAME?</v>
      </c>
      <c r="P30" s="37" t="e">
        <f ca="1"/>
        <v>#NAME?</v>
      </c>
      <c r="Q30" s="37" t="e">
        <f ca="1"/>
        <v>#NAME?</v>
      </c>
      <c r="R30" s="37" t="e">
        <f ca="1"/>
        <v>#NAME?</v>
      </c>
      <c r="S30" s="37" t="e">
        <f ca="1"/>
        <v>#NAME?</v>
      </c>
      <c r="T30" s="37" t="e">
        <f ca="1"/>
        <v>#NAME?</v>
      </c>
      <c r="U30" s="84" t="e">
        <f ca="1"/>
        <v>#NAME?</v>
      </c>
      <c r="W30" s="98" t="e">
        <f ca="1"/>
        <v>#NAME?</v>
      </c>
    </row>
    <row r="31" spans="1:23" x14ac:dyDescent="0.35">
      <c r="A31">
        <v>28</v>
      </c>
      <c r="B31" s="123">
        <v>2</v>
      </c>
      <c r="C31" s="37">
        <v>8</v>
      </c>
      <c r="D31" s="37">
        <v>1</v>
      </c>
      <c r="E31" s="37">
        <v>5</v>
      </c>
      <c r="F31" s="37">
        <v>6</v>
      </c>
      <c r="G31" s="37">
        <v>8</v>
      </c>
      <c r="H31" s="37">
        <v>7</v>
      </c>
      <c r="I31" s="37">
        <v>4</v>
      </c>
      <c r="J31" s="90">
        <v>8</v>
      </c>
      <c r="L31" t="str">
        <v>Expert</v>
      </c>
      <c r="M31" s="83" t="e">
        <f ca="1"/>
        <v>#NAME?</v>
      </c>
      <c r="N31" s="37" t="e">
        <f ca="1"/>
        <v>#NAME?</v>
      </c>
      <c r="O31" s="37" t="e">
        <f ca="1"/>
        <v>#NAME?</v>
      </c>
      <c r="P31" s="37" t="e">
        <f ca="1"/>
        <v>#NAME?</v>
      </c>
      <c r="Q31" s="37" t="e">
        <f ca="1"/>
        <v>#NAME?</v>
      </c>
      <c r="R31" s="37" t="e">
        <f ca="1"/>
        <v>#NAME?</v>
      </c>
      <c r="S31" s="37" t="e">
        <f ca="1"/>
        <v>#NAME?</v>
      </c>
      <c r="T31" s="37" t="e">
        <f ca="1"/>
        <v>#NAME?</v>
      </c>
      <c r="U31" s="84" t="e">
        <f ca="1"/>
        <v>#NAME?</v>
      </c>
      <c r="W31" s="98" t="e">
        <f ca="1"/>
        <v>#NAME?</v>
      </c>
    </row>
    <row r="32" spans="1:23" x14ac:dyDescent="0.35">
      <c r="A32">
        <v>29</v>
      </c>
      <c r="B32" s="123">
        <v>5</v>
      </c>
      <c r="C32" s="37">
        <v>8</v>
      </c>
      <c r="D32" s="37">
        <v>3</v>
      </c>
      <c r="E32" s="37">
        <v>4</v>
      </c>
      <c r="F32" s="37">
        <v>7</v>
      </c>
      <c r="G32" s="37">
        <v>7</v>
      </c>
      <c r="H32" s="37">
        <v>1</v>
      </c>
      <c r="I32" s="37">
        <v>5</v>
      </c>
      <c r="J32" s="90">
        <v>7</v>
      </c>
      <c r="L32" t="str">
        <v>Motivate</v>
      </c>
      <c r="M32" s="83" t="e">
        <f ca="1"/>
        <v>#NAME?</v>
      </c>
      <c r="N32" s="37" t="e">
        <f ca="1"/>
        <v>#NAME?</v>
      </c>
      <c r="O32" s="37" t="e">
        <f ca="1"/>
        <v>#NAME?</v>
      </c>
      <c r="P32" s="37" t="e">
        <f ca="1"/>
        <v>#NAME?</v>
      </c>
      <c r="Q32" s="37" t="e">
        <f ca="1"/>
        <v>#NAME?</v>
      </c>
      <c r="R32" s="37" t="e">
        <f ca="1"/>
        <v>#NAME?</v>
      </c>
      <c r="S32" s="37" t="e">
        <f ca="1"/>
        <v>#NAME?</v>
      </c>
      <c r="T32" s="37" t="e">
        <f ca="1"/>
        <v>#NAME?</v>
      </c>
      <c r="U32" s="84" t="e">
        <f ca="1"/>
        <v>#NAME?</v>
      </c>
      <c r="W32" s="98" t="e">
        <f ca="1"/>
        <v>#NAME?</v>
      </c>
    </row>
    <row r="33" spans="1:23" x14ac:dyDescent="0.35">
      <c r="A33">
        <v>30</v>
      </c>
      <c r="B33" s="123">
        <v>2</v>
      </c>
      <c r="C33" s="37">
        <v>8</v>
      </c>
      <c r="D33" s="37">
        <v>2</v>
      </c>
      <c r="E33" s="37">
        <v>4</v>
      </c>
      <c r="F33" s="37">
        <v>6</v>
      </c>
      <c r="G33" s="37">
        <v>5</v>
      </c>
      <c r="H33" s="37">
        <v>5</v>
      </c>
      <c r="I33" s="37">
        <v>5</v>
      </c>
      <c r="J33" s="90">
        <v>8</v>
      </c>
      <c r="L33" t="str">
        <v>Caring</v>
      </c>
      <c r="M33" s="83" t="e">
        <f ca="1"/>
        <v>#NAME?</v>
      </c>
      <c r="N33" s="37" t="e">
        <f ca="1"/>
        <v>#NAME?</v>
      </c>
      <c r="O33" s="37" t="e">
        <f ca="1"/>
        <v>#NAME?</v>
      </c>
      <c r="P33" s="37" t="e">
        <f ca="1"/>
        <v>#NAME?</v>
      </c>
      <c r="Q33" s="37" t="e">
        <f ca="1"/>
        <v>#NAME?</v>
      </c>
      <c r="R33" s="37" t="e">
        <f ca="1"/>
        <v>#NAME?</v>
      </c>
      <c r="S33" s="37" t="e">
        <f ca="1"/>
        <v>#NAME?</v>
      </c>
      <c r="T33" s="37" t="e">
        <f ca="1"/>
        <v>#NAME?</v>
      </c>
      <c r="U33" s="84" t="e">
        <f ca="1"/>
        <v>#NAME?</v>
      </c>
      <c r="W33" s="98" t="e">
        <f ca="1"/>
        <v>#NAME?</v>
      </c>
    </row>
    <row r="34" spans="1:23" x14ac:dyDescent="0.35">
      <c r="A34">
        <v>31</v>
      </c>
      <c r="B34" s="123">
        <v>6</v>
      </c>
      <c r="C34" s="37">
        <v>8</v>
      </c>
      <c r="D34" s="37">
        <v>3</v>
      </c>
      <c r="E34" s="37">
        <v>1</v>
      </c>
      <c r="F34" s="37">
        <v>6</v>
      </c>
      <c r="G34" s="37">
        <v>8</v>
      </c>
      <c r="H34" s="37">
        <v>4</v>
      </c>
      <c r="I34" s="37">
        <v>4</v>
      </c>
      <c r="J34" s="90">
        <v>6</v>
      </c>
      <c r="L34" t="str">
        <v>Charisma</v>
      </c>
      <c r="M34" s="83" t="e">
        <f ca="1"/>
        <v>#NAME?</v>
      </c>
      <c r="N34" s="37" t="e">
        <f ca="1"/>
        <v>#NAME?</v>
      </c>
      <c r="O34" s="37" t="e">
        <f ca="1"/>
        <v>#NAME?</v>
      </c>
      <c r="P34" s="37" t="e">
        <f ca="1"/>
        <v>#NAME?</v>
      </c>
      <c r="Q34" s="37" t="e">
        <f ca="1"/>
        <v>#NAME?</v>
      </c>
      <c r="R34" s="37" t="e">
        <f ca="1"/>
        <v>#NAME?</v>
      </c>
      <c r="S34" s="37" t="e">
        <f ca="1"/>
        <v>#NAME?</v>
      </c>
      <c r="T34" s="37" t="e">
        <f ca="1"/>
        <v>#NAME?</v>
      </c>
      <c r="U34" s="84" t="e">
        <f ca="1"/>
        <v>#NAME?</v>
      </c>
      <c r="W34" s="98" t="e">
        <f ca="1"/>
        <v>#NAME?</v>
      </c>
    </row>
    <row r="35" spans="1:23" x14ac:dyDescent="0.35">
      <c r="A35">
        <v>32</v>
      </c>
      <c r="B35" s="123">
        <v>2</v>
      </c>
      <c r="C35" s="37">
        <v>8</v>
      </c>
      <c r="D35" s="37">
        <v>1</v>
      </c>
      <c r="E35" s="37">
        <v>3</v>
      </c>
      <c r="F35" s="37">
        <v>7</v>
      </c>
      <c r="G35" s="37">
        <v>7</v>
      </c>
      <c r="H35" s="37">
        <v>4</v>
      </c>
      <c r="I35" s="37">
        <v>6</v>
      </c>
      <c r="J35" s="90">
        <v>7</v>
      </c>
      <c r="L35" t="str">
        <v>Passion</v>
      </c>
      <c r="M35" s="83" t="e">
        <f ca="1"/>
        <v>#NAME?</v>
      </c>
      <c r="N35" s="37" t="e">
        <f ca="1"/>
        <v>#NAME?</v>
      </c>
      <c r="O35" s="37" t="e">
        <f ca="1"/>
        <v>#NAME?</v>
      </c>
      <c r="P35" s="37" t="e">
        <f ca="1"/>
        <v>#NAME?</v>
      </c>
      <c r="Q35" s="37" t="e">
        <f ca="1"/>
        <v>#NAME?</v>
      </c>
      <c r="R35" s="37" t="e">
        <f ca="1"/>
        <v>#NAME?</v>
      </c>
      <c r="S35" s="37" t="e">
        <f ca="1"/>
        <v>#NAME?</v>
      </c>
      <c r="T35" s="37" t="e">
        <f ca="1"/>
        <v>#NAME?</v>
      </c>
      <c r="U35" s="84" t="e">
        <f ca="1"/>
        <v>#NAME?</v>
      </c>
      <c r="W35" s="98" t="e">
        <f ca="1"/>
        <v>#NAME?</v>
      </c>
    </row>
    <row r="36" spans="1:23" x14ac:dyDescent="0.35">
      <c r="A36">
        <v>33</v>
      </c>
      <c r="B36" s="123">
        <v>4</v>
      </c>
      <c r="C36" s="37">
        <v>8</v>
      </c>
      <c r="D36" s="37">
        <v>2</v>
      </c>
      <c r="E36" s="37">
        <v>4</v>
      </c>
      <c r="F36" s="37">
        <v>6</v>
      </c>
      <c r="G36" s="37">
        <v>6</v>
      </c>
      <c r="H36" s="37">
        <v>1</v>
      </c>
      <c r="I36" s="37">
        <v>4</v>
      </c>
      <c r="J36" s="90">
        <v>6</v>
      </c>
      <c r="L36" t="str">
        <v>Friendly</v>
      </c>
      <c r="M36" s="85" t="e">
        <f ca="1"/>
        <v>#NAME?</v>
      </c>
      <c r="N36" s="86" t="e">
        <f ca="1"/>
        <v>#NAME?</v>
      </c>
      <c r="O36" s="86" t="e">
        <f ca="1"/>
        <v>#NAME?</v>
      </c>
      <c r="P36" s="86" t="e">
        <f ca="1"/>
        <v>#NAME?</v>
      </c>
      <c r="Q36" s="86" t="e">
        <f ca="1"/>
        <v>#NAME?</v>
      </c>
      <c r="R36" s="86" t="e">
        <f ca="1"/>
        <v>#NAME?</v>
      </c>
      <c r="S36" s="86" t="e">
        <f ca="1"/>
        <v>#NAME?</v>
      </c>
      <c r="T36" s="86" t="e">
        <f ca="1"/>
        <v>#NAME?</v>
      </c>
      <c r="U36" s="87" t="e">
        <f ca="1"/>
        <v>#NAME?</v>
      </c>
      <c r="W36" s="99" t="e">
        <f ca="1"/>
        <v>#NAME?</v>
      </c>
    </row>
    <row r="37" spans="1:23" x14ac:dyDescent="0.35">
      <c r="A37">
        <v>34</v>
      </c>
      <c r="B37" s="123">
        <v>3</v>
      </c>
      <c r="C37" s="37">
        <v>9</v>
      </c>
      <c r="D37" s="37">
        <v>6</v>
      </c>
      <c r="E37" s="37">
        <v>3</v>
      </c>
      <c r="F37" s="37">
        <v>6</v>
      </c>
      <c r="G37" s="37">
        <v>5</v>
      </c>
      <c r="H37" s="37">
        <v>9</v>
      </c>
      <c r="I37" s="37">
        <v>5</v>
      </c>
      <c r="J37" s="90">
        <v>8</v>
      </c>
    </row>
    <row r="38" spans="1:23" x14ac:dyDescent="0.35">
      <c r="A38">
        <v>35</v>
      </c>
      <c r="B38" s="123">
        <v>2</v>
      </c>
      <c r="C38" s="37">
        <v>8</v>
      </c>
      <c r="D38" s="37">
        <v>2</v>
      </c>
      <c r="E38" s="37">
        <v>3</v>
      </c>
      <c r="F38" s="37">
        <v>8</v>
      </c>
      <c r="G38" s="37">
        <v>9</v>
      </c>
      <c r="H38" s="37">
        <v>3</v>
      </c>
      <c r="I38" s="37">
        <v>5</v>
      </c>
      <c r="J38" s="90">
        <v>7</v>
      </c>
      <c r="L38" t="s">
        <v>477</v>
      </c>
    </row>
    <row r="39" spans="1:23" x14ac:dyDescent="0.35">
      <c r="A39">
        <v>36</v>
      </c>
      <c r="B39" s="123">
        <v>2</v>
      </c>
      <c r="C39" s="37">
        <v>8</v>
      </c>
      <c r="D39" s="37">
        <v>2</v>
      </c>
      <c r="E39" s="37">
        <v>3</v>
      </c>
      <c r="F39" s="37">
        <v>6</v>
      </c>
      <c r="G39" s="37">
        <v>5</v>
      </c>
      <c r="H39" s="37">
        <v>3</v>
      </c>
      <c r="I39" s="37">
        <v>5</v>
      </c>
      <c r="J39" s="90">
        <v>7</v>
      </c>
    </row>
    <row r="40" spans="1:23" x14ac:dyDescent="0.35">
      <c r="A40">
        <v>37</v>
      </c>
      <c r="B40" s="123">
        <v>2</v>
      </c>
      <c r="C40" s="37">
        <v>8</v>
      </c>
      <c r="D40" s="37">
        <v>4</v>
      </c>
      <c r="E40" s="37">
        <v>2</v>
      </c>
      <c r="F40" s="37">
        <v>7</v>
      </c>
      <c r="G40" s="37">
        <v>7</v>
      </c>
      <c r="H40" s="37">
        <v>5</v>
      </c>
      <c r="I40" s="37">
        <v>5</v>
      </c>
      <c r="J40" s="90">
        <v>7</v>
      </c>
      <c r="M40" t="str">
        <f t="array" ref="M40:U40">B3:J3</f>
        <v>Expect</v>
      </c>
      <c r="N40" t="str">
        <v>Entertain</v>
      </c>
      <c r="O40" t="str">
        <v>Comm</v>
      </c>
      <c r="P40" t="str">
        <v>Expert</v>
      </c>
      <c r="Q40" t="str">
        <v>Motivate</v>
      </c>
      <c r="R40" t="str">
        <v>Caring</v>
      </c>
      <c r="S40" t="str">
        <v>Charisma</v>
      </c>
      <c r="T40" t="str">
        <v>Passion</v>
      </c>
      <c r="U40" t="str">
        <v>Friendly</v>
      </c>
    </row>
    <row r="41" spans="1:23" x14ac:dyDescent="0.35">
      <c r="A41">
        <v>38</v>
      </c>
      <c r="B41" s="123">
        <v>5</v>
      </c>
      <c r="C41" s="37">
        <v>8</v>
      </c>
      <c r="D41" s="37">
        <v>5</v>
      </c>
      <c r="E41" s="37">
        <v>4</v>
      </c>
      <c r="F41" s="37">
        <v>7</v>
      </c>
      <c r="G41" s="37">
        <v>7</v>
      </c>
      <c r="H41" s="37">
        <v>7</v>
      </c>
      <c r="I41" s="37">
        <v>4</v>
      </c>
      <c r="J41" s="90">
        <v>7</v>
      </c>
      <c r="L41" t="str">
        <f t="array" ref="L41:L49">TRANSPOSE(B3:J3)</f>
        <v>Expect</v>
      </c>
      <c r="M41" s="187" t="e">
        <f t="array" aca="1" ref="M41:U49" ca="1">-M28:U36/MMULT(W28:W36,TRANSPOSE(W28:W36))+2*Identity()</f>
        <v>#NAME?</v>
      </c>
      <c r="N41" s="188" t="e">
        <f ca="1"/>
        <v>#NAME?</v>
      </c>
      <c r="O41" s="188" t="e">
        <f ca="1"/>
        <v>#NAME?</v>
      </c>
      <c r="P41" s="188" t="e">
        <f ca="1"/>
        <v>#NAME?</v>
      </c>
      <c r="Q41" s="188" t="e">
        <f ca="1"/>
        <v>#NAME?</v>
      </c>
      <c r="R41" s="188" t="e">
        <f ca="1"/>
        <v>#NAME?</v>
      </c>
      <c r="S41" s="188" t="e">
        <f ca="1"/>
        <v>#NAME?</v>
      </c>
      <c r="T41" s="188" t="e">
        <f ca="1"/>
        <v>#NAME?</v>
      </c>
      <c r="U41" s="189" t="e">
        <f ca="1"/>
        <v>#NAME?</v>
      </c>
    </row>
    <row r="42" spans="1:23" x14ac:dyDescent="0.35">
      <c r="A42">
        <v>39</v>
      </c>
      <c r="B42" s="123">
        <v>1</v>
      </c>
      <c r="C42" s="37">
        <v>8</v>
      </c>
      <c r="D42" s="37">
        <v>3</v>
      </c>
      <c r="E42" s="37">
        <v>2</v>
      </c>
      <c r="F42" s="37">
        <v>7</v>
      </c>
      <c r="G42" s="37">
        <v>8</v>
      </c>
      <c r="H42" s="37">
        <v>4</v>
      </c>
      <c r="I42" s="37">
        <v>5</v>
      </c>
      <c r="J42" s="90">
        <v>8</v>
      </c>
      <c r="L42" t="str">
        <v>Entertain</v>
      </c>
      <c r="M42" s="83" t="e">
        <f ca="1"/>
        <v>#NAME?</v>
      </c>
      <c r="N42" s="37" t="e">
        <f ca="1"/>
        <v>#NAME?</v>
      </c>
      <c r="O42" s="37" t="e">
        <f ca="1"/>
        <v>#NAME?</v>
      </c>
      <c r="P42" s="37" t="e">
        <f ca="1"/>
        <v>#NAME?</v>
      </c>
      <c r="Q42" s="37" t="e">
        <f ca="1"/>
        <v>#NAME?</v>
      </c>
      <c r="R42" s="37" t="e">
        <f ca="1"/>
        <v>#NAME?</v>
      </c>
      <c r="S42" s="37" t="e">
        <f ca="1"/>
        <v>#NAME?</v>
      </c>
      <c r="T42" s="37" t="e">
        <f ca="1"/>
        <v>#NAME?</v>
      </c>
      <c r="U42" s="84" t="e">
        <f ca="1"/>
        <v>#NAME?</v>
      </c>
    </row>
    <row r="43" spans="1:23" x14ac:dyDescent="0.35">
      <c r="A43">
        <v>40</v>
      </c>
      <c r="B43" s="123">
        <v>6</v>
      </c>
      <c r="C43" s="37">
        <v>8</v>
      </c>
      <c r="D43" s="37">
        <v>3</v>
      </c>
      <c r="E43" s="37">
        <v>3</v>
      </c>
      <c r="F43" s="37">
        <v>4</v>
      </c>
      <c r="G43" s="37">
        <v>6</v>
      </c>
      <c r="H43" s="37">
        <v>5</v>
      </c>
      <c r="I43" s="37">
        <v>5</v>
      </c>
      <c r="J43" s="90">
        <v>7</v>
      </c>
      <c r="L43" t="str">
        <v>Comm</v>
      </c>
      <c r="M43" s="83" t="e">
        <f ca="1"/>
        <v>#NAME?</v>
      </c>
      <c r="N43" s="37" t="e">
        <f ca="1"/>
        <v>#NAME?</v>
      </c>
      <c r="O43" s="37" t="e">
        <f ca="1"/>
        <v>#NAME?</v>
      </c>
      <c r="P43" s="37" t="e">
        <f ca="1"/>
        <v>#NAME?</v>
      </c>
      <c r="Q43" s="37" t="e">
        <f ca="1"/>
        <v>#NAME?</v>
      </c>
      <c r="R43" s="37" t="e">
        <f ca="1"/>
        <v>#NAME?</v>
      </c>
      <c r="S43" s="37" t="e">
        <f ca="1"/>
        <v>#NAME?</v>
      </c>
      <c r="T43" s="37" t="e">
        <f ca="1"/>
        <v>#NAME?</v>
      </c>
      <c r="U43" s="84" t="e">
        <f ca="1"/>
        <v>#NAME?</v>
      </c>
    </row>
    <row r="44" spans="1:23" x14ac:dyDescent="0.35">
      <c r="A44">
        <v>41</v>
      </c>
      <c r="B44" s="123">
        <v>4</v>
      </c>
      <c r="C44" s="37">
        <v>8</v>
      </c>
      <c r="D44" s="37">
        <v>3</v>
      </c>
      <c r="E44" s="37">
        <v>3</v>
      </c>
      <c r="F44" s="37">
        <v>9</v>
      </c>
      <c r="G44" s="37">
        <v>6</v>
      </c>
      <c r="H44" s="37">
        <v>4</v>
      </c>
      <c r="I44" s="37">
        <v>4</v>
      </c>
      <c r="J44" s="90">
        <v>7</v>
      </c>
      <c r="L44" t="str">
        <v>Expert</v>
      </c>
      <c r="M44" s="83" t="e">
        <f ca="1"/>
        <v>#NAME?</v>
      </c>
      <c r="N44" s="37" t="e">
        <f ca="1"/>
        <v>#NAME?</v>
      </c>
      <c r="O44" s="37" t="e">
        <f ca="1"/>
        <v>#NAME?</v>
      </c>
      <c r="P44" s="37" t="e">
        <f ca="1"/>
        <v>#NAME?</v>
      </c>
      <c r="Q44" s="37" t="e">
        <f ca="1"/>
        <v>#NAME?</v>
      </c>
      <c r="R44" s="37" t="e">
        <f ca="1"/>
        <v>#NAME?</v>
      </c>
      <c r="S44" s="37" t="e">
        <f ca="1"/>
        <v>#NAME?</v>
      </c>
      <c r="T44" s="37" t="e">
        <f ca="1"/>
        <v>#NAME?</v>
      </c>
      <c r="U44" s="84" t="e">
        <f ca="1"/>
        <v>#NAME?</v>
      </c>
    </row>
    <row r="45" spans="1:23" x14ac:dyDescent="0.35">
      <c r="A45">
        <v>42</v>
      </c>
      <c r="B45" s="123">
        <v>4</v>
      </c>
      <c r="C45" s="37">
        <v>8</v>
      </c>
      <c r="D45" s="37">
        <v>2</v>
      </c>
      <c r="E45" s="37">
        <v>3</v>
      </c>
      <c r="F45" s="37">
        <v>8</v>
      </c>
      <c r="G45" s="37">
        <v>5</v>
      </c>
      <c r="H45" s="37">
        <v>5</v>
      </c>
      <c r="I45" s="37">
        <v>5</v>
      </c>
      <c r="J45" s="90">
        <v>7</v>
      </c>
      <c r="L45" t="str">
        <v>Motivate</v>
      </c>
      <c r="M45" s="83" t="e">
        <f ca="1"/>
        <v>#NAME?</v>
      </c>
      <c r="N45" s="37" t="e">
        <f ca="1"/>
        <v>#NAME?</v>
      </c>
      <c r="O45" s="37" t="e">
        <f ca="1"/>
        <v>#NAME?</v>
      </c>
      <c r="P45" s="37" t="e">
        <f ca="1"/>
        <v>#NAME?</v>
      </c>
      <c r="Q45" s="37" t="e">
        <f ca="1"/>
        <v>#NAME?</v>
      </c>
      <c r="R45" s="37" t="e">
        <f ca="1"/>
        <v>#NAME?</v>
      </c>
      <c r="S45" s="37" t="e">
        <f ca="1"/>
        <v>#NAME?</v>
      </c>
      <c r="T45" s="37" t="e">
        <f ca="1"/>
        <v>#NAME?</v>
      </c>
      <c r="U45" s="84" t="e">
        <f ca="1"/>
        <v>#NAME?</v>
      </c>
    </row>
    <row r="46" spans="1:23" x14ac:dyDescent="0.35">
      <c r="A46">
        <v>43</v>
      </c>
      <c r="B46" s="123">
        <v>3</v>
      </c>
      <c r="C46" s="37">
        <v>9</v>
      </c>
      <c r="D46" s="37">
        <v>7</v>
      </c>
      <c r="E46" s="37">
        <v>4</v>
      </c>
      <c r="F46" s="37">
        <v>8</v>
      </c>
      <c r="G46" s="37">
        <v>6</v>
      </c>
      <c r="H46" s="37">
        <v>10</v>
      </c>
      <c r="I46" s="37">
        <v>6</v>
      </c>
      <c r="J46" s="90">
        <v>8</v>
      </c>
      <c r="L46" t="str">
        <v>Caring</v>
      </c>
      <c r="M46" s="83" t="e">
        <f ca="1"/>
        <v>#NAME?</v>
      </c>
      <c r="N46" s="37" t="e">
        <f ca="1"/>
        <v>#NAME?</v>
      </c>
      <c r="O46" s="37" t="e">
        <f ca="1"/>
        <v>#NAME?</v>
      </c>
      <c r="P46" s="37" t="e">
        <f ca="1"/>
        <v>#NAME?</v>
      </c>
      <c r="Q46" s="37" t="e">
        <f ca="1"/>
        <v>#NAME?</v>
      </c>
      <c r="R46" s="37" t="e">
        <f ca="1"/>
        <v>#NAME?</v>
      </c>
      <c r="S46" s="37" t="e">
        <f ca="1"/>
        <v>#NAME?</v>
      </c>
      <c r="T46" s="37" t="e">
        <f ca="1"/>
        <v>#NAME?</v>
      </c>
      <c r="U46" s="84" t="e">
        <f ca="1"/>
        <v>#NAME?</v>
      </c>
    </row>
    <row r="47" spans="1:23" x14ac:dyDescent="0.35">
      <c r="A47">
        <v>44</v>
      </c>
      <c r="B47" s="123">
        <v>2</v>
      </c>
      <c r="C47" s="37">
        <v>9</v>
      </c>
      <c r="D47" s="37">
        <v>3</v>
      </c>
      <c r="E47" s="37">
        <v>4</v>
      </c>
      <c r="F47" s="37">
        <v>8</v>
      </c>
      <c r="G47" s="37">
        <v>8</v>
      </c>
      <c r="H47" s="37">
        <v>6</v>
      </c>
      <c r="I47" s="37">
        <v>7</v>
      </c>
      <c r="J47" s="90">
        <v>8</v>
      </c>
      <c r="L47" t="str">
        <v>Charisma</v>
      </c>
      <c r="M47" s="83" t="e">
        <f ca="1"/>
        <v>#NAME?</v>
      </c>
      <c r="N47" s="37" t="e">
        <f ca="1"/>
        <v>#NAME?</v>
      </c>
      <c r="O47" s="37" t="e">
        <f ca="1"/>
        <v>#NAME?</v>
      </c>
      <c r="P47" s="37" t="e">
        <f ca="1"/>
        <v>#NAME?</v>
      </c>
      <c r="Q47" s="37" t="e">
        <f ca="1"/>
        <v>#NAME?</v>
      </c>
      <c r="R47" s="37" t="e">
        <f ca="1"/>
        <v>#NAME?</v>
      </c>
      <c r="S47" s="37" t="e">
        <f ca="1"/>
        <v>#NAME?</v>
      </c>
      <c r="T47" s="37" t="e">
        <f ca="1"/>
        <v>#NAME?</v>
      </c>
      <c r="U47" s="84" t="e">
        <f ca="1"/>
        <v>#NAME?</v>
      </c>
    </row>
    <row r="48" spans="1:23" x14ac:dyDescent="0.35">
      <c r="A48">
        <v>45</v>
      </c>
      <c r="B48" s="123">
        <v>5</v>
      </c>
      <c r="C48" s="37">
        <v>8</v>
      </c>
      <c r="D48" s="37">
        <v>1</v>
      </c>
      <c r="E48" s="37">
        <v>4</v>
      </c>
      <c r="F48" s="37">
        <v>7</v>
      </c>
      <c r="G48" s="37">
        <v>7</v>
      </c>
      <c r="H48" s="37">
        <v>1</v>
      </c>
      <c r="I48" s="37">
        <v>4</v>
      </c>
      <c r="J48" s="90">
        <v>8</v>
      </c>
      <c r="L48" t="str">
        <v>Passion</v>
      </c>
      <c r="M48" s="83" t="e">
        <f ca="1"/>
        <v>#NAME?</v>
      </c>
      <c r="N48" s="37" t="e">
        <f ca="1"/>
        <v>#NAME?</v>
      </c>
      <c r="O48" s="37" t="e">
        <f ca="1"/>
        <v>#NAME?</v>
      </c>
      <c r="P48" s="37" t="e">
        <f ca="1"/>
        <v>#NAME?</v>
      </c>
      <c r="Q48" s="37" t="e">
        <f ca="1"/>
        <v>#NAME?</v>
      </c>
      <c r="R48" s="37" t="e">
        <f ca="1"/>
        <v>#NAME?</v>
      </c>
      <c r="S48" s="37" t="e">
        <f ca="1"/>
        <v>#NAME?</v>
      </c>
      <c r="T48" s="37" t="e">
        <f ca="1"/>
        <v>#NAME?</v>
      </c>
      <c r="U48" s="84" t="e">
        <f ca="1"/>
        <v>#NAME?</v>
      </c>
    </row>
    <row r="49" spans="1:22" x14ac:dyDescent="0.35">
      <c r="A49">
        <v>46</v>
      </c>
      <c r="B49" s="123">
        <v>5</v>
      </c>
      <c r="C49" s="37">
        <v>8</v>
      </c>
      <c r="D49" s="37">
        <v>2</v>
      </c>
      <c r="E49" s="37">
        <v>3</v>
      </c>
      <c r="F49" s="37">
        <v>6</v>
      </c>
      <c r="G49" s="37">
        <v>7</v>
      </c>
      <c r="H49" s="37">
        <v>4</v>
      </c>
      <c r="I49" s="37">
        <v>4</v>
      </c>
      <c r="J49" s="90">
        <v>8</v>
      </c>
      <c r="L49" t="str">
        <v>Friendly</v>
      </c>
      <c r="M49" s="85" t="e">
        <f ca="1"/>
        <v>#NAME?</v>
      </c>
      <c r="N49" s="86" t="e">
        <f ca="1"/>
        <v>#NAME?</v>
      </c>
      <c r="O49" s="86" t="e">
        <f ca="1"/>
        <v>#NAME?</v>
      </c>
      <c r="P49" s="86" t="e">
        <f ca="1"/>
        <v>#NAME?</v>
      </c>
      <c r="Q49" s="86" t="e">
        <f ca="1"/>
        <v>#NAME?</v>
      </c>
      <c r="R49" s="86" t="e">
        <f ca="1"/>
        <v>#NAME?</v>
      </c>
      <c r="S49" s="86" t="e">
        <f ca="1"/>
        <v>#NAME?</v>
      </c>
      <c r="T49" s="86" t="e">
        <f ca="1"/>
        <v>#NAME?</v>
      </c>
      <c r="U49" s="87" t="e">
        <f ca="1"/>
        <v>#NAME?</v>
      </c>
    </row>
    <row r="50" spans="1:22" x14ac:dyDescent="0.35">
      <c r="A50">
        <v>47</v>
      </c>
      <c r="B50" s="123">
        <v>3</v>
      </c>
      <c r="C50" s="37">
        <v>8</v>
      </c>
      <c r="D50" s="37">
        <v>1</v>
      </c>
      <c r="E50" s="37">
        <v>3</v>
      </c>
      <c r="F50" s="37">
        <v>5</v>
      </c>
      <c r="G50" s="37">
        <v>5</v>
      </c>
      <c r="H50" s="37">
        <v>1</v>
      </c>
      <c r="I50" s="37">
        <v>5</v>
      </c>
      <c r="J50" s="90">
        <v>7</v>
      </c>
      <c r="M50" t="e">
        <f ca="1">SUMSQ(M41:M49)-1</f>
        <v>#NAME?</v>
      </c>
      <c r="N50" t="e">
        <f t="shared" ref="N50:U50" ca="1" si="5">SUMSQ(N41:N49)-1</f>
        <v>#NAME?</v>
      </c>
      <c r="O50" t="e">
        <f t="shared" ca="1" si="5"/>
        <v>#NAME?</v>
      </c>
      <c r="P50" t="e">
        <f t="shared" ca="1" si="5"/>
        <v>#NAME?</v>
      </c>
      <c r="Q50" t="e">
        <f t="shared" ca="1" si="5"/>
        <v>#NAME?</v>
      </c>
      <c r="R50" t="e">
        <f t="shared" ca="1" si="5"/>
        <v>#NAME?</v>
      </c>
      <c r="S50" t="e">
        <f t="shared" ca="1" si="5"/>
        <v>#NAME?</v>
      </c>
      <c r="T50" t="e">
        <f t="shared" ca="1" si="5"/>
        <v>#NAME?</v>
      </c>
      <c r="U50" t="e">
        <f t="shared" ca="1" si="5"/>
        <v>#NAME?</v>
      </c>
      <c r="V50" t="e">
        <f ca="1">SUM(M50:U50)</f>
        <v>#NAME?</v>
      </c>
    </row>
    <row r="51" spans="1:22" x14ac:dyDescent="0.35">
      <c r="A51">
        <v>48</v>
      </c>
      <c r="B51" s="123">
        <v>4</v>
      </c>
      <c r="C51" s="37">
        <v>9</v>
      </c>
      <c r="D51" s="37">
        <v>6</v>
      </c>
      <c r="E51" s="37">
        <v>3</v>
      </c>
      <c r="F51" s="37">
        <v>6</v>
      </c>
      <c r="G51" s="37">
        <v>4</v>
      </c>
      <c r="H51" s="37">
        <v>8</v>
      </c>
      <c r="I51" s="37">
        <v>5</v>
      </c>
      <c r="J51" s="90">
        <v>8</v>
      </c>
    </row>
    <row r="52" spans="1:22" x14ac:dyDescent="0.35">
      <c r="A52">
        <v>49</v>
      </c>
      <c r="B52" s="123">
        <v>3</v>
      </c>
      <c r="C52" s="37">
        <v>9</v>
      </c>
      <c r="D52" s="37">
        <v>4</v>
      </c>
      <c r="E52" s="37">
        <v>2</v>
      </c>
      <c r="F52" s="37">
        <v>7</v>
      </c>
      <c r="G52" s="37">
        <v>7</v>
      </c>
      <c r="H52" s="37">
        <v>2</v>
      </c>
      <c r="I52" s="37">
        <v>3</v>
      </c>
      <c r="J52" s="90">
        <v>8</v>
      </c>
      <c r="L52" t="s">
        <v>463</v>
      </c>
    </row>
    <row r="53" spans="1:22" x14ac:dyDescent="0.35">
      <c r="A53">
        <v>50</v>
      </c>
      <c r="B53" s="123">
        <v>3</v>
      </c>
      <c r="C53" s="37">
        <v>8</v>
      </c>
      <c r="D53" s="37">
        <v>3</v>
      </c>
      <c r="E53" s="37">
        <v>4</v>
      </c>
      <c r="F53" s="37">
        <v>7</v>
      </c>
      <c r="G53" s="37">
        <v>7</v>
      </c>
      <c r="H53" s="37">
        <v>5</v>
      </c>
      <c r="I53" s="37">
        <v>4</v>
      </c>
      <c r="J53" s="90">
        <v>8</v>
      </c>
    </row>
    <row r="54" spans="1:22" x14ac:dyDescent="0.35">
      <c r="A54">
        <v>51</v>
      </c>
      <c r="B54" s="123">
        <v>3</v>
      </c>
      <c r="C54" s="37">
        <v>7</v>
      </c>
      <c r="D54" s="37">
        <v>1</v>
      </c>
      <c r="E54" s="37">
        <v>4</v>
      </c>
      <c r="F54" s="37">
        <v>6</v>
      </c>
      <c r="G54" s="37">
        <v>4</v>
      </c>
      <c r="H54" s="37">
        <v>1</v>
      </c>
      <c r="I54" s="37">
        <v>6</v>
      </c>
      <c r="J54" s="90">
        <v>7</v>
      </c>
      <c r="M54" t="str">
        <f t="array" ref="M54:U54">B3:J3</f>
        <v>Expect</v>
      </c>
      <c r="N54" t="str">
        <v>Entertain</v>
      </c>
      <c r="O54" t="str">
        <v>Comm</v>
      </c>
      <c r="P54" t="str">
        <v>Expert</v>
      </c>
      <c r="Q54" t="str">
        <v>Motivate</v>
      </c>
      <c r="R54" t="str">
        <v>Caring</v>
      </c>
      <c r="S54" t="str">
        <v>Charisma</v>
      </c>
      <c r="T54" t="str">
        <v>Passion</v>
      </c>
      <c r="U54" t="str">
        <v>Friendly</v>
      </c>
    </row>
    <row r="55" spans="1:22" x14ac:dyDescent="0.35">
      <c r="A55">
        <v>52</v>
      </c>
      <c r="B55" s="123">
        <v>1</v>
      </c>
      <c r="C55" s="37">
        <v>8</v>
      </c>
      <c r="D55" s="37">
        <v>3</v>
      </c>
      <c r="E55" s="37">
        <v>4</v>
      </c>
      <c r="F55" s="37">
        <v>6</v>
      </c>
      <c r="G55" s="37">
        <v>3</v>
      </c>
      <c r="H55" s="37">
        <v>5</v>
      </c>
      <c r="I55" s="37">
        <v>4</v>
      </c>
      <c r="J55" s="90">
        <v>8</v>
      </c>
      <c r="M55" s="191" t="e">
        <f t="array" ref="M55:V55" ca="1">M23:V23/(M23:V23+M50:V50)</f>
        <v>#NAME?</v>
      </c>
      <c r="N55" s="192" t="e">
        <f ca="1"/>
        <v>#NAME?</v>
      </c>
      <c r="O55" s="192" t="e">
        <f ca="1"/>
        <v>#NAME?</v>
      </c>
      <c r="P55" s="192" t="e">
        <f ca="1"/>
        <v>#NAME?</v>
      </c>
      <c r="Q55" s="192" t="e">
        <f ca="1"/>
        <v>#NAME?</v>
      </c>
      <c r="R55" s="192" t="e">
        <f ca="1"/>
        <v>#NAME?</v>
      </c>
      <c r="S55" s="192" t="e">
        <f ca="1"/>
        <v>#NAME?</v>
      </c>
      <c r="T55" s="192" t="e">
        <f ca="1"/>
        <v>#NAME?</v>
      </c>
      <c r="U55" s="192" t="e">
        <f ca="1"/>
        <v>#NAME?</v>
      </c>
      <c r="V55" s="194" t="e">
        <f ca="1"/>
        <v>#NAME?</v>
      </c>
    </row>
    <row r="56" spans="1:22" x14ac:dyDescent="0.35">
      <c r="A56">
        <v>53</v>
      </c>
      <c r="B56" s="123">
        <v>4</v>
      </c>
      <c r="C56" s="37">
        <v>8</v>
      </c>
      <c r="D56" s="37">
        <v>6</v>
      </c>
      <c r="E56" s="37">
        <v>3</v>
      </c>
      <c r="F56" s="37">
        <v>7</v>
      </c>
      <c r="G56" s="37">
        <v>7</v>
      </c>
      <c r="H56" s="37">
        <v>8</v>
      </c>
      <c r="I56" s="37">
        <v>6</v>
      </c>
      <c r="J56" s="90">
        <v>7</v>
      </c>
    </row>
    <row r="57" spans="1:22" x14ac:dyDescent="0.35">
      <c r="A57">
        <v>54</v>
      </c>
      <c r="B57" s="123">
        <v>3</v>
      </c>
      <c r="C57" s="37">
        <v>8</v>
      </c>
      <c r="D57" s="37">
        <v>4</v>
      </c>
      <c r="E57" s="37">
        <v>3</v>
      </c>
      <c r="F57" s="37">
        <v>5</v>
      </c>
      <c r="G57" s="37">
        <v>8</v>
      </c>
      <c r="H57" s="37">
        <v>1</v>
      </c>
      <c r="I57" s="37">
        <v>3</v>
      </c>
      <c r="J57" s="90">
        <v>7</v>
      </c>
      <c r="L57" t="s">
        <v>417</v>
      </c>
    </row>
    <row r="58" spans="1:22" x14ac:dyDescent="0.35">
      <c r="A58">
        <v>55</v>
      </c>
      <c r="B58" s="123">
        <v>2</v>
      </c>
      <c r="C58" s="37">
        <v>9</v>
      </c>
      <c r="D58" s="37">
        <v>5</v>
      </c>
      <c r="E58" s="37">
        <v>2</v>
      </c>
      <c r="F58" s="37">
        <v>8</v>
      </c>
      <c r="G58" s="37">
        <v>4</v>
      </c>
      <c r="H58" s="37">
        <v>5</v>
      </c>
      <c r="I58" s="37">
        <v>6</v>
      </c>
      <c r="J58" s="90">
        <v>8</v>
      </c>
    </row>
    <row r="59" spans="1:22" x14ac:dyDescent="0.35">
      <c r="A59">
        <v>56</v>
      </c>
      <c r="B59" s="123">
        <v>4</v>
      </c>
      <c r="C59" s="37">
        <v>8</v>
      </c>
      <c r="D59" s="37">
        <v>2</v>
      </c>
      <c r="E59" s="37">
        <v>3</v>
      </c>
      <c r="F59" s="37">
        <v>7</v>
      </c>
      <c r="G59" s="37">
        <v>4</v>
      </c>
      <c r="H59" s="37">
        <v>4</v>
      </c>
      <c r="I59" s="37">
        <v>4</v>
      </c>
      <c r="J59" s="90">
        <v>7</v>
      </c>
      <c r="M59" s="191" t="e">
        <f t="array" aca="1" ref="M59:U68" ca="1">eVECTORS(M14:U22,200,FALSE)</f>
        <v>#NAME?</v>
      </c>
      <c r="N59" s="192" t="e">
        <f ca="1"/>
        <v>#NAME?</v>
      </c>
      <c r="O59" s="192" t="e">
        <f ca="1"/>
        <v>#NAME?</v>
      </c>
      <c r="P59" s="192" t="e">
        <f ca="1"/>
        <v>#NAME?</v>
      </c>
      <c r="Q59" s="192" t="e">
        <f ca="1"/>
        <v>#NAME?</v>
      </c>
      <c r="R59" s="192" t="e">
        <f ca="1"/>
        <v>#NAME?</v>
      </c>
      <c r="S59" s="192" t="e">
        <f ca="1"/>
        <v>#NAME?</v>
      </c>
      <c r="T59" s="192" t="e">
        <f ca="1"/>
        <v>#NAME?</v>
      </c>
      <c r="U59" s="193" t="e">
        <f ca="1"/>
        <v>#NAME?</v>
      </c>
    </row>
    <row r="60" spans="1:22" x14ac:dyDescent="0.35">
      <c r="A60">
        <v>57</v>
      </c>
      <c r="B60" s="123">
        <v>4</v>
      </c>
      <c r="C60" s="37">
        <v>9</v>
      </c>
      <c r="D60" s="37">
        <v>1</v>
      </c>
      <c r="E60" s="37">
        <v>4</v>
      </c>
      <c r="F60" s="37">
        <v>7</v>
      </c>
      <c r="G60" s="37">
        <v>7</v>
      </c>
      <c r="H60" s="37">
        <v>1</v>
      </c>
      <c r="I60" s="37">
        <v>4</v>
      </c>
      <c r="J60" s="90">
        <v>8</v>
      </c>
      <c r="M60" s="83" t="e">
        <f ca="1"/>
        <v>#NAME?</v>
      </c>
      <c r="N60" s="37" t="e">
        <f ca="1"/>
        <v>#NAME?</v>
      </c>
      <c r="O60" s="37" t="e">
        <f ca="1"/>
        <v>#NAME?</v>
      </c>
      <c r="P60" s="37" t="e">
        <f ca="1"/>
        <v>#NAME?</v>
      </c>
      <c r="Q60" s="37" t="e">
        <f ca="1"/>
        <v>#NAME?</v>
      </c>
      <c r="R60" s="37" t="e">
        <f ca="1"/>
        <v>#NAME?</v>
      </c>
      <c r="S60" s="37" t="e">
        <f ca="1"/>
        <v>#NAME?</v>
      </c>
      <c r="T60" s="37" t="e">
        <f ca="1"/>
        <v>#NAME?</v>
      </c>
      <c r="U60" s="84" t="e">
        <f ca="1"/>
        <v>#NAME?</v>
      </c>
    </row>
    <row r="61" spans="1:22" x14ac:dyDescent="0.35">
      <c r="A61">
        <v>58</v>
      </c>
      <c r="B61" s="123">
        <v>4</v>
      </c>
      <c r="C61" s="37">
        <v>8</v>
      </c>
      <c r="D61" s="37">
        <v>3</v>
      </c>
      <c r="E61" s="37">
        <v>3</v>
      </c>
      <c r="F61" s="37">
        <v>7</v>
      </c>
      <c r="G61" s="37">
        <v>6</v>
      </c>
      <c r="H61" s="37">
        <v>3</v>
      </c>
      <c r="I61" s="37">
        <v>4</v>
      </c>
      <c r="J61" s="90">
        <v>7</v>
      </c>
      <c r="M61" s="83" t="e">
        <f ca="1"/>
        <v>#NAME?</v>
      </c>
      <c r="N61" s="37" t="e">
        <f ca="1"/>
        <v>#NAME?</v>
      </c>
      <c r="O61" s="37" t="e">
        <f ca="1"/>
        <v>#NAME?</v>
      </c>
      <c r="P61" s="37" t="e">
        <f ca="1"/>
        <v>#NAME?</v>
      </c>
      <c r="Q61" s="37" t="e">
        <f ca="1"/>
        <v>#NAME?</v>
      </c>
      <c r="R61" s="37" t="e">
        <f ca="1"/>
        <v>#NAME?</v>
      </c>
      <c r="S61" s="37" t="e">
        <f ca="1"/>
        <v>#NAME?</v>
      </c>
      <c r="T61" s="37" t="e">
        <f ca="1"/>
        <v>#NAME?</v>
      </c>
      <c r="U61" s="84" t="e">
        <f ca="1"/>
        <v>#NAME?</v>
      </c>
    </row>
    <row r="62" spans="1:22" x14ac:dyDescent="0.35">
      <c r="A62">
        <v>59</v>
      </c>
      <c r="B62" s="123">
        <v>5</v>
      </c>
      <c r="C62" s="37">
        <v>8</v>
      </c>
      <c r="D62" s="37">
        <v>3</v>
      </c>
      <c r="E62" s="37">
        <v>4</v>
      </c>
      <c r="F62" s="37">
        <v>8</v>
      </c>
      <c r="G62" s="37">
        <v>6</v>
      </c>
      <c r="H62" s="37">
        <v>5</v>
      </c>
      <c r="I62" s="37">
        <v>5</v>
      </c>
      <c r="J62" s="90">
        <v>7</v>
      </c>
      <c r="M62" s="83" t="e">
        <f ca="1"/>
        <v>#NAME?</v>
      </c>
      <c r="N62" s="37" t="e">
        <f ca="1"/>
        <v>#NAME?</v>
      </c>
      <c r="O62" s="37" t="e">
        <f ca="1"/>
        <v>#NAME?</v>
      </c>
      <c r="P62" s="37" t="e">
        <f ca="1"/>
        <v>#NAME?</v>
      </c>
      <c r="Q62" s="37" t="e">
        <f ca="1"/>
        <v>#NAME?</v>
      </c>
      <c r="R62" s="37" t="e">
        <f ca="1"/>
        <v>#NAME?</v>
      </c>
      <c r="S62" s="37" t="e">
        <f ca="1"/>
        <v>#NAME?</v>
      </c>
      <c r="T62" s="37" t="e">
        <f ca="1"/>
        <v>#NAME?</v>
      </c>
      <c r="U62" s="84" t="e">
        <f ca="1"/>
        <v>#NAME?</v>
      </c>
    </row>
    <row r="63" spans="1:22" x14ac:dyDescent="0.35">
      <c r="A63">
        <v>60</v>
      </c>
      <c r="B63" s="123">
        <v>7</v>
      </c>
      <c r="C63" s="37">
        <v>8</v>
      </c>
      <c r="D63" s="37">
        <v>4</v>
      </c>
      <c r="E63" s="37">
        <v>4</v>
      </c>
      <c r="F63" s="37">
        <v>7</v>
      </c>
      <c r="G63" s="37">
        <v>7</v>
      </c>
      <c r="H63" s="37">
        <v>6</v>
      </c>
      <c r="I63" s="37">
        <v>6</v>
      </c>
      <c r="J63" s="90">
        <v>7</v>
      </c>
      <c r="M63" s="83" t="e">
        <f ca="1"/>
        <v>#NAME?</v>
      </c>
      <c r="N63" s="37" t="e">
        <f ca="1"/>
        <v>#NAME?</v>
      </c>
      <c r="O63" s="37" t="e">
        <f ca="1"/>
        <v>#NAME?</v>
      </c>
      <c r="P63" s="37" t="e">
        <f ca="1"/>
        <v>#NAME?</v>
      </c>
      <c r="Q63" s="37" t="e">
        <f ca="1"/>
        <v>#NAME?</v>
      </c>
      <c r="R63" s="37" t="e">
        <f ca="1"/>
        <v>#NAME?</v>
      </c>
      <c r="S63" s="37" t="e">
        <f ca="1"/>
        <v>#NAME?</v>
      </c>
      <c r="T63" s="37" t="e">
        <f ca="1"/>
        <v>#NAME?</v>
      </c>
      <c r="U63" s="84" t="e">
        <f ca="1"/>
        <v>#NAME?</v>
      </c>
    </row>
    <row r="64" spans="1:22" x14ac:dyDescent="0.35">
      <c r="A64">
        <v>61</v>
      </c>
      <c r="B64" s="123">
        <v>4</v>
      </c>
      <c r="C64" s="37">
        <v>8</v>
      </c>
      <c r="D64" s="37">
        <v>3</v>
      </c>
      <c r="E64" s="37">
        <v>3</v>
      </c>
      <c r="F64" s="37">
        <v>7</v>
      </c>
      <c r="G64" s="37">
        <v>5</v>
      </c>
      <c r="H64" s="37">
        <v>6</v>
      </c>
      <c r="I64" s="37">
        <v>3</v>
      </c>
      <c r="J64" s="90">
        <v>7</v>
      </c>
      <c r="M64" s="83" t="e">
        <f ca="1"/>
        <v>#NAME?</v>
      </c>
      <c r="N64" s="37" t="e">
        <f ca="1"/>
        <v>#NAME?</v>
      </c>
      <c r="O64" s="37" t="e">
        <f ca="1"/>
        <v>#NAME?</v>
      </c>
      <c r="P64" s="37" t="e">
        <f ca="1"/>
        <v>#NAME?</v>
      </c>
      <c r="Q64" s="37" t="e">
        <f ca="1"/>
        <v>#NAME?</v>
      </c>
      <c r="R64" s="37" t="e">
        <f ca="1"/>
        <v>#NAME?</v>
      </c>
      <c r="S64" s="37" t="e">
        <f ca="1"/>
        <v>#NAME?</v>
      </c>
      <c r="T64" s="37" t="e">
        <f ca="1"/>
        <v>#NAME?</v>
      </c>
      <c r="U64" s="84" t="e">
        <f ca="1"/>
        <v>#NAME?</v>
      </c>
    </row>
    <row r="65" spans="1:23" x14ac:dyDescent="0.35">
      <c r="A65">
        <v>62</v>
      </c>
      <c r="B65" s="123">
        <v>4</v>
      </c>
      <c r="C65" s="37">
        <v>8</v>
      </c>
      <c r="D65" s="37">
        <v>4</v>
      </c>
      <c r="E65" s="37">
        <v>4</v>
      </c>
      <c r="F65" s="37">
        <v>8</v>
      </c>
      <c r="G65" s="37">
        <v>5</v>
      </c>
      <c r="H65" s="37">
        <v>7</v>
      </c>
      <c r="I65" s="37">
        <v>4</v>
      </c>
      <c r="J65" s="90">
        <v>7</v>
      </c>
      <c r="M65" s="83" t="e">
        <f ca="1"/>
        <v>#NAME?</v>
      </c>
      <c r="N65" s="37" t="e">
        <f ca="1"/>
        <v>#NAME?</v>
      </c>
      <c r="O65" s="37" t="e">
        <f ca="1"/>
        <v>#NAME?</v>
      </c>
      <c r="P65" s="37" t="e">
        <f ca="1"/>
        <v>#NAME?</v>
      </c>
      <c r="Q65" s="37" t="e">
        <f ca="1"/>
        <v>#NAME?</v>
      </c>
      <c r="R65" s="37" t="e">
        <f ca="1"/>
        <v>#NAME?</v>
      </c>
      <c r="S65" s="37" t="e">
        <f ca="1"/>
        <v>#NAME?</v>
      </c>
      <c r="T65" s="37" t="e">
        <f ca="1"/>
        <v>#NAME?</v>
      </c>
      <c r="U65" s="84" t="e">
        <f ca="1"/>
        <v>#NAME?</v>
      </c>
    </row>
    <row r="66" spans="1:23" x14ac:dyDescent="0.35">
      <c r="A66">
        <v>63</v>
      </c>
      <c r="B66" s="123">
        <v>3</v>
      </c>
      <c r="C66" s="37">
        <v>9</v>
      </c>
      <c r="D66" s="37">
        <v>4</v>
      </c>
      <c r="E66" s="37">
        <v>3</v>
      </c>
      <c r="F66" s="37">
        <v>8</v>
      </c>
      <c r="G66" s="37">
        <v>6</v>
      </c>
      <c r="H66" s="37">
        <v>4</v>
      </c>
      <c r="I66" s="37">
        <v>5</v>
      </c>
      <c r="J66" s="90">
        <v>8</v>
      </c>
      <c r="M66" s="83" t="e">
        <f ca="1"/>
        <v>#NAME?</v>
      </c>
      <c r="N66" s="37" t="e">
        <f ca="1"/>
        <v>#NAME?</v>
      </c>
      <c r="O66" s="37" t="e">
        <f ca="1"/>
        <v>#NAME?</v>
      </c>
      <c r="P66" s="37" t="e">
        <f ca="1"/>
        <v>#NAME?</v>
      </c>
      <c r="Q66" s="37" t="e">
        <f ca="1"/>
        <v>#NAME?</v>
      </c>
      <c r="R66" s="37" t="e">
        <f ca="1"/>
        <v>#NAME?</v>
      </c>
      <c r="S66" s="37" t="e">
        <f ca="1"/>
        <v>#NAME?</v>
      </c>
      <c r="T66" s="37" t="e">
        <f ca="1"/>
        <v>#NAME?</v>
      </c>
      <c r="U66" s="84" t="e">
        <f ca="1"/>
        <v>#NAME?</v>
      </c>
    </row>
    <row r="67" spans="1:23" x14ac:dyDescent="0.35">
      <c r="A67">
        <v>64</v>
      </c>
      <c r="B67" s="123">
        <v>5</v>
      </c>
      <c r="C67" s="37">
        <v>8</v>
      </c>
      <c r="D67" s="37">
        <v>2</v>
      </c>
      <c r="E67" s="37">
        <v>3</v>
      </c>
      <c r="F67" s="37">
        <v>6</v>
      </c>
      <c r="G67" s="37">
        <v>4</v>
      </c>
      <c r="H67" s="37">
        <v>6</v>
      </c>
      <c r="I67" s="37">
        <v>4</v>
      </c>
      <c r="J67" s="90">
        <v>7</v>
      </c>
      <c r="M67" s="83" t="e">
        <f ca="1"/>
        <v>#NAME?</v>
      </c>
      <c r="N67" s="37" t="e">
        <f ca="1"/>
        <v>#NAME?</v>
      </c>
      <c r="O67" s="37" t="e">
        <f ca="1"/>
        <v>#NAME?</v>
      </c>
      <c r="P67" s="37" t="e">
        <f ca="1"/>
        <v>#NAME?</v>
      </c>
      <c r="Q67" s="37" t="e">
        <f ca="1"/>
        <v>#NAME?</v>
      </c>
      <c r="R67" s="37" t="e">
        <f ca="1"/>
        <v>#NAME?</v>
      </c>
      <c r="S67" s="37" t="e">
        <f ca="1"/>
        <v>#NAME?</v>
      </c>
      <c r="T67" s="37" t="e">
        <f ca="1"/>
        <v>#NAME?</v>
      </c>
      <c r="U67" s="84" t="e">
        <f ca="1"/>
        <v>#NAME?</v>
      </c>
    </row>
    <row r="68" spans="1:23" x14ac:dyDescent="0.35">
      <c r="A68">
        <v>65</v>
      </c>
      <c r="B68" s="123">
        <v>7</v>
      </c>
      <c r="C68" s="37">
        <v>9</v>
      </c>
      <c r="D68" s="37">
        <v>7</v>
      </c>
      <c r="E68" s="37">
        <v>4</v>
      </c>
      <c r="F68" s="37">
        <v>8</v>
      </c>
      <c r="G68" s="37">
        <v>6</v>
      </c>
      <c r="H68" s="37">
        <v>10</v>
      </c>
      <c r="I68" s="37">
        <v>6</v>
      </c>
      <c r="J68" s="90">
        <v>7</v>
      </c>
      <c r="M68" s="85" t="e">
        <f ca="1"/>
        <v>#NAME?</v>
      </c>
      <c r="N68" s="86" t="e">
        <f ca="1"/>
        <v>#NAME?</v>
      </c>
      <c r="O68" s="86" t="e">
        <f ca="1"/>
        <v>#NAME?</v>
      </c>
      <c r="P68" s="86" t="e">
        <f ca="1"/>
        <v>#NAME?</v>
      </c>
      <c r="Q68" s="86" t="e">
        <f ca="1"/>
        <v>#NAME?</v>
      </c>
      <c r="R68" s="86" t="e">
        <f ca="1"/>
        <v>#NAME?</v>
      </c>
      <c r="S68" s="86" t="e">
        <f ca="1"/>
        <v>#NAME?</v>
      </c>
      <c r="T68" s="86" t="e">
        <f ca="1"/>
        <v>#NAME?</v>
      </c>
      <c r="U68" s="87" t="e">
        <f ca="1"/>
        <v>#NAME?</v>
      </c>
    </row>
    <row r="69" spans="1:23" x14ac:dyDescent="0.35">
      <c r="A69">
        <v>66</v>
      </c>
      <c r="B69" s="123">
        <v>3</v>
      </c>
      <c r="C69" s="37">
        <v>8</v>
      </c>
      <c r="D69" s="37">
        <v>1</v>
      </c>
      <c r="E69" s="37">
        <v>3</v>
      </c>
      <c r="F69" s="37">
        <v>7</v>
      </c>
      <c r="G69" s="37">
        <v>6</v>
      </c>
      <c r="H69" s="37">
        <v>5</v>
      </c>
      <c r="I69" s="37">
        <v>5</v>
      </c>
      <c r="J69" s="90">
        <v>7</v>
      </c>
    </row>
    <row r="70" spans="1:23" x14ac:dyDescent="0.35">
      <c r="A70">
        <v>67</v>
      </c>
      <c r="B70" s="123">
        <v>4</v>
      </c>
      <c r="C70" s="37">
        <v>8</v>
      </c>
      <c r="D70" s="37">
        <v>5</v>
      </c>
      <c r="E70" s="37">
        <v>4</v>
      </c>
      <c r="F70" s="37">
        <v>7</v>
      </c>
      <c r="G70" s="37">
        <v>6</v>
      </c>
      <c r="H70" s="37">
        <v>9</v>
      </c>
      <c r="I70" s="37">
        <v>6</v>
      </c>
      <c r="J70" s="90">
        <v>7</v>
      </c>
      <c r="L70" t="s">
        <v>478</v>
      </c>
    </row>
    <row r="71" spans="1:23" x14ac:dyDescent="0.35">
      <c r="A71">
        <v>68</v>
      </c>
      <c r="B71" s="123">
        <v>5</v>
      </c>
      <c r="C71" s="37">
        <v>8</v>
      </c>
      <c r="D71" s="37">
        <v>2</v>
      </c>
      <c r="E71" s="37">
        <v>3</v>
      </c>
      <c r="F71" s="37">
        <v>5</v>
      </c>
      <c r="G71" s="37">
        <v>7</v>
      </c>
      <c r="H71" s="37">
        <v>1</v>
      </c>
      <c r="I71" s="37">
        <v>5</v>
      </c>
      <c r="J71" s="90">
        <v>7</v>
      </c>
    </row>
    <row r="72" spans="1:23" x14ac:dyDescent="0.35">
      <c r="A72">
        <v>69</v>
      </c>
      <c r="B72" s="123">
        <v>4</v>
      </c>
      <c r="C72" s="37">
        <v>8</v>
      </c>
      <c r="D72" s="37">
        <v>6</v>
      </c>
      <c r="E72" s="37">
        <v>4</v>
      </c>
      <c r="F72" s="37">
        <v>8</v>
      </c>
      <c r="G72" s="37">
        <v>8</v>
      </c>
      <c r="H72" s="37">
        <v>9</v>
      </c>
      <c r="I72" s="37">
        <v>6</v>
      </c>
      <c r="J72" s="90">
        <v>7</v>
      </c>
      <c r="M72">
        <v>1</v>
      </c>
      <c r="N72">
        <f>M72+1</f>
        <v>2</v>
      </c>
      <c r="O72">
        <f t="shared" ref="O72:U72" si="6">N72+1</f>
        <v>3</v>
      </c>
      <c r="P72">
        <f t="shared" si="6"/>
        <v>4</v>
      </c>
      <c r="Q72">
        <f t="shared" si="6"/>
        <v>5</v>
      </c>
      <c r="R72">
        <f t="shared" si="6"/>
        <v>6</v>
      </c>
      <c r="S72">
        <f t="shared" si="6"/>
        <v>7</v>
      </c>
      <c r="T72">
        <f t="shared" si="6"/>
        <v>8</v>
      </c>
      <c r="U72">
        <f t="shared" si="6"/>
        <v>9</v>
      </c>
      <c r="W72" t="s">
        <v>479</v>
      </c>
    </row>
    <row r="73" spans="1:23" x14ac:dyDescent="0.35">
      <c r="A73">
        <v>70</v>
      </c>
      <c r="B73" s="123">
        <v>3</v>
      </c>
      <c r="C73" s="37">
        <v>8</v>
      </c>
      <c r="D73" s="37">
        <v>3</v>
      </c>
      <c r="E73" s="37">
        <v>4</v>
      </c>
      <c r="F73" s="37">
        <v>6</v>
      </c>
      <c r="G73" s="37">
        <v>4</v>
      </c>
      <c r="H73" s="37">
        <v>5</v>
      </c>
      <c r="I73" s="37">
        <v>5</v>
      </c>
      <c r="J73" s="90">
        <v>8</v>
      </c>
      <c r="L73" t="str">
        <f t="array" ref="L73:L81">TRANSPOSE(B3:J3)</f>
        <v>Expect</v>
      </c>
      <c r="M73" s="187" t="e">
        <f t="array" ref="M73:U81" ca="1">M60:U68*SQRT(ABS(M59:U59))</f>
        <v>#NAME?</v>
      </c>
      <c r="N73" s="188" t="e">
        <f ca="1"/>
        <v>#NAME?</v>
      </c>
      <c r="O73" s="188" t="e">
        <f ca="1"/>
        <v>#NAME?</v>
      </c>
      <c r="P73" s="188" t="e">
        <f ca="1"/>
        <v>#NAME?</v>
      </c>
      <c r="Q73" s="188" t="e">
        <f ca="1"/>
        <v>#NAME?</v>
      </c>
      <c r="R73" s="188" t="e">
        <f ca="1"/>
        <v>#NAME?</v>
      </c>
      <c r="S73" s="188" t="e">
        <f ca="1"/>
        <v>#NAME?</v>
      </c>
      <c r="T73" s="188" t="e">
        <f ca="1"/>
        <v>#NAME?</v>
      </c>
      <c r="U73" s="189" t="e">
        <f ca="1"/>
        <v>#NAME?</v>
      </c>
      <c r="W73" s="190" t="e">
        <f ca="1">SUMSQ(M73:U73)</f>
        <v>#NAME?</v>
      </c>
    </row>
    <row r="74" spans="1:23" x14ac:dyDescent="0.35">
      <c r="A74">
        <v>71</v>
      </c>
      <c r="B74" s="123">
        <v>6</v>
      </c>
      <c r="C74" s="37">
        <v>8</v>
      </c>
      <c r="D74" s="37">
        <v>5</v>
      </c>
      <c r="E74" s="37">
        <v>4</v>
      </c>
      <c r="F74" s="37">
        <v>7</v>
      </c>
      <c r="G74" s="37">
        <v>5</v>
      </c>
      <c r="H74" s="37">
        <v>6</v>
      </c>
      <c r="I74" s="37">
        <v>4</v>
      </c>
      <c r="J74" s="90">
        <v>7</v>
      </c>
      <c r="L74" t="str">
        <v>Entertain</v>
      </c>
      <c r="M74" s="83" t="e">
        <f ca="1"/>
        <v>#NAME?</v>
      </c>
      <c r="N74" s="37" t="e">
        <f ca="1"/>
        <v>#NAME?</v>
      </c>
      <c r="O74" s="37" t="e">
        <f ca="1"/>
        <v>#NAME?</v>
      </c>
      <c r="P74" s="37" t="e">
        <f ca="1"/>
        <v>#NAME?</v>
      </c>
      <c r="Q74" s="37" t="e">
        <f ca="1"/>
        <v>#NAME?</v>
      </c>
      <c r="R74" s="37" t="e">
        <f ca="1"/>
        <v>#NAME?</v>
      </c>
      <c r="S74" s="37" t="e">
        <f ca="1"/>
        <v>#NAME?</v>
      </c>
      <c r="T74" s="37" t="e">
        <f ca="1"/>
        <v>#NAME?</v>
      </c>
      <c r="U74" s="84" t="e">
        <f ca="1"/>
        <v>#NAME?</v>
      </c>
      <c r="W74" s="98" t="e">
        <f t="shared" ref="W74:W81" ca="1" si="7">SUMSQ(M74:U74)</f>
        <v>#NAME?</v>
      </c>
    </row>
    <row r="75" spans="1:23" x14ac:dyDescent="0.35">
      <c r="A75">
        <v>72</v>
      </c>
      <c r="B75" s="123">
        <v>4</v>
      </c>
      <c r="C75" s="37">
        <v>8</v>
      </c>
      <c r="D75" s="37">
        <v>4</v>
      </c>
      <c r="E75" s="37">
        <v>4</v>
      </c>
      <c r="F75" s="37">
        <v>7</v>
      </c>
      <c r="G75" s="37">
        <v>7</v>
      </c>
      <c r="H75" s="37">
        <v>6</v>
      </c>
      <c r="I75" s="37">
        <v>4</v>
      </c>
      <c r="J75" s="90">
        <v>7</v>
      </c>
      <c r="L75" t="str">
        <v>Comm</v>
      </c>
      <c r="M75" s="83" t="e">
        <f ca="1"/>
        <v>#NAME?</v>
      </c>
      <c r="N75" s="37" t="e">
        <f ca="1"/>
        <v>#NAME?</v>
      </c>
      <c r="O75" s="37" t="e">
        <f ca="1"/>
        <v>#NAME?</v>
      </c>
      <c r="P75" s="37" t="e">
        <f ca="1"/>
        <v>#NAME?</v>
      </c>
      <c r="Q75" s="37" t="e">
        <f ca="1"/>
        <v>#NAME?</v>
      </c>
      <c r="R75" s="37" t="e">
        <f ca="1"/>
        <v>#NAME?</v>
      </c>
      <c r="S75" s="37" t="e">
        <f ca="1"/>
        <v>#NAME?</v>
      </c>
      <c r="T75" s="37" t="e">
        <f ca="1"/>
        <v>#NAME?</v>
      </c>
      <c r="U75" s="84" t="e">
        <f ca="1"/>
        <v>#NAME?</v>
      </c>
      <c r="W75" s="98" t="e">
        <f t="shared" ca="1" si="7"/>
        <v>#NAME?</v>
      </c>
    </row>
    <row r="76" spans="1:23" x14ac:dyDescent="0.35">
      <c r="A76">
        <v>73</v>
      </c>
      <c r="B76" s="123">
        <v>4</v>
      </c>
      <c r="C76" s="37">
        <v>7</v>
      </c>
      <c r="D76" s="37">
        <v>3</v>
      </c>
      <c r="E76" s="37">
        <v>3</v>
      </c>
      <c r="F76" s="37">
        <v>6</v>
      </c>
      <c r="G76" s="37">
        <v>5</v>
      </c>
      <c r="H76" s="37">
        <v>5</v>
      </c>
      <c r="I76" s="37">
        <v>4</v>
      </c>
      <c r="J76" s="90">
        <v>7</v>
      </c>
      <c r="L76" t="str">
        <v>Expert</v>
      </c>
      <c r="M76" s="83" t="e">
        <f ca="1"/>
        <v>#NAME?</v>
      </c>
      <c r="N76" s="37" t="e">
        <f ca="1"/>
        <v>#NAME?</v>
      </c>
      <c r="O76" s="37" t="e">
        <f ca="1"/>
        <v>#NAME?</v>
      </c>
      <c r="P76" s="37" t="e">
        <f ca="1"/>
        <v>#NAME?</v>
      </c>
      <c r="Q76" s="37" t="e">
        <f ca="1"/>
        <v>#NAME?</v>
      </c>
      <c r="R76" s="37" t="e">
        <f ca="1"/>
        <v>#NAME?</v>
      </c>
      <c r="S76" s="37" t="e">
        <f ca="1"/>
        <v>#NAME?</v>
      </c>
      <c r="T76" s="37" t="e">
        <f ca="1"/>
        <v>#NAME?</v>
      </c>
      <c r="U76" s="84" t="e">
        <f ca="1"/>
        <v>#NAME?</v>
      </c>
      <c r="W76" s="98" t="e">
        <f t="shared" ca="1" si="7"/>
        <v>#NAME?</v>
      </c>
    </row>
    <row r="77" spans="1:23" x14ac:dyDescent="0.35">
      <c r="A77">
        <v>74</v>
      </c>
      <c r="B77" s="123">
        <v>4</v>
      </c>
      <c r="C77" s="37">
        <v>8</v>
      </c>
      <c r="D77" s="37">
        <v>5</v>
      </c>
      <c r="E77" s="37">
        <v>4</v>
      </c>
      <c r="F77" s="37">
        <v>7</v>
      </c>
      <c r="G77" s="37">
        <v>8</v>
      </c>
      <c r="H77" s="37">
        <v>8</v>
      </c>
      <c r="I77" s="37">
        <v>5</v>
      </c>
      <c r="J77" s="90">
        <v>7</v>
      </c>
      <c r="L77" t="str">
        <v>Motivate</v>
      </c>
      <c r="M77" s="83" t="e">
        <f ca="1"/>
        <v>#NAME?</v>
      </c>
      <c r="N77" s="37" t="e">
        <f ca="1"/>
        <v>#NAME?</v>
      </c>
      <c r="O77" s="37" t="e">
        <f ca="1"/>
        <v>#NAME?</v>
      </c>
      <c r="P77" s="37" t="e">
        <f ca="1"/>
        <v>#NAME?</v>
      </c>
      <c r="Q77" s="37" t="e">
        <f ca="1"/>
        <v>#NAME?</v>
      </c>
      <c r="R77" s="37" t="e">
        <f ca="1"/>
        <v>#NAME?</v>
      </c>
      <c r="S77" s="37" t="e">
        <f ca="1"/>
        <v>#NAME?</v>
      </c>
      <c r="T77" s="37" t="e">
        <f ca="1"/>
        <v>#NAME?</v>
      </c>
      <c r="U77" s="84" t="e">
        <f ca="1"/>
        <v>#NAME?</v>
      </c>
      <c r="W77" s="98" t="e">
        <f t="shared" ca="1" si="7"/>
        <v>#NAME?</v>
      </c>
    </row>
    <row r="78" spans="1:23" x14ac:dyDescent="0.35">
      <c r="A78">
        <v>75</v>
      </c>
      <c r="B78" s="123">
        <v>3</v>
      </c>
      <c r="C78" s="37">
        <v>8</v>
      </c>
      <c r="D78" s="37">
        <v>2</v>
      </c>
      <c r="E78" s="37">
        <v>4</v>
      </c>
      <c r="F78" s="37">
        <v>6</v>
      </c>
      <c r="G78" s="37">
        <v>5</v>
      </c>
      <c r="H78" s="37">
        <v>5</v>
      </c>
      <c r="I78" s="37">
        <v>5</v>
      </c>
      <c r="J78" s="90">
        <v>8</v>
      </c>
      <c r="L78" t="str">
        <v>Caring</v>
      </c>
      <c r="M78" s="83" t="e">
        <f ca="1"/>
        <v>#NAME?</v>
      </c>
      <c r="N78" s="37" t="e">
        <f ca="1"/>
        <v>#NAME?</v>
      </c>
      <c r="O78" s="37" t="e">
        <f ca="1"/>
        <v>#NAME?</v>
      </c>
      <c r="P78" s="37" t="e">
        <f ca="1"/>
        <v>#NAME?</v>
      </c>
      <c r="Q78" s="37" t="e">
        <f ca="1"/>
        <v>#NAME?</v>
      </c>
      <c r="R78" s="37" t="e">
        <f ca="1"/>
        <v>#NAME?</v>
      </c>
      <c r="S78" s="37" t="e">
        <f ca="1"/>
        <v>#NAME?</v>
      </c>
      <c r="T78" s="37" t="e">
        <f ca="1"/>
        <v>#NAME?</v>
      </c>
      <c r="U78" s="84" t="e">
        <f ca="1"/>
        <v>#NAME?</v>
      </c>
      <c r="W78" s="98" t="e">
        <f t="shared" ca="1" si="7"/>
        <v>#NAME?</v>
      </c>
    </row>
    <row r="79" spans="1:23" x14ac:dyDescent="0.35">
      <c r="A79">
        <v>76</v>
      </c>
      <c r="B79" s="123">
        <v>4</v>
      </c>
      <c r="C79" s="37">
        <v>8</v>
      </c>
      <c r="D79" s="37">
        <v>3</v>
      </c>
      <c r="E79" s="37">
        <v>1</v>
      </c>
      <c r="F79" s="37">
        <v>6</v>
      </c>
      <c r="G79" s="37">
        <v>4</v>
      </c>
      <c r="H79" s="37">
        <v>1</v>
      </c>
      <c r="I79" s="37">
        <v>4</v>
      </c>
      <c r="J79" s="90">
        <v>7</v>
      </c>
      <c r="L79" t="str">
        <v>Charisma</v>
      </c>
      <c r="M79" s="83" t="e">
        <f ca="1"/>
        <v>#NAME?</v>
      </c>
      <c r="N79" s="37" t="e">
        <f ca="1"/>
        <v>#NAME?</v>
      </c>
      <c r="O79" s="37" t="e">
        <f ca="1"/>
        <v>#NAME?</v>
      </c>
      <c r="P79" s="37" t="e">
        <f ca="1"/>
        <v>#NAME?</v>
      </c>
      <c r="Q79" s="37" t="e">
        <f ca="1"/>
        <v>#NAME?</v>
      </c>
      <c r="R79" s="37" t="e">
        <f ca="1"/>
        <v>#NAME?</v>
      </c>
      <c r="S79" s="37" t="e">
        <f ca="1"/>
        <v>#NAME?</v>
      </c>
      <c r="T79" s="37" t="e">
        <f ca="1"/>
        <v>#NAME?</v>
      </c>
      <c r="U79" s="84" t="e">
        <f ca="1"/>
        <v>#NAME?</v>
      </c>
      <c r="W79" s="98" t="e">
        <f t="shared" ca="1" si="7"/>
        <v>#NAME?</v>
      </c>
    </row>
    <row r="80" spans="1:23" x14ac:dyDescent="0.35">
      <c r="A80">
        <v>77</v>
      </c>
      <c r="B80" s="123">
        <v>4</v>
      </c>
      <c r="C80" s="37">
        <v>9</v>
      </c>
      <c r="D80" s="37">
        <v>6</v>
      </c>
      <c r="E80" s="37">
        <v>5</v>
      </c>
      <c r="F80" s="37">
        <v>8</v>
      </c>
      <c r="G80" s="37">
        <v>5</v>
      </c>
      <c r="H80" s="37">
        <v>9</v>
      </c>
      <c r="I80" s="37">
        <v>5</v>
      </c>
      <c r="J80" s="90">
        <v>8</v>
      </c>
      <c r="L80" t="str">
        <v>Passion</v>
      </c>
      <c r="M80" s="83" t="e">
        <f ca="1"/>
        <v>#NAME?</v>
      </c>
      <c r="N80" s="37" t="e">
        <f ca="1"/>
        <v>#NAME?</v>
      </c>
      <c r="O80" s="37" t="e">
        <f ca="1"/>
        <v>#NAME?</v>
      </c>
      <c r="P80" s="37" t="e">
        <f ca="1"/>
        <v>#NAME?</v>
      </c>
      <c r="Q80" s="37" t="e">
        <f ca="1"/>
        <v>#NAME?</v>
      </c>
      <c r="R80" s="37" t="e">
        <f ca="1"/>
        <v>#NAME?</v>
      </c>
      <c r="S80" s="37" t="e">
        <f ca="1"/>
        <v>#NAME?</v>
      </c>
      <c r="T80" s="37" t="e">
        <f ca="1"/>
        <v>#NAME?</v>
      </c>
      <c r="U80" s="84" t="e">
        <f ca="1"/>
        <v>#NAME?</v>
      </c>
      <c r="W80" s="98" t="e">
        <f t="shared" ca="1" si="7"/>
        <v>#NAME?</v>
      </c>
    </row>
    <row r="81" spans="1:23" x14ac:dyDescent="0.35">
      <c r="A81">
        <v>78</v>
      </c>
      <c r="B81" s="123">
        <v>2</v>
      </c>
      <c r="C81" s="37">
        <v>9</v>
      </c>
      <c r="D81" s="37">
        <v>5</v>
      </c>
      <c r="E81" s="37">
        <v>2</v>
      </c>
      <c r="F81" s="37">
        <v>6</v>
      </c>
      <c r="G81" s="37">
        <v>7</v>
      </c>
      <c r="H81" s="37">
        <v>8</v>
      </c>
      <c r="I81" s="37">
        <v>5</v>
      </c>
      <c r="J81" s="90">
        <v>8</v>
      </c>
      <c r="L81" t="str">
        <v>Friendly</v>
      </c>
      <c r="M81" s="85" t="e">
        <f ca="1"/>
        <v>#NAME?</v>
      </c>
      <c r="N81" s="86" t="e">
        <f ca="1"/>
        <v>#NAME?</v>
      </c>
      <c r="O81" s="86" t="e">
        <f ca="1"/>
        <v>#NAME?</v>
      </c>
      <c r="P81" s="86" t="e">
        <f ca="1"/>
        <v>#NAME?</v>
      </c>
      <c r="Q81" s="86" t="e">
        <f ca="1"/>
        <v>#NAME?</v>
      </c>
      <c r="R81" s="86" t="e">
        <f ca="1"/>
        <v>#NAME?</v>
      </c>
      <c r="S81" s="86" t="e">
        <f ca="1"/>
        <v>#NAME?</v>
      </c>
      <c r="T81" s="86" t="e">
        <f ca="1"/>
        <v>#NAME?</v>
      </c>
      <c r="U81" s="87" t="e">
        <f ca="1"/>
        <v>#NAME?</v>
      </c>
      <c r="W81" s="99" t="e">
        <f t="shared" ca="1" si="7"/>
        <v>#NAME?</v>
      </c>
    </row>
    <row r="82" spans="1:23" x14ac:dyDescent="0.35">
      <c r="A82">
        <v>79</v>
      </c>
      <c r="B82" s="123">
        <v>4</v>
      </c>
      <c r="C82" s="37">
        <v>7</v>
      </c>
      <c r="D82" s="37">
        <v>2</v>
      </c>
      <c r="E82" s="37">
        <v>1</v>
      </c>
      <c r="F82" s="37">
        <v>6</v>
      </c>
      <c r="G82" s="37">
        <v>3</v>
      </c>
      <c r="H82" s="37">
        <v>1</v>
      </c>
      <c r="I82" s="37">
        <v>2</v>
      </c>
      <c r="J82" s="90">
        <v>7</v>
      </c>
    </row>
    <row r="83" spans="1:23" x14ac:dyDescent="0.35">
      <c r="A83">
        <v>80</v>
      </c>
      <c r="B83" s="123">
        <v>5</v>
      </c>
      <c r="C83" s="37">
        <v>8</v>
      </c>
      <c r="D83" s="37">
        <v>4</v>
      </c>
      <c r="E83" s="37">
        <v>3</v>
      </c>
      <c r="F83" s="37">
        <v>7</v>
      </c>
      <c r="G83" s="37">
        <v>5</v>
      </c>
      <c r="H83" s="37">
        <v>4</v>
      </c>
      <c r="I83" s="37">
        <v>5</v>
      </c>
      <c r="J83" s="90">
        <v>7</v>
      </c>
      <c r="L83" t="s">
        <v>489</v>
      </c>
    </row>
    <row r="84" spans="1:23" x14ac:dyDescent="0.35">
      <c r="A84">
        <v>81</v>
      </c>
      <c r="B84" s="123">
        <v>4</v>
      </c>
      <c r="C84" s="37">
        <v>8</v>
      </c>
      <c r="D84" s="37">
        <v>5</v>
      </c>
      <c r="E84" s="37">
        <v>4</v>
      </c>
      <c r="F84" s="37">
        <v>7</v>
      </c>
      <c r="G84" s="37">
        <v>6</v>
      </c>
      <c r="H84" s="37">
        <v>8</v>
      </c>
      <c r="I84" s="37">
        <v>4</v>
      </c>
      <c r="J84" s="90">
        <v>7</v>
      </c>
    </row>
    <row r="85" spans="1:23" x14ac:dyDescent="0.35">
      <c r="A85">
        <v>82</v>
      </c>
      <c r="B85" s="123">
        <v>4</v>
      </c>
      <c r="C85" s="37">
        <v>8</v>
      </c>
      <c r="D85" s="37">
        <v>3</v>
      </c>
      <c r="E85" s="37">
        <v>4</v>
      </c>
      <c r="F85" s="37">
        <v>7</v>
      </c>
      <c r="G85" s="37">
        <v>6</v>
      </c>
      <c r="H85" s="37">
        <v>3</v>
      </c>
      <c r="I85" s="37">
        <v>7</v>
      </c>
      <c r="J85" s="90">
        <v>8</v>
      </c>
      <c r="M85" t="str">
        <f t="array" ref="M85:U85">B3:J3</f>
        <v>Expect</v>
      </c>
      <c r="N85" t="str">
        <v>Entertain</v>
      </c>
      <c r="O85" t="str">
        <v>Comm</v>
      </c>
      <c r="P85" t="str">
        <v>Expert</v>
      </c>
      <c r="Q85" t="str">
        <v>Motivate</v>
      </c>
      <c r="R85" t="str">
        <v>Caring</v>
      </c>
      <c r="S85" t="str">
        <v>Charisma</v>
      </c>
      <c r="T85" t="str">
        <v>Passion</v>
      </c>
      <c r="U85" t="str">
        <v>Friendly</v>
      </c>
    </row>
    <row r="86" spans="1:23" x14ac:dyDescent="0.35">
      <c r="A86">
        <v>83</v>
      </c>
      <c r="B86" s="123">
        <v>5</v>
      </c>
      <c r="C86" s="37">
        <v>8</v>
      </c>
      <c r="D86" s="37">
        <v>3</v>
      </c>
      <c r="E86" s="37">
        <v>3</v>
      </c>
      <c r="F86" s="37">
        <v>7</v>
      </c>
      <c r="G86" s="37">
        <v>6</v>
      </c>
      <c r="H86" s="37">
        <v>1</v>
      </c>
      <c r="I86" s="37">
        <v>4</v>
      </c>
      <c r="J86" s="90">
        <v>7</v>
      </c>
      <c r="M86" s="191" t="e">
        <f t="array" aca="1" ref="M86:U86" ca="1">1-1/DIAG(M28:U36)</f>
        <v>#NAME?</v>
      </c>
      <c r="N86" s="192" t="e">
        <f ca="1"/>
        <v>#NAME?</v>
      </c>
      <c r="O86" s="192" t="e">
        <f ca="1"/>
        <v>#NAME?</v>
      </c>
      <c r="P86" s="192" t="e">
        <f ca="1"/>
        <v>#NAME?</v>
      </c>
      <c r="Q86" s="192" t="e">
        <f ca="1"/>
        <v>#NAME?</v>
      </c>
      <c r="R86" s="192" t="e">
        <f ca="1"/>
        <v>#NAME?</v>
      </c>
      <c r="S86" s="192" t="e">
        <f ca="1"/>
        <v>#NAME?</v>
      </c>
      <c r="T86" s="192" t="e">
        <f ca="1"/>
        <v>#NAME?</v>
      </c>
      <c r="U86" s="193" t="e">
        <f ca="1"/>
        <v>#NAME?</v>
      </c>
    </row>
    <row r="87" spans="1:23" x14ac:dyDescent="0.35">
      <c r="A87">
        <v>84</v>
      </c>
      <c r="B87" s="123">
        <v>2</v>
      </c>
      <c r="C87" s="37">
        <v>9</v>
      </c>
      <c r="D87" s="37">
        <v>6</v>
      </c>
      <c r="E87" s="37">
        <v>4</v>
      </c>
      <c r="F87" s="37">
        <v>8</v>
      </c>
      <c r="G87" s="37">
        <v>6</v>
      </c>
      <c r="H87" s="37">
        <v>8</v>
      </c>
      <c r="I87" s="37">
        <v>5</v>
      </c>
      <c r="J87" s="90">
        <v>8</v>
      </c>
    </row>
    <row r="88" spans="1:23" x14ac:dyDescent="0.35">
      <c r="A88">
        <v>85</v>
      </c>
      <c r="B88" s="123">
        <v>5</v>
      </c>
      <c r="C88" s="37">
        <v>8</v>
      </c>
      <c r="D88" s="37">
        <v>4</v>
      </c>
      <c r="E88" s="37">
        <v>4</v>
      </c>
      <c r="F88" s="37">
        <v>7</v>
      </c>
      <c r="G88" s="37">
        <v>6</v>
      </c>
      <c r="H88" s="37">
        <v>5</v>
      </c>
      <c r="I88" s="37">
        <v>5</v>
      </c>
      <c r="J88" s="90">
        <v>7</v>
      </c>
      <c r="L88" t="s">
        <v>490</v>
      </c>
    </row>
    <row r="89" spans="1:23" x14ac:dyDescent="0.35">
      <c r="A89">
        <v>86</v>
      </c>
      <c r="B89" s="123">
        <v>4</v>
      </c>
      <c r="C89" s="37">
        <v>8</v>
      </c>
      <c r="D89" s="37">
        <v>7</v>
      </c>
      <c r="E89" s="37">
        <v>5</v>
      </c>
      <c r="F89" s="37">
        <v>7</v>
      </c>
      <c r="G89" s="37">
        <v>6</v>
      </c>
      <c r="H89" s="37">
        <v>9</v>
      </c>
      <c r="I89" s="37">
        <v>6</v>
      </c>
      <c r="J89" s="90">
        <v>7</v>
      </c>
    </row>
    <row r="90" spans="1:23" x14ac:dyDescent="0.35">
      <c r="A90">
        <v>87</v>
      </c>
      <c r="B90" s="123">
        <v>5</v>
      </c>
      <c r="C90" s="37">
        <v>7</v>
      </c>
      <c r="D90" s="37">
        <v>2</v>
      </c>
      <c r="E90" s="37">
        <v>3</v>
      </c>
      <c r="F90" s="37">
        <v>5</v>
      </c>
      <c r="G90" s="37">
        <v>5</v>
      </c>
      <c r="H90" s="37">
        <v>1</v>
      </c>
      <c r="I90" s="37">
        <v>3</v>
      </c>
      <c r="J90" s="90">
        <v>7</v>
      </c>
      <c r="M90" t="str">
        <f t="array" ref="M90:U90">B3:J3</f>
        <v>Expect</v>
      </c>
      <c r="N90" t="str">
        <v>Entertain</v>
      </c>
      <c r="O90" t="str">
        <v>Comm</v>
      </c>
      <c r="P90" t="str">
        <v>Expert</v>
      </c>
      <c r="Q90" t="str">
        <v>Motivate</v>
      </c>
      <c r="R90" t="str">
        <v>Caring</v>
      </c>
      <c r="S90" t="str">
        <v>Charisma</v>
      </c>
      <c r="T90" t="str">
        <v>Passion</v>
      </c>
      <c r="U90" t="str">
        <v>Friendly</v>
      </c>
    </row>
    <row r="91" spans="1:23" x14ac:dyDescent="0.35">
      <c r="A91">
        <v>88</v>
      </c>
      <c r="B91" s="123">
        <v>3</v>
      </c>
      <c r="C91" s="37">
        <v>8</v>
      </c>
      <c r="D91" s="37">
        <v>3</v>
      </c>
      <c r="E91" s="37">
        <v>2</v>
      </c>
      <c r="F91" s="37">
        <v>6</v>
      </c>
      <c r="G91" s="37">
        <v>6</v>
      </c>
      <c r="H91" s="37">
        <v>1</v>
      </c>
      <c r="I91" s="37">
        <v>5</v>
      </c>
      <c r="J91" s="90">
        <v>7</v>
      </c>
      <c r="M91" s="191" t="e">
        <f t="array" aca="1" ref="M91:U91" ca="1">ExtractCommunalities(M14:U22,25,,200)</f>
        <v>#NAME?</v>
      </c>
      <c r="N91" s="192" t="e">
        <f ca="1"/>
        <v>#NAME?</v>
      </c>
      <c r="O91" s="192" t="e">
        <f ca="1"/>
        <v>#NAME?</v>
      </c>
      <c r="P91" s="192" t="e">
        <f ca="1"/>
        <v>#NAME?</v>
      </c>
      <c r="Q91" s="192" t="e">
        <f ca="1"/>
        <v>#NAME?</v>
      </c>
      <c r="R91" s="192" t="e">
        <f ca="1"/>
        <v>#NAME?</v>
      </c>
      <c r="S91" s="192" t="e">
        <f ca="1"/>
        <v>#NAME?</v>
      </c>
      <c r="T91" s="192" t="e">
        <f ca="1"/>
        <v>#NAME?</v>
      </c>
      <c r="U91" s="193" t="e">
        <f ca="1"/>
        <v>#NAME?</v>
      </c>
    </row>
    <row r="92" spans="1:23" x14ac:dyDescent="0.35">
      <c r="A92">
        <v>89</v>
      </c>
      <c r="B92" s="123">
        <v>2</v>
      </c>
      <c r="C92" s="37">
        <v>8</v>
      </c>
      <c r="D92" s="37">
        <v>4</v>
      </c>
      <c r="E92" s="37">
        <v>2</v>
      </c>
      <c r="F92" s="37">
        <v>7</v>
      </c>
      <c r="G92" s="37">
        <v>6</v>
      </c>
      <c r="H92" s="37">
        <v>5</v>
      </c>
      <c r="I92" s="37">
        <v>6</v>
      </c>
      <c r="J92" s="90">
        <v>7</v>
      </c>
    </row>
    <row r="93" spans="1:23" x14ac:dyDescent="0.35">
      <c r="A93">
        <v>90</v>
      </c>
      <c r="B93" s="123">
        <v>3</v>
      </c>
      <c r="C93" s="37">
        <v>8</v>
      </c>
      <c r="D93" s="37">
        <v>2</v>
      </c>
      <c r="E93" s="37">
        <v>4</v>
      </c>
      <c r="F93" s="37">
        <v>8</v>
      </c>
      <c r="G93" s="37">
        <v>7</v>
      </c>
      <c r="H93" s="37">
        <v>3</v>
      </c>
      <c r="I93" s="37">
        <v>5</v>
      </c>
      <c r="J93" s="90">
        <v>8</v>
      </c>
      <c r="L93" t="s">
        <v>469</v>
      </c>
    </row>
    <row r="94" spans="1:23" x14ac:dyDescent="0.35">
      <c r="A94">
        <v>91</v>
      </c>
      <c r="B94" s="123">
        <v>5</v>
      </c>
      <c r="C94" s="37">
        <v>8</v>
      </c>
      <c r="D94" s="37">
        <v>3</v>
      </c>
      <c r="E94" s="37">
        <v>2</v>
      </c>
      <c r="F94" s="37">
        <v>5</v>
      </c>
      <c r="G94" s="37">
        <v>5</v>
      </c>
      <c r="H94" s="37">
        <v>5</v>
      </c>
      <c r="I94" s="37">
        <v>4</v>
      </c>
      <c r="J94" s="90">
        <v>7</v>
      </c>
    </row>
    <row r="95" spans="1:23" x14ac:dyDescent="0.35">
      <c r="A95">
        <v>92</v>
      </c>
      <c r="B95" s="123">
        <v>3</v>
      </c>
      <c r="C95" s="37">
        <v>8</v>
      </c>
      <c r="D95" s="37">
        <v>2</v>
      </c>
      <c r="E95" s="37">
        <v>4</v>
      </c>
      <c r="F95" s="37">
        <v>6</v>
      </c>
      <c r="G95" s="37">
        <v>6</v>
      </c>
      <c r="H95" s="37">
        <v>7</v>
      </c>
      <c r="I95" s="37">
        <v>4</v>
      </c>
      <c r="J95" s="90">
        <v>7</v>
      </c>
      <c r="M95" t="str">
        <f t="array" ref="M95:U95">B3:J3</f>
        <v>Expect</v>
      </c>
      <c r="N95" t="str">
        <v>Entertain</v>
      </c>
      <c r="O95" t="str">
        <v>Comm</v>
      </c>
      <c r="P95" t="str">
        <v>Expert</v>
      </c>
      <c r="Q95" t="str">
        <v>Motivate</v>
      </c>
      <c r="R95" t="str">
        <v>Caring</v>
      </c>
      <c r="S95" t="str">
        <v>Charisma</v>
      </c>
      <c r="T95" t="str">
        <v>Passion</v>
      </c>
      <c r="U95" t="str">
        <v>Friendly</v>
      </c>
    </row>
    <row r="96" spans="1:23" x14ac:dyDescent="0.35">
      <c r="A96">
        <v>93</v>
      </c>
      <c r="B96" s="123">
        <v>3</v>
      </c>
      <c r="C96" s="37">
        <v>8</v>
      </c>
      <c r="D96" s="37">
        <v>2</v>
      </c>
      <c r="E96" s="37">
        <v>2</v>
      </c>
      <c r="F96" s="37">
        <v>7</v>
      </c>
      <c r="G96" s="37">
        <v>8</v>
      </c>
      <c r="H96" s="37">
        <v>1</v>
      </c>
      <c r="I96" s="37">
        <v>4</v>
      </c>
      <c r="J96" s="90">
        <v>7</v>
      </c>
      <c r="L96" t="str">
        <f t="array" ref="L96:L104">TRANSPOSE(B3:J3)</f>
        <v>Expect</v>
      </c>
      <c r="M96" s="187" t="e">
        <f t="array" aca="1" ref="M96:U104" ca="1">M14:U22-Identity()+DIAGONAL(M91:U91)</f>
        <v>#NAME?</v>
      </c>
      <c r="N96" s="188" t="e">
        <f ca="1"/>
        <v>#NAME?</v>
      </c>
      <c r="O96" s="188" t="e">
        <f ca="1"/>
        <v>#NAME?</v>
      </c>
      <c r="P96" s="188" t="e">
        <f ca="1"/>
        <v>#NAME?</v>
      </c>
      <c r="Q96" s="188" t="e">
        <f ca="1"/>
        <v>#NAME?</v>
      </c>
      <c r="R96" s="188" t="e">
        <f ca="1"/>
        <v>#NAME?</v>
      </c>
      <c r="S96" s="188" t="e">
        <f ca="1"/>
        <v>#NAME?</v>
      </c>
      <c r="T96" s="188" t="e">
        <f ca="1"/>
        <v>#NAME?</v>
      </c>
      <c r="U96" s="189" t="e">
        <f ca="1"/>
        <v>#NAME?</v>
      </c>
    </row>
    <row r="97" spans="1:21" x14ac:dyDescent="0.35">
      <c r="A97">
        <v>94</v>
      </c>
      <c r="B97" s="123">
        <v>3</v>
      </c>
      <c r="C97" s="37">
        <v>8</v>
      </c>
      <c r="D97" s="37">
        <v>2</v>
      </c>
      <c r="E97" s="37">
        <v>2</v>
      </c>
      <c r="F97" s="37">
        <v>6</v>
      </c>
      <c r="G97" s="37">
        <v>4</v>
      </c>
      <c r="H97" s="37">
        <v>4</v>
      </c>
      <c r="I97" s="37">
        <v>5</v>
      </c>
      <c r="J97" s="90">
        <v>7</v>
      </c>
      <c r="L97" t="str">
        <v>Entertain</v>
      </c>
      <c r="M97" s="83" t="e">
        <f ca="1"/>
        <v>#NAME?</v>
      </c>
      <c r="N97" s="37" t="e">
        <f ca="1"/>
        <v>#NAME?</v>
      </c>
      <c r="O97" s="37" t="e">
        <f ca="1"/>
        <v>#NAME?</v>
      </c>
      <c r="P97" s="37" t="e">
        <f ca="1"/>
        <v>#NAME?</v>
      </c>
      <c r="Q97" s="37" t="e">
        <f ca="1"/>
        <v>#NAME?</v>
      </c>
      <c r="R97" s="37" t="e">
        <f ca="1"/>
        <v>#NAME?</v>
      </c>
      <c r="S97" s="37" t="e">
        <f ca="1"/>
        <v>#NAME?</v>
      </c>
      <c r="T97" s="37" t="e">
        <f ca="1"/>
        <v>#NAME?</v>
      </c>
      <c r="U97" s="84" t="e">
        <f ca="1"/>
        <v>#NAME?</v>
      </c>
    </row>
    <row r="98" spans="1:21" x14ac:dyDescent="0.35">
      <c r="A98">
        <v>95</v>
      </c>
      <c r="B98" s="123">
        <v>4</v>
      </c>
      <c r="C98" s="37">
        <v>8</v>
      </c>
      <c r="D98" s="37">
        <v>3</v>
      </c>
      <c r="E98" s="37">
        <v>3</v>
      </c>
      <c r="F98" s="37">
        <v>5</v>
      </c>
      <c r="G98" s="37">
        <v>5</v>
      </c>
      <c r="H98" s="37">
        <v>1</v>
      </c>
      <c r="I98" s="37">
        <v>4</v>
      </c>
      <c r="J98" s="90">
        <v>8</v>
      </c>
      <c r="L98" t="str">
        <v>Comm</v>
      </c>
      <c r="M98" s="83" t="e">
        <f ca="1"/>
        <v>#NAME?</v>
      </c>
      <c r="N98" s="37" t="e">
        <f ca="1"/>
        <v>#NAME?</v>
      </c>
      <c r="O98" s="37" t="e">
        <f ca="1"/>
        <v>#NAME?</v>
      </c>
      <c r="P98" s="37" t="e">
        <f ca="1"/>
        <v>#NAME?</v>
      </c>
      <c r="Q98" s="37" t="e">
        <f ca="1"/>
        <v>#NAME?</v>
      </c>
      <c r="R98" s="37" t="e">
        <f ca="1"/>
        <v>#NAME?</v>
      </c>
      <c r="S98" s="37" t="e">
        <f ca="1"/>
        <v>#NAME?</v>
      </c>
      <c r="T98" s="37" t="e">
        <f ca="1"/>
        <v>#NAME?</v>
      </c>
      <c r="U98" s="84" t="e">
        <f ca="1"/>
        <v>#NAME?</v>
      </c>
    </row>
    <row r="99" spans="1:21" x14ac:dyDescent="0.35">
      <c r="A99">
        <v>96</v>
      </c>
      <c r="B99" s="123">
        <v>5</v>
      </c>
      <c r="C99" s="37">
        <v>8</v>
      </c>
      <c r="D99" s="37">
        <v>2</v>
      </c>
      <c r="E99" s="37">
        <v>3</v>
      </c>
      <c r="F99" s="37">
        <v>7</v>
      </c>
      <c r="G99" s="37">
        <v>6</v>
      </c>
      <c r="H99" s="37">
        <v>5</v>
      </c>
      <c r="I99" s="37">
        <v>4</v>
      </c>
      <c r="J99" s="90">
        <v>7</v>
      </c>
      <c r="L99" t="str">
        <v>Expert</v>
      </c>
      <c r="M99" s="83" t="e">
        <f ca="1"/>
        <v>#NAME?</v>
      </c>
      <c r="N99" s="37" t="e">
        <f ca="1"/>
        <v>#NAME?</v>
      </c>
      <c r="O99" s="37" t="e">
        <f ca="1"/>
        <v>#NAME?</v>
      </c>
      <c r="P99" s="37" t="e">
        <f ca="1"/>
        <v>#NAME?</v>
      </c>
      <c r="Q99" s="37" t="e">
        <f ca="1"/>
        <v>#NAME?</v>
      </c>
      <c r="R99" s="37" t="e">
        <f ca="1"/>
        <v>#NAME?</v>
      </c>
      <c r="S99" s="37" t="e">
        <f ca="1"/>
        <v>#NAME?</v>
      </c>
      <c r="T99" s="37" t="e">
        <f ca="1"/>
        <v>#NAME?</v>
      </c>
      <c r="U99" s="84" t="e">
        <f ca="1"/>
        <v>#NAME?</v>
      </c>
    </row>
    <row r="100" spans="1:21" x14ac:dyDescent="0.35">
      <c r="A100">
        <v>97</v>
      </c>
      <c r="B100" s="123">
        <v>4</v>
      </c>
      <c r="C100" s="37">
        <v>9</v>
      </c>
      <c r="D100" s="37">
        <v>2</v>
      </c>
      <c r="E100" s="37">
        <v>3</v>
      </c>
      <c r="F100" s="37">
        <v>7</v>
      </c>
      <c r="G100" s="37">
        <v>7</v>
      </c>
      <c r="H100" s="37">
        <v>6</v>
      </c>
      <c r="I100" s="37">
        <v>6</v>
      </c>
      <c r="J100" s="90">
        <v>6</v>
      </c>
      <c r="L100" t="str">
        <v>Motivate</v>
      </c>
      <c r="M100" s="83" t="e">
        <f ca="1"/>
        <v>#NAME?</v>
      </c>
      <c r="N100" s="37" t="e">
        <f ca="1"/>
        <v>#NAME?</v>
      </c>
      <c r="O100" s="37" t="e">
        <f ca="1"/>
        <v>#NAME?</v>
      </c>
      <c r="P100" s="37" t="e">
        <f ca="1"/>
        <v>#NAME?</v>
      </c>
      <c r="Q100" s="37" t="e">
        <f ca="1"/>
        <v>#NAME?</v>
      </c>
      <c r="R100" s="37" t="e">
        <f ca="1"/>
        <v>#NAME?</v>
      </c>
      <c r="S100" s="37" t="e">
        <f ca="1"/>
        <v>#NAME?</v>
      </c>
      <c r="T100" s="37" t="e">
        <f ca="1"/>
        <v>#NAME?</v>
      </c>
      <c r="U100" s="84" t="e">
        <f ca="1"/>
        <v>#NAME?</v>
      </c>
    </row>
    <row r="101" spans="1:21" x14ac:dyDescent="0.35">
      <c r="A101">
        <v>98</v>
      </c>
      <c r="B101" s="123">
        <v>4</v>
      </c>
      <c r="C101" s="37">
        <v>8</v>
      </c>
      <c r="D101" s="37">
        <v>3</v>
      </c>
      <c r="E101" s="37">
        <v>3</v>
      </c>
      <c r="F101" s="37">
        <v>6</v>
      </c>
      <c r="G101" s="37">
        <v>6</v>
      </c>
      <c r="H101" s="37">
        <v>5</v>
      </c>
      <c r="I101" s="37">
        <v>5</v>
      </c>
      <c r="J101" s="90">
        <v>7</v>
      </c>
      <c r="L101" t="str">
        <v>Caring</v>
      </c>
      <c r="M101" s="83" t="e">
        <f ca="1"/>
        <v>#NAME?</v>
      </c>
      <c r="N101" s="37" t="e">
        <f ca="1"/>
        <v>#NAME?</v>
      </c>
      <c r="O101" s="37" t="e">
        <f ca="1"/>
        <v>#NAME?</v>
      </c>
      <c r="P101" s="37" t="e">
        <f ca="1"/>
        <v>#NAME?</v>
      </c>
      <c r="Q101" s="37" t="e">
        <f ca="1"/>
        <v>#NAME?</v>
      </c>
      <c r="R101" s="37" t="e">
        <f ca="1"/>
        <v>#NAME?</v>
      </c>
      <c r="S101" s="37" t="e">
        <f ca="1"/>
        <v>#NAME?</v>
      </c>
      <c r="T101" s="37" t="e">
        <f ca="1"/>
        <v>#NAME?</v>
      </c>
      <c r="U101" s="84" t="e">
        <f ca="1"/>
        <v>#NAME?</v>
      </c>
    </row>
    <row r="102" spans="1:21" x14ac:dyDescent="0.35">
      <c r="A102">
        <v>99</v>
      </c>
      <c r="B102" s="123">
        <v>3</v>
      </c>
      <c r="C102" s="37">
        <v>8</v>
      </c>
      <c r="D102" s="37">
        <v>3</v>
      </c>
      <c r="E102" s="37">
        <v>3</v>
      </c>
      <c r="F102" s="37">
        <v>7</v>
      </c>
      <c r="G102" s="37">
        <v>5</v>
      </c>
      <c r="H102" s="37">
        <v>3</v>
      </c>
      <c r="I102" s="37">
        <v>5</v>
      </c>
      <c r="J102" s="90">
        <v>7</v>
      </c>
      <c r="L102" t="str">
        <v>Charisma</v>
      </c>
      <c r="M102" s="83" t="e">
        <f ca="1"/>
        <v>#NAME?</v>
      </c>
      <c r="N102" s="37" t="e">
        <f ca="1"/>
        <v>#NAME?</v>
      </c>
      <c r="O102" s="37" t="e">
        <f ca="1"/>
        <v>#NAME?</v>
      </c>
      <c r="P102" s="37" t="e">
        <f ca="1"/>
        <v>#NAME?</v>
      </c>
      <c r="Q102" s="37" t="e">
        <f ca="1"/>
        <v>#NAME?</v>
      </c>
      <c r="R102" s="37" t="e">
        <f ca="1"/>
        <v>#NAME?</v>
      </c>
      <c r="S102" s="37" t="e">
        <f ca="1"/>
        <v>#NAME?</v>
      </c>
      <c r="T102" s="37" t="e">
        <f ca="1"/>
        <v>#NAME?</v>
      </c>
      <c r="U102" s="84" t="e">
        <f ca="1"/>
        <v>#NAME?</v>
      </c>
    </row>
    <row r="103" spans="1:21" x14ac:dyDescent="0.35">
      <c r="A103">
        <v>100</v>
      </c>
      <c r="B103" s="123">
        <v>2</v>
      </c>
      <c r="C103" s="37">
        <v>8</v>
      </c>
      <c r="D103" s="37">
        <v>3</v>
      </c>
      <c r="E103" s="37">
        <v>2</v>
      </c>
      <c r="F103" s="37">
        <v>8</v>
      </c>
      <c r="G103" s="37">
        <v>8</v>
      </c>
      <c r="H103" s="37">
        <v>5</v>
      </c>
      <c r="I103" s="37">
        <v>4</v>
      </c>
      <c r="J103" s="90">
        <v>7</v>
      </c>
      <c r="L103" t="str">
        <v>Passion</v>
      </c>
      <c r="M103" s="83" t="e">
        <f ca="1"/>
        <v>#NAME?</v>
      </c>
      <c r="N103" s="37" t="e">
        <f ca="1"/>
        <v>#NAME?</v>
      </c>
      <c r="O103" s="37" t="e">
        <f ca="1"/>
        <v>#NAME?</v>
      </c>
      <c r="P103" s="37" t="e">
        <f ca="1"/>
        <v>#NAME?</v>
      </c>
      <c r="Q103" s="37" t="e">
        <f ca="1"/>
        <v>#NAME?</v>
      </c>
      <c r="R103" s="37" t="e">
        <f ca="1"/>
        <v>#NAME?</v>
      </c>
      <c r="S103" s="37" t="e">
        <f ca="1"/>
        <v>#NAME?</v>
      </c>
      <c r="T103" s="37" t="e">
        <f ca="1"/>
        <v>#NAME?</v>
      </c>
      <c r="U103" s="84" t="e">
        <f ca="1"/>
        <v>#NAME?</v>
      </c>
    </row>
    <row r="104" spans="1:21" x14ac:dyDescent="0.35">
      <c r="A104">
        <f>A103+1</f>
        <v>101</v>
      </c>
      <c r="B104" s="123">
        <v>5</v>
      </c>
      <c r="C104" s="37">
        <v>8</v>
      </c>
      <c r="D104" s="37">
        <v>1</v>
      </c>
      <c r="E104" s="37">
        <v>3</v>
      </c>
      <c r="F104" s="37">
        <v>6</v>
      </c>
      <c r="G104" s="37">
        <v>6</v>
      </c>
      <c r="H104" s="37">
        <v>4</v>
      </c>
      <c r="I104" s="37">
        <v>5</v>
      </c>
      <c r="J104" s="90">
        <v>7</v>
      </c>
      <c r="L104" t="str">
        <v>Friendly</v>
      </c>
      <c r="M104" s="85" t="e">
        <f ca="1"/>
        <v>#NAME?</v>
      </c>
      <c r="N104" s="86" t="e">
        <f ca="1"/>
        <v>#NAME?</v>
      </c>
      <c r="O104" s="86" t="e">
        <f ca="1"/>
        <v>#NAME?</v>
      </c>
      <c r="P104" s="86" t="e">
        <f ca="1"/>
        <v>#NAME?</v>
      </c>
      <c r="Q104" s="86" t="e">
        <f ca="1"/>
        <v>#NAME?</v>
      </c>
      <c r="R104" s="86" t="e">
        <f ca="1"/>
        <v>#NAME?</v>
      </c>
      <c r="S104" s="86" t="e">
        <f ca="1"/>
        <v>#NAME?</v>
      </c>
      <c r="T104" s="86" t="e">
        <f ca="1"/>
        <v>#NAME?</v>
      </c>
      <c r="U104" s="87" t="e">
        <f ca="1"/>
        <v>#NAME?</v>
      </c>
    </row>
    <row r="105" spans="1:21" x14ac:dyDescent="0.35">
      <c r="A105">
        <f t="shared" ref="A105:A123" si="8">A104+1</f>
        <v>102</v>
      </c>
      <c r="B105" s="123">
        <v>6</v>
      </c>
      <c r="C105" s="37">
        <v>8</v>
      </c>
      <c r="D105" s="37">
        <v>3</v>
      </c>
      <c r="E105" s="37">
        <v>3</v>
      </c>
      <c r="F105" s="37">
        <v>6</v>
      </c>
      <c r="G105" s="37">
        <v>5</v>
      </c>
      <c r="H105" s="37">
        <v>4</v>
      </c>
      <c r="I105" s="37">
        <v>4</v>
      </c>
      <c r="J105" s="90">
        <v>7</v>
      </c>
    </row>
    <row r="106" spans="1:21" x14ac:dyDescent="0.35">
      <c r="A106">
        <f t="shared" si="8"/>
        <v>103</v>
      </c>
      <c r="B106" s="123">
        <v>5</v>
      </c>
      <c r="C106" s="37">
        <v>7</v>
      </c>
      <c r="D106" s="37">
        <v>3</v>
      </c>
      <c r="E106" s="37">
        <v>3</v>
      </c>
      <c r="F106" s="37">
        <v>7</v>
      </c>
      <c r="G106" s="37">
        <v>6</v>
      </c>
      <c r="H106" s="37">
        <v>6</v>
      </c>
      <c r="I106" s="37">
        <v>4</v>
      </c>
      <c r="J106" s="90">
        <v>7</v>
      </c>
      <c r="L106" t="s">
        <v>417</v>
      </c>
    </row>
    <row r="107" spans="1:21" x14ac:dyDescent="0.35">
      <c r="A107">
        <f t="shared" si="8"/>
        <v>104</v>
      </c>
      <c r="B107" s="123">
        <v>4</v>
      </c>
      <c r="C107" s="37">
        <v>8</v>
      </c>
      <c r="D107" s="37">
        <v>3</v>
      </c>
      <c r="E107" s="37">
        <v>5</v>
      </c>
      <c r="F107" s="37">
        <v>6</v>
      </c>
      <c r="G107" s="37">
        <v>7</v>
      </c>
      <c r="H107" s="37">
        <v>2</v>
      </c>
      <c r="I107" s="37">
        <v>6</v>
      </c>
      <c r="J107" s="90">
        <v>6</v>
      </c>
    </row>
    <row r="108" spans="1:21" x14ac:dyDescent="0.35">
      <c r="A108">
        <f t="shared" si="8"/>
        <v>105</v>
      </c>
      <c r="B108" s="123">
        <v>3</v>
      </c>
      <c r="C108" s="37">
        <v>9</v>
      </c>
      <c r="D108" s="37">
        <v>3</v>
      </c>
      <c r="E108" s="37">
        <v>2</v>
      </c>
      <c r="F108" s="37">
        <v>6</v>
      </c>
      <c r="G108" s="37">
        <v>6</v>
      </c>
      <c r="H108" s="37">
        <v>5</v>
      </c>
      <c r="I108" s="37">
        <v>4</v>
      </c>
      <c r="J108" s="90">
        <v>8</v>
      </c>
      <c r="M108" s="191" t="e">
        <f t="array" aca="1" ref="M108:U117" ca="1">eigVECTSym(M96:U104,FALSE)</f>
        <v>#NAME?</v>
      </c>
      <c r="N108" s="192" t="e">
        <f ca="1"/>
        <v>#NAME?</v>
      </c>
      <c r="O108" s="192" t="e">
        <f ca="1"/>
        <v>#NAME?</v>
      </c>
      <c r="P108" s="192" t="e">
        <f ca="1"/>
        <v>#NAME?</v>
      </c>
      <c r="Q108" s="192" t="e">
        <f ca="1"/>
        <v>#NAME?</v>
      </c>
      <c r="R108" s="192" t="e">
        <f ca="1"/>
        <v>#NAME?</v>
      </c>
      <c r="S108" s="192" t="e">
        <f ca="1"/>
        <v>#NAME?</v>
      </c>
      <c r="T108" s="192" t="e">
        <f ca="1"/>
        <v>#NAME?</v>
      </c>
      <c r="U108" s="193" t="e">
        <f ca="1"/>
        <v>#NAME?</v>
      </c>
    </row>
    <row r="109" spans="1:21" x14ac:dyDescent="0.35">
      <c r="A109">
        <f t="shared" si="8"/>
        <v>106</v>
      </c>
      <c r="B109" s="123">
        <v>4</v>
      </c>
      <c r="C109" s="37">
        <v>8</v>
      </c>
      <c r="D109" s="37">
        <v>5</v>
      </c>
      <c r="E109" s="37">
        <v>4</v>
      </c>
      <c r="F109" s="37">
        <v>7</v>
      </c>
      <c r="G109" s="37">
        <v>6</v>
      </c>
      <c r="H109" s="37">
        <v>7</v>
      </c>
      <c r="I109" s="37">
        <v>5</v>
      </c>
      <c r="J109" s="90">
        <v>8</v>
      </c>
      <c r="M109" s="83" t="e">
        <f ca="1"/>
        <v>#NAME?</v>
      </c>
      <c r="N109" s="37" t="e">
        <f ca="1"/>
        <v>#NAME?</v>
      </c>
      <c r="O109" s="37" t="e">
        <f ca="1"/>
        <v>#NAME?</v>
      </c>
      <c r="P109" s="37" t="e">
        <f ca="1"/>
        <v>#NAME?</v>
      </c>
      <c r="Q109" s="37" t="e">
        <f ca="1"/>
        <v>#NAME?</v>
      </c>
      <c r="R109" s="37" t="e">
        <f ca="1"/>
        <v>#NAME?</v>
      </c>
      <c r="S109" s="37" t="e">
        <f ca="1"/>
        <v>#NAME?</v>
      </c>
      <c r="T109" s="37" t="e">
        <f ca="1"/>
        <v>#NAME?</v>
      </c>
      <c r="U109" s="84" t="e">
        <f ca="1"/>
        <v>#NAME?</v>
      </c>
    </row>
    <row r="110" spans="1:21" x14ac:dyDescent="0.35">
      <c r="A110">
        <f t="shared" si="8"/>
        <v>107</v>
      </c>
      <c r="B110" s="123">
        <v>5</v>
      </c>
      <c r="C110" s="37">
        <v>9</v>
      </c>
      <c r="D110" s="37">
        <v>7</v>
      </c>
      <c r="E110" s="37">
        <v>2</v>
      </c>
      <c r="F110" s="37">
        <v>5</v>
      </c>
      <c r="G110" s="37">
        <v>6</v>
      </c>
      <c r="H110" s="37">
        <v>8</v>
      </c>
      <c r="I110" s="37">
        <v>6</v>
      </c>
      <c r="J110" s="90">
        <v>8</v>
      </c>
      <c r="M110" s="83" t="e">
        <f ca="1"/>
        <v>#NAME?</v>
      </c>
      <c r="N110" s="37" t="e">
        <f ca="1"/>
        <v>#NAME?</v>
      </c>
      <c r="O110" s="37" t="e">
        <f ca="1"/>
        <v>#NAME?</v>
      </c>
      <c r="P110" s="37" t="e">
        <f ca="1"/>
        <v>#NAME?</v>
      </c>
      <c r="Q110" s="37" t="e">
        <f ca="1"/>
        <v>#NAME?</v>
      </c>
      <c r="R110" s="37" t="e">
        <f ca="1"/>
        <v>#NAME?</v>
      </c>
      <c r="S110" s="37" t="e">
        <f ca="1"/>
        <v>#NAME?</v>
      </c>
      <c r="T110" s="37" t="e">
        <f ca="1"/>
        <v>#NAME?</v>
      </c>
      <c r="U110" s="84" t="e">
        <f ca="1"/>
        <v>#NAME?</v>
      </c>
    </row>
    <row r="111" spans="1:21" x14ac:dyDescent="0.35">
      <c r="A111">
        <f t="shared" si="8"/>
        <v>108</v>
      </c>
      <c r="B111" s="123">
        <v>5</v>
      </c>
      <c r="C111" s="37">
        <v>8</v>
      </c>
      <c r="D111" s="37">
        <v>2</v>
      </c>
      <c r="E111" s="37">
        <v>4</v>
      </c>
      <c r="F111" s="37">
        <v>6</v>
      </c>
      <c r="G111" s="37">
        <v>7</v>
      </c>
      <c r="H111" s="37">
        <v>3</v>
      </c>
      <c r="I111" s="37">
        <v>4</v>
      </c>
      <c r="J111" s="90">
        <v>7</v>
      </c>
      <c r="M111" s="83" t="e">
        <f ca="1"/>
        <v>#NAME?</v>
      </c>
      <c r="N111" s="37" t="e">
        <f ca="1"/>
        <v>#NAME?</v>
      </c>
      <c r="O111" s="37" t="e">
        <f ca="1"/>
        <v>#NAME?</v>
      </c>
      <c r="P111" s="37" t="e">
        <f ca="1"/>
        <v>#NAME?</v>
      </c>
      <c r="Q111" s="37" t="e">
        <f ca="1"/>
        <v>#NAME?</v>
      </c>
      <c r="R111" s="37" t="e">
        <f ca="1"/>
        <v>#NAME?</v>
      </c>
      <c r="S111" s="37" t="e">
        <f ca="1"/>
        <v>#NAME?</v>
      </c>
      <c r="T111" s="37" t="e">
        <f ca="1"/>
        <v>#NAME?</v>
      </c>
      <c r="U111" s="84" t="e">
        <f ca="1"/>
        <v>#NAME?</v>
      </c>
    </row>
    <row r="112" spans="1:21" x14ac:dyDescent="0.35">
      <c r="A112">
        <f t="shared" si="8"/>
        <v>109</v>
      </c>
      <c r="B112" s="123">
        <v>4</v>
      </c>
      <c r="C112" s="37">
        <v>9</v>
      </c>
      <c r="D112" s="37">
        <v>4</v>
      </c>
      <c r="E112" s="37">
        <v>3</v>
      </c>
      <c r="F112" s="37">
        <v>7</v>
      </c>
      <c r="G112" s="37">
        <v>6</v>
      </c>
      <c r="H112" s="37">
        <v>4</v>
      </c>
      <c r="I112" s="37">
        <v>4</v>
      </c>
      <c r="J112" s="90">
        <v>8</v>
      </c>
      <c r="M112" s="83" t="e">
        <f ca="1"/>
        <v>#NAME?</v>
      </c>
      <c r="N112" s="37" t="e">
        <f ca="1"/>
        <v>#NAME?</v>
      </c>
      <c r="O112" s="37" t="e">
        <f ca="1"/>
        <v>#NAME?</v>
      </c>
      <c r="P112" s="37" t="e">
        <f ca="1"/>
        <v>#NAME?</v>
      </c>
      <c r="Q112" s="37" t="e">
        <f ca="1"/>
        <v>#NAME?</v>
      </c>
      <c r="R112" s="37" t="e">
        <f ca="1"/>
        <v>#NAME?</v>
      </c>
      <c r="S112" s="37" t="e">
        <f ca="1"/>
        <v>#NAME?</v>
      </c>
      <c r="T112" s="37" t="e">
        <f ca="1"/>
        <v>#NAME?</v>
      </c>
      <c r="U112" s="84" t="e">
        <f ca="1"/>
        <v>#NAME?</v>
      </c>
    </row>
    <row r="113" spans="1:23" x14ac:dyDescent="0.35">
      <c r="A113">
        <f t="shared" si="8"/>
        <v>110</v>
      </c>
      <c r="B113" s="123">
        <v>4</v>
      </c>
      <c r="C113" s="37">
        <v>9</v>
      </c>
      <c r="D113" s="37">
        <v>5</v>
      </c>
      <c r="E113" s="37">
        <v>3</v>
      </c>
      <c r="F113" s="37">
        <v>8</v>
      </c>
      <c r="G113" s="37">
        <v>6</v>
      </c>
      <c r="H113" s="37">
        <v>8</v>
      </c>
      <c r="I113" s="37">
        <v>5</v>
      </c>
      <c r="J113" s="90">
        <v>7</v>
      </c>
      <c r="M113" s="83" t="e">
        <f ca="1"/>
        <v>#NAME?</v>
      </c>
      <c r="N113" s="37" t="e">
        <f ca="1"/>
        <v>#NAME?</v>
      </c>
      <c r="O113" s="37" t="e">
        <f ca="1"/>
        <v>#NAME?</v>
      </c>
      <c r="P113" s="37" t="e">
        <f ca="1"/>
        <v>#NAME?</v>
      </c>
      <c r="Q113" s="37" t="e">
        <f ca="1"/>
        <v>#NAME?</v>
      </c>
      <c r="R113" s="37" t="e">
        <f ca="1"/>
        <v>#NAME?</v>
      </c>
      <c r="S113" s="37" t="e">
        <f ca="1"/>
        <v>#NAME?</v>
      </c>
      <c r="T113" s="37" t="e">
        <f ca="1"/>
        <v>#NAME?</v>
      </c>
      <c r="U113" s="84" t="e">
        <f ca="1"/>
        <v>#NAME?</v>
      </c>
    </row>
    <row r="114" spans="1:23" x14ac:dyDescent="0.35">
      <c r="A114">
        <f t="shared" si="8"/>
        <v>111</v>
      </c>
      <c r="B114" s="123">
        <v>4</v>
      </c>
      <c r="C114" s="37">
        <v>9</v>
      </c>
      <c r="D114" s="37">
        <v>2</v>
      </c>
      <c r="E114" s="37">
        <v>3</v>
      </c>
      <c r="F114" s="37">
        <v>7</v>
      </c>
      <c r="G114" s="37">
        <v>6</v>
      </c>
      <c r="H114" s="37">
        <v>4</v>
      </c>
      <c r="I114" s="37">
        <v>5</v>
      </c>
      <c r="J114" s="90">
        <v>8</v>
      </c>
      <c r="M114" s="83" t="e">
        <f ca="1"/>
        <v>#NAME?</v>
      </c>
      <c r="N114" s="37" t="e">
        <f ca="1"/>
        <v>#NAME?</v>
      </c>
      <c r="O114" s="37" t="e">
        <f ca="1"/>
        <v>#NAME?</v>
      </c>
      <c r="P114" s="37" t="e">
        <f ca="1"/>
        <v>#NAME?</v>
      </c>
      <c r="Q114" s="37" t="e">
        <f ca="1"/>
        <v>#NAME?</v>
      </c>
      <c r="R114" s="37" t="e">
        <f ca="1"/>
        <v>#NAME?</v>
      </c>
      <c r="S114" s="37" t="e">
        <f ca="1"/>
        <v>#NAME?</v>
      </c>
      <c r="T114" s="37" t="e">
        <f ca="1"/>
        <v>#NAME?</v>
      </c>
      <c r="U114" s="84" t="e">
        <f ca="1"/>
        <v>#NAME?</v>
      </c>
    </row>
    <row r="115" spans="1:23" x14ac:dyDescent="0.35">
      <c r="A115">
        <f t="shared" si="8"/>
        <v>112</v>
      </c>
      <c r="B115" s="123">
        <v>4</v>
      </c>
      <c r="C115" s="37">
        <v>8</v>
      </c>
      <c r="D115" s="37">
        <v>6</v>
      </c>
      <c r="E115" s="37">
        <v>5</v>
      </c>
      <c r="F115" s="37">
        <v>7</v>
      </c>
      <c r="G115" s="37">
        <v>7</v>
      </c>
      <c r="H115" s="37">
        <v>8</v>
      </c>
      <c r="I115" s="37">
        <v>6</v>
      </c>
      <c r="J115" s="90">
        <v>8</v>
      </c>
      <c r="M115" s="83" t="e">
        <f ca="1"/>
        <v>#NAME?</v>
      </c>
      <c r="N115" s="37" t="e">
        <f ca="1"/>
        <v>#NAME?</v>
      </c>
      <c r="O115" s="37" t="e">
        <f ca="1"/>
        <v>#NAME?</v>
      </c>
      <c r="P115" s="37" t="e">
        <f ca="1"/>
        <v>#NAME?</v>
      </c>
      <c r="Q115" s="37" t="e">
        <f ca="1"/>
        <v>#NAME?</v>
      </c>
      <c r="R115" s="37" t="e">
        <f ca="1"/>
        <v>#NAME?</v>
      </c>
      <c r="S115" s="37" t="e">
        <f ca="1"/>
        <v>#NAME?</v>
      </c>
      <c r="T115" s="37" t="e">
        <f ca="1"/>
        <v>#NAME?</v>
      </c>
      <c r="U115" s="84" t="e">
        <f ca="1"/>
        <v>#NAME?</v>
      </c>
    </row>
    <row r="116" spans="1:23" x14ac:dyDescent="0.35">
      <c r="A116">
        <f t="shared" si="8"/>
        <v>113</v>
      </c>
      <c r="B116" s="123">
        <v>3</v>
      </c>
      <c r="C116" s="37">
        <v>9</v>
      </c>
      <c r="D116" s="37">
        <v>8</v>
      </c>
      <c r="E116" s="37">
        <v>6</v>
      </c>
      <c r="F116" s="37">
        <v>8</v>
      </c>
      <c r="G116" s="37">
        <v>7</v>
      </c>
      <c r="H116" s="37">
        <v>10</v>
      </c>
      <c r="I116" s="37">
        <v>6</v>
      </c>
      <c r="J116" s="90">
        <v>7</v>
      </c>
      <c r="M116" s="83" t="e">
        <f ca="1"/>
        <v>#NAME?</v>
      </c>
      <c r="N116" s="37" t="e">
        <f ca="1"/>
        <v>#NAME?</v>
      </c>
      <c r="O116" s="37" t="e">
        <f ca="1"/>
        <v>#NAME?</v>
      </c>
      <c r="P116" s="37" t="e">
        <f ca="1"/>
        <v>#NAME?</v>
      </c>
      <c r="Q116" s="37" t="e">
        <f ca="1"/>
        <v>#NAME?</v>
      </c>
      <c r="R116" s="37" t="e">
        <f ca="1"/>
        <v>#NAME?</v>
      </c>
      <c r="S116" s="37" t="e">
        <f ca="1"/>
        <v>#NAME?</v>
      </c>
      <c r="T116" s="37" t="e">
        <f ca="1"/>
        <v>#NAME?</v>
      </c>
      <c r="U116" s="84" t="e">
        <f ca="1"/>
        <v>#NAME?</v>
      </c>
    </row>
    <row r="117" spans="1:23" x14ac:dyDescent="0.35">
      <c r="A117">
        <f t="shared" si="8"/>
        <v>114</v>
      </c>
      <c r="B117" s="123">
        <v>2</v>
      </c>
      <c r="C117" s="37">
        <v>9</v>
      </c>
      <c r="D117" s="37">
        <v>7</v>
      </c>
      <c r="E117" s="37">
        <v>4</v>
      </c>
      <c r="F117" s="37">
        <v>6</v>
      </c>
      <c r="G117" s="37">
        <v>6</v>
      </c>
      <c r="H117" s="37">
        <v>9</v>
      </c>
      <c r="I117" s="37">
        <v>5</v>
      </c>
      <c r="J117" s="90">
        <v>7</v>
      </c>
      <c r="M117" s="85" t="e">
        <f ca="1"/>
        <v>#NAME?</v>
      </c>
      <c r="N117" s="86" t="e">
        <f ca="1"/>
        <v>#NAME?</v>
      </c>
      <c r="O117" s="86" t="e">
        <f ca="1"/>
        <v>#NAME?</v>
      </c>
      <c r="P117" s="86" t="e">
        <f ca="1"/>
        <v>#NAME?</v>
      </c>
      <c r="Q117" s="86" t="e">
        <f ca="1"/>
        <v>#NAME?</v>
      </c>
      <c r="R117" s="86" t="e">
        <f ca="1"/>
        <v>#NAME?</v>
      </c>
      <c r="S117" s="86" t="e">
        <f ca="1"/>
        <v>#NAME?</v>
      </c>
      <c r="T117" s="86" t="e">
        <f ca="1"/>
        <v>#NAME?</v>
      </c>
      <c r="U117" s="87" t="e">
        <f ca="1"/>
        <v>#NAME?</v>
      </c>
    </row>
    <row r="118" spans="1:23" x14ac:dyDescent="0.35">
      <c r="A118">
        <f t="shared" si="8"/>
        <v>115</v>
      </c>
      <c r="B118" s="123">
        <v>4</v>
      </c>
      <c r="C118" s="37">
        <v>8</v>
      </c>
      <c r="D118" s="37">
        <v>2</v>
      </c>
      <c r="E118" s="37">
        <v>3</v>
      </c>
      <c r="F118" s="37">
        <v>7</v>
      </c>
      <c r="G118" s="37">
        <v>6</v>
      </c>
      <c r="H118" s="37">
        <v>3</v>
      </c>
      <c r="I118" s="37">
        <v>5</v>
      </c>
      <c r="J118" s="90">
        <v>7</v>
      </c>
    </row>
    <row r="119" spans="1:23" x14ac:dyDescent="0.35">
      <c r="A119">
        <f t="shared" si="8"/>
        <v>116</v>
      </c>
      <c r="B119" s="123">
        <v>5</v>
      </c>
      <c r="C119" s="37">
        <v>8</v>
      </c>
      <c r="D119" s="37">
        <v>5</v>
      </c>
      <c r="E119" s="37">
        <v>4</v>
      </c>
      <c r="F119" s="37">
        <v>6</v>
      </c>
      <c r="G119" s="37">
        <v>7</v>
      </c>
      <c r="H119" s="37">
        <v>8</v>
      </c>
      <c r="I119" s="37">
        <v>6</v>
      </c>
      <c r="J119" s="90">
        <v>7</v>
      </c>
      <c r="L119" t="s">
        <v>478</v>
      </c>
    </row>
    <row r="120" spans="1:23" x14ac:dyDescent="0.35">
      <c r="A120">
        <f t="shared" si="8"/>
        <v>117</v>
      </c>
      <c r="B120" s="123">
        <v>4</v>
      </c>
      <c r="C120" s="37">
        <v>10</v>
      </c>
      <c r="D120" s="37">
        <v>6</v>
      </c>
      <c r="E120" s="37">
        <v>3</v>
      </c>
      <c r="F120" s="37">
        <v>6</v>
      </c>
      <c r="G120" s="37">
        <v>8</v>
      </c>
      <c r="H120" s="37">
        <v>8</v>
      </c>
      <c r="I120" s="37">
        <v>5</v>
      </c>
      <c r="J120" s="90">
        <v>8</v>
      </c>
    </row>
    <row r="121" spans="1:23" x14ac:dyDescent="0.35">
      <c r="A121">
        <f t="shared" si="8"/>
        <v>118</v>
      </c>
      <c r="B121" s="123">
        <v>5</v>
      </c>
      <c r="C121" s="37">
        <v>9</v>
      </c>
      <c r="D121" s="37">
        <v>5</v>
      </c>
      <c r="E121" s="37">
        <v>5</v>
      </c>
      <c r="F121" s="37">
        <v>8</v>
      </c>
      <c r="G121" s="37">
        <v>3</v>
      </c>
      <c r="H121" s="37">
        <v>8</v>
      </c>
      <c r="I121" s="37">
        <v>5</v>
      </c>
      <c r="J121" s="90">
        <v>7</v>
      </c>
      <c r="M121">
        <v>1</v>
      </c>
      <c r="N121">
        <f>M121+1</f>
        <v>2</v>
      </c>
      <c r="O121">
        <f t="shared" ref="O121:U121" si="9">N121+1</f>
        <v>3</v>
      </c>
      <c r="P121">
        <f t="shared" si="9"/>
        <v>4</v>
      </c>
      <c r="Q121">
        <f t="shared" si="9"/>
        <v>5</v>
      </c>
      <c r="R121">
        <f t="shared" si="9"/>
        <v>6</v>
      </c>
      <c r="S121">
        <f t="shared" si="9"/>
        <v>7</v>
      </c>
      <c r="T121">
        <f t="shared" si="9"/>
        <v>8</v>
      </c>
      <c r="U121">
        <f t="shared" si="9"/>
        <v>9</v>
      </c>
      <c r="W121" t="s">
        <v>479</v>
      </c>
    </row>
    <row r="122" spans="1:23" x14ac:dyDescent="0.35">
      <c r="A122">
        <f t="shared" si="8"/>
        <v>119</v>
      </c>
      <c r="B122" s="123">
        <v>3</v>
      </c>
      <c r="C122" s="37">
        <v>8</v>
      </c>
      <c r="D122" s="37">
        <v>2</v>
      </c>
      <c r="E122" s="37">
        <v>4</v>
      </c>
      <c r="F122" s="37">
        <v>7</v>
      </c>
      <c r="G122" s="37">
        <v>4</v>
      </c>
      <c r="H122" s="37">
        <v>1</v>
      </c>
      <c r="I122" s="37">
        <v>6</v>
      </c>
      <c r="J122" s="90">
        <v>8</v>
      </c>
      <c r="L122" t="str">
        <f t="array" ref="L122:L130">TRANSPOSE(B3:J3)</f>
        <v>Expect</v>
      </c>
      <c r="M122" s="187" t="e">
        <f t="array" ref="M122:U130" ca="1">M109:U117*SQRT(ABS(M108:U108))</f>
        <v>#NAME?</v>
      </c>
      <c r="N122" s="188" t="e">
        <f ca="1"/>
        <v>#NAME?</v>
      </c>
      <c r="O122" s="188" t="e">
        <f ca="1"/>
        <v>#NAME?</v>
      </c>
      <c r="P122" s="188" t="e">
        <f ca="1"/>
        <v>#NAME?</v>
      </c>
      <c r="Q122" s="188" t="e">
        <f ca="1"/>
        <v>#NAME?</v>
      </c>
      <c r="R122" s="188" t="e">
        <f ca="1"/>
        <v>#NAME?</v>
      </c>
      <c r="S122" s="188" t="e">
        <f ca="1"/>
        <v>#NAME?</v>
      </c>
      <c r="T122" s="188" t="e">
        <f ca="1"/>
        <v>#NAME?</v>
      </c>
      <c r="U122" s="189" t="e">
        <f ca="1"/>
        <v>#NAME?</v>
      </c>
      <c r="W122" s="190" t="e">
        <f ca="1">SUMSQ(M122:U122)</f>
        <v>#NAME?</v>
      </c>
    </row>
    <row r="123" spans="1:23" x14ac:dyDescent="0.35">
      <c r="A123">
        <f t="shared" si="8"/>
        <v>120</v>
      </c>
      <c r="B123" s="91">
        <v>5</v>
      </c>
      <c r="C123" s="92">
        <v>8</v>
      </c>
      <c r="D123" s="92">
        <v>1</v>
      </c>
      <c r="E123" s="92">
        <v>5</v>
      </c>
      <c r="F123" s="92">
        <v>5</v>
      </c>
      <c r="G123" s="92">
        <v>6</v>
      </c>
      <c r="H123" s="92">
        <v>1</v>
      </c>
      <c r="I123" s="92">
        <v>3</v>
      </c>
      <c r="J123" s="93">
        <v>8</v>
      </c>
      <c r="L123" t="str">
        <v>Entertain</v>
      </c>
      <c r="M123" s="83" t="e">
        <f ca="1"/>
        <v>#NAME?</v>
      </c>
      <c r="N123" s="37" t="e">
        <f ca="1"/>
        <v>#NAME?</v>
      </c>
      <c r="O123" s="37" t="e">
        <f ca="1"/>
        <v>#NAME?</v>
      </c>
      <c r="P123" s="37" t="e">
        <f ca="1"/>
        <v>#NAME?</v>
      </c>
      <c r="Q123" s="37" t="e">
        <f ca="1"/>
        <v>#NAME?</v>
      </c>
      <c r="R123" s="37" t="e">
        <f ca="1"/>
        <v>#NAME?</v>
      </c>
      <c r="S123" s="37" t="e">
        <f ca="1"/>
        <v>#NAME?</v>
      </c>
      <c r="T123" s="37" t="e">
        <f ca="1"/>
        <v>#NAME?</v>
      </c>
      <c r="U123" s="84" t="e">
        <f ca="1"/>
        <v>#NAME?</v>
      </c>
      <c r="W123" s="98" t="e">
        <f t="shared" ref="W123:W130" ca="1" si="10">SUMSQ(M123:U123)</f>
        <v>#NAME?</v>
      </c>
    </row>
    <row r="124" spans="1:23" x14ac:dyDescent="0.35">
      <c r="B124" s="37"/>
      <c r="C124" s="37"/>
      <c r="D124" s="37"/>
      <c r="E124" s="37"/>
      <c r="F124" s="37"/>
      <c r="G124" s="37"/>
      <c r="H124" s="37"/>
      <c r="I124" s="37"/>
      <c r="J124" s="37"/>
      <c r="L124" t="str">
        <v>Comm</v>
      </c>
      <c r="M124" s="83" t="e">
        <f ca="1"/>
        <v>#NAME?</v>
      </c>
      <c r="N124" s="37" t="e">
        <f ca="1"/>
        <v>#NAME?</v>
      </c>
      <c r="O124" s="37" t="e">
        <f ca="1"/>
        <v>#NAME?</v>
      </c>
      <c r="P124" s="37" t="e">
        <f ca="1"/>
        <v>#NAME?</v>
      </c>
      <c r="Q124" s="37" t="e">
        <f ca="1"/>
        <v>#NAME?</v>
      </c>
      <c r="R124" s="37" t="e">
        <f ca="1"/>
        <v>#NAME?</v>
      </c>
      <c r="S124" s="37" t="e">
        <f ca="1"/>
        <v>#NAME?</v>
      </c>
      <c r="T124" s="37" t="e">
        <f ca="1"/>
        <v>#NAME?</v>
      </c>
      <c r="U124" s="84" t="e">
        <f ca="1"/>
        <v>#NAME?</v>
      </c>
      <c r="W124" s="98" t="e">
        <f t="shared" ca="1" si="10"/>
        <v>#NAME?</v>
      </c>
    </row>
    <row r="125" spans="1:23" x14ac:dyDescent="0.35">
      <c r="B125" s="47" t="str">
        <f>B3</f>
        <v>Expect</v>
      </c>
      <c r="C125" s="47" t="str">
        <f t="shared" ref="C125:J125" si="11">C3</f>
        <v>Entertain</v>
      </c>
      <c r="D125" s="47" t="str">
        <f t="shared" si="11"/>
        <v>Comm</v>
      </c>
      <c r="E125" s="47" t="str">
        <f t="shared" si="11"/>
        <v>Expert</v>
      </c>
      <c r="F125" s="47" t="str">
        <f t="shared" si="11"/>
        <v>Motivate</v>
      </c>
      <c r="G125" s="47" t="str">
        <f t="shared" si="11"/>
        <v>Caring</v>
      </c>
      <c r="H125" s="47" t="str">
        <f t="shared" si="11"/>
        <v>Charisma</v>
      </c>
      <c r="I125" s="47" t="str">
        <f t="shared" si="11"/>
        <v>Passion</v>
      </c>
      <c r="J125" s="47" t="str">
        <f t="shared" si="11"/>
        <v>Friendly</v>
      </c>
      <c r="L125" t="str">
        <v>Expert</v>
      </c>
      <c r="M125" s="83" t="e">
        <f ca="1"/>
        <v>#NAME?</v>
      </c>
      <c r="N125" s="37" t="e">
        <f ca="1"/>
        <v>#NAME?</v>
      </c>
      <c r="O125" s="37" t="e">
        <f ca="1"/>
        <v>#NAME?</v>
      </c>
      <c r="P125" s="37" t="e">
        <f ca="1"/>
        <v>#NAME?</v>
      </c>
      <c r="Q125" s="37" t="e">
        <f ca="1"/>
        <v>#NAME?</v>
      </c>
      <c r="R125" s="37" t="e">
        <f ca="1"/>
        <v>#NAME?</v>
      </c>
      <c r="S125" s="37" t="e">
        <f ca="1"/>
        <v>#NAME?</v>
      </c>
      <c r="T125" s="37" t="e">
        <f ca="1"/>
        <v>#NAME?</v>
      </c>
      <c r="U125" s="84" t="e">
        <f ca="1"/>
        <v>#NAME?</v>
      </c>
      <c r="W125" s="98" t="e">
        <f t="shared" ca="1" si="10"/>
        <v>#NAME?</v>
      </c>
    </row>
    <row r="126" spans="1:23" x14ac:dyDescent="0.35">
      <c r="A126" t="s">
        <v>48</v>
      </c>
      <c r="B126" s="156">
        <f>AVERAGE(B4:B123)</f>
        <v>3.7083333333333335</v>
      </c>
      <c r="C126" s="157">
        <f t="shared" ref="C126:J126" si="12">AVERAGE(C4:C123)</f>
        <v>8.1666666666666661</v>
      </c>
      <c r="D126" s="157">
        <f t="shared" si="12"/>
        <v>3.45</v>
      </c>
      <c r="E126" s="157">
        <f t="shared" si="12"/>
        <v>3.3833333333333333</v>
      </c>
      <c r="F126" s="157">
        <f t="shared" si="12"/>
        <v>6.708333333333333</v>
      </c>
      <c r="G126" s="157">
        <f t="shared" si="12"/>
        <v>6.0083333333333337</v>
      </c>
      <c r="H126" s="157">
        <f t="shared" si="12"/>
        <v>4.8416666666666668</v>
      </c>
      <c r="I126" s="157">
        <f t="shared" si="12"/>
        <v>4.7249999999999996</v>
      </c>
      <c r="J126" s="158">
        <f t="shared" si="12"/>
        <v>7.3</v>
      </c>
      <c r="L126" t="str">
        <v>Motivate</v>
      </c>
      <c r="M126" s="83" t="e">
        <f ca="1"/>
        <v>#NAME?</v>
      </c>
      <c r="N126" s="37" t="e">
        <f ca="1"/>
        <v>#NAME?</v>
      </c>
      <c r="O126" s="37" t="e">
        <f ca="1"/>
        <v>#NAME?</v>
      </c>
      <c r="P126" s="37" t="e">
        <f ca="1"/>
        <v>#NAME?</v>
      </c>
      <c r="Q126" s="37" t="e">
        <f ca="1"/>
        <v>#NAME?</v>
      </c>
      <c r="R126" s="37" t="e">
        <f ca="1"/>
        <v>#NAME?</v>
      </c>
      <c r="S126" s="37" t="e">
        <f ca="1"/>
        <v>#NAME?</v>
      </c>
      <c r="T126" s="37" t="e">
        <f ca="1"/>
        <v>#NAME?</v>
      </c>
      <c r="U126" s="84" t="e">
        <f ca="1"/>
        <v>#NAME?</v>
      </c>
      <c r="W126" s="98" t="e">
        <f t="shared" ca="1" si="10"/>
        <v>#NAME?</v>
      </c>
    </row>
    <row r="127" spans="1:23" x14ac:dyDescent="0.35">
      <c r="A127" t="s">
        <v>49</v>
      </c>
      <c r="B127" s="123">
        <f>STDEV(B4:B123)</f>
        <v>1.2662114027786242</v>
      </c>
      <c r="C127" s="37">
        <f t="shared" ref="C127:J127" si="13">STDEV(C4:C123)</f>
        <v>0.57002629061192933</v>
      </c>
      <c r="D127" s="37">
        <f t="shared" si="13"/>
        <v>1.6492932023224043</v>
      </c>
      <c r="E127" s="37">
        <f t="shared" si="13"/>
        <v>1.0140469991704575</v>
      </c>
      <c r="F127" s="37">
        <f t="shared" si="13"/>
        <v>0.95614626824273719</v>
      </c>
      <c r="G127" s="37">
        <f t="shared" si="13"/>
        <v>1.3688972027952755</v>
      </c>
      <c r="H127" s="37">
        <f t="shared" si="13"/>
        <v>2.5895583262266895</v>
      </c>
      <c r="I127" s="37">
        <f t="shared" si="13"/>
        <v>0.95233018071950515</v>
      </c>
      <c r="J127" s="90">
        <f t="shared" si="13"/>
        <v>0.58840333734179207</v>
      </c>
      <c r="L127" t="str">
        <v>Caring</v>
      </c>
      <c r="M127" s="83" t="e">
        <f ca="1"/>
        <v>#NAME?</v>
      </c>
      <c r="N127" s="37" t="e">
        <f ca="1"/>
        <v>#NAME?</v>
      </c>
      <c r="O127" s="37" t="e">
        <f ca="1"/>
        <v>#NAME?</v>
      </c>
      <c r="P127" s="37" t="e">
        <f ca="1"/>
        <v>#NAME?</v>
      </c>
      <c r="Q127" s="37" t="e">
        <f ca="1"/>
        <v>#NAME?</v>
      </c>
      <c r="R127" s="37" t="e">
        <f ca="1"/>
        <v>#NAME?</v>
      </c>
      <c r="S127" s="37" t="e">
        <f ca="1"/>
        <v>#NAME?</v>
      </c>
      <c r="T127" s="37" t="e">
        <f ca="1"/>
        <v>#NAME?</v>
      </c>
      <c r="U127" s="84" t="e">
        <f ca="1"/>
        <v>#NAME?</v>
      </c>
      <c r="W127" s="98" t="e">
        <f t="shared" ca="1" si="10"/>
        <v>#NAME?</v>
      </c>
    </row>
    <row r="128" spans="1:23" x14ac:dyDescent="0.35">
      <c r="A128" t="s">
        <v>394</v>
      </c>
      <c r="B128" s="123">
        <f>SKEW(B4:B123)</f>
        <v>0.13857831473517168</v>
      </c>
      <c r="C128" s="37">
        <f t="shared" ref="C128:J128" si="14">SKEW(C4:C123)</f>
        <v>0.55879383518869019</v>
      </c>
      <c r="D128" s="37">
        <f t="shared" si="14"/>
        <v>0.60968237468969244</v>
      </c>
      <c r="E128" s="37">
        <f t="shared" si="14"/>
        <v>0.25011903407769448</v>
      </c>
      <c r="F128" s="37">
        <f t="shared" si="14"/>
        <v>3.0992568092345463E-2</v>
      </c>
      <c r="G128" s="37">
        <f t="shared" si="14"/>
        <v>-0.23512012357640227</v>
      </c>
      <c r="H128" s="37">
        <f t="shared" si="14"/>
        <v>4.7501040439116834E-2</v>
      </c>
      <c r="I128" s="37">
        <f t="shared" si="14"/>
        <v>-7.3874092896665661E-2</v>
      </c>
      <c r="J128" s="90">
        <f t="shared" si="14"/>
        <v>0.32217223907072601</v>
      </c>
      <c r="L128" t="str">
        <v>Charisma</v>
      </c>
      <c r="M128" s="83" t="e">
        <f ca="1"/>
        <v>#NAME?</v>
      </c>
      <c r="N128" s="37" t="e">
        <f ca="1"/>
        <v>#NAME?</v>
      </c>
      <c r="O128" s="37" t="e">
        <f ca="1"/>
        <v>#NAME?</v>
      </c>
      <c r="P128" s="37" t="e">
        <f ca="1"/>
        <v>#NAME?</v>
      </c>
      <c r="Q128" s="37" t="e">
        <f ca="1"/>
        <v>#NAME?</v>
      </c>
      <c r="R128" s="37" t="e">
        <f ca="1"/>
        <v>#NAME?</v>
      </c>
      <c r="S128" s="37" t="e">
        <f ca="1"/>
        <v>#NAME?</v>
      </c>
      <c r="T128" s="37" t="e">
        <f ca="1"/>
        <v>#NAME?</v>
      </c>
      <c r="U128" s="84" t="e">
        <f ca="1"/>
        <v>#NAME?</v>
      </c>
      <c r="W128" s="98" t="e">
        <f t="shared" ca="1" si="10"/>
        <v>#NAME?</v>
      </c>
    </row>
    <row r="129" spans="1:23" x14ac:dyDescent="0.35">
      <c r="A129" s="60" t="s">
        <v>395</v>
      </c>
      <c r="B129" s="91">
        <f>KURT(B4:B123)</f>
        <v>-7.5087531931202989E-2</v>
      </c>
      <c r="C129" s="92">
        <f t="shared" ref="C129:J129" si="15">KURT(C4:C123)</f>
        <v>1.2245729768528379</v>
      </c>
      <c r="D129" s="92">
        <f t="shared" si="15"/>
        <v>-0.37097323594953835</v>
      </c>
      <c r="E129" s="92">
        <f t="shared" si="15"/>
        <v>0.79048099823017459</v>
      </c>
      <c r="F129" s="92">
        <f t="shared" si="15"/>
        <v>-9.1985537444213339E-2</v>
      </c>
      <c r="G129" s="92">
        <f t="shared" si="15"/>
        <v>-0.42617618904263521</v>
      </c>
      <c r="H129" s="92">
        <f t="shared" si="15"/>
        <v>-0.92188768731537785</v>
      </c>
      <c r="I129" s="92">
        <f t="shared" si="15"/>
        <v>-0.24984145123189316</v>
      </c>
      <c r="J129" s="93">
        <f t="shared" si="15"/>
        <v>0.13488543363239947</v>
      </c>
      <c r="L129" t="str">
        <v>Passion</v>
      </c>
      <c r="M129" s="83" t="e">
        <f ca="1"/>
        <v>#NAME?</v>
      </c>
      <c r="N129" s="37" t="e">
        <f ca="1"/>
        <v>#NAME?</v>
      </c>
      <c r="O129" s="37" t="e">
        <f ca="1"/>
        <v>#NAME?</v>
      </c>
      <c r="P129" s="37" t="e">
        <f ca="1"/>
        <v>#NAME?</v>
      </c>
      <c r="Q129" s="37" t="e">
        <f ca="1"/>
        <v>#NAME?</v>
      </c>
      <c r="R129" s="37" t="e">
        <f ca="1"/>
        <v>#NAME?</v>
      </c>
      <c r="S129" s="37" t="e">
        <f ca="1"/>
        <v>#NAME?</v>
      </c>
      <c r="T129" s="37" t="e">
        <f ca="1"/>
        <v>#NAME?</v>
      </c>
      <c r="U129" s="84" t="e">
        <f ca="1"/>
        <v>#NAME?</v>
      </c>
      <c r="W129" s="98" t="e">
        <f t="shared" ca="1" si="10"/>
        <v>#NAME?</v>
      </c>
    </row>
    <row r="130" spans="1:23" x14ac:dyDescent="0.35">
      <c r="L130" t="str">
        <v>Friendly</v>
      </c>
      <c r="M130" s="85" t="e">
        <f ca="1"/>
        <v>#NAME?</v>
      </c>
      <c r="N130" s="86" t="e">
        <f ca="1"/>
        <v>#NAME?</v>
      </c>
      <c r="O130" s="86" t="e">
        <f ca="1"/>
        <v>#NAME?</v>
      </c>
      <c r="P130" s="86" t="e">
        <f ca="1"/>
        <v>#NAME?</v>
      </c>
      <c r="Q130" s="86" t="e">
        <f ca="1"/>
        <v>#NAME?</v>
      </c>
      <c r="R130" s="86" t="e">
        <f ca="1"/>
        <v>#NAME?</v>
      </c>
      <c r="S130" s="86" t="e">
        <f ca="1"/>
        <v>#NAME?</v>
      </c>
      <c r="T130" s="86" t="e">
        <f ca="1"/>
        <v>#NAME?</v>
      </c>
      <c r="U130" s="87" t="e">
        <f ca="1"/>
        <v>#NAME?</v>
      </c>
      <c r="W130" s="99" t="e">
        <f t="shared" ca="1" si="10"/>
        <v>#NAME?</v>
      </c>
    </row>
    <row r="132" spans="1:23" x14ac:dyDescent="0.35">
      <c r="L132" t="s">
        <v>396</v>
      </c>
    </row>
    <row r="134" spans="1:23" x14ac:dyDescent="0.35">
      <c r="M134" s="32" t="s">
        <v>386</v>
      </c>
      <c r="N134" s="32" t="s">
        <v>387</v>
      </c>
      <c r="O134" s="32" t="s">
        <v>480</v>
      </c>
    </row>
    <row r="135" spans="1:23" x14ac:dyDescent="0.35">
      <c r="M135" s="187" t="e">
        <f t="array" aca="1" ref="M135:M143" ca="1">TRANSPOSE(M108:U108)</f>
        <v>#NAME?</v>
      </c>
      <c r="N135" s="195" t="e">
        <f ca="1">M135/M$144</f>
        <v>#NAME?</v>
      </c>
      <c r="O135" s="196" t="e">
        <f ca="1">N135</f>
        <v>#NAME?</v>
      </c>
    </row>
    <row r="136" spans="1:23" x14ac:dyDescent="0.35">
      <c r="M136" s="83" t="e">
        <f ca="1"/>
        <v>#NAME?</v>
      </c>
      <c r="N136" s="197" t="e">
        <f t="shared" ref="N136:N143" ca="1" si="16">M136/M$144</f>
        <v>#NAME?</v>
      </c>
      <c r="O136" s="198" t="e">
        <f ca="1">O135+N136</f>
        <v>#NAME?</v>
      </c>
    </row>
    <row r="137" spans="1:23" x14ac:dyDescent="0.35">
      <c r="M137" s="83" t="e">
        <f ca="1"/>
        <v>#NAME?</v>
      </c>
      <c r="N137" s="197" t="e">
        <f t="shared" ca="1" si="16"/>
        <v>#NAME?</v>
      </c>
      <c r="O137" s="198" t="e">
        <f t="shared" ref="O137:O143" ca="1" si="17">O136+N137</f>
        <v>#NAME?</v>
      </c>
    </row>
    <row r="138" spans="1:23" x14ac:dyDescent="0.35">
      <c r="M138" s="83" t="e">
        <f ca="1"/>
        <v>#NAME?</v>
      </c>
      <c r="N138" s="197" t="e">
        <f t="shared" ca="1" si="16"/>
        <v>#NAME?</v>
      </c>
      <c r="O138" s="198" t="e">
        <f t="shared" ca="1" si="17"/>
        <v>#NAME?</v>
      </c>
    </row>
    <row r="139" spans="1:23" x14ac:dyDescent="0.35">
      <c r="M139" s="83" t="e">
        <f ca="1"/>
        <v>#NAME?</v>
      </c>
      <c r="N139" s="197" t="e">
        <f t="shared" ca="1" si="16"/>
        <v>#NAME?</v>
      </c>
      <c r="O139" s="198" t="e">
        <f t="shared" ca="1" si="17"/>
        <v>#NAME?</v>
      </c>
    </row>
    <row r="140" spans="1:23" x14ac:dyDescent="0.35">
      <c r="M140" s="83" t="e">
        <f ca="1"/>
        <v>#NAME?</v>
      </c>
      <c r="N140" s="197" t="e">
        <f t="shared" ca="1" si="16"/>
        <v>#NAME?</v>
      </c>
      <c r="O140" s="198" t="e">
        <f t="shared" ca="1" si="17"/>
        <v>#NAME?</v>
      </c>
    </row>
    <row r="141" spans="1:23" x14ac:dyDescent="0.35">
      <c r="M141" s="83" t="e">
        <f ca="1"/>
        <v>#NAME?</v>
      </c>
      <c r="N141" s="197" t="e">
        <f t="shared" ca="1" si="16"/>
        <v>#NAME?</v>
      </c>
      <c r="O141" s="198" t="e">
        <f t="shared" ca="1" si="17"/>
        <v>#NAME?</v>
      </c>
    </row>
    <row r="142" spans="1:23" x14ac:dyDescent="0.35">
      <c r="M142" s="83" t="e">
        <f ca="1"/>
        <v>#NAME?</v>
      </c>
      <c r="N142" s="197" t="e">
        <f t="shared" ca="1" si="16"/>
        <v>#NAME?</v>
      </c>
      <c r="O142" s="198" t="e">
        <f t="shared" ca="1" si="17"/>
        <v>#NAME?</v>
      </c>
    </row>
    <row r="143" spans="1:23" x14ac:dyDescent="0.35">
      <c r="M143" s="85" t="e">
        <f ca="1"/>
        <v>#NAME?</v>
      </c>
      <c r="N143" s="199" t="e">
        <f t="shared" ca="1" si="16"/>
        <v>#NAME?</v>
      </c>
      <c r="O143" s="200" t="e">
        <f t="shared" ca="1" si="17"/>
        <v>#NAME?</v>
      </c>
    </row>
    <row r="144" spans="1:23" x14ac:dyDescent="0.35">
      <c r="M144" t="e">
        <f ca="1">SUM(M135:M143)</f>
        <v>#NAME?</v>
      </c>
    </row>
    <row r="146" spans="12:19" x14ac:dyDescent="0.35">
      <c r="L146" t="s">
        <v>481</v>
      </c>
    </row>
    <row r="148" spans="12:19" x14ac:dyDescent="0.35">
      <c r="M148">
        <v>1</v>
      </c>
      <c r="N148">
        <f>M148+1</f>
        <v>2</v>
      </c>
      <c r="O148">
        <f>N148+1</f>
        <v>3</v>
      </c>
      <c r="P148">
        <f>O148+1</f>
        <v>4</v>
      </c>
      <c r="R148" s="47" t="s">
        <v>479</v>
      </c>
      <c r="S148" s="47" t="s">
        <v>482</v>
      </c>
    </row>
    <row r="149" spans="12:19" x14ac:dyDescent="0.35">
      <c r="L149" t="str">
        <f t="array" ref="L149:L157">TRANSPOSE(B3:J3)</f>
        <v>Expect</v>
      </c>
      <c r="M149" s="187" t="e">
        <f t="array" ref="M149:P157" ca="1">M122:P130</f>
        <v>#NAME?</v>
      </c>
      <c r="N149" s="188" t="e">
        <f ca="1"/>
        <v>#NAME?</v>
      </c>
      <c r="O149" s="188" t="e">
        <f ca="1"/>
        <v>#NAME?</v>
      </c>
      <c r="P149" s="189" t="e">
        <f ca="1"/>
        <v>#NAME?</v>
      </c>
      <c r="R149" s="190" t="e">
        <f ca="1">SUMSQ(M149:P149)</f>
        <v>#NAME?</v>
      </c>
      <c r="S149" s="190" t="e">
        <f ca="1">1-R149</f>
        <v>#NAME?</v>
      </c>
    </row>
    <row r="150" spans="12:19" x14ac:dyDescent="0.35">
      <c r="L150" t="str">
        <v>Entertain</v>
      </c>
      <c r="M150" s="83" t="e">
        <f ca="1"/>
        <v>#NAME?</v>
      </c>
      <c r="N150" s="37" t="e">
        <f ca="1"/>
        <v>#NAME?</v>
      </c>
      <c r="O150" s="37" t="e">
        <f ca="1"/>
        <v>#NAME?</v>
      </c>
      <c r="P150" s="84" t="e">
        <f ca="1"/>
        <v>#NAME?</v>
      </c>
      <c r="R150" s="98" t="e">
        <f t="shared" ref="R150:R157" ca="1" si="18">SUMSQ(M150:P150)</f>
        <v>#NAME?</v>
      </c>
      <c r="S150" s="98" t="e">
        <f t="shared" ref="S150:S157" ca="1" si="19">1-R150</f>
        <v>#NAME?</v>
      </c>
    </row>
    <row r="151" spans="12:19" x14ac:dyDescent="0.35">
      <c r="L151" t="str">
        <v>Comm</v>
      </c>
      <c r="M151" s="83" t="e">
        <f ca="1"/>
        <v>#NAME?</v>
      </c>
      <c r="N151" s="37" t="e">
        <f ca="1"/>
        <v>#NAME?</v>
      </c>
      <c r="O151" s="37" t="e">
        <f ca="1"/>
        <v>#NAME?</v>
      </c>
      <c r="P151" s="84" t="e">
        <f ca="1"/>
        <v>#NAME?</v>
      </c>
      <c r="R151" s="98" t="e">
        <f t="shared" ca="1" si="18"/>
        <v>#NAME?</v>
      </c>
      <c r="S151" s="98" t="e">
        <f t="shared" ca="1" si="19"/>
        <v>#NAME?</v>
      </c>
    </row>
    <row r="152" spans="12:19" x14ac:dyDescent="0.35">
      <c r="L152" t="str">
        <v>Expert</v>
      </c>
      <c r="M152" s="83" t="e">
        <f ca="1"/>
        <v>#NAME?</v>
      </c>
      <c r="N152" s="37" t="e">
        <f ca="1"/>
        <v>#NAME?</v>
      </c>
      <c r="O152" s="37" t="e">
        <f ca="1"/>
        <v>#NAME?</v>
      </c>
      <c r="P152" s="84" t="e">
        <f ca="1"/>
        <v>#NAME?</v>
      </c>
      <c r="R152" s="98" t="e">
        <f t="shared" ca="1" si="18"/>
        <v>#NAME?</v>
      </c>
      <c r="S152" s="98" t="e">
        <f t="shared" ca="1" si="19"/>
        <v>#NAME?</v>
      </c>
    </row>
    <row r="153" spans="12:19" x14ac:dyDescent="0.35">
      <c r="L153" t="str">
        <v>Motivate</v>
      </c>
      <c r="M153" s="83" t="e">
        <f ca="1"/>
        <v>#NAME?</v>
      </c>
      <c r="N153" s="37" t="e">
        <f ca="1"/>
        <v>#NAME?</v>
      </c>
      <c r="O153" s="37" t="e">
        <f ca="1"/>
        <v>#NAME?</v>
      </c>
      <c r="P153" s="84" t="e">
        <f ca="1"/>
        <v>#NAME?</v>
      </c>
      <c r="R153" s="98" t="e">
        <f t="shared" ca="1" si="18"/>
        <v>#NAME?</v>
      </c>
      <c r="S153" s="98" t="e">
        <f t="shared" ca="1" si="19"/>
        <v>#NAME?</v>
      </c>
    </row>
    <row r="154" spans="12:19" x14ac:dyDescent="0.35">
      <c r="L154" t="str">
        <v>Caring</v>
      </c>
      <c r="M154" s="83" t="e">
        <f ca="1"/>
        <v>#NAME?</v>
      </c>
      <c r="N154" s="37" t="e">
        <f ca="1"/>
        <v>#NAME?</v>
      </c>
      <c r="O154" s="37" t="e">
        <f ca="1"/>
        <v>#NAME?</v>
      </c>
      <c r="P154" s="84" t="e">
        <f ca="1"/>
        <v>#NAME?</v>
      </c>
      <c r="R154" s="98" t="e">
        <f t="shared" ca="1" si="18"/>
        <v>#NAME?</v>
      </c>
      <c r="S154" s="98" t="e">
        <f t="shared" ca="1" si="19"/>
        <v>#NAME?</v>
      </c>
    </row>
    <row r="155" spans="12:19" x14ac:dyDescent="0.35">
      <c r="L155" t="str">
        <v>Charisma</v>
      </c>
      <c r="M155" s="83" t="e">
        <f ca="1"/>
        <v>#NAME?</v>
      </c>
      <c r="N155" s="37" t="e">
        <f ca="1"/>
        <v>#NAME?</v>
      </c>
      <c r="O155" s="37" t="e">
        <f ca="1"/>
        <v>#NAME?</v>
      </c>
      <c r="P155" s="84" t="e">
        <f ca="1"/>
        <v>#NAME?</v>
      </c>
      <c r="R155" s="98" t="e">
        <f t="shared" ca="1" si="18"/>
        <v>#NAME?</v>
      </c>
      <c r="S155" s="98" t="e">
        <f t="shared" ca="1" si="19"/>
        <v>#NAME?</v>
      </c>
    </row>
    <row r="156" spans="12:19" x14ac:dyDescent="0.35">
      <c r="L156" t="str">
        <v>Passion</v>
      </c>
      <c r="M156" s="83" t="e">
        <f ca="1"/>
        <v>#NAME?</v>
      </c>
      <c r="N156" s="37" t="e">
        <f ca="1"/>
        <v>#NAME?</v>
      </c>
      <c r="O156" s="37" t="e">
        <f ca="1"/>
        <v>#NAME?</v>
      </c>
      <c r="P156" s="84" t="e">
        <f ca="1"/>
        <v>#NAME?</v>
      </c>
      <c r="R156" s="98" t="e">
        <f t="shared" ca="1" si="18"/>
        <v>#NAME?</v>
      </c>
      <c r="S156" s="98" t="e">
        <f t="shared" ca="1" si="19"/>
        <v>#NAME?</v>
      </c>
    </row>
    <row r="157" spans="12:19" x14ac:dyDescent="0.35">
      <c r="L157" t="str">
        <v>Friendly</v>
      </c>
      <c r="M157" s="85" t="e">
        <f ca="1"/>
        <v>#NAME?</v>
      </c>
      <c r="N157" s="86" t="e">
        <f ca="1"/>
        <v>#NAME?</v>
      </c>
      <c r="O157" s="86" t="e">
        <f ca="1"/>
        <v>#NAME?</v>
      </c>
      <c r="P157" s="87" t="e">
        <f ca="1"/>
        <v>#NAME?</v>
      </c>
      <c r="R157" s="99" t="e">
        <f t="shared" ca="1" si="18"/>
        <v>#NAME?</v>
      </c>
      <c r="S157" s="99" t="e">
        <f t="shared" ca="1" si="19"/>
        <v>#NAME?</v>
      </c>
    </row>
    <row r="158" spans="12:19" x14ac:dyDescent="0.35">
      <c r="M158" t="e">
        <f ca="1">SUMSQ(M149:M157)</f>
        <v>#NAME?</v>
      </c>
      <c r="N158" t="e">
        <f ca="1">SUMSQ(N149:N157)</f>
        <v>#NAME?</v>
      </c>
      <c r="O158" t="e">
        <f ca="1">SUMSQ(O149:O157)</f>
        <v>#NAME?</v>
      </c>
      <c r="P158" t="e">
        <f ca="1">SUMSQ(P149:P157)</f>
        <v>#NAME?</v>
      </c>
      <c r="R158" t="e">
        <f ca="1">SUM(R149:R157)</f>
        <v>#NAME?</v>
      </c>
      <c r="S158" t="e">
        <f ca="1">SUM(S149:S157)</f>
        <v>#NAME?</v>
      </c>
    </row>
    <row r="160" spans="12:19" x14ac:dyDescent="0.35">
      <c r="L160" t="s">
        <v>483</v>
      </c>
    </row>
    <row r="162" spans="12:21" x14ac:dyDescent="0.35">
      <c r="M162">
        <v>1</v>
      </c>
      <c r="N162">
        <f>M162+1</f>
        <v>2</v>
      </c>
      <c r="O162">
        <f>N162+1</f>
        <v>3</v>
      </c>
      <c r="P162">
        <f>O162+1</f>
        <v>4</v>
      </c>
      <c r="R162" s="47" t="s">
        <v>479</v>
      </c>
      <c r="S162" s="47" t="s">
        <v>482</v>
      </c>
    </row>
    <row r="163" spans="12:21" x14ac:dyDescent="0.35">
      <c r="L163" t="str">
        <f t="array" ref="L163:L171">TRANSPOSE(B3:J3)</f>
        <v>Expect</v>
      </c>
      <c r="M163" s="187" t="e">
        <f t="array" aca="1" ref="M163:P171" ca="1">VARIMAX(M149:P157,100)</f>
        <v>#NAME?</v>
      </c>
      <c r="N163" s="188" t="e">
        <f ca="1"/>
        <v>#NAME?</v>
      </c>
      <c r="O163" s="188" t="e">
        <f ca="1"/>
        <v>#NAME?</v>
      </c>
      <c r="P163" s="189" t="e">
        <f ca="1"/>
        <v>#NAME?</v>
      </c>
      <c r="R163" s="190" t="e">
        <f ca="1">SUMSQ(M163:P163)</f>
        <v>#NAME?</v>
      </c>
      <c r="S163" s="190" t="e">
        <f ca="1">1-R163</f>
        <v>#NAME?</v>
      </c>
    </row>
    <row r="164" spans="12:21" x14ac:dyDescent="0.35">
      <c r="L164" t="str">
        <v>Entertain</v>
      </c>
      <c r="M164" s="83" t="e">
        <f ca="1"/>
        <v>#NAME?</v>
      </c>
      <c r="N164" s="37" t="e">
        <f ca="1"/>
        <v>#NAME?</v>
      </c>
      <c r="O164" s="37" t="e">
        <f ca="1"/>
        <v>#NAME?</v>
      </c>
      <c r="P164" s="84" t="e">
        <f ca="1"/>
        <v>#NAME?</v>
      </c>
      <c r="R164" s="98" t="e">
        <f t="shared" ref="R164:R171" ca="1" si="20">SUMSQ(M164:P164)</f>
        <v>#NAME?</v>
      </c>
      <c r="S164" s="98" t="e">
        <f t="shared" ref="S164:S171" ca="1" si="21">1-R164</f>
        <v>#NAME?</v>
      </c>
    </row>
    <row r="165" spans="12:21" x14ac:dyDescent="0.35">
      <c r="L165" t="str">
        <v>Comm</v>
      </c>
      <c r="M165" s="83" t="e">
        <f ca="1"/>
        <v>#NAME?</v>
      </c>
      <c r="N165" s="37" t="e">
        <f ca="1"/>
        <v>#NAME?</v>
      </c>
      <c r="O165" s="37" t="e">
        <f ca="1"/>
        <v>#NAME?</v>
      </c>
      <c r="P165" s="84" t="e">
        <f ca="1"/>
        <v>#NAME?</v>
      </c>
      <c r="R165" s="98" t="e">
        <f t="shared" ca="1" si="20"/>
        <v>#NAME?</v>
      </c>
      <c r="S165" s="98" t="e">
        <f t="shared" ca="1" si="21"/>
        <v>#NAME?</v>
      </c>
    </row>
    <row r="166" spans="12:21" x14ac:dyDescent="0.35">
      <c r="L166" t="str">
        <v>Expert</v>
      </c>
      <c r="M166" s="83" t="e">
        <f ca="1"/>
        <v>#NAME?</v>
      </c>
      <c r="N166" s="37" t="e">
        <f ca="1"/>
        <v>#NAME?</v>
      </c>
      <c r="O166" s="37" t="e">
        <f ca="1"/>
        <v>#NAME?</v>
      </c>
      <c r="P166" s="84" t="e">
        <f ca="1"/>
        <v>#NAME?</v>
      </c>
      <c r="R166" s="98" t="e">
        <f t="shared" ca="1" si="20"/>
        <v>#NAME?</v>
      </c>
      <c r="S166" s="98" t="e">
        <f t="shared" ca="1" si="21"/>
        <v>#NAME?</v>
      </c>
    </row>
    <row r="167" spans="12:21" x14ac:dyDescent="0.35">
      <c r="L167" t="str">
        <v>Motivate</v>
      </c>
      <c r="M167" s="83" t="e">
        <f ca="1"/>
        <v>#NAME?</v>
      </c>
      <c r="N167" s="37" t="e">
        <f ca="1"/>
        <v>#NAME?</v>
      </c>
      <c r="O167" s="37" t="e">
        <f ca="1"/>
        <v>#NAME?</v>
      </c>
      <c r="P167" s="84" t="e">
        <f ca="1"/>
        <v>#NAME?</v>
      </c>
      <c r="R167" s="98" t="e">
        <f t="shared" ca="1" si="20"/>
        <v>#NAME?</v>
      </c>
      <c r="S167" s="98" t="e">
        <f t="shared" ca="1" si="21"/>
        <v>#NAME?</v>
      </c>
    </row>
    <row r="168" spans="12:21" x14ac:dyDescent="0.35">
      <c r="L168" t="str">
        <v>Caring</v>
      </c>
      <c r="M168" s="83" t="e">
        <f ca="1"/>
        <v>#NAME?</v>
      </c>
      <c r="N168" s="37" t="e">
        <f ca="1"/>
        <v>#NAME?</v>
      </c>
      <c r="O168" s="37" t="e">
        <f ca="1"/>
        <v>#NAME?</v>
      </c>
      <c r="P168" s="84" t="e">
        <f ca="1"/>
        <v>#NAME?</v>
      </c>
      <c r="R168" s="98" t="e">
        <f t="shared" ca="1" si="20"/>
        <v>#NAME?</v>
      </c>
      <c r="S168" s="98" t="e">
        <f t="shared" ca="1" si="21"/>
        <v>#NAME?</v>
      </c>
    </row>
    <row r="169" spans="12:21" x14ac:dyDescent="0.35">
      <c r="L169" t="str">
        <v>Charisma</v>
      </c>
      <c r="M169" s="83" t="e">
        <f ca="1"/>
        <v>#NAME?</v>
      </c>
      <c r="N169" s="37" t="e">
        <f ca="1"/>
        <v>#NAME?</v>
      </c>
      <c r="O169" s="37" t="e">
        <f ca="1"/>
        <v>#NAME?</v>
      </c>
      <c r="P169" s="84" t="e">
        <f ca="1"/>
        <v>#NAME?</v>
      </c>
      <c r="R169" s="98" t="e">
        <f t="shared" ca="1" si="20"/>
        <v>#NAME?</v>
      </c>
      <c r="S169" s="98" t="e">
        <f t="shared" ca="1" si="21"/>
        <v>#NAME?</v>
      </c>
    </row>
    <row r="170" spans="12:21" x14ac:dyDescent="0.35">
      <c r="L170" t="str">
        <v>Passion</v>
      </c>
      <c r="M170" s="83" t="e">
        <f ca="1"/>
        <v>#NAME?</v>
      </c>
      <c r="N170" s="37" t="e">
        <f ca="1"/>
        <v>#NAME?</v>
      </c>
      <c r="O170" s="37" t="e">
        <f ca="1"/>
        <v>#NAME?</v>
      </c>
      <c r="P170" s="84" t="e">
        <f ca="1"/>
        <v>#NAME?</v>
      </c>
      <c r="R170" s="98" t="e">
        <f t="shared" ca="1" si="20"/>
        <v>#NAME?</v>
      </c>
      <c r="S170" s="98" t="e">
        <f t="shared" ca="1" si="21"/>
        <v>#NAME?</v>
      </c>
    </row>
    <row r="171" spans="12:21" x14ac:dyDescent="0.35">
      <c r="L171" t="str">
        <v>Friendly</v>
      </c>
      <c r="M171" s="85" t="e">
        <f ca="1"/>
        <v>#NAME?</v>
      </c>
      <c r="N171" s="86" t="e">
        <f ca="1"/>
        <v>#NAME?</v>
      </c>
      <c r="O171" s="86" t="e">
        <f ca="1"/>
        <v>#NAME?</v>
      </c>
      <c r="P171" s="87" t="e">
        <f ca="1"/>
        <v>#NAME?</v>
      </c>
      <c r="R171" s="99" t="e">
        <f t="shared" ca="1" si="20"/>
        <v>#NAME?</v>
      </c>
      <c r="S171" s="99" t="e">
        <f t="shared" ca="1" si="21"/>
        <v>#NAME?</v>
      </c>
    </row>
    <row r="172" spans="12:21" x14ac:dyDescent="0.35">
      <c r="M172" t="e">
        <f ca="1">SUMSQ(M163:M171)</f>
        <v>#NAME?</v>
      </c>
      <c r="N172" t="e">
        <f ca="1">SUMSQ(N163:N171)</f>
        <v>#NAME?</v>
      </c>
      <c r="O172" t="e">
        <f ca="1">SUMSQ(O163:O171)</f>
        <v>#NAME?</v>
      </c>
      <c r="P172" t="e">
        <f ca="1">SUMSQ(P163:P171)</f>
        <v>#NAME?</v>
      </c>
      <c r="R172" t="e">
        <f ca="1">SUM(R163:R171)</f>
        <v>#NAME?</v>
      </c>
      <c r="S172" t="e">
        <f ca="1">SUM(S163:S171)</f>
        <v>#NAME?</v>
      </c>
    </row>
    <row r="174" spans="12:21" x14ac:dyDescent="0.35">
      <c r="L174" t="s">
        <v>484</v>
      </c>
    </row>
    <row r="176" spans="12:21" x14ac:dyDescent="0.35">
      <c r="M176" t="str">
        <f t="array" ref="M176:U176">B3:J3</f>
        <v>Expect</v>
      </c>
      <c r="N176" t="str">
        <v>Entertain</v>
      </c>
      <c r="O176" t="str">
        <v>Comm</v>
      </c>
      <c r="P176" t="str">
        <v>Expert</v>
      </c>
      <c r="Q176" t="str">
        <v>Motivate</v>
      </c>
      <c r="R176" t="str">
        <v>Caring</v>
      </c>
      <c r="S176" t="str">
        <v>Charisma</v>
      </c>
      <c r="T176" t="str">
        <v>Passion</v>
      </c>
      <c r="U176" t="str">
        <v>Friendly</v>
      </c>
    </row>
    <row r="177" spans="12:21" x14ac:dyDescent="0.35">
      <c r="L177" t="str">
        <f t="array" ref="L177:L185">TRANSPOSE(B3:J3)</f>
        <v>Expect</v>
      </c>
      <c r="M177" s="187" t="e">
        <f t="array" aca="1" ref="M177:U185" ca="1">MMULT(M149:P157,TRANSPOSE(M149:P157))</f>
        <v>#NAME?</v>
      </c>
      <c r="N177" s="188" t="e">
        <f ca="1"/>
        <v>#NAME?</v>
      </c>
      <c r="O177" s="188" t="e">
        <f ca="1"/>
        <v>#NAME?</v>
      </c>
      <c r="P177" s="188" t="e">
        <f ca="1"/>
        <v>#NAME?</v>
      </c>
      <c r="Q177" s="188" t="e">
        <f ca="1"/>
        <v>#NAME?</v>
      </c>
      <c r="R177" s="188" t="e">
        <f ca="1"/>
        <v>#NAME?</v>
      </c>
      <c r="S177" s="188" t="e">
        <f ca="1"/>
        <v>#NAME?</v>
      </c>
      <c r="T177" s="188" t="e">
        <f ca="1"/>
        <v>#NAME?</v>
      </c>
      <c r="U177" s="189" t="e">
        <f ca="1"/>
        <v>#NAME?</v>
      </c>
    </row>
    <row r="178" spans="12:21" x14ac:dyDescent="0.35">
      <c r="L178" t="str">
        <v>Entertain</v>
      </c>
      <c r="M178" s="83" t="e">
        <f ca="1"/>
        <v>#NAME?</v>
      </c>
      <c r="N178" s="37" t="e">
        <f ca="1"/>
        <v>#NAME?</v>
      </c>
      <c r="O178" s="37" t="e">
        <f ca="1"/>
        <v>#NAME?</v>
      </c>
      <c r="P178" s="37" t="e">
        <f ca="1"/>
        <v>#NAME?</v>
      </c>
      <c r="Q178" s="37" t="e">
        <f ca="1"/>
        <v>#NAME?</v>
      </c>
      <c r="R178" s="37" t="e">
        <f ca="1"/>
        <v>#NAME?</v>
      </c>
      <c r="S178" s="37" t="e">
        <f ca="1"/>
        <v>#NAME?</v>
      </c>
      <c r="T178" s="37" t="e">
        <f ca="1"/>
        <v>#NAME?</v>
      </c>
      <c r="U178" s="84" t="e">
        <f ca="1"/>
        <v>#NAME?</v>
      </c>
    </row>
    <row r="179" spans="12:21" x14ac:dyDescent="0.35">
      <c r="L179" t="str">
        <v>Comm</v>
      </c>
      <c r="M179" s="83" t="e">
        <f ca="1"/>
        <v>#NAME?</v>
      </c>
      <c r="N179" s="37" t="e">
        <f ca="1"/>
        <v>#NAME?</v>
      </c>
      <c r="O179" s="37" t="e">
        <f ca="1"/>
        <v>#NAME?</v>
      </c>
      <c r="P179" s="37" t="e">
        <f ca="1"/>
        <v>#NAME?</v>
      </c>
      <c r="Q179" s="37" t="e">
        <f ca="1"/>
        <v>#NAME?</v>
      </c>
      <c r="R179" s="37" t="e">
        <f ca="1"/>
        <v>#NAME?</v>
      </c>
      <c r="S179" s="37" t="e">
        <f ca="1"/>
        <v>#NAME?</v>
      </c>
      <c r="T179" s="37" t="e">
        <f ca="1"/>
        <v>#NAME?</v>
      </c>
      <c r="U179" s="84" t="e">
        <f ca="1"/>
        <v>#NAME?</v>
      </c>
    </row>
    <row r="180" spans="12:21" x14ac:dyDescent="0.35">
      <c r="L180" t="str">
        <v>Expert</v>
      </c>
      <c r="M180" s="83" t="e">
        <f ca="1"/>
        <v>#NAME?</v>
      </c>
      <c r="N180" s="37" t="e">
        <f ca="1"/>
        <v>#NAME?</v>
      </c>
      <c r="O180" s="37" t="e">
        <f ca="1"/>
        <v>#NAME?</v>
      </c>
      <c r="P180" s="37" t="e">
        <f ca="1"/>
        <v>#NAME?</v>
      </c>
      <c r="Q180" s="37" t="e">
        <f ca="1"/>
        <v>#NAME?</v>
      </c>
      <c r="R180" s="37" t="e">
        <f ca="1"/>
        <v>#NAME?</v>
      </c>
      <c r="S180" s="37" t="e">
        <f ca="1"/>
        <v>#NAME?</v>
      </c>
      <c r="T180" s="37" t="e">
        <f ca="1"/>
        <v>#NAME?</v>
      </c>
      <c r="U180" s="84" t="e">
        <f ca="1"/>
        <v>#NAME?</v>
      </c>
    </row>
    <row r="181" spans="12:21" x14ac:dyDescent="0.35">
      <c r="L181" t="str">
        <v>Motivate</v>
      </c>
      <c r="M181" s="83" t="e">
        <f ca="1"/>
        <v>#NAME?</v>
      </c>
      <c r="N181" s="37" t="e">
        <f ca="1"/>
        <v>#NAME?</v>
      </c>
      <c r="O181" s="37" t="e">
        <f ca="1"/>
        <v>#NAME?</v>
      </c>
      <c r="P181" s="37" t="e">
        <f ca="1"/>
        <v>#NAME?</v>
      </c>
      <c r="Q181" s="37" t="e">
        <f ca="1"/>
        <v>#NAME?</v>
      </c>
      <c r="R181" s="37" t="e">
        <f ca="1"/>
        <v>#NAME?</v>
      </c>
      <c r="S181" s="37" t="e">
        <f ca="1"/>
        <v>#NAME?</v>
      </c>
      <c r="T181" s="37" t="e">
        <f ca="1"/>
        <v>#NAME?</v>
      </c>
      <c r="U181" s="84" t="e">
        <f ca="1"/>
        <v>#NAME?</v>
      </c>
    </row>
    <row r="182" spans="12:21" x14ac:dyDescent="0.35">
      <c r="L182" t="str">
        <v>Caring</v>
      </c>
      <c r="M182" s="83" t="e">
        <f ca="1"/>
        <v>#NAME?</v>
      </c>
      <c r="N182" s="37" t="e">
        <f ca="1"/>
        <v>#NAME?</v>
      </c>
      <c r="O182" s="37" t="e">
        <f ca="1"/>
        <v>#NAME?</v>
      </c>
      <c r="P182" s="37" t="e">
        <f ca="1"/>
        <v>#NAME?</v>
      </c>
      <c r="Q182" s="37" t="e">
        <f ca="1"/>
        <v>#NAME?</v>
      </c>
      <c r="R182" s="37" t="e">
        <f ca="1"/>
        <v>#NAME?</v>
      </c>
      <c r="S182" s="37" t="e">
        <f ca="1"/>
        <v>#NAME?</v>
      </c>
      <c r="T182" s="37" t="e">
        <f ca="1"/>
        <v>#NAME?</v>
      </c>
      <c r="U182" s="84" t="e">
        <f ca="1"/>
        <v>#NAME?</v>
      </c>
    </row>
    <row r="183" spans="12:21" x14ac:dyDescent="0.35">
      <c r="L183" t="str">
        <v>Charisma</v>
      </c>
      <c r="M183" s="83" t="e">
        <f ca="1"/>
        <v>#NAME?</v>
      </c>
      <c r="N183" s="37" t="e">
        <f ca="1"/>
        <v>#NAME?</v>
      </c>
      <c r="O183" s="37" t="e">
        <f ca="1"/>
        <v>#NAME?</v>
      </c>
      <c r="P183" s="37" t="e">
        <f ca="1"/>
        <v>#NAME?</v>
      </c>
      <c r="Q183" s="37" t="e">
        <f ca="1"/>
        <v>#NAME?</v>
      </c>
      <c r="R183" s="37" t="e">
        <f ca="1"/>
        <v>#NAME?</v>
      </c>
      <c r="S183" s="37" t="e">
        <f ca="1"/>
        <v>#NAME?</v>
      </c>
      <c r="T183" s="37" t="e">
        <f ca="1"/>
        <v>#NAME?</v>
      </c>
      <c r="U183" s="84" t="e">
        <f ca="1"/>
        <v>#NAME?</v>
      </c>
    </row>
    <row r="184" spans="12:21" x14ac:dyDescent="0.35">
      <c r="L184" t="str">
        <v>Passion</v>
      </c>
      <c r="M184" s="83" t="e">
        <f ca="1"/>
        <v>#NAME?</v>
      </c>
      <c r="N184" s="37" t="e">
        <f ca="1"/>
        <v>#NAME?</v>
      </c>
      <c r="O184" s="37" t="e">
        <f ca="1"/>
        <v>#NAME?</v>
      </c>
      <c r="P184" s="37" t="e">
        <f ca="1"/>
        <v>#NAME?</v>
      </c>
      <c r="Q184" s="37" t="e">
        <f ca="1"/>
        <v>#NAME?</v>
      </c>
      <c r="R184" s="37" t="e">
        <f ca="1"/>
        <v>#NAME?</v>
      </c>
      <c r="S184" s="37" t="e">
        <f ca="1"/>
        <v>#NAME?</v>
      </c>
      <c r="T184" s="37" t="e">
        <f ca="1"/>
        <v>#NAME?</v>
      </c>
      <c r="U184" s="84" t="e">
        <f ca="1"/>
        <v>#NAME?</v>
      </c>
    </row>
    <row r="185" spans="12:21" x14ac:dyDescent="0.35">
      <c r="L185" t="str">
        <v>Friendly</v>
      </c>
      <c r="M185" s="85" t="e">
        <f ca="1"/>
        <v>#NAME?</v>
      </c>
      <c r="N185" s="86" t="e">
        <f ca="1"/>
        <v>#NAME?</v>
      </c>
      <c r="O185" s="86" t="e">
        <f ca="1"/>
        <v>#NAME?</v>
      </c>
      <c r="P185" s="86" t="e">
        <f ca="1"/>
        <v>#NAME?</v>
      </c>
      <c r="Q185" s="86" t="e">
        <f ca="1"/>
        <v>#NAME?</v>
      </c>
      <c r="R185" s="86" t="e">
        <f ca="1"/>
        <v>#NAME?</v>
      </c>
      <c r="S185" s="86" t="e">
        <f ca="1"/>
        <v>#NAME?</v>
      </c>
      <c r="T185" s="86" t="e">
        <f ca="1"/>
        <v>#NAME?</v>
      </c>
      <c r="U185" s="87" t="e">
        <f ca="1"/>
        <v>#NAME?</v>
      </c>
    </row>
    <row r="187" spans="12:21" x14ac:dyDescent="0.35">
      <c r="L187" t="s">
        <v>485</v>
      </c>
    </row>
    <row r="189" spans="12:21" x14ac:dyDescent="0.35">
      <c r="M189" t="str">
        <f t="array" ref="M189:U189">B3:J3</f>
        <v>Expect</v>
      </c>
      <c r="N189" t="str">
        <v>Entertain</v>
      </c>
      <c r="O189" t="str">
        <v>Comm</v>
      </c>
      <c r="P189" t="str">
        <v>Expert</v>
      </c>
      <c r="Q189" t="str">
        <v>Motivate</v>
      </c>
      <c r="R189" t="str">
        <v>Caring</v>
      </c>
      <c r="S189" t="str">
        <v>Charisma</v>
      </c>
      <c r="T189" t="str">
        <v>Passion</v>
      </c>
      <c r="U189" t="str">
        <v>Friendly</v>
      </c>
    </row>
    <row r="190" spans="12:21" x14ac:dyDescent="0.35">
      <c r="L190" t="str">
        <f t="array" ref="L190:L198">TRANSPOSE(B3:J3)</f>
        <v>Expect</v>
      </c>
      <c r="M190" s="187" t="e">
        <f t="array" ref="M190:U198" ca="1">M14:U22-M177:U185</f>
        <v>#NAME?</v>
      </c>
      <c r="N190" s="188" t="e">
        <f ca="1"/>
        <v>#NAME?</v>
      </c>
      <c r="O190" s="188" t="e">
        <f ca="1"/>
        <v>#NAME?</v>
      </c>
      <c r="P190" s="188" t="e">
        <f ca="1"/>
        <v>#NAME?</v>
      </c>
      <c r="Q190" s="188" t="e">
        <f ca="1"/>
        <v>#NAME?</v>
      </c>
      <c r="R190" s="188" t="e">
        <f ca="1"/>
        <v>#NAME?</v>
      </c>
      <c r="S190" s="188" t="e">
        <f ca="1"/>
        <v>#NAME?</v>
      </c>
      <c r="T190" s="188" t="e">
        <f ca="1"/>
        <v>#NAME?</v>
      </c>
      <c r="U190" s="189" t="e">
        <f ca="1"/>
        <v>#NAME?</v>
      </c>
    </row>
    <row r="191" spans="12:21" x14ac:dyDescent="0.35">
      <c r="L191" t="str">
        <v>Entertain</v>
      </c>
      <c r="M191" s="83" t="e">
        <f ca="1"/>
        <v>#NAME?</v>
      </c>
      <c r="N191" s="37" t="e">
        <f ca="1"/>
        <v>#NAME?</v>
      </c>
      <c r="O191" s="37" t="e">
        <f ca="1"/>
        <v>#NAME?</v>
      </c>
      <c r="P191" s="37" t="e">
        <f ca="1"/>
        <v>#NAME?</v>
      </c>
      <c r="Q191" s="37" t="e">
        <f ca="1"/>
        <v>#NAME?</v>
      </c>
      <c r="R191" s="37" t="e">
        <f ca="1"/>
        <v>#NAME?</v>
      </c>
      <c r="S191" s="37" t="e">
        <f ca="1"/>
        <v>#NAME?</v>
      </c>
      <c r="T191" s="37" t="e">
        <f ca="1"/>
        <v>#NAME?</v>
      </c>
      <c r="U191" s="84" t="e">
        <f ca="1"/>
        <v>#NAME?</v>
      </c>
    </row>
    <row r="192" spans="12:21" x14ac:dyDescent="0.35">
      <c r="L192" t="str">
        <v>Comm</v>
      </c>
      <c r="M192" s="83" t="e">
        <f ca="1"/>
        <v>#NAME?</v>
      </c>
      <c r="N192" s="37" t="e">
        <f ca="1"/>
        <v>#NAME?</v>
      </c>
      <c r="O192" s="37" t="e">
        <f ca="1"/>
        <v>#NAME?</v>
      </c>
      <c r="P192" s="37" t="e">
        <f ca="1"/>
        <v>#NAME?</v>
      </c>
      <c r="Q192" s="37" t="e">
        <f ca="1"/>
        <v>#NAME?</v>
      </c>
      <c r="R192" s="37" t="e">
        <f ca="1"/>
        <v>#NAME?</v>
      </c>
      <c r="S192" s="37" t="e">
        <f ca="1"/>
        <v>#NAME?</v>
      </c>
      <c r="T192" s="37" t="e">
        <f ca="1"/>
        <v>#NAME?</v>
      </c>
      <c r="U192" s="84" t="e">
        <f ca="1"/>
        <v>#NAME?</v>
      </c>
    </row>
    <row r="193" spans="12:21" x14ac:dyDescent="0.35">
      <c r="L193" t="str">
        <v>Expert</v>
      </c>
      <c r="M193" s="83" t="e">
        <f ca="1"/>
        <v>#NAME?</v>
      </c>
      <c r="N193" s="37" t="e">
        <f ca="1"/>
        <v>#NAME?</v>
      </c>
      <c r="O193" s="37" t="e">
        <f ca="1"/>
        <v>#NAME?</v>
      </c>
      <c r="P193" s="37" t="e">
        <f ca="1"/>
        <v>#NAME?</v>
      </c>
      <c r="Q193" s="37" t="e">
        <f ca="1"/>
        <v>#NAME?</v>
      </c>
      <c r="R193" s="37" t="e">
        <f ca="1"/>
        <v>#NAME?</v>
      </c>
      <c r="S193" s="37" t="e">
        <f ca="1"/>
        <v>#NAME?</v>
      </c>
      <c r="T193" s="37" t="e">
        <f ca="1"/>
        <v>#NAME?</v>
      </c>
      <c r="U193" s="84" t="e">
        <f ca="1"/>
        <v>#NAME?</v>
      </c>
    </row>
    <row r="194" spans="12:21" x14ac:dyDescent="0.35">
      <c r="L194" t="str">
        <v>Motivate</v>
      </c>
      <c r="M194" s="83" t="e">
        <f ca="1"/>
        <v>#NAME?</v>
      </c>
      <c r="N194" s="37" t="e">
        <f ca="1"/>
        <v>#NAME?</v>
      </c>
      <c r="O194" s="37" t="e">
        <f ca="1"/>
        <v>#NAME?</v>
      </c>
      <c r="P194" s="37" t="e">
        <f ca="1"/>
        <v>#NAME?</v>
      </c>
      <c r="Q194" s="37" t="e">
        <f ca="1"/>
        <v>#NAME?</v>
      </c>
      <c r="R194" s="37" t="e">
        <f ca="1"/>
        <v>#NAME?</v>
      </c>
      <c r="S194" s="37" t="e">
        <f ca="1"/>
        <v>#NAME?</v>
      </c>
      <c r="T194" s="37" t="e">
        <f ca="1"/>
        <v>#NAME?</v>
      </c>
      <c r="U194" s="84" t="e">
        <f ca="1"/>
        <v>#NAME?</v>
      </c>
    </row>
    <row r="195" spans="12:21" x14ac:dyDescent="0.35">
      <c r="L195" t="str">
        <v>Caring</v>
      </c>
      <c r="M195" s="83" t="e">
        <f ca="1"/>
        <v>#NAME?</v>
      </c>
      <c r="N195" s="37" t="e">
        <f ca="1"/>
        <v>#NAME?</v>
      </c>
      <c r="O195" s="37" t="e">
        <f ca="1"/>
        <v>#NAME?</v>
      </c>
      <c r="P195" s="37" t="e">
        <f ca="1"/>
        <v>#NAME?</v>
      </c>
      <c r="Q195" s="37" t="e">
        <f ca="1"/>
        <v>#NAME?</v>
      </c>
      <c r="R195" s="37" t="e">
        <f ca="1"/>
        <v>#NAME?</v>
      </c>
      <c r="S195" s="37" t="e">
        <f ca="1"/>
        <v>#NAME?</v>
      </c>
      <c r="T195" s="37" t="e">
        <f ca="1"/>
        <v>#NAME?</v>
      </c>
      <c r="U195" s="84" t="e">
        <f ca="1"/>
        <v>#NAME?</v>
      </c>
    </row>
    <row r="196" spans="12:21" x14ac:dyDescent="0.35">
      <c r="L196" t="str">
        <v>Charisma</v>
      </c>
      <c r="M196" s="83" t="e">
        <f ca="1"/>
        <v>#NAME?</v>
      </c>
      <c r="N196" s="37" t="e">
        <f ca="1"/>
        <v>#NAME?</v>
      </c>
      <c r="O196" s="37" t="e">
        <f ca="1"/>
        <v>#NAME?</v>
      </c>
      <c r="P196" s="37" t="e">
        <f ca="1"/>
        <v>#NAME?</v>
      </c>
      <c r="Q196" s="37" t="e">
        <f ca="1"/>
        <v>#NAME?</v>
      </c>
      <c r="R196" s="37" t="e">
        <f ca="1"/>
        <v>#NAME?</v>
      </c>
      <c r="S196" s="37" t="e">
        <f ca="1"/>
        <v>#NAME?</v>
      </c>
      <c r="T196" s="37" t="e">
        <f ca="1"/>
        <v>#NAME?</v>
      </c>
      <c r="U196" s="84" t="e">
        <f ca="1"/>
        <v>#NAME?</v>
      </c>
    </row>
    <row r="197" spans="12:21" x14ac:dyDescent="0.35">
      <c r="L197" t="str">
        <v>Passion</v>
      </c>
      <c r="M197" s="83" t="e">
        <f ca="1"/>
        <v>#NAME?</v>
      </c>
      <c r="N197" s="37" t="e">
        <f ca="1"/>
        <v>#NAME?</v>
      </c>
      <c r="O197" s="37" t="e">
        <f ca="1"/>
        <v>#NAME?</v>
      </c>
      <c r="P197" s="37" t="e">
        <f ca="1"/>
        <v>#NAME?</v>
      </c>
      <c r="Q197" s="37" t="e">
        <f ca="1"/>
        <v>#NAME?</v>
      </c>
      <c r="R197" s="37" t="e">
        <f ca="1"/>
        <v>#NAME?</v>
      </c>
      <c r="S197" s="37" t="e">
        <f ca="1"/>
        <v>#NAME?</v>
      </c>
      <c r="T197" s="37" t="e">
        <f ca="1"/>
        <v>#NAME?</v>
      </c>
      <c r="U197" s="84" t="e">
        <f ca="1"/>
        <v>#NAME?</v>
      </c>
    </row>
    <row r="198" spans="12:21" x14ac:dyDescent="0.35">
      <c r="L198" t="str">
        <v>Friendly</v>
      </c>
      <c r="M198" s="85" t="e">
        <f ca="1"/>
        <v>#NAME?</v>
      </c>
      <c r="N198" s="86" t="e">
        <f ca="1"/>
        <v>#NAME?</v>
      </c>
      <c r="O198" s="86" t="e">
        <f ca="1"/>
        <v>#NAME?</v>
      </c>
      <c r="P198" s="86" t="e">
        <f ca="1"/>
        <v>#NAME?</v>
      </c>
      <c r="Q198" s="86" t="e">
        <f ca="1"/>
        <v>#NAME?</v>
      </c>
      <c r="R198" s="86" t="e">
        <f ca="1"/>
        <v>#NAME?</v>
      </c>
      <c r="S198" s="86" t="e">
        <f ca="1"/>
        <v>#NAME?</v>
      </c>
      <c r="T198" s="86" t="e">
        <f ca="1"/>
        <v>#NAME?</v>
      </c>
      <c r="U198" s="87" t="e">
        <f ca="1"/>
        <v>#NAME?</v>
      </c>
    </row>
    <row r="200" spans="12:21" x14ac:dyDescent="0.35">
      <c r="L200" t="s">
        <v>486</v>
      </c>
    </row>
    <row r="202" spans="12:21" x14ac:dyDescent="0.35">
      <c r="M202">
        <v>1</v>
      </c>
      <c r="N202">
        <f>M202+1</f>
        <v>2</v>
      </c>
      <c r="O202">
        <f>N202+1</f>
        <v>3</v>
      </c>
      <c r="P202">
        <f>O202+1</f>
        <v>4</v>
      </c>
    </row>
    <row r="203" spans="12:21" x14ac:dyDescent="0.35">
      <c r="L203" t="str">
        <f t="array" ref="L203:L211">TRANSPOSE(B3:J3)</f>
        <v>Expect</v>
      </c>
      <c r="M203" s="187" t="e">
        <f t="array" aca="1" ref="M203:P211" ca="1">MMULT(M163:P171,MINVERSE(MMULT(TRANSPOSE(M163:P171),M163:P171)))</f>
        <v>#NAME?</v>
      </c>
      <c r="N203" s="188" t="e">
        <f ca="1"/>
        <v>#NAME?</v>
      </c>
      <c r="O203" s="188" t="e">
        <f ca="1"/>
        <v>#NAME?</v>
      </c>
      <c r="P203" s="189" t="e">
        <f ca="1"/>
        <v>#NAME?</v>
      </c>
    </row>
    <row r="204" spans="12:21" x14ac:dyDescent="0.35">
      <c r="L204" t="str">
        <v>Entertain</v>
      </c>
      <c r="M204" s="83" t="e">
        <f ca="1"/>
        <v>#NAME?</v>
      </c>
      <c r="N204" s="37" t="e">
        <f ca="1"/>
        <v>#NAME?</v>
      </c>
      <c r="O204" s="37" t="e">
        <f ca="1"/>
        <v>#NAME?</v>
      </c>
      <c r="P204" s="84" t="e">
        <f ca="1"/>
        <v>#NAME?</v>
      </c>
    </row>
    <row r="205" spans="12:21" x14ac:dyDescent="0.35">
      <c r="L205" t="str">
        <v>Comm</v>
      </c>
      <c r="M205" s="83" t="e">
        <f ca="1"/>
        <v>#NAME?</v>
      </c>
      <c r="N205" s="37" t="e">
        <f ca="1"/>
        <v>#NAME?</v>
      </c>
      <c r="O205" s="37" t="e">
        <f ca="1"/>
        <v>#NAME?</v>
      </c>
      <c r="P205" s="84" t="e">
        <f ca="1"/>
        <v>#NAME?</v>
      </c>
    </row>
    <row r="206" spans="12:21" x14ac:dyDescent="0.35">
      <c r="L206" t="str">
        <v>Expert</v>
      </c>
      <c r="M206" s="83" t="e">
        <f ca="1"/>
        <v>#NAME?</v>
      </c>
      <c r="N206" s="37" t="e">
        <f ca="1"/>
        <v>#NAME?</v>
      </c>
      <c r="O206" s="37" t="e">
        <f ca="1"/>
        <v>#NAME?</v>
      </c>
      <c r="P206" s="84" t="e">
        <f ca="1"/>
        <v>#NAME?</v>
      </c>
    </row>
    <row r="207" spans="12:21" x14ac:dyDescent="0.35">
      <c r="L207" t="str">
        <v>Motivate</v>
      </c>
      <c r="M207" s="83" t="e">
        <f ca="1"/>
        <v>#NAME?</v>
      </c>
      <c r="N207" s="37" t="e">
        <f ca="1"/>
        <v>#NAME?</v>
      </c>
      <c r="O207" s="37" t="e">
        <f ca="1"/>
        <v>#NAME?</v>
      </c>
      <c r="P207" s="84" t="e">
        <f ca="1"/>
        <v>#NAME?</v>
      </c>
    </row>
    <row r="208" spans="12:21" x14ac:dyDescent="0.35">
      <c r="L208" t="str">
        <v>Caring</v>
      </c>
      <c r="M208" s="83" t="e">
        <f ca="1"/>
        <v>#NAME?</v>
      </c>
      <c r="N208" s="37" t="e">
        <f ca="1"/>
        <v>#NAME?</v>
      </c>
      <c r="O208" s="37" t="e">
        <f ca="1"/>
        <v>#NAME?</v>
      </c>
      <c r="P208" s="84" t="e">
        <f ca="1"/>
        <v>#NAME?</v>
      </c>
    </row>
    <row r="209" spans="12:16" x14ac:dyDescent="0.35">
      <c r="L209" t="str">
        <v>Charisma</v>
      </c>
      <c r="M209" s="83" t="e">
        <f ca="1"/>
        <v>#NAME?</v>
      </c>
      <c r="N209" s="37" t="e">
        <f ca="1"/>
        <v>#NAME?</v>
      </c>
      <c r="O209" s="37" t="e">
        <f ca="1"/>
        <v>#NAME?</v>
      </c>
      <c r="P209" s="84" t="e">
        <f ca="1"/>
        <v>#NAME?</v>
      </c>
    </row>
    <row r="210" spans="12:16" x14ac:dyDescent="0.35">
      <c r="L210" t="str">
        <v>Passion</v>
      </c>
      <c r="M210" s="83" t="e">
        <f ca="1"/>
        <v>#NAME?</v>
      </c>
      <c r="N210" s="37" t="e">
        <f ca="1"/>
        <v>#NAME?</v>
      </c>
      <c r="O210" s="37" t="e">
        <f ca="1"/>
        <v>#NAME?</v>
      </c>
      <c r="P210" s="84" t="e">
        <f ca="1"/>
        <v>#NAME?</v>
      </c>
    </row>
    <row r="211" spans="12:16" x14ac:dyDescent="0.35">
      <c r="L211" t="str">
        <v>Friendly</v>
      </c>
      <c r="M211" s="85" t="e">
        <f ca="1"/>
        <v>#NAME?</v>
      </c>
      <c r="N211" s="86" t="e">
        <f ca="1"/>
        <v>#NAME?</v>
      </c>
      <c r="O211" s="86" t="e">
        <f ca="1"/>
        <v>#NAME?</v>
      </c>
      <c r="P211" s="87" t="e">
        <f ca="1"/>
        <v>#NAME?</v>
      </c>
    </row>
    <row r="213" spans="12:16" x14ac:dyDescent="0.35">
      <c r="L213" t="s">
        <v>487</v>
      </c>
    </row>
    <row r="215" spans="12:16" x14ac:dyDescent="0.35">
      <c r="M215">
        <v>1</v>
      </c>
      <c r="N215">
        <f>M215+1</f>
        <v>2</v>
      </c>
      <c r="O215">
        <f>N215+1</f>
        <v>3</v>
      </c>
      <c r="P215">
        <f>O215+1</f>
        <v>4</v>
      </c>
    </row>
    <row r="216" spans="12:16" x14ac:dyDescent="0.35">
      <c r="L216" t="str">
        <f t="array" ref="L216:L224">TRANSPOSE(B3:J3)</f>
        <v>Expect</v>
      </c>
      <c r="M216" s="187" t="e">
        <f t="array" aca="1" ref="M216:P224" ca="1">TRANSPOSE(MMULT(MINVERSE(MMULT(TRANSPOSE(M163:P171),MMULT(MINVERSE(DIAGONAL(S149:S157)),M163:P171))),MMULT(TRANSPOSE(M163:P171),MINVERSE(DIAGONAL(S149:S157)))))</f>
        <v>#NAME?</v>
      </c>
      <c r="N216" s="188" t="e">
        <f ca="1"/>
        <v>#NAME?</v>
      </c>
      <c r="O216" s="188" t="e">
        <f ca="1"/>
        <v>#NAME?</v>
      </c>
      <c r="P216" s="189" t="e">
        <f ca="1"/>
        <v>#NAME?</v>
      </c>
    </row>
    <row r="217" spans="12:16" x14ac:dyDescent="0.35">
      <c r="L217" t="str">
        <v>Entertain</v>
      </c>
      <c r="M217" s="83" t="e">
        <f ca="1"/>
        <v>#NAME?</v>
      </c>
      <c r="N217" s="37" t="e">
        <f ca="1"/>
        <v>#NAME?</v>
      </c>
      <c r="O217" s="37" t="e">
        <f ca="1"/>
        <v>#NAME?</v>
      </c>
      <c r="P217" s="84" t="e">
        <f ca="1"/>
        <v>#NAME?</v>
      </c>
    </row>
    <row r="218" spans="12:16" x14ac:dyDescent="0.35">
      <c r="L218" t="str">
        <v>Comm</v>
      </c>
      <c r="M218" s="83" t="e">
        <f ca="1"/>
        <v>#NAME?</v>
      </c>
      <c r="N218" s="37" t="e">
        <f ca="1"/>
        <v>#NAME?</v>
      </c>
      <c r="O218" s="37" t="e">
        <f ca="1"/>
        <v>#NAME?</v>
      </c>
      <c r="P218" s="84" t="e">
        <f ca="1"/>
        <v>#NAME?</v>
      </c>
    </row>
    <row r="219" spans="12:16" x14ac:dyDescent="0.35">
      <c r="L219" t="str">
        <v>Expert</v>
      </c>
      <c r="M219" s="83" t="e">
        <f ca="1"/>
        <v>#NAME?</v>
      </c>
      <c r="N219" s="37" t="e">
        <f ca="1"/>
        <v>#NAME?</v>
      </c>
      <c r="O219" s="37" t="e">
        <f ca="1"/>
        <v>#NAME?</v>
      </c>
      <c r="P219" s="84" t="e">
        <f ca="1"/>
        <v>#NAME?</v>
      </c>
    </row>
    <row r="220" spans="12:16" x14ac:dyDescent="0.35">
      <c r="L220" t="str">
        <v>Motivate</v>
      </c>
      <c r="M220" s="83" t="e">
        <f ca="1"/>
        <v>#NAME?</v>
      </c>
      <c r="N220" s="37" t="e">
        <f ca="1"/>
        <v>#NAME?</v>
      </c>
      <c r="O220" s="37" t="e">
        <f ca="1"/>
        <v>#NAME?</v>
      </c>
      <c r="P220" s="84" t="e">
        <f ca="1"/>
        <v>#NAME?</v>
      </c>
    </row>
    <row r="221" spans="12:16" x14ac:dyDescent="0.35">
      <c r="L221" t="str">
        <v>Caring</v>
      </c>
      <c r="M221" s="83" t="e">
        <f ca="1"/>
        <v>#NAME?</v>
      </c>
      <c r="N221" s="37" t="e">
        <f ca="1"/>
        <v>#NAME?</v>
      </c>
      <c r="O221" s="37" t="e">
        <f ca="1"/>
        <v>#NAME?</v>
      </c>
      <c r="P221" s="84" t="e">
        <f ca="1"/>
        <v>#NAME?</v>
      </c>
    </row>
    <row r="222" spans="12:16" x14ac:dyDescent="0.35">
      <c r="L222" t="str">
        <v>Charisma</v>
      </c>
      <c r="M222" s="83" t="e">
        <f ca="1"/>
        <v>#NAME?</v>
      </c>
      <c r="N222" s="37" t="e">
        <f ca="1"/>
        <v>#NAME?</v>
      </c>
      <c r="O222" s="37" t="e">
        <f ca="1"/>
        <v>#NAME?</v>
      </c>
      <c r="P222" s="84" t="e">
        <f ca="1"/>
        <v>#NAME?</v>
      </c>
    </row>
    <row r="223" spans="12:16" x14ac:dyDescent="0.35">
      <c r="L223" t="str">
        <v>Passion</v>
      </c>
      <c r="M223" s="83" t="e">
        <f ca="1"/>
        <v>#NAME?</v>
      </c>
      <c r="N223" s="37" t="e">
        <f ca="1"/>
        <v>#NAME?</v>
      </c>
      <c r="O223" s="37" t="e">
        <f ca="1"/>
        <v>#NAME?</v>
      </c>
      <c r="P223" s="84" t="e">
        <f ca="1"/>
        <v>#NAME?</v>
      </c>
    </row>
    <row r="224" spans="12:16" x14ac:dyDescent="0.35">
      <c r="L224" t="str">
        <v>Friendly</v>
      </c>
      <c r="M224" s="85" t="e">
        <f ca="1"/>
        <v>#NAME?</v>
      </c>
      <c r="N224" s="86" t="e">
        <f ca="1"/>
        <v>#NAME?</v>
      </c>
      <c r="O224" s="86" t="e">
        <f ca="1"/>
        <v>#NAME?</v>
      </c>
      <c r="P224" s="87" t="e">
        <f ca="1"/>
        <v>#NAME?</v>
      </c>
    </row>
    <row r="226" spans="12:16" x14ac:dyDescent="0.35">
      <c r="L226" t="s">
        <v>488</v>
      </c>
    </row>
    <row r="228" spans="12:16" x14ac:dyDescent="0.35">
      <c r="M228" s="187" t="e">
        <f t="array" aca="1" ref="M228:P231" ca="1">MMULT(MMULT(TRANSPOSE(M163:P171),MMULT(MINVERSE(DIAGONAL(S149:S157)),M14:U22)),MMULT(MINVERSE(DIAGONAL(S149:S157)),M163:P171))</f>
        <v>#NAME?</v>
      </c>
      <c r="N228" s="188" t="e">
        <f ca="1"/>
        <v>#NAME?</v>
      </c>
      <c r="O228" s="188" t="e">
        <f ca="1"/>
        <v>#NAME?</v>
      </c>
      <c r="P228" s="189" t="e">
        <f ca="1"/>
        <v>#NAME?</v>
      </c>
    </row>
    <row r="229" spans="12:16" x14ac:dyDescent="0.35">
      <c r="M229" s="83" t="e">
        <f ca="1"/>
        <v>#NAME?</v>
      </c>
      <c r="N229" s="37" t="e">
        <f ca="1"/>
        <v>#NAME?</v>
      </c>
      <c r="O229" s="37" t="e">
        <f ca="1"/>
        <v>#NAME?</v>
      </c>
      <c r="P229" s="84" t="e">
        <f ca="1"/>
        <v>#NAME?</v>
      </c>
    </row>
    <row r="230" spans="12:16" x14ac:dyDescent="0.35">
      <c r="M230" s="83" t="e">
        <f ca="1"/>
        <v>#NAME?</v>
      </c>
      <c r="N230" s="37" t="e">
        <f ca="1"/>
        <v>#NAME?</v>
      </c>
      <c r="O230" s="37" t="e">
        <f ca="1"/>
        <v>#NAME?</v>
      </c>
      <c r="P230" s="84" t="e">
        <f ca="1"/>
        <v>#NAME?</v>
      </c>
    </row>
    <row r="231" spans="12:16" x14ac:dyDescent="0.35">
      <c r="M231" s="85" t="e">
        <f ca="1"/>
        <v>#NAME?</v>
      </c>
      <c r="N231" s="86" t="e">
        <f ca="1"/>
        <v>#NAME?</v>
      </c>
      <c r="O231" s="86" t="e">
        <f ca="1"/>
        <v>#NAME?</v>
      </c>
      <c r="P231" s="87" t="e">
        <f ca="1"/>
        <v>#NAME?</v>
      </c>
    </row>
    <row r="233" spans="12:16" x14ac:dyDescent="0.35">
      <c r="M233">
        <v>1</v>
      </c>
      <c r="N233">
        <f>M233+1</f>
        <v>2</v>
      </c>
      <c r="O233">
        <f>N233+1</f>
        <v>3</v>
      </c>
      <c r="P233">
        <f>O233+1</f>
        <v>4</v>
      </c>
    </row>
    <row r="234" spans="12:16" x14ac:dyDescent="0.35">
      <c r="L234" t="str">
        <f t="array" ref="L234:L242">TRANSPOSE(B3:J3)</f>
        <v>Expect</v>
      </c>
      <c r="M234" s="187" t="e">
        <f t="array" aca="1" ref="M234:P242" ca="1">TRANSPOSE(MMULT(MINVERSE(MSQRT(M228:P231)),MMULT(TRANSPOSE(M163:P171),MINVERSE(DIAGONAL(S149:S157)))))</f>
        <v>#NAME?</v>
      </c>
      <c r="N234" s="188" t="e">
        <f ca="1"/>
        <v>#NAME?</v>
      </c>
      <c r="O234" s="188" t="e">
        <f ca="1"/>
        <v>#NAME?</v>
      </c>
      <c r="P234" s="189" t="e">
        <f ca="1"/>
        <v>#NAME?</v>
      </c>
    </row>
    <row r="235" spans="12:16" x14ac:dyDescent="0.35">
      <c r="L235" t="str">
        <v>Entertain</v>
      </c>
      <c r="M235" s="83" t="e">
        <f ca="1"/>
        <v>#NAME?</v>
      </c>
      <c r="N235" s="37" t="e">
        <f ca="1"/>
        <v>#NAME?</v>
      </c>
      <c r="O235" s="37" t="e">
        <f ca="1"/>
        <v>#NAME?</v>
      </c>
      <c r="P235" s="84" t="e">
        <f ca="1"/>
        <v>#NAME?</v>
      </c>
    </row>
    <row r="236" spans="12:16" x14ac:dyDescent="0.35">
      <c r="L236" t="str">
        <v>Comm</v>
      </c>
      <c r="M236" s="83" t="e">
        <f ca="1"/>
        <v>#NAME?</v>
      </c>
      <c r="N236" s="37" t="e">
        <f ca="1"/>
        <v>#NAME?</v>
      </c>
      <c r="O236" s="37" t="e">
        <f ca="1"/>
        <v>#NAME?</v>
      </c>
      <c r="P236" s="84" t="e">
        <f ca="1"/>
        <v>#NAME?</v>
      </c>
    </row>
    <row r="237" spans="12:16" x14ac:dyDescent="0.35">
      <c r="L237" t="str">
        <v>Expert</v>
      </c>
      <c r="M237" s="83" t="e">
        <f ca="1"/>
        <v>#NAME?</v>
      </c>
      <c r="N237" s="37" t="e">
        <f ca="1"/>
        <v>#NAME?</v>
      </c>
      <c r="O237" s="37" t="e">
        <f ca="1"/>
        <v>#NAME?</v>
      </c>
      <c r="P237" s="84" t="e">
        <f ca="1"/>
        <v>#NAME?</v>
      </c>
    </row>
    <row r="238" spans="12:16" x14ac:dyDescent="0.35">
      <c r="L238" t="str">
        <v>Motivate</v>
      </c>
      <c r="M238" s="83" t="e">
        <f ca="1"/>
        <v>#NAME?</v>
      </c>
      <c r="N238" s="37" t="e">
        <f ca="1"/>
        <v>#NAME?</v>
      </c>
      <c r="O238" s="37" t="e">
        <f ca="1"/>
        <v>#NAME?</v>
      </c>
      <c r="P238" s="84" t="e">
        <f ca="1"/>
        <v>#NAME?</v>
      </c>
    </row>
    <row r="239" spans="12:16" x14ac:dyDescent="0.35">
      <c r="L239" t="str">
        <v>Caring</v>
      </c>
      <c r="M239" s="83" t="e">
        <f ca="1"/>
        <v>#NAME?</v>
      </c>
      <c r="N239" s="37" t="e">
        <f ca="1"/>
        <v>#NAME?</v>
      </c>
      <c r="O239" s="37" t="e">
        <f ca="1"/>
        <v>#NAME?</v>
      </c>
      <c r="P239" s="84" t="e">
        <f ca="1"/>
        <v>#NAME?</v>
      </c>
    </row>
    <row r="240" spans="12:16" x14ac:dyDescent="0.35">
      <c r="L240" t="str">
        <v>Charisma</v>
      </c>
      <c r="M240" s="83" t="e">
        <f ca="1"/>
        <v>#NAME?</v>
      </c>
      <c r="N240" s="37" t="e">
        <f ca="1"/>
        <v>#NAME?</v>
      </c>
      <c r="O240" s="37" t="e">
        <f ca="1"/>
        <v>#NAME?</v>
      </c>
      <c r="P240" s="84" t="e">
        <f ca="1"/>
        <v>#NAME?</v>
      </c>
    </row>
    <row r="241" spans="12:16" x14ac:dyDescent="0.35">
      <c r="L241" t="str">
        <v>Passion</v>
      </c>
      <c r="M241" s="83" t="e">
        <f ca="1"/>
        <v>#NAME?</v>
      </c>
      <c r="N241" s="37" t="e">
        <f ca="1"/>
        <v>#NAME?</v>
      </c>
      <c r="O241" s="37" t="e">
        <f ca="1"/>
        <v>#NAME?</v>
      </c>
      <c r="P241" s="84" t="e">
        <f ca="1"/>
        <v>#NAME?</v>
      </c>
    </row>
    <row r="242" spans="12:16" x14ac:dyDescent="0.35">
      <c r="L242" t="str">
        <v>Friendly</v>
      </c>
      <c r="M242" s="85" t="e">
        <f ca="1"/>
        <v>#NAME?</v>
      </c>
      <c r="N242" s="86" t="e">
        <f ca="1"/>
        <v>#NAME?</v>
      </c>
      <c r="O242" s="86" t="e">
        <f ca="1"/>
        <v>#NAME?</v>
      </c>
      <c r="P242" s="87" t="e">
        <f ca="1"/>
        <v>#NAME?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TOC0</vt:lpstr>
      <vt:lpstr>TOC</vt:lpstr>
      <vt:lpstr>Desc</vt:lpstr>
      <vt:lpstr>Ellipse</vt:lpstr>
      <vt:lpstr>Ellipse 2</vt:lpstr>
      <vt:lpstr>Bivar</vt:lpstr>
      <vt:lpstr>Bivar 1</vt:lpstr>
      <vt:lpstr>FR</vt:lpstr>
      <vt:lpstr>FRSJ</vt:lpstr>
      <vt:lpstr>Hotel 1</vt:lpstr>
      <vt:lpstr>Hotel 2P</vt:lpstr>
      <vt:lpstr>Hotel 2</vt:lpstr>
      <vt:lpstr>Hotel 2a</vt:lpstr>
      <vt:lpstr>Hotel 2b</vt:lpstr>
      <vt:lpstr>Hotel 3</vt:lpstr>
      <vt:lpstr>Hotel 3a</vt:lpstr>
      <vt:lpstr>Hotel 3b</vt:lpstr>
      <vt:lpstr>Rep Measures 1</vt:lpstr>
      <vt:lpstr>Rep Measures 2</vt:lpstr>
      <vt:lpstr>Rep Measures 3</vt:lpstr>
      <vt:lpstr>Hot1 Power</vt:lpstr>
      <vt:lpstr>Hot2 Power</vt:lpstr>
      <vt:lpstr>Box 2</vt:lpstr>
      <vt:lpstr>Box 2a</vt:lpstr>
      <vt:lpstr>Box 3a</vt:lpstr>
      <vt:lpstr>Box 3b</vt:lpstr>
      <vt:lpstr>Manova 1</vt:lpstr>
      <vt:lpstr>Manova 1a</vt:lpstr>
      <vt:lpstr>Manova 1b</vt:lpstr>
      <vt:lpstr>Manova 1c</vt:lpstr>
      <vt:lpstr>Manova 1d</vt:lpstr>
      <vt:lpstr>Manova 1e</vt:lpstr>
      <vt:lpstr>Manova 1f</vt:lpstr>
      <vt:lpstr>Manova 1g</vt:lpstr>
      <vt:lpstr>Manova 1h</vt:lpstr>
      <vt:lpstr>Manova 1i</vt:lpstr>
      <vt:lpstr>Manova 1j</vt:lpstr>
      <vt:lpstr>Manova 1k</vt:lpstr>
      <vt:lpstr>Manova2</vt:lpstr>
      <vt:lpstr>Man Power</vt:lpstr>
      <vt:lpstr>Man2 Power</vt:lpstr>
      <vt:lpstr>PMANOVA1</vt:lpstr>
      <vt:lpstr>PMANOVA2</vt:lpstr>
      <vt:lpstr>PMANOVA3</vt:lpstr>
      <vt:lpstr>PANOVA</vt:lpstr>
      <vt:lpstr>Box</vt:lpstr>
      <vt:lpstr>PCA</vt:lpstr>
      <vt:lpstr>Factor</vt:lpstr>
      <vt:lpstr>Box Factor</vt:lpstr>
      <vt:lpstr>KMO</vt:lpstr>
      <vt:lpstr>Clust 1</vt:lpstr>
      <vt:lpstr>Clust 2</vt:lpstr>
      <vt:lpstr>Clust 3</vt:lpstr>
      <vt:lpstr>Clust 3a</vt:lpstr>
      <vt:lpstr>Clust 3b</vt:lpstr>
      <vt:lpstr>Clust A</vt:lpstr>
      <vt:lpstr>Clust B</vt:lpstr>
      <vt:lpstr>Clust C</vt:lpstr>
      <vt:lpstr>Clust D</vt:lpstr>
      <vt:lpstr>Clust E</vt:lpstr>
      <vt:lpstr>Clust E1</vt:lpstr>
      <vt:lpstr>Clust F</vt:lpstr>
      <vt:lpstr>Jenks 1</vt:lpstr>
      <vt:lpstr>Jenks 2</vt:lpstr>
      <vt:lpstr>Jenks 3</vt:lpstr>
      <vt:lpstr>Jenks 4</vt:lpstr>
      <vt:lpstr>Discrim 1</vt:lpstr>
      <vt:lpstr>Discrim 2</vt:lpstr>
      <vt:lpstr>Discrim 3</vt:lpstr>
      <vt:lpstr>Discrim 4</vt:lpstr>
      <vt:lpstr>CA 1</vt:lpstr>
      <vt:lpstr>CA 2</vt:lpstr>
      <vt:lpstr>CA 3</vt:lpstr>
      <vt:lpstr>CA 4</vt:lpstr>
      <vt:lpstr>Fact PCA</vt:lpstr>
      <vt:lpstr>PAF Comm</vt:lpstr>
      <vt:lpstr>Fact PAF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2013-09-20T04:33:09Z</cp:lastPrinted>
  <dcterms:created xsi:type="dcterms:W3CDTF">2013-08-08T05:03:19Z</dcterms:created>
  <dcterms:modified xsi:type="dcterms:W3CDTF">2021-12-03T08:38:53Z</dcterms:modified>
</cp:coreProperties>
</file>