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drawings/drawing1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drawings/drawing2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drawings/drawing3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drawings/drawing4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drawings/drawing5.xml" ContentType="application/vnd.openxmlformats-officedocument.drawing+xml"/>
  <Override PartName="/xl/tables/table4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racy\Downloads\"/>
    </mc:Choice>
  </mc:AlternateContent>
  <xr:revisionPtr revIDLastSave="0" documentId="13_ncr:1_{16A31FF3-57DA-46CF-B5BF-829F6C64D13A}" xr6:coauthVersionLast="47" xr6:coauthVersionMax="47" xr10:uidLastSave="{00000000-0000-0000-0000-000000000000}"/>
  <bookViews>
    <workbookView xWindow="-108" yWindow="-108" windowWidth="23256" windowHeight="12456" firstSheet="3" activeTab="4" xr2:uid="{F849C4FB-52A8-48D5-BF0D-C8489A6A9C19}"/>
  </bookViews>
  <sheets>
    <sheet name="MAMAEARTH" sheetId="14" r:id="rId1"/>
    <sheet name="NYKAA ltd." sheetId="10" r:id="rId2"/>
    <sheet name="DELHIVERY ltd." sheetId="4" r:id="rId3"/>
    <sheet name="ZOMATO ltd." sheetId="6" r:id="rId4"/>
    <sheet name="Cash Flow Analysis" sheetId="17" r:id="rId5"/>
    <sheet name="Revenue and profit growth" sheetId="15" r:id="rId6"/>
    <sheet name="Common size BL." sheetId="21" r:id="rId7"/>
    <sheet name="Financial Ratios" sheetId="16" r:id="rId8"/>
    <sheet name="What if analysis" sheetId="22" r:id="rId9"/>
    <sheet name="Dashboard" sheetId="23" r:id="rId10"/>
    <sheet name="Common p&amp;l" sheetId="19" r:id="rId11"/>
  </sheets>
  <definedNames>
    <definedName name="ExternalData_1" localSheetId="2" hidden="1">'DELHIVERY ltd.'!$A$19:$H$29</definedName>
    <definedName name="ExternalData_1" localSheetId="0" hidden="1">MAMAEARTH!$A$19:$H$29</definedName>
    <definedName name="ExternalData_1" localSheetId="1" hidden="1">'NYKAA ltd.'!$A$19:$I$29</definedName>
    <definedName name="ExternalData_1" localSheetId="3" hidden="1">'ZOMATO ltd.'!$A$19:$I$29</definedName>
    <definedName name="ExternalData_2" localSheetId="2" hidden="1">'DELHIVERY ltd.'!$A$32:$H$36</definedName>
    <definedName name="ExternalData_2" localSheetId="1" hidden="1">'NYKAA ltd.'!$A$32:$I$36</definedName>
    <definedName name="ExternalData_2" localSheetId="3" hidden="1">'ZOMATO ltd.'!$A$4:$I$16</definedName>
    <definedName name="ExternalData_3" localSheetId="2" hidden="1">'DELHIVERY ltd.'!$A$4:$H$16</definedName>
    <definedName name="ExternalData_3" localSheetId="0" hidden="1">MAMAEARTH!$A$4:$H$16</definedName>
    <definedName name="ExternalData_3" localSheetId="1" hidden="1">'NYKAA ltd.'!$A$4:$I$16</definedName>
    <definedName name="ExternalData_3" localSheetId="3" hidden="1">'ZOMATO ltd.'!$A$32:$I$36</definedName>
    <definedName name="ExternalData_4" localSheetId="0" hidden="1">MAMAEARTH!$A$32:$H$36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elhivery_BL5_dbc1a87b-0dff-49a8-986a-0414f308fcc1" name="delhivery_BL5" connection="Query - delhivery_BL5"/>
          <x15:modelTable id="delhivery_CF6_45a4bd15-ce56-4c5e-9ddb-6cf3fb0382cd" name="delhivery_CF6" connection="Query - delhivery_CF6"/>
          <x15:modelTable id="delhivery_P_L_2b9575d3-2338-4c03-bdc8-d9957ee1585f" name="delhivery_P_L" connection="Query - delhivery_P_L"/>
          <x15:modelTable id="Balance_Sheet5_feaeb4df-76f7-4e1a-96c2-00891df78bc6" name="Balance_Sheet5" connection="Query - Balance_Sheet5"/>
          <x15:modelTable id="P_L_Statement_49061da2-3388-44de-924e-b2cc952d9e17" name="P_L_Statement" connection="Query - P_L_Statement"/>
          <x15:modelTable id="Cash_Flows6_e8ee356a-a00b-469c-ae56-431cc7f322f5" name="Cash_Flows6" connection="Query - Cash_Flows6"/>
          <x15:modelTable id="nykaa_BL5_2ae5a15e-131b-4f78-963b-b08b21db7978" name="nykaa_BL5" connection="Query - nykaa_BL5"/>
          <x15:modelTable id="nykaa_CF6_ed7ccc86-2bfc-478e-92d9-d0be7f889c03" name="nykaa_CF6" connection="Query - nykaa_CF6"/>
          <x15:modelTable id="nykaa_P_L_e22e54c2-c2ac-46b1-8bb6-56b72c9c3ae0" name="nykaa_P_L" connection="Query - nykaa_P_L"/>
          <x15:modelTable id="mamaearth_BL5_53a438fd-e4d0-4f51-8b1c-139e85a1973e" name="mamaearth_BL5" connection="Query - mamaearth_BL5"/>
          <x15:modelTable id="mamaearth_CF6_00f8cdb1-fc3c-4875-b492-ca4ad8b9dd8b" name="mamaearth_CF6" connection="Query - mamaearth_CF6"/>
          <x15:modelTable id="mamaearth_P_L_55de82d5-82da-43f0-adcb-31f12fc17911" name="mamaearth_P_L" connection="Query - mamaearth_P_L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3" i="17" l="1" a="1"/>
  <c r="O13" i="17" s="1"/>
  <c r="O12" i="17" a="1"/>
  <c r="O12" i="17" s="1"/>
  <c r="O11" i="17" a="1"/>
  <c r="O11" i="17" s="1"/>
  <c r="O10" i="17" a="1"/>
  <c r="O10" i="17" s="1"/>
  <c r="C23" i="23"/>
  <c r="C22" i="23"/>
  <c r="C21" i="23"/>
  <c r="C20" i="23"/>
  <c r="C19" i="23"/>
  <c r="C18" i="23"/>
  <c r="D39" i="22"/>
  <c r="D38" i="22"/>
  <c r="D37" i="22"/>
  <c r="K39" i="22" s="1"/>
  <c r="D29" i="22"/>
  <c r="D28" i="22"/>
  <c r="D27" i="22"/>
  <c r="L26" i="22" s="1"/>
  <c r="D19" i="22"/>
  <c r="D18" i="22"/>
  <c r="L16" i="22" s="1"/>
  <c r="D17" i="22"/>
  <c r="L17" i="22" s="1"/>
  <c r="D9" i="22"/>
  <c r="J29" i="22" l="1"/>
  <c r="L29" i="22"/>
  <c r="I37" i="22"/>
  <c r="K38" i="22"/>
  <c r="J28" i="22"/>
  <c r="L28" i="22"/>
  <c r="I36" i="22"/>
  <c r="K37" i="22"/>
  <c r="J27" i="22"/>
  <c r="L27" i="22"/>
  <c r="J36" i="22"/>
  <c r="L36" i="22"/>
  <c r="J39" i="22"/>
  <c r="L39" i="22"/>
  <c r="J38" i="22"/>
  <c r="L38" i="22"/>
  <c r="J37" i="22"/>
  <c r="L37" i="22"/>
  <c r="J18" i="22"/>
  <c r="L18" i="22"/>
  <c r="I26" i="22"/>
  <c r="F78" i="22" s="1" a="1"/>
  <c r="F78" i="22" s="1"/>
  <c r="K27" i="22"/>
  <c r="I39" i="22"/>
  <c r="F106" i="22" s="1" a="1"/>
  <c r="F106" i="22" s="1"/>
  <c r="K36" i="22"/>
  <c r="I19" i="22"/>
  <c r="K16" i="22"/>
  <c r="I18" i="22"/>
  <c r="K19" i="22"/>
  <c r="I17" i="22"/>
  <c r="K18" i="22"/>
  <c r="I16" i="22"/>
  <c r="F62" i="22" s="1" a="1"/>
  <c r="F62" i="22" s="1"/>
  <c r="K17" i="22"/>
  <c r="I29" i="22"/>
  <c r="K26" i="22"/>
  <c r="J16" i="22"/>
  <c r="I28" i="22"/>
  <c r="K29" i="22"/>
  <c r="J19" i="22"/>
  <c r="L19" i="22"/>
  <c r="I27" i="22"/>
  <c r="F82" i="22" s="1" a="1"/>
  <c r="F82" i="22" s="1"/>
  <c r="K28" i="22"/>
  <c r="J17" i="22"/>
  <c r="J26" i="22"/>
  <c r="I38" i="22"/>
  <c r="D8" i="22"/>
  <c r="D7" i="22"/>
  <c r="N34" i="21"/>
  <c r="N35" i="21"/>
  <c r="N40" i="21"/>
  <c r="N41" i="21"/>
  <c r="N42" i="21"/>
  <c r="N43" i="21"/>
  <c r="K38" i="21"/>
  <c r="K39" i="21"/>
  <c r="K45" i="21"/>
  <c r="H34" i="21"/>
  <c r="E34" i="21"/>
  <c r="E35" i="21"/>
  <c r="E36" i="21"/>
  <c r="E37" i="21"/>
  <c r="E38" i="21"/>
  <c r="E42" i="21"/>
  <c r="E43" i="21"/>
  <c r="E44" i="21"/>
  <c r="E45" i="21"/>
  <c r="N19" i="21"/>
  <c r="N20" i="21"/>
  <c r="N27" i="21"/>
  <c r="K23" i="21"/>
  <c r="K24" i="21"/>
  <c r="K30" i="21"/>
  <c r="H19" i="21"/>
  <c r="H20" i="21"/>
  <c r="H27" i="21"/>
  <c r="H28" i="21"/>
  <c r="H30" i="21"/>
  <c r="E29" i="21"/>
  <c r="E30" i="21"/>
  <c r="N4" i="21"/>
  <c r="N5" i="21"/>
  <c r="N11" i="21"/>
  <c r="N12" i="21"/>
  <c r="N13" i="21"/>
  <c r="N15" i="21"/>
  <c r="K7" i="21"/>
  <c r="K8" i="21"/>
  <c r="K9" i="21"/>
  <c r="K14" i="21"/>
  <c r="K15" i="21"/>
  <c r="H11" i="21"/>
  <c r="H12" i="21"/>
  <c r="H13" i="21"/>
  <c r="E8" i="21"/>
  <c r="E9" i="21"/>
  <c r="E10" i="21"/>
  <c r="E4" i="21"/>
  <c r="M19" i="21"/>
  <c r="M20" i="21"/>
  <c r="M21" i="21"/>
  <c r="N21" i="21" s="1"/>
  <c r="M22" i="21"/>
  <c r="N22" i="21" s="1"/>
  <c r="M23" i="21"/>
  <c r="N23" i="21" s="1"/>
  <c r="M24" i="21"/>
  <c r="N24" i="21" s="1"/>
  <c r="M25" i="21"/>
  <c r="N25" i="21" s="1"/>
  <c r="M26" i="21"/>
  <c r="M27" i="21"/>
  <c r="M28" i="21"/>
  <c r="N28" i="21" s="1"/>
  <c r="M4" i="21"/>
  <c r="N14" i="21" s="1"/>
  <c r="M5" i="21"/>
  <c r="M6" i="21"/>
  <c r="N6" i="21" s="1"/>
  <c r="M7" i="21"/>
  <c r="N7" i="21" s="1"/>
  <c r="M8" i="21"/>
  <c r="N8" i="21" s="1"/>
  <c r="M9" i="21"/>
  <c r="N9" i="21" s="1"/>
  <c r="M10" i="21"/>
  <c r="N10" i="21" s="1"/>
  <c r="M11" i="21"/>
  <c r="M12" i="21"/>
  <c r="M13" i="21"/>
  <c r="J4" i="21"/>
  <c r="K4" i="21" s="1"/>
  <c r="J5" i="21"/>
  <c r="K5" i="21" s="1"/>
  <c r="J6" i="21"/>
  <c r="K6" i="21" s="1"/>
  <c r="J7" i="21"/>
  <c r="J8" i="21"/>
  <c r="J9" i="21"/>
  <c r="J10" i="21"/>
  <c r="K10" i="21" s="1"/>
  <c r="J11" i="21"/>
  <c r="K11" i="21" s="1"/>
  <c r="J12" i="21"/>
  <c r="K12" i="21" s="1"/>
  <c r="J13" i="21"/>
  <c r="K13" i="21" s="1"/>
  <c r="J19" i="21"/>
  <c r="K19" i="21" s="1"/>
  <c r="J20" i="21"/>
  <c r="K20" i="21" s="1"/>
  <c r="J21" i="21"/>
  <c r="K21" i="21" s="1"/>
  <c r="J22" i="21"/>
  <c r="K22" i="21" s="1"/>
  <c r="J23" i="21"/>
  <c r="J24" i="21"/>
  <c r="J25" i="21"/>
  <c r="K25" i="21" s="1"/>
  <c r="J26" i="21"/>
  <c r="K26" i="21" s="1"/>
  <c r="J27" i="21"/>
  <c r="K27" i="21" s="1"/>
  <c r="J28" i="21"/>
  <c r="K28" i="21" s="1"/>
  <c r="G4" i="21"/>
  <c r="G5" i="21"/>
  <c r="H5" i="21" s="1"/>
  <c r="G6" i="21"/>
  <c r="H6" i="21" s="1"/>
  <c r="G7" i="21"/>
  <c r="H7" i="21" s="1"/>
  <c r="G8" i="21"/>
  <c r="H8" i="21" s="1"/>
  <c r="G9" i="21"/>
  <c r="H9" i="21" s="1"/>
  <c r="G10" i="21"/>
  <c r="H10" i="21" s="1"/>
  <c r="G11" i="21"/>
  <c r="G12" i="21"/>
  <c r="G13" i="21"/>
  <c r="G19" i="21"/>
  <c r="H29" i="21" s="1"/>
  <c r="G20" i="21"/>
  <c r="G21" i="21"/>
  <c r="H21" i="21" s="1"/>
  <c r="G22" i="21"/>
  <c r="H22" i="21" s="1"/>
  <c r="G23" i="21"/>
  <c r="H23" i="21" s="1"/>
  <c r="G24" i="21"/>
  <c r="H24" i="21" s="1"/>
  <c r="G25" i="21"/>
  <c r="H25" i="21" s="1"/>
  <c r="G26" i="21"/>
  <c r="H26" i="21" s="1"/>
  <c r="G27" i="21"/>
  <c r="G28" i="21"/>
  <c r="M34" i="21"/>
  <c r="N44" i="21" s="1"/>
  <c r="M35" i="21"/>
  <c r="M36" i="21"/>
  <c r="N36" i="21" s="1"/>
  <c r="M37" i="21"/>
  <c r="N37" i="21" s="1"/>
  <c r="M38" i="21"/>
  <c r="N38" i="21" s="1"/>
  <c r="M39" i="21"/>
  <c r="N39" i="21" s="1"/>
  <c r="M40" i="21"/>
  <c r="M41" i="21"/>
  <c r="M42" i="21"/>
  <c r="M43" i="21"/>
  <c r="J34" i="21"/>
  <c r="K34" i="21" s="1"/>
  <c r="J35" i="21"/>
  <c r="K35" i="21" s="1"/>
  <c r="J36" i="21"/>
  <c r="K36" i="21" s="1"/>
  <c r="J37" i="21"/>
  <c r="K37" i="21" s="1"/>
  <c r="J38" i="21"/>
  <c r="J39" i="21"/>
  <c r="J40" i="21"/>
  <c r="K40" i="21" s="1"/>
  <c r="J41" i="21"/>
  <c r="K41" i="21" s="1"/>
  <c r="J42" i="21"/>
  <c r="K42" i="21" s="1"/>
  <c r="J43" i="21"/>
  <c r="K43" i="21" s="1"/>
  <c r="G34" i="21"/>
  <c r="G35" i="21"/>
  <c r="H35" i="21" s="1"/>
  <c r="G36" i="21"/>
  <c r="H36" i="21" s="1"/>
  <c r="G37" i="21"/>
  <c r="H37" i="21" s="1"/>
  <c r="G38" i="21"/>
  <c r="H38" i="21" s="1"/>
  <c r="G39" i="21"/>
  <c r="H39" i="21" s="1"/>
  <c r="G40" i="21"/>
  <c r="H40" i="21" s="1"/>
  <c r="G41" i="21"/>
  <c r="G42" i="21"/>
  <c r="H42" i="21" s="1"/>
  <c r="G43" i="21"/>
  <c r="H43" i="21" s="1"/>
  <c r="D34" i="21"/>
  <c r="D35" i="21"/>
  <c r="D36" i="21"/>
  <c r="D37" i="21"/>
  <c r="D38" i="21"/>
  <c r="D39" i="21"/>
  <c r="E39" i="21" s="1"/>
  <c r="D40" i="21"/>
  <c r="E40" i="21" s="1"/>
  <c r="D41" i="21"/>
  <c r="E41" i="21" s="1"/>
  <c r="D42" i="21"/>
  <c r="D43" i="21"/>
  <c r="D19" i="21"/>
  <c r="E19" i="21" s="1"/>
  <c r="D20" i="21"/>
  <c r="E20" i="21" s="1"/>
  <c r="D21" i="21"/>
  <c r="E21" i="21" s="1"/>
  <c r="D22" i="21"/>
  <c r="E22" i="21" s="1"/>
  <c r="D23" i="21"/>
  <c r="E23" i="21" s="1"/>
  <c r="D24" i="21"/>
  <c r="E24" i="21" s="1"/>
  <c r="D25" i="21"/>
  <c r="E25" i="21" s="1"/>
  <c r="D26" i="21"/>
  <c r="E26" i="21" s="1"/>
  <c r="D27" i="21"/>
  <c r="E27" i="21" s="1"/>
  <c r="D28" i="21"/>
  <c r="E28" i="21" s="1"/>
  <c r="D4" i="21"/>
  <c r="E14" i="21" s="1"/>
  <c r="D5" i="21"/>
  <c r="E5" i="21" s="1"/>
  <c r="D6" i="21"/>
  <c r="E6" i="21" s="1"/>
  <c r="D7" i="21"/>
  <c r="E7" i="21" s="1"/>
  <c r="D8" i="21"/>
  <c r="D9" i="21"/>
  <c r="D10" i="21"/>
  <c r="D11" i="21"/>
  <c r="E11" i="21" s="1"/>
  <c r="D12" i="21"/>
  <c r="E12" i="21" s="1"/>
  <c r="D13" i="21"/>
  <c r="E13" i="21" s="1"/>
  <c r="J4" i="19"/>
  <c r="K4" i="19" s="1"/>
  <c r="M35" i="19"/>
  <c r="M36" i="19"/>
  <c r="M37" i="19"/>
  <c r="M38" i="19"/>
  <c r="M39" i="19"/>
  <c r="M40" i="19"/>
  <c r="M41" i="19"/>
  <c r="M42" i="19"/>
  <c r="M43" i="19"/>
  <c r="M44" i="19"/>
  <c r="M45" i="19"/>
  <c r="M34" i="19"/>
  <c r="N34" i="19" s="1"/>
  <c r="J35" i="19"/>
  <c r="K35" i="19" s="1"/>
  <c r="J36" i="19"/>
  <c r="J37" i="19"/>
  <c r="J38" i="19"/>
  <c r="J39" i="19"/>
  <c r="J40" i="19"/>
  <c r="J41" i="19"/>
  <c r="J42" i="19"/>
  <c r="J43" i="19"/>
  <c r="K43" i="19" s="1"/>
  <c r="J44" i="19"/>
  <c r="J45" i="19"/>
  <c r="D35" i="19"/>
  <c r="D36" i="19"/>
  <c r="D37" i="19"/>
  <c r="D38" i="19"/>
  <c r="D39" i="19"/>
  <c r="D40" i="19"/>
  <c r="D41" i="19"/>
  <c r="D42" i="19"/>
  <c r="D43" i="19"/>
  <c r="D44" i="19"/>
  <c r="D45" i="19"/>
  <c r="D34" i="19"/>
  <c r="G35" i="19"/>
  <c r="G36" i="19"/>
  <c r="G37" i="19"/>
  <c r="G38" i="19"/>
  <c r="G39" i="19"/>
  <c r="G40" i="19"/>
  <c r="G41" i="19"/>
  <c r="G42" i="19"/>
  <c r="G43" i="19"/>
  <c r="G44" i="19"/>
  <c r="G45" i="19"/>
  <c r="G34" i="19"/>
  <c r="J34" i="19"/>
  <c r="K34" i="19" s="1"/>
  <c r="M20" i="19"/>
  <c r="M21" i="19"/>
  <c r="M22" i="19"/>
  <c r="M23" i="19"/>
  <c r="M24" i="19"/>
  <c r="N24" i="19" s="1"/>
  <c r="M25" i="19"/>
  <c r="M26" i="19"/>
  <c r="M27" i="19"/>
  <c r="M28" i="19"/>
  <c r="M29" i="19"/>
  <c r="M30" i="19"/>
  <c r="M19" i="19"/>
  <c r="J20" i="19"/>
  <c r="J21" i="19"/>
  <c r="J22" i="19"/>
  <c r="J23" i="19"/>
  <c r="J24" i="19"/>
  <c r="J25" i="19"/>
  <c r="J26" i="19"/>
  <c r="J27" i="19"/>
  <c r="J28" i="19"/>
  <c r="J29" i="19"/>
  <c r="J30" i="19"/>
  <c r="J19" i="19"/>
  <c r="G20" i="19"/>
  <c r="G21" i="19"/>
  <c r="G22" i="19"/>
  <c r="G23" i="19"/>
  <c r="G24" i="19"/>
  <c r="G25" i="19"/>
  <c r="G26" i="19"/>
  <c r="G27" i="19"/>
  <c r="G28" i="19"/>
  <c r="G29" i="19"/>
  <c r="G30" i="19"/>
  <c r="G19" i="19"/>
  <c r="D20" i="19"/>
  <c r="D21" i="19"/>
  <c r="D22" i="19"/>
  <c r="D23" i="19"/>
  <c r="D24" i="19"/>
  <c r="D25" i="19"/>
  <c r="D26" i="19"/>
  <c r="D27" i="19"/>
  <c r="D28" i="19"/>
  <c r="D29" i="19"/>
  <c r="D30" i="19"/>
  <c r="D19" i="19"/>
  <c r="M5" i="19"/>
  <c r="M6" i="19"/>
  <c r="M7" i="19"/>
  <c r="M8" i="19"/>
  <c r="M9" i="19"/>
  <c r="M10" i="19"/>
  <c r="M11" i="19"/>
  <c r="M12" i="19"/>
  <c r="M13" i="19"/>
  <c r="M14" i="19"/>
  <c r="M15" i="19"/>
  <c r="M4" i="19"/>
  <c r="N4" i="19" s="1"/>
  <c r="J5" i="19"/>
  <c r="J6" i="19"/>
  <c r="J7" i="19"/>
  <c r="J8" i="19"/>
  <c r="J9" i="19"/>
  <c r="J10" i="19"/>
  <c r="J11" i="19"/>
  <c r="J12" i="19"/>
  <c r="J13" i="19"/>
  <c r="J14" i="19"/>
  <c r="J15" i="19"/>
  <c r="G5" i="19"/>
  <c r="G6" i="19"/>
  <c r="G7" i="19"/>
  <c r="G8" i="19"/>
  <c r="G9" i="19"/>
  <c r="H9" i="19" s="1"/>
  <c r="G10" i="19"/>
  <c r="G11" i="19"/>
  <c r="G12" i="19"/>
  <c r="G13" i="19"/>
  <c r="G14" i="19"/>
  <c r="G15" i="19"/>
  <c r="G4" i="19"/>
  <c r="H4" i="19" s="1"/>
  <c r="E8" i="19"/>
  <c r="D5" i="19"/>
  <c r="D6" i="19"/>
  <c r="D7" i="19"/>
  <c r="D8" i="19"/>
  <c r="D9" i="19"/>
  <c r="E9" i="19" s="1"/>
  <c r="D10" i="19"/>
  <c r="D11" i="19"/>
  <c r="E11" i="19" s="1"/>
  <c r="D12" i="19"/>
  <c r="D13" i="19"/>
  <c r="D14" i="19"/>
  <c r="D15" i="19"/>
  <c r="D4" i="19"/>
  <c r="E4" i="19" s="1"/>
  <c r="F10" i="17"/>
  <c r="F11" i="17"/>
  <c r="F12" i="17"/>
  <c r="F13" i="17"/>
  <c r="F14" i="17"/>
  <c r="F15" i="17"/>
  <c r="F16" i="17"/>
  <c r="F17" i="17"/>
  <c r="F18" i="17"/>
  <c r="F19" i="17"/>
  <c r="F20" i="17"/>
  <c r="F9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D20" i="17"/>
  <c r="D19" i="17"/>
  <c r="D18" i="17"/>
  <c r="D17" i="17"/>
  <c r="D16" i="17"/>
  <c r="D15" i="17"/>
  <c r="D14" i="17"/>
  <c r="D13" i="17"/>
  <c r="D12" i="17"/>
  <c r="D11" i="17" a="1"/>
  <c r="D11" i="17" s="1"/>
  <c r="D10" i="17" a="1"/>
  <c r="D10" i="17" s="1"/>
  <c r="D9" i="17" a="1"/>
  <c r="D9" i="17" s="1"/>
  <c r="E54" i="16" a="1"/>
  <c r="E54" i="16" s="1"/>
  <c r="F45" i="16" a="1"/>
  <c r="F45" i="16" s="1"/>
  <c r="F36" i="16" a="1"/>
  <c r="F36" i="16"/>
  <c r="D27" i="16"/>
  <c r="F18" i="16"/>
  <c r="F9" i="16"/>
  <c r="F8" i="16"/>
  <c r="E16" i="15" a="1"/>
  <c r="E16" i="15" s="1"/>
  <c r="D7" i="15"/>
  <c r="G8" i="15"/>
  <c r="F5" i="15"/>
  <c r="E55" i="16" a="1"/>
  <c r="E55" i="16"/>
  <c r="F55" i="16" a="1"/>
  <c r="F55" i="16" s="1"/>
  <c r="G55" i="16" a="1"/>
  <c r="G55" i="16" s="1"/>
  <c r="H55" i="16" a="1"/>
  <c r="H55" i="16" s="1"/>
  <c r="I55" i="16" a="1"/>
  <c r="I55" i="16" s="1"/>
  <c r="J55" i="16" a="1"/>
  <c r="J55" i="16" s="1"/>
  <c r="D55" i="16" a="1"/>
  <c r="D55" i="16" s="1"/>
  <c r="F54" i="16" a="1"/>
  <c r="F54" i="16" s="1"/>
  <c r="G54" i="16" a="1"/>
  <c r="G54" i="16" s="1"/>
  <c r="H54" i="16" a="1"/>
  <c r="H54" i="16" s="1"/>
  <c r="I54" i="16" a="1"/>
  <c r="I54" i="16" s="1"/>
  <c r="J54" i="16" a="1"/>
  <c r="J54" i="16" s="1"/>
  <c r="D54" i="16" a="1"/>
  <c r="D54" i="16" s="1"/>
  <c r="D53" i="16" a="1"/>
  <c r="D53" i="16" s="1"/>
  <c r="E53" i="16" a="1"/>
  <c r="E53" i="16" s="1"/>
  <c r="F53" i="16" a="1"/>
  <c r="F53" i="16" s="1"/>
  <c r="G53" i="16" a="1"/>
  <c r="G53" i="16"/>
  <c r="H53" i="16" a="1"/>
  <c r="H53" i="16"/>
  <c r="I53" i="16" a="1"/>
  <c r="I53" i="16" s="1"/>
  <c r="J53" i="16" a="1"/>
  <c r="J53" i="16" s="1"/>
  <c r="C53" i="16" a="1"/>
  <c r="C53" i="16" s="1"/>
  <c r="C52" i="16" a="1"/>
  <c r="C52" i="16" s="1"/>
  <c r="D52" i="16" a="1"/>
  <c r="D52" i="16" s="1"/>
  <c r="E52" i="16" a="1"/>
  <c r="E52" i="16" s="1"/>
  <c r="F52" i="16" a="1"/>
  <c r="F52" i="16" s="1"/>
  <c r="G52" i="16" a="1"/>
  <c r="G52" i="16" s="1"/>
  <c r="H52" i="16" a="1"/>
  <c r="H52" i="16" s="1"/>
  <c r="I52" i="16" a="1"/>
  <c r="I52" i="16"/>
  <c r="J52" i="16" a="1"/>
  <c r="J52" i="16" s="1"/>
  <c r="E46" i="16" a="1"/>
  <c r="E46" i="16" s="1"/>
  <c r="F46" i="16" a="1"/>
  <c r="F46" i="16" s="1"/>
  <c r="G46" i="16" a="1"/>
  <c r="G46" i="16" s="1"/>
  <c r="H46" i="16" a="1"/>
  <c r="H46" i="16"/>
  <c r="I46" i="16" a="1"/>
  <c r="I46" i="16" s="1"/>
  <c r="J46" i="16" a="1"/>
  <c r="J46" i="16" s="1"/>
  <c r="D46" i="16" a="1"/>
  <c r="D46" i="16" s="1"/>
  <c r="E45" i="16" a="1"/>
  <c r="E45" i="16" s="1"/>
  <c r="G45" i="16" a="1"/>
  <c r="G45" i="16"/>
  <c r="H45" i="16" a="1"/>
  <c r="H45" i="16"/>
  <c r="I45" i="16" a="1"/>
  <c r="I45" i="16" s="1"/>
  <c r="J45" i="16" a="1"/>
  <c r="J45" i="16" s="1"/>
  <c r="D45" i="16" a="1"/>
  <c r="D45" i="16" s="1"/>
  <c r="D44" i="16" a="1"/>
  <c r="D44" i="16" s="1"/>
  <c r="E44" i="16" a="1"/>
  <c r="E44" i="16"/>
  <c r="F44" i="16" a="1"/>
  <c r="F44" i="16" s="1"/>
  <c r="G44" i="16" a="1"/>
  <c r="G44" i="16" s="1"/>
  <c r="H44" i="16" a="1"/>
  <c r="H44" i="16"/>
  <c r="I44" i="16" a="1"/>
  <c r="I44" i="16" s="1"/>
  <c r="J44" i="16" a="1"/>
  <c r="J44" i="16" s="1"/>
  <c r="C44" i="16" a="1"/>
  <c r="C44" i="16" s="1"/>
  <c r="C43" i="16" a="1"/>
  <c r="C43" i="16" s="1"/>
  <c r="D43" i="16" a="1"/>
  <c r="D43" i="16" s="1"/>
  <c r="E43" i="16" a="1"/>
  <c r="E43" i="16" s="1"/>
  <c r="F43" i="16" a="1"/>
  <c r="F43" i="16" s="1"/>
  <c r="G43" i="16" a="1"/>
  <c r="G43" i="16" s="1"/>
  <c r="H43" i="16" a="1"/>
  <c r="H43" i="16"/>
  <c r="I43" i="16" a="1"/>
  <c r="I43" i="16" s="1"/>
  <c r="J43" i="16" a="1"/>
  <c r="J43" i="16" s="1"/>
  <c r="C34" i="16" a="1"/>
  <c r="C34" i="16" s="1"/>
  <c r="D34" i="16" a="1"/>
  <c r="D34" i="16" s="1"/>
  <c r="E34" i="16" a="1"/>
  <c r="E34" i="16" s="1"/>
  <c r="F34" i="16" a="1"/>
  <c r="F34" i="16"/>
  <c r="G34" i="16" a="1"/>
  <c r="G34" i="16" s="1"/>
  <c r="H34" i="16" a="1"/>
  <c r="H34" i="16" s="1"/>
  <c r="I34" i="16" a="1"/>
  <c r="I34" i="16" s="1"/>
  <c r="J34" i="16" a="1"/>
  <c r="J34" i="16" s="1"/>
  <c r="C35" i="16" a="1"/>
  <c r="C35" i="16" s="1"/>
  <c r="D35" i="16" a="1"/>
  <c r="D35" i="16"/>
  <c r="E35" i="16" a="1"/>
  <c r="E35" i="16" s="1"/>
  <c r="F35" i="16" a="1"/>
  <c r="F35" i="16" s="1"/>
  <c r="G35" i="16" a="1"/>
  <c r="G35" i="16" s="1"/>
  <c r="H35" i="16" a="1"/>
  <c r="H35" i="16" s="1"/>
  <c r="I35" i="16" a="1"/>
  <c r="I35" i="16" s="1"/>
  <c r="J35" i="16" a="1"/>
  <c r="J35" i="16" s="1"/>
  <c r="D36" i="16" a="1"/>
  <c r="D36" i="16" s="1"/>
  <c r="E36" i="16" a="1"/>
  <c r="E36" i="16"/>
  <c r="G36" i="16" a="1"/>
  <c r="G36" i="16" s="1"/>
  <c r="H36" i="16" a="1"/>
  <c r="H36" i="16" s="1"/>
  <c r="I36" i="16" a="1"/>
  <c r="I36" i="16" s="1"/>
  <c r="J36" i="16" a="1"/>
  <c r="J36" i="16"/>
  <c r="D37" i="16" a="1"/>
  <c r="D37" i="16" s="1"/>
  <c r="E37" i="16" a="1"/>
  <c r="E37" i="16" s="1"/>
  <c r="F37" i="16" a="1"/>
  <c r="F37" i="16" s="1"/>
  <c r="G37" i="16" a="1"/>
  <c r="G37" i="16" s="1"/>
  <c r="H37" i="16" a="1"/>
  <c r="H37" i="16"/>
  <c r="I37" i="16" a="1"/>
  <c r="I37" i="16" s="1"/>
  <c r="J37" i="16" a="1"/>
  <c r="J37" i="16" s="1"/>
  <c r="C25" i="16"/>
  <c r="D25" i="16"/>
  <c r="E25" i="16"/>
  <c r="F25" i="16"/>
  <c r="G25" i="16"/>
  <c r="H25" i="16"/>
  <c r="I25" i="16"/>
  <c r="C26" i="16"/>
  <c r="D26" i="16"/>
  <c r="E26" i="16"/>
  <c r="F26" i="16"/>
  <c r="G26" i="16"/>
  <c r="H26" i="16"/>
  <c r="I26" i="16"/>
  <c r="E27" i="16"/>
  <c r="F27" i="16"/>
  <c r="G27" i="16"/>
  <c r="H27" i="16"/>
  <c r="I27" i="16"/>
  <c r="D28" i="16"/>
  <c r="E28" i="16"/>
  <c r="F28" i="16"/>
  <c r="G28" i="16"/>
  <c r="H28" i="16"/>
  <c r="I28" i="16"/>
  <c r="E19" i="16"/>
  <c r="F19" i="16"/>
  <c r="G19" i="16"/>
  <c r="H19" i="16"/>
  <c r="I19" i="16"/>
  <c r="J19" i="16"/>
  <c r="D19" i="16"/>
  <c r="E18" i="16"/>
  <c r="G18" i="16"/>
  <c r="H18" i="16"/>
  <c r="I18" i="16"/>
  <c r="J18" i="16"/>
  <c r="D18" i="16"/>
  <c r="D17" i="16"/>
  <c r="E17" i="16"/>
  <c r="F17" i="16"/>
  <c r="G17" i="16"/>
  <c r="H17" i="16"/>
  <c r="I17" i="16"/>
  <c r="J17" i="16"/>
  <c r="C17" i="16"/>
  <c r="D16" i="16"/>
  <c r="E16" i="16"/>
  <c r="F16" i="16"/>
  <c r="G16" i="16"/>
  <c r="H16" i="16"/>
  <c r="I16" i="16"/>
  <c r="J16" i="16"/>
  <c r="C16" i="16"/>
  <c r="E10" i="16"/>
  <c r="F10" i="16"/>
  <c r="G10" i="16"/>
  <c r="H10" i="16"/>
  <c r="I10" i="16"/>
  <c r="J10" i="16"/>
  <c r="D10" i="16"/>
  <c r="E9" i="16"/>
  <c r="G9" i="16"/>
  <c r="H9" i="16"/>
  <c r="I9" i="16"/>
  <c r="J9" i="16"/>
  <c r="D9" i="16"/>
  <c r="C8" i="16"/>
  <c r="D8" i="16"/>
  <c r="E8" i="16"/>
  <c r="G8" i="16"/>
  <c r="H8" i="16"/>
  <c r="I8" i="16"/>
  <c r="J8" i="16"/>
  <c r="J7" i="16"/>
  <c r="I7" i="16"/>
  <c r="H7" i="16"/>
  <c r="G7" i="16"/>
  <c r="F7" i="16"/>
  <c r="E7" i="16"/>
  <c r="C7" i="16"/>
  <c r="D7" i="16"/>
  <c r="D15" i="15"/>
  <c r="E15" i="15"/>
  <c r="G15" i="15" s="1"/>
  <c r="C15" i="15"/>
  <c r="D16" i="15" a="1"/>
  <c r="D16" i="15"/>
  <c r="C16" i="15" a="1"/>
  <c r="C16" i="15" s="1"/>
  <c r="C17" i="15"/>
  <c r="E18" i="15"/>
  <c r="D18" i="15"/>
  <c r="G18" i="15" s="1"/>
  <c r="C18" i="15"/>
  <c r="E17" i="15"/>
  <c r="D17" i="15"/>
  <c r="E8" i="15"/>
  <c r="E7" i="15"/>
  <c r="C6" i="15" a="1"/>
  <c r="C6" i="15" s="1"/>
  <c r="D8" i="15"/>
  <c r="C8" i="15"/>
  <c r="C7" i="15"/>
  <c r="D6" i="15" a="1"/>
  <c r="D6" i="15"/>
  <c r="E6" i="15" a="1"/>
  <c r="E6" i="15" s="1"/>
  <c r="D5" i="15"/>
  <c r="E5" i="15"/>
  <c r="C5" i="15"/>
  <c r="H44" i="21" l="1"/>
  <c r="H45" i="21"/>
  <c r="H14" i="21"/>
  <c r="H15" i="21"/>
  <c r="N29" i="21"/>
  <c r="N30" i="21"/>
  <c r="H41" i="21"/>
  <c r="N26" i="21"/>
  <c r="H4" i="21"/>
  <c r="E15" i="21"/>
  <c r="K29" i="21"/>
  <c r="K44" i="21"/>
  <c r="N45" i="21"/>
  <c r="H36" i="19"/>
  <c r="F94" i="22" a="1"/>
  <c r="F94" i="22" s="1"/>
  <c r="F66" i="22" a="1"/>
  <c r="F66" i="22" s="1"/>
  <c r="F102" i="22" a="1"/>
  <c r="F102" i="22" s="1"/>
  <c r="F86" i="22" a="1"/>
  <c r="F86" i="22" s="1"/>
  <c r="F70" i="22" a="1"/>
  <c r="F70" i="22" s="1"/>
  <c r="F98" i="22" a="1"/>
  <c r="F98" i="22" s="1"/>
  <c r="F90" i="22" a="1"/>
  <c r="F90" i="22" s="1"/>
  <c r="F74" i="22" a="1"/>
  <c r="F74" i="22" s="1"/>
  <c r="K24" i="19"/>
  <c r="H39" i="19"/>
  <c r="K45" i="19"/>
  <c r="K37" i="19"/>
  <c r="N41" i="19"/>
  <c r="E37" i="19"/>
  <c r="E40" i="19"/>
  <c r="N40" i="19"/>
  <c r="N30" i="19"/>
  <c r="E39" i="19"/>
  <c r="K42" i="19"/>
  <c r="E34" i="19"/>
  <c r="N39" i="19"/>
  <c r="L7" i="22"/>
  <c r="J7" i="22"/>
  <c r="L8" i="22"/>
  <c r="J8" i="22"/>
  <c r="L9" i="22"/>
  <c r="J9" i="22"/>
  <c r="L6" i="22"/>
  <c r="J6" i="22"/>
  <c r="K7" i="22"/>
  <c r="I6" i="22"/>
  <c r="F46" i="22" s="1" a="1"/>
  <c r="F46" i="22" s="1"/>
  <c r="K8" i="22"/>
  <c r="I7" i="22"/>
  <c r="K9" i="22"/>
  <c r="I8" i="22"/>
  <c r="K6" i="22"/>
  <c r="I9" i="22"/>
  <c r="F58" i="22" s="1" a="1"/>
  <c r="F58" i="22" s="1"/>
  <c r="E38" i="19"/>
  <c r="K23" i="19"/>
  <c r="H41" i="19"/>
  <c r="E42" i="19"/>
  <c r="N25" i="19"/>
  <c r="H45" i="19"/>
  <c r="E41" i="19"/>
  <c r="K36" i="19"/>
  <c r="H24" i="19"/>
  <c r="N26" i="19"/>
  <c r="N8" i="19"/>
  <c r="H8" i="19"/>
  <c r="N38" i="19"/>
  <c r="N45" i="19"/>
  <c r="N37" i="19"/>
  <c r="K22" i="19"/>
  <c r="E45" i="19"/>
  <c r="K40" i="19"/>
  <c r="N36" i="19"/>
  <c r="H37" i="19"/>
  <c r="E36" i="19"/>
  <c r="N43" i="19"/>
  <c r="N35" i="19"/>
  <c r="H38" i="19"/>
  <c r="E43" i="19"/>
  <c r="E35" i="19"/>
  <c r="K38" i="19"/>
  <c r="N42" i="19"/>
  <c r="K39" i="19"/>
  <c r="K41" i="19"/>
  <c r="H43" i="19"/>
  <c r="H34" i="19"/>
  <c r="N23" i="19"/>
  <c r="H40" i="19"/>
  <c r="H35" i="19"/>
  <c r="H42" i="19"/>
  <c r="K9" i="19"/>
  <c r="K8" i="19"/>
  <c r="N7" i="19"/>
  <c r="H25" i="19"/>
  <c r="K6" i="19"/>
  <c r="K5" i="19"/>
  <c r="H13" i="19"/>
  <c r="N11" i="19"/>
  <c r="H12" i="19"/>
  <c r="K11" i="19"/>
  <c r="N10" i="19"/>
  <c r="N15" i="19"/>
  <c r="K15" i="19"/>
  <c r="N6" i="19"/>
  <c r="H23" i="19"/>
  <c r="H15" i="19"/>
  <c r="N13" i="19"/>
  <c r="N5" i="19"/>
  <c r="E15" i="19"/>
  <c r="K13" i="19"/>
  <c r="N12" i="19"/>
  <c r="H5" i="19"/>
  <c r="K12" i="19"/>
  <c r="E12" i="19"/>
  <c r="H11" i="19"/>
  <c r="E25" i="19"/>
  <c r="H30" i="19"/>
  <c r="E23" i="19"/>
  <c r="E30" i="19"/>
  <c r="K30" i="19"/>
  <c r="E22" i="19"/>
  <c r="H22" i="19"/>
  <c r="E28" i="19"/>
  <c r="E10" i="19"/>
  <c r="E7" i="19"/>
  <c r="E27" i="19"/>
  <c r="E19" i="19"/>
  <c r="H20" i="19"/>
  <c r="K21" i="19"/>
  <c r="N20" i="19"/>
  <c r="E21" i="19"/>
  <c r="K25" i="19"/>
  <c r="E20" i="19"/>
  <c r="H21" i="19"/>
  <c r="H28" i="19"/>
  <c r="N22" i="19"/>
  <c r="H10" i="19"/>
  <c r="H7" i="19"/>
  <c r="E26" i="19"/>
  <c r="H27" i="19"/>
  <c r="H19" i="19"/>
  <c r="K28" i="19"/>
  <c r="K20" i="19"/>
  <c r="N21" i="19"/>
  <c r="E6" i="19"/>
  <c r="K10" i="19"/>
  <c r="K7" i="19"/>
  <c r="E24" i="19"/>
  <c r="H26" i="19"/>
  <c r="K27" i="19"/>
  <c r="K19" i="19"/>
  <c r="N28" i="19"/>
  <c r="E13" i="19"/>
  <c r="E5" i="19"/>
  <c r="H6" i="19"/>
  <c r="N9" i="19"/>
  <c r="K26" i="19"/>
  <c r="N27" i="19"/>
  <c r="N19" i="19"/>
  <c r="G17" i="15"/>
  <c r="F16" i="15"/>
  <c r="F15" i="15"/>
  <c r="G16" i="15"/>
  <c r="F18" i="15"/>
  <c r="F17" i="15"/>
  <c r="G6" i="15"/>
  <c r="F6" i="15"/>
  <c r="G5" i="15"/>
  <c r="F7" i="15"/>
  <c r="G7" i="15"/>
  <c r="F8" i="15"/>
  <c r="F54" i="22" l="1" a="1"/>
  <c r="F54" i="22" s="1"/>
  <c r="F50" i="22" a="1"/>
  <c r="F50" i="2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C61270-9BCA-4F23-9CDB-39E865509A13}" keepAlive="1" name="ModelConnection_ExternalData_11" description="Data Model" type="5" refreshedVersion="8" minRefreshableVersion="5" saveData="1">
    <dbPr connection="Data Model Connection" command="delhivery_BL5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E1E24BB-FE05-49F8-852D-3150D0244F8A}" keepAlive="1" name="ModelConnection_ExternalData_12" description="Data Model" type="5" refreshedVersion="8" minRefreshableVersion="5" saveData="1">
    <dbPr connection="Data Model Connection" command="Balance_Sheet5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09C8BA7-D60E-4C0B-8033-4B74EE1537CC}" keepAlive="1" name="ModelConnection_ExternalData_13" description="Data Model" type="5" refreshedVersion="8" minRefreshableVersion="5" saveData="1">
    <dbPr connection="Data Model Connection" command="nykaa_BL5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C3DF3782-7DD2-4C26-93F6-9FEBBB07484A}" keepAlive="1" name="ModelConnection_ExternalData_14" description="Data Model" type="5" refreshedVersion="8" minRefreshableVersion="5" saveData="1">
    <dbPr connection="Data Model Connection" command="mamaearth_BL5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BA6A490-6F92-4CB6-96E3-F6A94F004802}" keepAlive="1" name="ModelConnection_ExternalData_2" description="Data Model" type="5" refreshedVersion="8" minRefreshableVersion="5" saveData="1">
    <dbPr connection="Data Model Connection" command="P_L_Statemen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8D40B22-5831-472D-B311-6F82FA94766E}" keepAlive="1" name="ModelConnection_ExternalData_21" description="Data Model" type="5" refreshedVersion="8" minRefreshableVersion="5" saveData="1">
    <dbPr connection="Data Model Connection" command="delhivery_CF6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EBEDD617-39F8-484A-A381-4E5B62D88BFC}" keepAlive="1" name="ModelConnection_ExternalData_23" description="Data Model" type="5" refreshedVersion="8" minRefreshableVersion="5" saveData="1">
    <dbPr connection="Data Model Connection" command="nykaa_CF6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5588E7FC-2B9F-413C-B216-1243D669EDFC}" keepAlive="1" name="ModelConnection_ExternalData_3" description="Data Model" type="5" refreshedVersion="8" minRefreshableVersion="5" saveData="1">
    <dbPr connection="Data Model Connection" command="delhivery_P_L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DBFC9962-376C-4672-9004-200845964856}" keepAlive="1" name="ModelConnection_ExternalData_31" description="Data Model" type="5" refreshedVersion="8" minRefreshableVersion="5" saveData="1">
    <dbPr connection="Data Model Connection" command="nykaa_P_L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46B4B059-39FF-47E3-A952-46830703EC12}" keepAlive="1" name="ModelConnection_ExternalData_32" description="Data Model" type="5" refreshedVersion="8" minRefreshableVersion="5" saveData="1">
    <dbPr connection="Data Model Connection" command="Cash_Flows6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8AD8B13-DCE3-467B-9F7E-B51F69ED9E43}" keepAlive="1" name="ModelConnection_ExternalData_33" description="Data Model" type="5" refreshedVersion="8" minRefreshableVersion="5" saveData="1">
    <dbPr connection="Data Model Connection" command="mamaearth_P_L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62A73CD4-7C9A-4D8E-BD21-999D35916AFD}" keepAlive="1" name="ModelConnection_ExternalData_4" description="Data Model" type="5" refreshedVersion="8" minRefreshableVersion="5" saveData="1">
    <dbPr connection="Data Model Connection" command="mamaearth_CF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3CA3D61F-3273-4375-B82D-F75BA5BDECF1}" name="Query - Balance_Sheet5" description="Connection to the 'Balance_Sheet5' query in the workbook." type="100" refreshedVersion="8" minRefreshableVersion="5">
    <extLst>
      <ext xmlns:x15="http://schemas.microsoft.com/office/spreadsheetml/2010/11/main" uri="{DE250136-89BD-433C-8126-D09CA5730AF9}">
        <x15:connection id="a6d426cb-7287-4c65-a835-47d345041028"/>
      </ext>
    </extLst>
  </connection>
  <connection id="14" xr16:uid="{E430BC44-8537-416B-AB35-519E0AF3E419}" name="Query - Cash_Flows6" description="Connection to the 'Cash_Flows6' query in the workbook." type="100" refreshedVersion="8" minRefreshableVersion="5">
    <extLst>
      <ext xmlns:x15="http://schemas.microsoft.com/office/spreadsheetml/2010/11/main" uri="{DE250136-89BD-433C-8126-D09CA5730AF9}">
        <x15:connection id="b857f0a3-a620-4a1b-8397-1b27c257cad6"/>
      </ext>
    </extLst>
  </connection>
  <connection id="15" xr16:uid="{DF6D0F1D-D0E5-48C3-AF9D-435616253D4B}" name="Query - delhivery_BL5" description="Connection to the 'delhivery_BL5' query in the workbook." type="100" refreshedVersion="8" minRefreshableVersion="5">
    <extLst>
      <ext xmlns:x15="http://schemas.microsoft.com/office/spreadsheetml/2010/11/main" uri="{DE250136-89BD-433C-8126-D09CA5730AF9}">
        <x15:connection id="0fd93814-6a6c-4918-9c3f-9a88edc7c708"/>
      </ext>
    </extLst>
  </connection>
  <connection id="16" xr16:uid="{ED9DD3A8-2CD5-4880-B7E0-93ACDD37EE1B}" name="Query - delhivery_CF6" description="Connection to the 'delhivery_CF6' query in the workbook." type="100" refreshedVersion="8" minRefreshableVersion="5">
    <extLst>
      <ext xmlns:x15="http://schemas.microsoft.com/office/spreadsheetml/2010/11/main" uri="{DE250136-89BD-433C-8126-D09CA5730AF9}">
        <x15:connection id="797ab1fe-9521-4f45-887c-924f83542968"/>
      </ext>
    </extLst>
  </connection>
  <connection id="17" xr16:uid="{5728851F-1994-402B-802E-B51564262FEE}" name="Query - delhivery_P_L" description="Connection to the 'delhivery_P_L' query in the workbook." type="100" refreshedVersion="8" minRefreshableVersion="5">
    <extLst>
      <ext xmlns:x15="http://schemas.microsoft.com/office/spreadsheetml/2010/11/main" uri="{DE250136-89BD-433C-8126-D09CA5730AF9}">
        <x15:connection id="db5e516f-1e32-4524-b6f5-80cb039845ce"/>
      </ext>
    </extLst>
  </connection>
  <connection id="18" xr16:uid="{46BAE9F5-8E0C-41C8-9DEF-9D30D25FA0C5}" name="Query - mamaearth_BL5" description="Connection to the 'mamaearth_BL5' query in the workbook." type="100" refreshedVersion="8" minRefreshableVersion="5">
    <extLst>
      <ext xmlns:x15="http://schemas.microsoft.com/office/spreadsheetml/2010/11/main" uri="{DE250136-89BD-433C-8126-D09CA5730AF9}">
        <x15:connection id="6c7eb27b-1123-44a8-8bec-f61379abee0f"/>
      </ext>
    </extLst>
  </connection>
  <connection id="19" xr16:uid="{B275EBC9-1ADF-4E6B-8409-C91A4A73DE4A}" name="Query - mamaearth_CF6" description="Connection to the 'mamaearth_CF6' query in the workbook." type="100" refreshedVersion="8" minRefreshableVersion="5">
    <extLst>
      <ext xmlns:x15="http://schemas.microsoft.com/office/spreadsheetml/2010/11/main" uri="{DE250136-89BD-433C-8126-D09CA5730AF9}">
        <x15:connection id="98eaecbf-9700-4ac1-991e-13ebe22f23e8"/>
      </ext>
    </extLst>
  </connection>
  <connection id="20" xr16:uid="{2565904B-5AA3-48CD-8C8B-1A3E80C36D5D}" name="Query - mamaearth_P_L" description="Connection to the 'mamaearth_P_L' query in the workbook." type="100" refreshedVersion="8" minRefreshableVersion="5">
    <extLst>
      <ext xmlns:x15="http://schemas.microsoft.com/office/spreadsheetml/2010/11/main" uri="{DE250136-89BD-433C-8126-D09CA5730AF9}">
        <x15:connection id="078f0aa5-c9ea-47ed-9435-5c753f206395"/>
      </ext>
    </extLst>
  </connection>
  <connection id="21" xr16:uid="{B97885FE-A09C-4E91-AE48-BB3E8DB85294}" name="Query - nykaa_BL5" description="Connection to the 'nykaa_BL5' query in the workbook." type="100" refreshedVersion="8" minRefreshableVersion="5">
    <extLst>
      <ext xmlns:x15="http://schemas.microsoft.com/office/spreadsheetml/2010/11/main" uri="{DE250136-89BD-433C-8126-D09CA5730AF9}">
        <x15:connection id="6e77c6c8-a073-4767-8168-e0801a0f904e"/>
      </ext>
    </extLst>
  </connection>
  <connection id="22" xr16:uid="{E5E11C30-51F4-44F1-A04C-867432A79D22}" name="Query - nykaa_CF6" description="Connection to the 'nykaa_CF6' query in the workbook." type="100" refreshedVersion="8" minRefreshableVersion="5">
    <extLst>
      <ext xmlns:x15="http://schemas.microsoft.com/office/spreadsheetml/2010/11/main" uri="{DE250136-89BD-433C-8126-D09CA5730AF9}">
        <x15:connection id="f3c1f279-731c-42eb-be43-05aa525f7a28"/>
      </ext>
    </extLst>
  </connection>
  <connection id="23" xr16:uid="{98648F0B-D5C9-4BB2-B472-420A4E2066AF}" name="Query - nykaa_P_L" description="Connection to the 'nykaa_P_L' query in the workbook." type="100" refreshedVersion="8" minRefreshableVersion="5">
    <extLst>
      <ext xmlns:x15="http://schemas.microsoft.com/office/spreadsheetml/2010/11/main" uri="{DE250136-89BD-433C-8126-D09CA5730AF9}">
        <x15:connection id="4be1106f-3b3c-4ed4-baa2-a5e47bdb5dc8"/>
      </ext>
    </extLst>
  </connection>
  <connection id="24" xr16:uid="{5B697752-9E91-4A76-AFA0-40FD818BB02A}" name="Query - P_L_Statement" description="Connection to the 'P_L_Statement' query in the workbook." type="100" refreshedVersion="8" minRefreshableVersion="5">
    <extLst>
      <ext xmlns:x15="http://schemas.microsoft.com/office/spreadsheetml/2010/11/main" uri="{DE250136-89BD-433C-8126-D09CA5730AF9}">
        <x15:connection id="a92c30cf-6c4f-4106-a850-19a5a19b3ebc"/>
      </ext>
    </extLst>
  </connection>
  <connection id="25" xr16:uid="{1DB8F49A-82BD-4E8D-9C15-9206B091FD0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<sst xmlns="http://schemas.openxmlformats.org/spreadsheetml/2006/main" count="695" uniqueCount="148">
  <si>
    <t>Column1</t>
  </si>
  <si>
    <t>Mar 2019</t>
  </si>
  <si>
    <t>Mar 2020</t>
  </si>
  <si>
    <t>Mar 2021</t>
  </si>
  <si>
    <t>Mar 2022</t>
  </si>
  <si>
    <t>Mar 2023</t>
  </si>
  <si>
    <t>Mar 2024</t>
  </si>
  <si>
    <t>Mar 2025</t>
  </si>
  <si>
    <t>Equity Capital</t>
  </si>
  <si>
    <t>Reserves</t>
  </si>
  <si>
    <t>Borrowings +</t>
  </si>
  <si>
    <t>Other Liabilities +</t>
  </si>
  <si>
    <t>Total Liabilities</t>
  </si>
  <si>
    <t>Fixed Assets +</t>
  </si>
  <si>
    <t>CWIP</t>
  </si>
  <si>
    <t>Investments</t>
  </si>
  <si>
    <t>Other Assets +</t>
  </si>
  <si>
    <t>Total Assets</t>
  </si>
  <si>
    <t>Cash from Operating Activity +</t>
  </si>
  <si>
    <t>Cash from Investing Activity +</t>
  </si>
  <si>
    <t>Cash from Financing Activity +</t>
  </si>
  <si>
    <t>Net Cash Flow</t>
  </si>
  <si>
    <t>Sales +</t>
  </si>
  <si>
    <t>Expenses +</t>
  </si>
  <si>
    <t>Operating Profit</t>
  </si>
  <si>
    <t>OPM %</t>
  </si>
  <si>
    <t>Other Income +</t>
  </si>
  <si>
    <t>Interest</t>
  </si>
  <si>
    <t>Depreciation</t>
  </si>
  <si>
    <t>Profit before tax</t>
  </si>
  <si>
    <t>Tax %</t>
  </si>
  <si>
    <t>Net Profit +</t>
  </si>
  <si>
    <t>EPS in Rs</t>
  </si>
  <si>
    <t>Dividend Payout %</t>
  </si>
  <si>
    <t>DELHIVERY LTD.</t>
  </si>
  <si>
    <t>BALANCE SHEET</t>
  </si>
  <si>
    <t>PROFIT &amp; LOSS</t>
  </si>
  <si>
    <t>CASH FLOWS</t>
  </si>
  <si>
    <t>Mar 2018</t>
  </si>
  <si>
    <t>Particulars</t>
  </si>
  <si>
    <t>NA</t>
  </si>
  <si>
    <t>ZOMATO LTD.</t>
  </si>
  <si>
    <t>NYKAA</t>
  </si>
  <si>
    <t xml:space="preserve">MAMAEARTH </t>
  </si>
  <si>
    <t>Company</t>
  </si>
  <si>
    <t>FY21 REVENUE</t>
  </si>
  <si>
    <t>FY22 REVENUE</t>
  </si>
  <si>
    <t>FY23 REVENUE</t>
  </si>
  <si>
    <t>FY21 PROFIT</t>
  </si>
  <si>
    <t>FY22 PROFIT</t>
  </si>
  <si>
    <t>FY23 PROFIT</t>
  </si>
  <si>
    <t>ZOMATO</t>
  </si>
  <si>
    <t>MAMAEARTH</t>
  </si>
  <si>
    <t>DELHIVERY</t>
  </si>
  <si>
    <t>FY22 GROWTH</t>
  </si>
  <si>
    <t>FY23 GROWTH</t>
  </si>
  <si>
    <t>YOY REVENUE GROWTH</t>
  </si>
  <si>
    <t>NET PROFIT GROWTH</t>
  </si>
  <si>
    <t>REVENUE AND PROFIT GROWTH ANALYSIS</t>
  </si>
  <si>
    <t>FINANCIAL RATIOS ANALYSIS</t>
  </si>
  <si>
    <t>Net Profit Margin</t>
  </si>
  <si>
    <t>Zomato</t>
  </si>
  <si>
    <t>Nykaa</t>
  </si>
  <si>
    <t>Mamaearth</t>
  </si>
  <si>
    <t>Delhivery</t>
  </si>
  <si>
    <t>FY 2018</t>
  </si>
  <si>
    <t>FY 2019</t>
  </si>
  <si>
    <t>FY 2020</t>
  </si>
  <si>
    <t>FY 2021</t>
  </si>
  <si>
    <t>FY 2022</t>
  </si>
  <si>
    <t>FY 2023</t>
  </si>
  <si>
    <t>FY 2024</t>
  </si>
  <si>
    <t>FY 2025</t>
  </si>
  <si>
    <t>Operating Profit Margin</t>
  </si>
  <si>
    <t>EPS GROWTH</t>
  </si>
  <si>
    <t>Return On Equity (ROE)</t>
  </si>
  <si>
    <t>Debt To Equity Ratio</t>
  </si>
  <si>
    <t>Asset Turnover Ratio</t>
  </si>
  <si>
    <t xml:space="preserve">(D5-C5)/C5 </t>
  </si>
  <si>
    <t>(Blue cell highlights highest growth among all the 4 companies)</t>
  </si>
  <si>
    <t>(E8-D8)/D8</t>
  </si>
  <si>
    <t>(Red cell highlights lowest growth among all the 4 Companies)</t>
  </si>
  <si>
    <t>XLOOKUP(C3,mamaearth_PL[Particulars],mamaearth_PL[Mar 2022])</t>
  </si>
  <si>
    <t>XLOOKUP($C$13,'NYKAA ltd.'!$A$5:$A$16,Nykaa_PL[Mar 2023])</t>
  </si>
  <si>
    <t>INDEX(mamaearth_PL[Mar 2021],MATCH($L$4,mamaearth_PL[[Particulars]:[Particulars]],0))/</t>
  </si>
  <si>
    <t>INDEX(mamaearth_PL[Mar 2021],MATCH($M$4,mamaearth_PL[[Particulars]:[Particulars]],0))</t>
  </si>
  <si>
    <t>INDEX(mamaearth_PL[Mar 2021],MATCH($N$4,mamaearth_PL[[Particulars]:[Particulars]],0))/</t>
  </si>
  <si>
    <t>(INDEX(mamaearth_PL[Mar 2020],MATCH($O$4,mamaearth_PL[[Particulars]:[Particulars]],0)) -</t>
  </si>
  <si>
    <t xml:space="preserve"> INDEX(mamaearth_PL[Mar 2019],MATCH($O$4,mamaearth_PL[[Particulars]:[Particulars]],0)))/INDEX(mamaearth_PL[Mar 2019],MATCH($O$4,mamaearth_PL[[Particulars]:[Particulars]],0))</t>
  </si>
  <si>
    <t>XLOOKUP($L$4,mamaearth_PL[[Particulars]:[Particulars]],mamaearth_PL[Mar 2021])/</t>
  </si>
  <si>
    <t>((XLOOKUP($P$4,mamaearth_BL[[Column1]:[Column1]],mamaearth_BL[Mar 2021]))+(XLOOKUP($Q$4,mamaearth_BL[[Column1]:[Column1]],mamaearth_BL[Mar 2021])))</t>
  </si>
  <si>
    <t>XLOOKUP($R$4,mamaearth_BL[[Column1]:[Column1]],mamaearth_BL[Mar 2021])/((XLOOKUP($P$4,mamaearth_BL[[Column1]:[Column1]],mamaearth_BL[Mar 2021]))+(XLOOKUP($Q$4,mamaearth_BL[[Column1]:[Column1]],mamaearth_BL[Mar 2021])))</t>
  </si>
  <si>
    <t>XLOOKUP($M$4,mamaearth_PL[[Particulars]:[Particulars]],mamaearth_PL[Mar 2020])/XLOOKUP($S$4,mamaearth_BL[[Column1]:[Column1]],mamaearth_BL[Mar 2020])</t>
  </si>
  <si>
    <t>CASH FLOW ANALYSIS</t>
  </si>
  <si>
    <t>Cash Flow Dependency Ratio (CFDR)   =</t>
  </si>
  <si>
    <t>COMPANY</t>
  </si>
  <si>
    <t>FINANCIAL YEAR</t>
  </si>
  <si>
    <t>Casf Flow From Operating Activities (CFO)</t>
  </si>
  <si>
    <t>Cash Flow From Financing Activities (CFF)</t>
  </si>
  <si>
    <t>CFDR=CFF/CFO</t>
  </si>
  <si>
    <t>Insight</t>
  </si>
  <si>
    <t xml:space="preserve"> Cash Flow from Financing Activitites (CFF)</t>
  </si>
  <si>
    <t xml:space="preserve"> Cash Flow from Operating Activitites(CFO)</t>
  </si>
  <si>
    <r>
      <t>FORMULAS</t>
    </r>
    <r>
      <rPr>
        <b/>
        <sz val="26"/>
        <color theme="1"/>
        <rFont val="SimSun"/>
      </rPr>
      <t>↓</t>
    </r>
  </si>
  <si>
    <t>🚨 Dangerous zone – Losing money in business and running heavily on investor funds</t>
  </si>
  <si>
    <t>⚠️ Still in loss, but depending less on funding than before. Slight improvement</t>
  </si>
  <si>
    <t>✅ Finally profitable! Using a small amount of funding for growth – healthy signal</t>
  </si>
  <si>
    <t>Mild dependency on funding – early-stage loss but not alarming</t>
  </si>
  <si>
    <t>🚨 Heavy funding dependency during loss period – burning capital</t>
  </si>
  <si>
    <t>✅ Reduced dependency – near breakeven; financial control improved</t>
  </si>
  <si>
    <t>Minimal losses, minimal funding – early-stage but efficient</t>
  </si>
  <si>
    <t>🚨 Massive funding despite profit – likely raised for aggressive expansion or IPO prep</t>
  </si>
  <si>
    <t>✅ Good health – self-sustaining with minor financing support</t>
  </si>
  <si>
    <t>🚨 Still highly reliant – slightly improved but dangerous</t>
  </si>
  <si>
    <t>🚨 Extremely strange – profitable but burning cash through excessive fundraising. Possibly IPO impact</t>
  </si>
  <si>
    <t>🚨🚨 Super high dependency – business heavily unprofitable and raised huge capita</t>
  </si>
  <si>
    <t xml:space="preserve"> </t>
  </si>
  <si>
    <t>COMMON SIZE P&amp;L (2021-2023)</t>
  </si>
  <si>
    <t>ZOMATO % of Sales</t>
  </si>
  <si>
    <t>NYKAA (Cr)</t>
  </si>
  <si>
    <t>NYKAA % Of Sales</t>
  </si>
  <si>
    <t>MAMAEARTH (Cr)</t>
  </si>
  <si>
    <t>MAMAEARTH % Of Sales</t>
  </si>
  <si>
    <t>DELHIVERY (Cr)</t>
  </si>
  <si>
    <t>DELHIVERY % Of Sales</t>
  </si>
  <si>
    <t>ZOMATO (Cr)</t>
  </si>
  <si>
    <t>COMMON SIZE Balance Sheet (2021-2023)</t>
  </si>
  <si>
    <t>year</t>
  </si>
  <si>
    <t>Base Revenue</t>
  </si>
  <si>
    <t>Baes Expense</t>
  </si>
  <si>
    <t>Net Profit</t>
  </si>
  <si>
    <t>Revenue Growth</t>
  </si>
  <si>
    <t>Expense Growth</t>
  </si>
  <si>
    <t xml:space="preserve">What-If Analysis - Revenue Growth &amp; Expense Growth Impact on Net Profit </t>
  </si>
  <si>
    <t>EPS Growth</t>
  </si>
  <si>
    <t>ROE</t>
  </si>
  <si>
    <t>Debt to Equity</t>
  </si>
  <si>
    <t>Select Company</t>
  </si>
  <si>
    <t>SUMMARY</t>
  </si>
  <si>
    <t>REVENUE GROWTH %</t>
  </si>
  <si>
    <t>EXPENSE GROWTH %</t>
  </si>
  <si>
    <t>NET PROFIT</t>
  </si>
  <si>
    <t>using key financial metrics to help identify the most promising company from an investor perspective.</t>
  </si>
  <si>
    <t>Main Problem Statement :</t>
  </si>
  <si>
    <t xml:space="preserve"> This Project aims to evaluate the financial health and performance of Zomato,Nykaa,Mamaearth and Delhivery </t>
  </si>
  <si>
    <t>REVENUE</t>
  </si>
  <si>
    <t>100%</t>
  </si>
  <si>
    <t xml:space="preserve">      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</si>
</sst>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b/>
      <sz val="36"/>
      <color theme="0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Angsana New"/>
      <family val="1"/>
      <charset val="222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6"/>
      <color theme="1"/>
      <name val="SimSun"/>
    </font>
    <font>
      <b/>
      <sz val="24"/>
      <color theme="0"/>
      <name val="Aptos ExtraBold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Aptos Display"/>
      <family val="2"/>
    </font>
    <font>
      <sz val="11"/>
      <color theme="1"/>
      <name val="Aptos Display"/>
      <family val="2"/>
    </font>
  </fonts>
  <fills count="1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0066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8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theme="1" tint="4.9989318521683403E-2"/>
      </top>
      <bottom style="medium">
        <color theme="1" tint="4.9989318521683403E-2"/>
      </bottom>
      <diagonal/>
    </border>
    <border>
      <left/>
      <right style="thin">
        <color theme="5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5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left" vertical="center" indent="1"/>
    </xf>
    <xf numFmtId="0" fontId="4" fillId="2" borderId="0" xfId="0" applyFont="1" applyFill="1" applyAlignment="1">
      <alignment horizontal="left" vertical="center" indent="1"/>
    </xf>
    <xf numFmtId="0" fontId="8" fillId="2" borderId="0" xfId="0" applyFont="1" applyFill="1" applyAlignment="1">
      <alignment horizontal="left" vertical="center" indent="1"/>
    </xf>
    <xf numFmtId="0" fontId="0" fillId="4" borderId="0" xfId="0" applyFill="1"/>
    <xf numFmtId="0" fontId="2" fillId="4" borderId="0" xfId="0" applyFont="1" applyFill="1" applyAlignment="1">
      <alignment horizontal="left" vertical="center" indent="1"/>
    </xf>
    <xf numFmtId="0" fontId="8" fillId="4" borderId="0" xfId="0" applyFont="1" applyFill="1" applyAlignment="1">
      <alignment horizontal="left" vertical="center" indent="1"/>
    </xf>
    <xf numFmtId="0" fontId="0" fillId="0" borderId="1" xfId="0" applyBorder="1"/>
    <xf numFmtId="164" fontId="0" fillId="0" borderId="0" xfId="1" applyNumberFormat="1" applyFont="1"/>
    <xf numFmtId="0" fontId="7" fillId="0" borderId="0" xfId="0" applyFont="1" applyAlignment="1">
      <alignment horizontal="left" vertical="center" indent="1"/>
    </xf>
    <xf numFmtId="0" fontId="10" fillId="6" borderId="3" xfId="0" applyFont="1" applyFill="1" applyBorder="1"/>
    <xf numFmtId="0" fontId="11" fillId="6" borderId="3" xfId="0" applyFont="1" applyFill="1" applyBorder="1"/>
    <xf numFmtId="0" fontId="10" fillId="6" borderId="3" xfId="0" applyFont="1" applyFill="1" applyBorder="1" applyAlignment="1">
      <alignment horizontal="left"/>
    </xf>
    <xf numFmtId="0" fontId="2" fillId="0" borderId="0" xfId="0" applyFont="1"/>
    <xf numFmtId="0" fontId="5" fillId="0" borderId="0" xfId="0" applyFont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6" borderId="0" xfId="0" applyFont="1" applyFill="1"/>
    <xf numFmtId="0" fontId="13" fillId="6" borderId="0" xfId="0" applyFont="1" applyFill="1" applyAlignment="1">
      <alignment horizontal="left" vertical="center" indent="1"/>
    </xf>
    <xf numFmtId="0" fontId="12" fillId="7" borderId="0" xfId="0" applyFont="1" applyFill="1" applyAlignment="1">
      <alignment vertical="center"/>
    </xf>
    <xf numFmtId="0" fontId="0" fillId="3" borderId="1" xfId="0" applyFill="1" applyBorder="1"/>
    <xf numFmtId="0" fontId="0" fillId="0" borderId="0" xfId="0" applyAlignment="1">
      <alignment horizontal="center"/>
    </xf>
    <xf numFmtId="0" fontId="0" fillId="5" borderId="2" xfId="0" applyFill="1" applyBorder="1"/>
    <xf numFmtId="0" fontId="12" fillId="7" borderId="0" xfId="0" applyFont="1" applyFill="1" applyAlignment="1">
      <alignment horizontal="left" vertical="center" indent="1"/>
    </xf>
    <xf numFmtId="0" fontId="14" fillId="8" borderId="0" xfId="0" applyFont="1" applyFill="1" applyAlignment="1">
      <alignment horizontal="center" wrapText="1"/>
    </xf>
    <xf numFmtId="0" fontId="14" fillId="8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0" fontId="2" fillId="0" borderId="0" xfId="1" applyNumberFormat="1" applyFont="1"/>
    <xf numFmtId="0" fontId="2" fillId="0" borderId="0" xfId="0" applyFont="1" applyAlignment="1">
      <alignment horizontal="left" vertical="center" indent="1"/>
    </xf>
    <xf numFmtId="0" fontId="2" fillId="9" borderId="0" xfId="0" applyFont="1" applyFill="1" applyAlignment="1">
      <alignment horizontal="left" vertical="center" indent="1"/>
    </xf>
    <xf numFmtId="0" fontId="8" fillId="9" borderId="0" xfId="0" applyFont="1" applyFill="1" applyAlignment="1">
      <alignment horizontal="left" vertical="center" indent="1"/>
    </xf>
    <xf numFmtId="0" fontId="9" fillId="9" borderId="0" xfId="0" applyFont="1" applyFill="1"/>
    <xf numFmtId="0" fontId="3" fillId="0" borderId="0" xfId="0" applyFont="1"/>
    <xf numFmtId="0" fontId="17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0" fillId="0" borderId="5" xfId="0" applyBorder="1"/>
    <xf numFmtId="0" fontId="4" fillId="0" borderId="0" xfId="0" applyFont="1"/>
    <xf numFmtId="0" fontId="4" fillId="0" borderId="5" xfId="0" applyFont="1" applyBorder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12" fillId="10" borderId="0" xfId="0" applyFont="1" applyFill="1" applyAlignment="1">
      <alignment horizontal="left" vertical="center" indent="1"/>
    </xf>
    <xf numFmtId="0" fontId="4" fillId="0" borderId="0" xfId="0" applyFont="1" applyAlignment="1">
      <alignment vertical="top"/>
    </xf>
    <xf numFmtId="0" fontId="7" fillId="0" borderId="4" xfId="0" applyFont="1" applyBorder="1" applyAlignment="1">
      <alignment horizontal="left" vertical="center" indent="19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wrapText="1"/>
    </xf>
    <xf numFmtId="0" fontId="19" fillId="0" borderId="0" xfId="0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10" fontId="5" fillId="0" borderId="0" xfId="1" applyNumberFormat="1" applyFont="1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indent="25"/>
    </xf>
    <xf numFmtId="9" fontId="0" fillId="0" borderId="0" xfId="1" applyFont="1" applyAlignment="1">
      <alignment horizontal="center"/>
    </xf>
    <xf numFmtId="0" fontId="0" fillId="0" borderId="0" xfId="1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13" fillId="11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4" fillId="12" borderId="0" xfId="0" applyFont="1" applyFill="1" applyAlignment="1">
      <alignment horizontal="center"/>
    </xf>
    <xf numFmtId="0" fontId="4" fillId="0" borderId="6" xfId="0" applyFont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2" fillId="12" borderId="0" xfId="0" applyFont="1" applyFill="1" applyAlignment="1">
      <alignment horizontal="center"/>
    </xf>
    <xf numFmtId="0" fontId="0" fillId="13" borderId="0" xfId="0" applyFill="1"/>
    <xf numFmtId="0" fontId="22" fillId="13" borderId="0" xfId="0" applyFont="1" applyFill="1" applyAlignment="1">
      <alignment vertic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 vertical="center" wrapText="1"/>
    </xf>
    <xf numFmtId="0" fontId="16" fillId="13" borderId="0" xfId="0" applyFont="1" applyFill="1" applyAlignment="1">
      <alignment horizontal="center" wrapText="1"/>
    </xf>
    <xf numFmtId="9" fontId="0" fillId="0" borderId="0" xfId="1" applyFont="1" applyFill="1" applyBorder="1" applyAlignment="1">
      <alignment horizontal="center"/>
    </xf>
    <xf numFmtId="9" fontId="0" fillId="0" borderId="0" xfId="0" applyNumberFormat="1"/>
    <xf numFmtId="9" fontId="2" fillId="0" borderId="0" xfId="0" applyNumberFormat="1" applyFont="1"/>
    <xf numFmtId="0" fontId="0" fillId="14" borderId="0" xfId="0" applyFill="1"/>
    <xf numFmtId="0" fontId="24" fillId="14" borderId="0" xfId="0" applyFont="1" applyFill="1" applyAlignment="1">
      <alignment vertical="center"/>
    </xf>
    <xf numFmtId="0" fontId="5" fillId="0" borderId="0" xfId="0" applyFont="1" applyAlignment="1">
      <alignment horizontal="left" indent="2"/>
    </xf>
    <xf numFmtId="0" fontId="5" fillId="0" borderId="0" xfId="0" applyFont="1" applyAlignment="1">
      <alignment horizontal="left" vertical="top" indent="5"/>
    </xf>
    <xf numFmtId="17" fontId="4" fillId="0" borderId="0" xfId="0" applyNumberFormat="1" applyFont="1" applyAlignment="1">
      <alignment horizontal="center" vertical="center"/>
    </xf>
    <xf numFmtId="0" fontId="0" fillId="15" borderId="0" xfId="0" applyFill="1"/>
    <xf numFmtId="0" fontId="26" fillId="15" borderId="0" xfId="0" applyFont="1" applyFill="1"/>
    <xf numFmtId="0" fontId="27" fillId="15" borderId="0" xfId="0" applyFont="1" applyFill="1"/>
    <xf numFmtId="0" fontId="25" fillId="16" borderId="0" xfId="0" applyFont="1" applyFill="1" applyAlignment="1">
      <alignment horizontal="left" indent="54"/>
    </xf>
    <xf numFmtId="0" fontId="0" fillId="16" borderId="0" xfId="0" applyFill="1"/>
    <xf numFmtId="0" fontId="23" fillId="16" borderId="0" xfId="0" applyFont="1" applyFill="1"/>
    <xf numFmtId="0" fontId="28" fillId="16" borderId="0" xfId="0" applyFont="1" applyFill="1"/>
    <xf numFmtId="0" fontId="27" fillId="16" borderId="0" xfId="0" applyFont="1" applyFill="1"/>
    <xf numFmtId="0" fontId="28" fillId="16" borderId="0" xfId="0" applyFont="1" applyFill="1" applyAlignment="1">
      <alignment horizontal="left" indent="16"/>
    </xf>
    <xf numFmtId="0" fontId="29" fillId="16" borderId="0" xfId="0" applyFont="1" applyFill="1"/>
    <xf numFmtId="10" fontId="0" fillId="0" borderId="0" xfId="1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9" fontId="0" fillId="0" borderId="0" xfId="1" applyFont="1"/>
    <xf numFmtId="10" fontId="0" fillId="17" borderId="7" xfId="1" applyNumberFormat="1" applyFont="1" applyFill="1" applyBorder="1" applyAlignment="1">
      <alignment horizontal="center"/>
    </xf>
    <xf numFmtId="10" fontId="0" fillId="0" borderId="7" xfId="1" applyNumberFormat="1" applyFont="1" applyBorder="1" applyAlignment="1">
      <alignment horizontal="center"/>
    </xf>
    <xf numFmtId="9" fontId="0" fillId="0" borderId="0" xfId="1" applyFont="1" applyFill="1" applyAlignment="1">
      <alignment horizontal="center"/>
    </xf>
    <xf numFmtId="0" fontId="25" fillId="15" borderId="0" xfId="0" applyFont="1" applyFill="1" applyAlignment="1">
      <alignment horizontal="left" indent="54"/>
    </xf>
  </cellXfs>
  <cellStyles count="2">
    <cellStyle name="Normal" xfId="0" builtinId="0"/>
    <cellStyle name="Percent" xfId="1" builtinId="5"/>
  </cellStyles>
  <dxfs count="2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4" formatCode="0.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4" formatCode="0.0%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4" formatCode="0.0%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4" formatCode="0.0%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Table Style 1" pivot="0" count="0" xr9:uid="{EBEF024F-A59F-4AC4-88C0-EECB45BAC630}"/>
  </tableStyles>
  <colors>
    <mruColors>
      <color rgb="FF000066"/>
      <color rgb="FFCC99FF"/>
      <color rgb="FF11093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935802278673926E-2"/>
          <c:y val="8.9251913686790585E-2"/>
          <c:w val="0.86162184631125704"/>
          <c:h val="0.638903733946163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'Revenue and profit growth'!$F$4</c:f>
              <c:strCache>
                <c:ptCount val="1"/>
                <c:pt idx="0">
                  <c:v>FY22 GROWTH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and profit growth'!$B$5:$B$8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'Revenue and profit growth'!$F$5:$F$8</c:f>
              <c:numCache>
                <c:formatCode>0.0%</c:formatCode>
                <c:ptCount val="4"/>
                <c:pt idx="0">
                  <c:v>1.1023069207622869</c:v>
                </c:pt>
                <c:pt idx="1">
                  <c:v>0.54608766898811967</c:v>
                </c:pt>
                <c:pt idx="2">
                  <c:v>1.0260869565217392</c:v>
                </c:pt>
                <c:pt idx="3">
                  <c:v>0.88703043597477382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1-42FF-AF38-099060AA3F10}"/>
            </c:ext>
          </c:extLst>
        </c:ser>
        <c:ser>
          <c:idx val="1"/>
          <c:order val="1"/>
          <c:tx>
            <c:strRef>
              <c:f>'Revenue and profit growth'!$G$4</c:f>
              <c:strCache>
                <c:ptCount val="1"/>
                <c:pt idx="0">
                  <c:v>FY23 GROWTH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7226528854435832E-2"/>
                  <c:y val="-5.8986847677868202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C1-42FF-AF38-099060AA3F10}"/>
                </c:ext>
              </c:extLst>
            </c:dLbl>
            <c:dLbl>
              <c:idx val="1"/>
              <c:layout>
                <c:manualLayout>
                  <c:x val="2.1533161068044791E-2"/>
                  <c:y val="-1.179736953557364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C1-42FF-AF38-099060AA3F10}"/>
                </c:ext>
              </c:extLst>
            </c:dLbl>
            <c:dLbl>
              <c:idx val="2"/>
              <c:layout>
                <c:manualLayout>
                  <c:x val="1.291989664082687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C1-42FF-AF38-099060AA3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and profit growth'!$B$5:$B$8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'Revenue and profit growth'!$G$5:$G$8</c:f>
              <c:numCache>
                <c:formatCode>0.0%</c:formatCode>
                <c:ptCount val="4"/>
                <c:pt idx="0">
                  <c:v>0.68869274809160308</c:v>
                </c:pt>
                <c:pt idx="1">
                  <c:v>0.36301006889242182</c:v>
                </c:pt>
                <c:pt idx="2">
                  <c:v>0.49678111587982832</c:v>
                </c:pt>
                <c:pt idx="3">
                  <c:v>4.9840162743388552E-2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C1-42FF-AF38-099060AA3F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61639632"/>
        <c:axId val="1761624752"/>
      </c:barChart>
      <c:catAx>
        <c:axId val="17616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24752"/>
        <c:crosses val="autoZero"/>
        <c:auto val="1"/>
        <c:lblAlgn val="ctr"/>
        <c:lblOffset val="100"/>
        <c:noMultiLvlLbl val="0"/>
      </c:catAx>
      <c:valAx>
        <c:axId val="1761624752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76163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61445377522585"/>
          <c:y val="0.89265192041834462"/>
          <c:w val="0.60885312435708006"/>
          <c:h val="0.107348079581655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681001566747394"/>
          <c:y val="0"/>
          <c:w val="0.60025649020478455"/>
          <c:h val="0.612315985334719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'Revenue and profit growth'!$F$14</c:f>
              <c:strCache>
                <c:ptCount val="1"/>
                <c:pt idx="0">
                  <c:v>FY22 GROWTH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'Revenue and profit growth'!$B$15:$B$18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'Revenue and profit growth'!$F$15:$F$18</c:f>
              <c:numCache>
                <c:formatCode>0.0%</c:formatCode>
                <c:ptCount val="4"/>
                <c:pt idx="0">
                  <c:v>0.49754901960784315</c:v>
                </c:pt>
                <c:pt idx="1">
                  <c:v>-0.33870967741935482</c:v>
                </c:pt>
                <c:pt idx="2">
                  <c:v>-1.015015015015015</c:v>
                </c:pt>
                <c:pt idx="3">
                  <c:v>1.4302884615384615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2F-41E9-AF8D-4111364C0D20}"/>
            </c:ext>
          </c:extLst>
        </c:ser>
        <c:ser>
          <c:idx val="1"/>
          <c:order val="1"/>
          <c:tx>
            <c:strRef>
              <c:f>'Revenue and profit growth'!$G$14</c:f>
              <c:strCache>
                <c:ptCount val="1"/>
                <c:pt idx="0">
                  <c:v>FY23 GROWTH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'Revenue and profit growth'!$B$15:$B$18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'Revenue and profit growth'!$G$15:$G$18</c:f>
              <c:numCache>
                <c:formatCode>0.0%</c:formatCode>
                <c:ptCount val="4"/>
                <c:pt idx="0">
                  <c:v>-0.20540098199672668</c:v>
                </c:pt>
                <c:pt idx="1">
                  <c:v>-0.48780487804878048</c:v>
                </c:pt>
                <c:pt idx="2">
                  <c:v>-7.05</c:v>
                </c:pt>
                <c:pt idx="3">
                  <c:v>-2.967359050445104E-3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2F-41E9-AF8D-4111364C0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61638672"/>
        <c:axId val="1761639152"/>
      </c:barChart>
      <c:catAx>
        <c:axId val="176163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39152"/>
        <c:crosses val="autoZero"/>
        <c:auto val="1"/>
        <c:lblAlgn val="ctr"/>
        <c:lblOffset val="100"/>
        <c:noMultiLvlLbl val="0"/>
      </c:catAx>
      <c:valAx>
        <c:axId val="1761639152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76163867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42757561456237525"/>
          <c:w val="0.31009665031625144"/>
          <c:h val="0.151814501105342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'What if analysis'!$T$5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B7-4464-BA5C-EE1E6125BC15}"/>
              </c:ext>
            </c:extLst>
          </c:dPt>
          <c:dPt>
            <c:idx val="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B7-4464-BA5C-EE1E6125BC15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B7-4464-BA5C-EE1E6125BC15}"/>
              </c:ext>
            </c:extLst>
          </c:dPt>
          <c:dPt>
            <c:idx val="3"/>
            <c:bubble3D val="0"/>
            <c:spPr>
              <a:solidFill>
                <a:schemeClr val="tx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9B7-4464-BA5C-EE1E6125BC15}"/>
              </c:ext>
            </c:extLst>
          </c:dPt>
          <c:dLbls>
            <c:dLbl>
              <c:idx val="0"/>
              <c:layout>
                <c:manualLayout>
                  <c:x val="-0.16238667728871853"/>
                  <c:y val="0.1006108247936119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ZOMATO</a:t>
                    </a:r>
                  </a:p>
                  <a:p>
                    <a:r>
                      <a:rPr lang="en-US"/>
                      <a:t>₹ </a:t>
                    </a:r>
                    <a:fld id="{BD66740F-AABB-4181-AF95-A66E0EBC9D13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9B7-4464-BA5C-EE1E6125BC15}"/>
                </c:ext>
              </c:extLst>
            </c:dLbl>
            <c:dLbl>
              <c:idx val="1"/>
              <c:layout>
                <c:manualLayout>
                  <c:x val="-4.949704234554092E-2"/>
                  <c:y val="-0.1859385957656468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NYKAA</a:t>
                    </a:r>
                  </a:p>
                  <a:p>
                    <a:r>
                      <a:rPr lang="en-US"/>
                      <a:t>₹ 5144</a:t>
                    </a:r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E9B7-4464-BA5C-EE1E6125BC15}"/>
                </c:ext>
              </c:extLst>
            </c:dLbl>
            <c:dLbl>
              <c:idx val="2"/>
              <c:layout>
                <c:manualLayout>
                  <c:x val="-4.6390260600483449E-3"/>
                  <c:y val="3.930784473798726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800">
                        <a:solidFill>
                          <a:sysClr val="windowText" lastClr="000000"/>
                        </a:solidFill>
                      </a:rPr>
                      <a:t>MAMAEARTH</a:t>
                    </a:r>
                  </a:p>
                  <a:p>
                    <a:pPr>
                      <a:defRPr sz="800" b="1">
                        <a:solidFill>
                          <a:sysClr val="windowText" lastClr="000000"/>
                        </a:solidFill>
                      </a:defRPr>
                    </a:pPr>
                    <a:r>
                      <a:rPr lang="en-US" sz="800">
                        <a:solidFill>
                          <a:sysClr val="windowText" lastClr="000000"/>
                        </a:solidFill>
                      </a:rPr>
                      <a:t>₹ 1395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E9B7-4464-BA5C-EE1E6125BC15}"/>
                </c:ext>
              </c:extLst>
            </c:dLbl>
            <c:dLbl>
              <c:idx val="3"/>
              <c:layout>
                <c:manualLayout>
                  <c:x val="0.17009508902039894"/>
                  <c:y val="0.1154857422345617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800">
                        <a:solidFill>
                          <a:schemeClr val="bg1"/>
                        </a:solidFill>
                      </a:rPr>
                      <a:t>DELHIVERY</a:t>
                    </a:r>
                  </a:p>
                  <a:p>
                    <a:pPr>
                      <a:defRPr sz="800" b="1">
                        <a:solidFill>
                          <a:schemeClr val="bg1"/>
                        </a:solidFill>
                      </a:defRPr>
                    </a:pPr>
                    <a:r>
                      <a:rPr lang="en-US" sz="800">
                        <a:solidFill>
                          <a:schemeClr val="bg1"/>
                        </a:solidFill>
                      </a:rPr>
                      <a:t>₹ 7225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668872223247729"/>
                      <c:h val="0.12519177584613336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7-E9B7-4464-BA5C-EE1E6125BC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'What if analysis'!$S$6:$S$9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'What if analysis'!$T$6:$T$9</c:f>
              <c:numCache>
                <c:formatCode>General</c:formatCode>
                <c:ptCount val="4"/>
                <c:pt idx="0">
                  <c:v>7079</c:v>
                </c:pt>
                <c:pt idx="1">
                  <c:v>5144</c:v>
                </c:pt>
                <c:pt idx="2">
                  <c:v>1395</c:v>
                </c:pt>
                <c:pt idx="3">
                  <c:v>7225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B7-4464-BA5C-EE1E6125B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200" b="1">
                <a:solidFill>
                  <a:schemeClr val="tx1"/>
                </a:solidFill>
              </a:rPr>
              <a:t>Cash Dependency Ratio - FY2021 TO FY2023</a:t>
            </a:r>
          </a:p>
        </c:rich>
      </c:tx>
      <c:layout>
        <c:manualLayout>
          <c:xMode val="edge"/>
          <c:yMode val="edge"/>
          <c:x val="1.3447291737688147E-3"/>
          <c:y val="2.658573260708201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485015288570241"/>
          <c:y val="0.23524261607273744"/>
          <c:w val="0.72626614802830547"/>
          <c:h val="0.67197408364606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'Cash Flow Analysis'!$N$10</c:f>
              <c:strCache>
                <c:ptCount val="1"/>
                <c:pt idx="0">
                  <c:v>ZOMATO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'Cash Flow Analysis'!$O$9:$Q$9</c:f>
              <c:strCache>
                <c:ptCount val="3"/>
                <c:pt idx="0">
                  <c:v>FY 2021</c:v>
                </c:pt>
                <c:pt idx="1">
                  <c:v>FY 2022</c:v>
                </c:pt>
                <c:pt idx="2">
                  <c:v>FY 2023</c:v>
                </c:pt>
              </c:strCache>
            </c:strRef>
          </c:cat>
          <c:val>
            <c:numRef>
              <c:f>'Cash Flow Analysis'!$O$10:$Q$10</c:f>
              <c:numCache>
                <c:formatCode>General</c:formatCode>
                <c:ptCount val="3"/>
                <c:pt idx="0">
                  <c:v>-6.288801571709234</c:v>
                </c:pt>
                <c:pt idx="1">
                  <c:v>-12.626262626262626</c:v>
                </c:pt>
                <c:pt idx="2">
                  <c:v>0.1504739336492891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5-49D5-B6CE-361B0A532ECD}"/>
            </c:ext>
          </c:extLst>
        </c:ser>
        <c:ser>
          <c:idx val="1"/>
          <c:order val="1"/>
          <c:tx>
            <c:strRef>
              <c:f>'Cash Flow Analysis'!$N$11</c:f>
              <c:strCache>
                <c:ptCount val="1"/>
                <c:pt idx="0">
                  <c:v>NYKAA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'Cash Flow Analysis'!$O$9:$Q$9</c:f>
              <c:strCache>
                <c:ptCount val="3"/>
                <c:pt idx="0">
                  <c:v>FY 2021</c:v>
                </c:pt>
                <c:pt idx="1">
                  <c:v>FY 2022</c:v>
                </c:pt>
                <c:pt idx="2">
                  <c:v>FY 2023</c:v>
                </c:pt>
              </c:strCache>
            </c:strRef>
          </c:cat>
          <c:val>
            <c:numRef>
              <c:f>'Cash Flow Analysis'!$O$11:$Q$11</c:f>
              <c:numCache>
                <c:formatCode>General</c:formatCode>
                <c:ptCount val="3"/>
                <c:pt idx="0">
                  <c:v>-0.2857142857142857</c:v>
                </c:pt>
                <c:pt idx="1">
                  <c:v>-2.6186440677966103</c:v>
                </c:pt>
                <c:pt idx="2">
                  <c:v>-3.5714285714285712E-2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A5-49D5-B6CE-361B0A532ECD}"/>
            </c:ext>
          </c:extLst>
        </c:ser>
        <c:ser>
          <c:idx val="2"/>
          <c:order val="2"/>
          <c:tx>
            <c:strRef>
              <c:f>'Cash Flow Analysis'!$N$12</c:f>
              <c:strCache>
                <c:ptCount val="1"/>
                <c:pt idx="0">
                  <c:v>MAMAEARTH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'Cash Flow Analysis'!$O$9:$Q$9</c:f>
              <c:strCache>
                <c:ptCount val="3"/>
                <c:pt idx="0">
                  <c:v>FY 2021</c:v>
                </c:pt>
                <c:pt idx="1">
                  <c:v>FY 2022</c:v>
                </c:pt>
                <c:pt idx="2">
                  <c:v>FY 2023</c:v>
                </c:pt>
              </c:strCache>
            </c:strRef>
          </c:cat>
          <c:val>
            <c:numRef>
              <c:f>'Cash Flow Analysis'!$O$12:$Q$12</c:f>
              <c:numCache>
                <c:formatCode>General</c:formatCode>
                <c:ptCount val="3"/>
                <c:pt idx="0">
                  <c:v>-3.3333333333333333E-2</c:v>
                </c:pt>
                <c:pt idx="1">
                  <c:v>9.25</c:v>
                </c:pt>
                <c:pt idx="2">
                  <c:v>0.30434782608695654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A5-49D5-B6CE-361B0A532ECD}"/>
            </c:ext>
          </c:extLst>
        </c:ser>
        <c:ser>
          <c:idx val="3"/>
          <c:order val="3"/>
          <c:tx>
            <c:strRef>
              <c:f>'Cash Flow Analysis'!$N$13</c:f>
              <c:strCache>
                <c:ptCount val="1"/>
                <c:pt idx="0">
                  <c:v>DELHIVERY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'Cash Flow Analysis'!$O$9:$Q$9</c:f>
              <c:strCache>
                <c:ptCount val="3"/>
                <c:pt idx="0">
                  <c:v>FY 2021</c:v>
                </c:pt>
                <c:pt idx="1">
                  <c:v>FY 2022</c:v>
                </c:pt>
                <c:pt idx="2">
                  <c:v>FY 2023</c:v>
                </c:pt>
              </c:strCache>
            </c:strRef>
          </c:cat>
          <c:val>
            <c:numRef>
              <c:f>'Cash Flow Analysis'!$O$13:$Q$13</c:f>
              <c:numCache>
                <c:formatCode>General</c:formatCode>
                <c:ptCount val="3"/>
                <c:pt idx="0">
                  <c:v>-29.4</c:v>
                </c:pt>
                <c:pt idx="1">
                  <c:v>-12.04149377593361</c:v>
                </c:pt>
                <c:pt idx="2">
                  <c:v>-117.93333333333334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A5-49D5-B6CE-361B0A532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80271136"/>
        <c:axId val="1680271616"/>
      </c:barChart>
      <c:catAx>
        <c:axId val="1680271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71616"/>
        <c:crosses val="autoZero"/>
        <c:auto val="1"/>
        <c:lblAlgn val="ctr"/>
        <c:lblOffset val="100"/>
        <c:noMultiLvlLbl val="0"/>
      </c:catAx>
      <c:valAx>
        <c:axId val="16802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7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657174696220884E-4"/>
          <c:y val="0.45418713052647391"/>
          <c:w val="0.22628490274549237"/>
          <c:h val="0.285130419254679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200">
                <a:solidFill>
                  <a:schemeClr val="tx1"/>
                </a:solidFill>
              </a:rPr>
              <a:t>Proportional P&amp;L Structure of a Company</a:t>
            </a:r>
          </a:p>
        </c:rich>
      </c:tx>
      <c:layout>
        <c:manualLayout>
          <c:xMode val="edge"/>
          <c:yMode val="edge"/>
          <c:x val="0.17687737689742677"/>
          <c:y val="3.5895009922355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>
        <c:manualLayout>
          <c:layoutTarget val="inner"/>
          <c:xMode val="edge"/>
          <c:yMode val="edge"/>
          <c:x val="0.10166650826961061"/>
          <c:y val="0.14851287583364622"/>
          <c:w val="0.89659247360361882"/>
          <c:h val="0.60027668416447943"/>
        </c:manualLayout>
      </c:layout>
      <c:barChart>
        <c:barDir val="col"/>
        <c:grouping val="percentStacked"/>
        <c:varyColors val="0"/>
        <c:ser>
          <c:idx val="1"/>
          <c:order val="1"/>
          <c:tx>
            <c:strRef>
              <c:f>'Common p&amp;l'!$S$50</c:f>
              <c:strCache>
                <c:ptCount val="1"/>
                <c:pt idx="0">
                  <c:v>Expenses +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'Common p&amp;l'!$T$48:$W$48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'Common p&amp;l'!$T$50:$W$50</c:f>
              <c:numCache>
                <c:formatCode>0.00%</c:formatCode>
                <c:ptCount val="4"/>
                <c:pt idx="0">
                  <c:v>1.1710693600791071</c:v>
                </c:pt>
                <c:pt idx="1">
                  <c:v>0.95003888024883354</c:v>
                </c:pt>
                <c:pt idx="2">
                  <c:v>0.967741935483871</c:v>
                </c:pt>
                <c:pt idx="3">
                  <c:v>1.0625605536332179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7-497B-BA37-C24C4B246C1A}"/>
            </c:ext>
          </c:extLst>
        </c:ser>
        <c:ser>
          <c:idx val="3"/>
          <c:order val="3"/>
          <c:tx>
            <c:strRef>
              <c:f>'Common p&amp;l'!$S$52</c:f>
              <c:strCache>
                <c:ptCount val="1"/>
                <c:pt idx="0">
                  <c:v>Other Income +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'Common p&amp;l'!$T$48:$W$48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'Common p&amp;l'!$T$52:$W$52</c:f>
              <c:numCache>
                <c:formatCode>0.00%</c:formatCode>
                <c:ptCount val="4"/>
                <c:pt idx="0">
                  <c:v>9.6341291142816782E-2</c:v>
                </c:pt>
                <c:pt idx="1">
                  <c:v>5.8320373250388803E-3</c:v>
                </c:pt>
                <c:pt idx="2">
                  <c:v>-9.4623655913978491E-2</c:v>
                </c:pt>
                <c:pt idx="3">
                  <c:v>4.4152249134948099E-2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7-497B-BA37-C24C4B246C1A}"/>
            </c:ext>
          </c:extLst>
        </c:ser>
        <c:ser>
          <c:idx val="4"/>
          <c:order val="4"/>
          <c:tx>
            <c:strRef>
              <c:f>'Common p&amp;l'!$S$53</c:f>
              <c:strCache>
                <c:ptCount val="1"/>
                <c:pt idx="0">
                  <c:v>Interest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'Common p&amp;l'!$T$48:$W$48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'Common p&amp;l'!$T$53:$W$53</c:f>
              <c:numCache>
                <c:formatCode>0.00%</c:formatCode>
                <c:ptCount val="4"/>
                <c:pt idx="0">
                  <c:v>6.9218816216979799E-3</c:v>
                </c:pt>
                <c:pt idx="1">
                  <c:v>1.4774494556765163E-2</c:v>
                </c:pt>
                <c:pt idx="2">
                  <c:v>3.5842293906810036E-3</c:v>
                </c:pt>
                <c:pt idx="3">
                  <c:v>1.2318339100346021E-2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37-497B-BA37-C24C4B246C1A}"/>
            </c:ext>
          </c:extLst>
        </c:ser>
        <c:ser>
          <c:idx val="5"/>
          <c:order val="5"/>
          <c:tx>
            <c:strRef>
              <c:f>'Common p&amp;l'!$S$54</c:f>
              <c:strCache>
                <c:ptCount val="1"/>
                <c:pt idx="0">
                  <c:v>Depreciation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'Common p&amp;l'!$T$48:$W$48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'Common p&amp;l'!$T$54:$W$54</c:f>
              <c:numCache>
                <c:formatCode>0.00%</c:formatCode>
                <c:ptCount val="4"/>
                <c:pt idx="0">
                  <c:v>6.1731883034326883E-2</c:v>
                </c:pt>
                <c:pt idx="1">
                  <c:v>3.363141524105754E-2</c:v>
                </c:pt>
                <c:pt idx="2">
                  <c:v>1.0752688172043012E-2</c:v>
                </c:pt>
                <c:pt idx="3">
                  <c:v>0.11501730103806228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37-497B-BA37-C24C4B246C1A}"/>
            </c:ext>
          </c:extLst>
        </c:ser>
        <c:ser>
          <c:idx val="7"/>
          <c:order val="7"/>
          <c:tx>
            <c:strRef>
              <c:f>'Common p&amp;l'!$S$56</c:f>
              <c:strCache>
                <c:ptCount val="1"/>
                <c:pt idx="0">
                  <c:v>Tax %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'Common p&amp;l'!$T$48:$W$48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'Common p&amp;l'!$T$56:$W$56</c:f>
              <c:numCache>
                <c:formatCode>0.00%</c:formatCode>
                <c:ptCount val="4"/>
                <c:pt idx="0">
                  <c:v>-5.6505156095493717E-6</c:v>
                </c:pt>
                <c:pt idx="1">
                  <c:v>6.8040435458786928E-5</c:v>
                </c:pt>
                <c:pt idx="2">
                  <c:v>8.6021505376344081E-5</c:v>
                </c:pt>
                <c:pt idx="3">
                  <c:v>-5.5363321799307958E-6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37-497B-BA37-C24C4B246C1A}"/>
            </c:ext>
          </c:extLst>
        </c:ser>
        <c:ser>
          <c:idx val="8"/>
          <c:order val="8"/>
          <c:tx>
            <c:strRef>
              <c:f>'Common p&amp;l'!$S$57</c:f>
              <c:strCache>
                <c:ptCount val="1"/>
                <c:pt idx="0">
                  <c:v>Net Profit +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'Common p&amp;l'!$T$48:$W$48</c:f>
              <c:strCache>
                <c:ptCount val="4"/>
                <c:pt idx="0">
                  <c:v>ZOMATO</c:v>
                </c:pt>
                <c:pt idx="1">
                  <c:v>NYKAA</c:v>
                </c:pt>
                <c:pt idx="2">
                  <c:v>MAMAEARTH</c:v>
                </c:pt>
                <c:pt idx="3">
                  <c:v>DELHIVERY</c:v>
                </c:pt>
              </c:strCache>
            </c:strRef>
          </c:cat>
          <c:val>
            <c:numRef>
              <c:f>'Common p&amp;l'!$T$57:$W$57</c:f>
              <c:numCache>
                <c:formatCode>0.00%</c:formatCode>
                <c:ptCount val="4"/>
                <c:pt idx="0">
                  <c:v>-0.13716626642181098</c:v>
                </c:pt>
                <c:pt idx="1">
                  <c:v>4.0824261275272163E-3</c:v>
                </c:pt>
                <c:pt idx="2">
                  <c:v>-8.6738351254480289E-2</c:v>
                </c:pt>
                <c:pt idx="3">
                  <c:v>-0.13951557093425607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37-497B-BA37-C24C4B246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514303"/>
        <c:axId val="57351382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'Common p&amp;l'!$S$49</c15:sqref>
                        </c15:formulaRef>
                      </c:ext>
                    </c:extLst>
                    <c:strCache>
                      <c:ptCount val="1"/>
                      <c:pt idx="0">
                        <c:v>Sales +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'Common p&amp;l'!$T$48:$W$48</c15:sqref>
                        </c15:formulaRef>
                      </c:ext>
                    </c:extLst>
                    <c:strCache>
                      <c:ptCount val="4"/>
                      <c:pt idx="0">
                        <c:v>ZOMATO</c:v>
                      </c:pt>
                      <c:pt idx="1">
                        <c:v>NYKAA</c:v>
                      </c:pt>
                      <c:pt idx="2">
                        <c:v>MAMAEARTH</c:v>
                      </c:pt>
                      <c:pt idx="3">
                        <c:v>DELHIVERY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'Common p&amp;l'!$T$49:$W$49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E537-497B-BA37-C24C4B246C1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'Common p&amp;l'!$S$51</c15:sqref>
                        </c15:formulaRef>
                      </c:ext>
                    </c:extLst>
                    <c:strCache>
                      <c:ptCount val="1"/>
                      <c:pt idx="0">
                        <c:v>Operating Profit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'Common p&amp;l'!$T$48:$W$48</c15:sqref>
                        </c15:formulaRef>
                      </c:ext>
                    </c:extLst>
                    <c:strCache>
                      <c:ptCount val="4"/>
                      <c:pt idx="0">
                        <c:v>ZOMATO</c:v>
                      </c:pt>
                      <c:pt idx="1">
                        <c:v>NYKAA</c:v>
                      </c:pt>
                      <c:pt idx="2">
                        <c:v>MAMAEARTH</c:v>
                      </c:pt>
                      <c:pt idx="3">
                        <c:v>DELHIVERY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'Common p&amp;l'!$T$51:$W$51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-0.17106936007910722</c:v>
                      </c:pt>
                      <c:pt idx="1">
                        <c:v>4.9961119751166405E-2</c:v>
                      </c:pt>
                      <c:pt idx="2">
                        <c:v>3.2258064516129031E-2</c:v>
                      </c:pt>
                      <c:pt idx="3">
                        <c:v>-6.2560553633217997E-2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E537-497B-BA37-C24C4B246C1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'Common p&amp;l'!$S$55</c15:sqref>
                        </c15:formulaRef>
                      </c:ext>
                    </c:extLst>
                    <c:strCache>
                      <c:ptCount val="1"/>
                      <c:pt idx="0">
                        <c:v>Profit before tax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'Common p&amp;l'!$T$48:$W$48</c15:sqref>
                        </c15:formulaRef>
                      </c:ext>
                    </c:extLst>
                    <c:strCache>
                      <c:ptCount val="4"/>
                      <c:pt idx="0">
                        <c:v>ZOMATO</c:v>
                      </c:pt>
                      <c:pt idx="1">
                        <c:v>NYKAA</c:v>
                      </c:pt>
                      <c:pt idx="2">
                        <c:v>MAMAEARTH</c:v>
                      </c:pt>
                      <c:pt idx="3">
                        <c:v>DELHIVERY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'Common p&amp;l'!$T$55:$W$55</c15:sqref>
                        </c15:formulaRef>
                      </c:ext>
                    </c:extLst>
                    <c:numCache>
                      <c:formatCode>0.00%</c:formatCode>
                      <c:ptCount val="4"/>
                      <c:pt idx="0">
                        <c:v>-0.14338183359231529</c:v>
                      </c:pt>
                      <c:pt idx="1">
                        <c:v>7.3872472783825813E-3</c:v>
                      </c:pt>
                      <c:pt idx="2">
                        <c:v>-7.6702508960573471E-2</c:v>
                      </c:pt>
                      <c:pt idx="3">
                        <c:v>-0.1457439446366782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E537-497B-BA37-C24C4B246C1A}"/>
                  </c:ext>
                </c:extLst>
              </c15:ser>
            </c15:filteredBarSeries>
          </c:ext>
        </c:extLst>
      </c:barChart>
      <c:catAx>
        <c:axId val="573514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13823"/>
        <c:crosses val="autoZero"/>
        <c:auto val="1"/>
        <c:lblAlgn val="ctr"/>
        <c:lblOffset val="100"/>
        <c:noMultiLvlLbl val="0"/>
      </c:catAx>
      <c:valAx>
        <c:axId val="573513823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5393765434493102E-2"/>
          <c:y val="0.87101157801518903"/>
          <c:w val="0.93578061363019283"/>
          <c:h val="0.100587547744776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90377232140146E-2"/>
          <c:y val="5.7708320457089485E-2"/>
          <c:w val="0.73925398038325374"/>
          <c:h val="0.81698694177190845"/>
        </c:manualLayout>
      </c:layout>
      <c:bubbleChart>
        <c:varyColors val="0"/>
        <c:ser>
          <c:idx val="0"/>
          <c:order val="0"/>
          <c:tx>
            <c:v>ZOMATO</c:v>
          </c:tx>
          <c:spPr>
            <a:noFill/>
            <a:ln w="31750">
              <a:solidFill>
                <a:schemeClr val="accent1">
                  <a:alpha val="70000"/>
                </a:schemeClr>
              </a:solidFill>
            </a:ln>
            <a:effectLst/>
          </c:spPr>
          <c:invertIfNegative val="0"/>
          <c:xVal>
            <c:numRef>
              <c:f>'What if analysis'!$D$46:$D$61</c:f>
              <c:numCache>
                <c:formatCode>0%</c:formatCode>
                <c:ptCount val="16"/>
                <c:pt idx="0">
                  <c:v>-0.1</c:v>
                </c:pt>
                <c:pt idx="1">
                  <c:v>-0.1</c:v>
                </c:pt>
                <c:pt idx="2">
                  <c:v>-0.1</c:v>
                </c:pt>
                <c:pt idx="3">
                  <c:v>-0.1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</c:numCache>
            </c:numRef>
          </c:xVal>
          <c:yVal>
            <c:numRef>
              <c:f>'What if analysis'!$E$46:$E$61</c:f>
              <c:numCache>
                <c:formatCode>0%</c:formatCode>
                <c:ptCount val="16"/>
                <c:pt idx="0">
                  <c:v>-0.1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-0.1</c:v>
                </c:pt>
                <c:pt idx="5">
                  <c:v>0</c:v>
                </c:pt>
                <c:pt idx="6">
                  <c:v>0.1</c:v>
                </c:pt>
                <c:pt idx="7">
                  <c:v>0.2</c:v>
                </c:pt>
                <c:pt idx="8">
                  <c:v>-0.1</c:v>
                </c:pt>
                <c:pt idx="9">
                  <c:v>0</c:v>
                </c:pt>
                <c:pt idx="10">
                  <c:v>0.1</c:v>
                </c:pt>
                <c:pt idx="11">
                  <c:v>0.2</c:v>
                </c:pt>
                <c:pt idx="12">
                  <c:v>-0.1</c:v>
                </c:pt>
                <c:pt idx="13">
                  <c:v>0</c:v>
                </c:pt>
                <c:pt idx="14">
                  <c:v>0.1</c:v>
                </c:pt>
                <c:pt idx="15">
                  <c:v>0.2</c:v>
                </c:pt>
              </c:numCache>
            </c:numRef>
          </c:yVal>
          <c:bubbleSize>
            <c:numRef>
              <c:f>'What if analysis'!$F$46:$F$61</c:f>
              <c:numCache>
                <c:formatCode>General</c:formatCode>
                <c:ptCount val="16"/>
                <c:pt idx="0">
                  <c:v>-1089.8999999999996</c:v>
                </c:pt>
                <c:pt idx="1">
                  <c:v>-1918.8999999999996</c:v>
                </c:pt>
                <c:pt idx="2">
                  <c:v>-2747.8999999999996</c:v>
                </c:pt>
                <c:pt idx="3">
                  <c:v>-3576.8999999999996</c:v>
                </c:pt>
                <c:pt idx="4">
                  <c:v>-382</c:v>
                </c:pt>
                <c:pt idx="5">
                  <c:v>-1211</c:v>
                </c:pt>
                <c:pt idx="6">
                  <c:v>-2040</c:v>
                </c:pt>
                <c:pt idx="7">
                  <c:v>-2869</c:v>
                </c:pt>
                <c:pt idx="8">
                  <c:v>325.90000000000055</c:v>
                </c:pt>
                <c:pt idx="9">
                  <c:v>-503.09999999999945</c:v>
                </c:pt>
                <c:pt idx="10">
                  <c:v>-1332.0999999999995</c:v>
                </c:pt>
                <c:pt idx="11">
                  <c:v>-2161.0999999999995</c:v>
                </c:pt>
                <c:pt idx="12">
                  <c:v>1033.7999999999993</c:v>
                </c:pt>
                <c:pt idx="13">
                  <c:v>204.79999999999927</c:v>
                </c:pt>
                <c:pt idx="14">
                  <c:v>-624.20000000000073</c:v>
                </c:pt>
                <c:pt idx="15">
                  <c:v>-1453.2000000000007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F3F5-4E79-AA99-0FC70F57B476}"/>
            </c:ext>
          </c:extLst>
        </c:ser>
        <c:ser>
          <c:idx val="1"/>
          <c:order val="1"/>
          <c:tx>
            <c:v>NYKAA</c:v>
          </c:tx>
          <c:spPr>
            <a:noFill/>
            <a:ln w="31750">
              <a:solidFill>
                <a:schemeClr val="accent6">
                  <a:alpha val="70000"/>
                </a:schemeClr>
              </a:solidFill>
            </a:ln>
            <a:effectLst/>
          </c:spPr>
          <c:invertIfNegative val="0"/>
          <c:xVal>
            <c:numRef>
              <c:f>'What if analysis'!$D$62:$D$77</c:f>
              <c:numCache>
                <c:formatCode>0%</c:formatCode>
                <c:ptCount val="16"/>
                <c:pt idx="0">
                  <c:v>-0.1</c:v>
                </c:pt>
                <c:pt idx="1">
                  <c:v>-0.1</c:v>
                </c:pt>
                <c:pt idx="2">
                  <c:v>-0.1</c:v>
                </c:pt>
                <c:pt idx="3">
                  <c:v>-0.1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</c:numCache>
            </c:numRef>
          </c:xVal>
          <c:yVal>
            <c:numRef>
              <c:f>'What if analysis'!$E$62:$E$77</c:f>
              <c:numCache>
                <c:formatCode>0%</c:formatCode>
                <c:ptCount val="16"/>
                <c:pt idx="0">
                  <c:v>-0.1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-0.1</c:v>
                </c:pt>
                <c:pt idx="5">
                  <c:v>0</c:v>
                </c:pt>
                <c:pt idx="6">
                  <c:v>0.1</c:v>
                </c:pt>
                <c:pt idx="7">
                  <c:v>0.2</c:v>
                </c:pt>
                <c:pt idx="8">
                  <c:v>-0.1</c:v>
                </c:pt>
                <c:pt idx="9">
                  <c:v>0</c:v>
                </c:pt>
                <c:pt idx="10">
                  <c:v>0.1</c:v>
                </c:pt>
                <c:pt idx="11">
                  <c:v>0.2</c:v>
                </c:pt>
                <c:pt idx="12">
                  <c:v>-0.1</c:v>
                </c:pt>
                <c:pt idx="13">
                  <c:v>0</c:v>
                </c:pt>
                <c:pt idx="14">
                  <c:v>0.1</c:v>
                </c:pt>
                <c:pt idx="15">
                  <c:v>0.2</c:v>
                </c:pt>
              </c:numCache>
            </c:numRef>
          </c:yVal>
          <c:bubbleSize>
            <c:numRef>
              <c:f>'What if analysis'!$F$62:$F$77</c:f>
              <c:numCache>
                <c:formatCode>General</c:formatCode>
                <c:ptCount val="16"/>
                <c:pt idx="0">
                  <c:v>231.30000000000018</c:v>
                </c:pt>
                <c:pt idx="1">
                  <c:v>-257.39999999999964</c:v>
                </c:pt>
                <c:pt idx="2">
                  <c:v>-746.10000000000036</c:v>
                </c:pt>
                <c:pt idx="3">
                  <c:v>-1234.7999999999993</c:v>
                </c:pt>
                <c:pt idx="4">
                  <c:v>745.69999999999982</c:v>
                </c:pt>
                <c:pt idx="5">
                  <c:v>257</c:v>
                </c:pt>
                <c:pt idx="6">
                  <c:v>-231.70000000000073</c:v>
                </c:pt>
                <c:pt idx="7">
                  <c:v>-720.39999999999964</c:v>
                </c:pt>
                <c:pt idx="8">
                  <c:v>1260.1000000000004</c:v>
                </c:pt>
                <c:pt idx="9">
                  <c:v>771.40000000000055</c:v>
                </c:pt>
                <c:pt idx="10">
                  <c:v>282.69999999999982</c:v>
                </c:pt>
                <c:pt idx="11">
                  <c:v>-205.99999999999909</c:v>
                </c:pt>
                <c:pt idx="12">
                  <c:v>1774.5</c:v>
                </c:pt>
                <c:pt idx="13">
                  <c:v>1285.8000000000002</c:v>
                </c:pt>
                <c:pt idx="14">
                  <c:v>797.09999999999945</c:v>
                </c:pt>
                <c:pt idx="15">
                  <c:v>308.40000000000055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F3F5-4E79-AA99-0FC70F57B476}"/>
            </c:ext>
          </c:extLst>
        </c:ser>
        <c:ser>
          <c:idx val="2"/>
          <c:order val="2"/>
          <c:tx>
            <c:v>MAMAEARTH</c:v>
          </c:tx>
          <c:spPr>
            <a:noFill/>
            <a:ln w="31750">
              <a:solidFill>
                <a:schemeClr val="accent3">
                  <a:alpha val="70000"/>
                </a:schemeClr>
              </a:solidFill>
            </a:ln>
            <a:effectLst/>
          </c:spPr>
          <c:invertIfNegative val="0"/>
          <c:xVal>
            <c:numRef>
              <c:f>'What if analysis'!$D$78:$D$93</c:f>
              <c:numCache>
                <c:formatCode>0%</c:formatCode>
                <c:ptCount val="16"/>
                <c:pt idx="0">
                  <c:v>-0.1</c:v>
                </c:pt>
                <c:pt idx="1">
                  <c:v>-0.1</c:v>
                </c:pt>
                <c:pt idx="2">
                  <c:v>-0.1</c:v>
                </c:pt>
                <c:pt idx="3">
                  <c:v>-0.1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</c:numCache>
            </c:numRef>
          </c:xVal>
          <c:yVal>
            <c:numRef>
              <c:f>'What if analysis'!$E$78:$E$93</c:f>
              <c:numCache>
                <c:formatCode>0%</c:formatCode>
                <c:ptCount val="16"/>
                <c:pt idx="0">
                  <c:v>-0.1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-0.1</c:v>
                </c:pt>
                <c:pt idx="5">
                  <c:v>0</c:v>
                </c:pt>
                <c:pt idx="6">
                  <c:v>0.1</c:v>
                </c:pt>
                <c:pt idx="7">
                  <c:v>0.2</c:v>
                </c:pt>
                <c:pt idx="8">
                  <c:v>-0.1</c:v>
                </c:pt>
                <c:pt idx="9">
                  <c:v>0</c:v>
                </c:pt>
                <c:pt idx="10">
                  <c:v>0.1</c:v>
                </c:pt>
                <c:pt idx="11">
                  <c:v>0.2</c:v>
                </c:pt>
                <c:pt idx="12">
                  <c:v>-0.1</c:v>
                </c:pt>
                <c:pt idx="13">
                  <c:v>0</c:v>
                </c:pt>
                <c:pt idx="14">
                  <c:v>0.1</c:v>
                </c:pt>
                <c:pt idx="15">
                  <c:v>0.2</c:v>
                </c:pt>
              </c:numCache>
            </c:numRef>
          </c:yVal>
          <c:bubbleSize>
            <c:numRef>
              <c:f>'What if analysis'!$F$78:$F$93</c:f>
              <c:numCache>
                <c:formatCode>General</c:formatCode>
                <c:ptCount val="16"/>
                <c:pt idx="0">
                  <c:v>40.5</c:v>
                </c:pt>
                <c:pt idx="1">
                  <c:v>-94.5</c:v>
                </c:pt>
                <c:pt idx="2">
                  <c:v>-229.50000000000023</c:v>
                </c:pt>
                <c:pt idx="3">
                  <c:v>-364.5</c:v>
                </c:pt>
                <c:pt idx="4">
                  <c:v>180</c:v>
                </c:pt>
                <c:pt idx="5">
                  <c:v>45</c:v>
                </c:pt>
                <c:pt idx="6">
                  <c:v>-90.000000000000227</c:v>
                </c:pt>
                <c:pt idx="7">
                  <c:v>-225</c:v>
                </c:pt>
                <c:pt idx="8">
                  <c:v>319.50000000000023</c:v>
                </c:pt>
                <c:pt idx="9">
                  <c:v>184.50000000000023</c:v>
                </c:pt>
                <c:pt idx="10">
                  <c:v>49.5</c:v>
                </c:pt>
                <c:pt idx="11">
                  <c:v>-85.499999999999773</c:v>
                </c:pt>
                <c:pt idx="12">
                  <c:v>459</c:v>
                </c:pt>
                <c:pt idx="13">
                  <c:v>324</c:v>
                </c:pt>
                <c:pt idx="14">
                  <c:v>188.99999999999977</c:v>
                </c:pt>
                <c:pt idx="15">
                  <c:v>54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F3F5-4E79-AA99-0FC70F57B476}"/>
            </c:ext>
          </c:extLst>
        </c:ser>
        <c:ser>
          <c:idx val="3"/>
          <c:order val="3"/>
          <c:tx>
            <c:v>DELHIVERY</c:v>
          </c:tx>
          <c:spPr>
            <a:noFill/>
            <a:ln w="31750">
              <a:solidFill>
                <a:schemeClr val="accent4">
                  <a:alpha val="70000"/>
                </a:schemeClr>
              </a:solidFill>
            </a:ln>
            <a:effectLst/>
          </c:spPr>
          <c:invertIfNegative val="0"/>
          <c:xVal>
            <c:numRef>
              <c:f>'What if analysis'!$D$94:$D$109</c:f>
              <c:numCache>
                <c:formatCode>0%</c:formatCode>
                <c:ptCount val="16"/>
                <c:pt idx="0">
                  <c:v>-0.1</c:v>
                </c:pt>
                <c:pt idx="1">
                  <c:v>-0.1</c:v>
                </c:pt>
                <c:pt idx="2">
                  <c:v>-0.1</c:v>
                </c:pt>
                <c:pt idx="3">
                  <c:v>-0.1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</c:numCache>
            </c:numRef>
          </c:xVal>
          <c:yVal>
            <c:numRef>
              <c:f>'What if analysis'!$E$94:$E$109</c:f>
              <c:numCache>
                <c:formatCode>0%</c:formatCode>
                <c:ptCount val="16"/>
                <c:pt idx="0">
                  <c:v>-0.1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-0.1</c:v>
                </c:pt>
                <c:pt idx="5">
                  <c:v>0</c:v>
                </c:pt>
                <c:pt idx="6">
                  <c:v>0.1</c:v>
                </c:pt>
                <c:pt idx="7">
                  <c:v>0.2</c:v>
                </c:pt>
                <c:pt idx="8">
                  <c:v>-0.1</c:v>
                </c:pt>
                <c:pt idx="9">
                  <c:v>0</c:v>
                </c:pt>
                <c:pt idx="10">
                  <c:v>0.1</c:v>
                </c:pt>
                <c:pt idx="11">
                  <c:v>0.2</c:v>
                </c:pt>
                <c:pt idx="12">
                  <c:v>-0.1</c:v>
                </c:pt>
                <c:pt idx="13">
                  <c:v>0</c:v>
                </c:pt>
                <c:pt idx="14">
                  <c:v>0.1</c:v>
                </c:pt>
                <c:pt idx="15">
                  <c:v>0.2</c:v>
                </c:pt>
              </c:numCache>
            </c:numRef>
          </c:yVal>
          <c:bubbleSize>
            <c:numRef>
              <c:f>'What if analysis'!$F$94:$F$109</c:f>
              <c:numCache>
                <c:formatCode>General</c:formatCode>
                <c:ptCount val="16"/>
                <c:pt idx="0">
                  <c:v>-406.80000000000018</c:v>
                </c:pt>
                <c:pt idx="1">
                  <c:v>-1174.5</c:v>
                </c:pt>
                <c:pt idx="2">
                  <c:v>-1942.2000000000007</c:v>
                </c:pt>
                <c:pt idx="3">
                  <c:v>-2709.8999999999996</c:v>
                </c:pt>
                <c:pt idx="4">
                  <c:v>315.69999999999982</c:v>
                </c:pt>
                <c:pt idx="5">
                  <c:v>-452</c:v>
                </c:pt>
                <c:pt idx="6">
                  <c:v>-1219.7000000000007</c:v>
                </c:pt>
                <c:pt idx="7">
                  <c:v>-1987.3999999999996</c:v>
                </c:pt>
                <c:pt idx="8">
                  <c:v>1038.2000000000007</c:v>
                </c:pt>
                <c:pt idx="9">
                  <c:v>270.50000000000091</c:v>
                </c:pt>
                <c:pt idx="10">
                  <c:v>-497.19999999999982</c:v>
                </c:pt>
                <c:pt idx="11">
                  <c:v>-1264.8999999999987</c:v>
                </c:pt>
                <c:pt idx="12">
                  <c:v>1760.6999999999998</c:v>
                </c:pt>
                <c:pt idx="13">
                  <c:v>993</c:v>
                </c:pt>
                <c:pt idx="14">
                  <c:v>225.29999999999927</c:v>
                </c:pt>
                <c:pt idx="15">
                  <c:v>-542.39999999999964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F3F5-4E79-AA99-0FC70F57B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859866688"/>
        <c:axId val="1859865248"/>
      </c:bubbleChart>
      <c:valAx>
        <c:axId val="1859866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900" b="1" i="0" u="none" strike="noStrike" baseline="0">
                    <a:solidFill>
                      <a:schemeClr val="tx1"/>
                    </a:solidFill>
                  </a:rPr>
                  <a:t>Expense Growth %</a:t>
                </a:r>
                <a:endParaRPr lang="en-IN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2110178687236185"/>
              <c:y val="0.922592752718689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865248"/>
        <c:crosses val="autoZero"/>
        <c:crossBetween val="midCat"/>
      </c:valAx>
      <c:valAx>
        <c:axId val="18598652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900" b="1" i="0" u="none" strike="noStrike" baseline="0">
                    <a:solidFill>
                      <a:schemeClr val="tx1"/>
                    </a:solidFill>
                  </a:rPr>
                  <a:t>Expense Growth %</a:t>
                </a:r>
                <a:endParaRPr lang="en-IN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1.1998399888518421E-3"/>
              <c:y val="0.255787783592679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86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17992875624845"/>
          <c:y val="3.692906734790581E-3"/>
          <c:w val="0.18001945148418433"/>
          <c:h val="0.218758369558499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Capital</a:t>
            </a:r>
            <a:r>
              <a:rPr lang="en-IN" b="1" baseline="0">
                <a:solidFill>
                  <a:schemeClr val="tx1"/>
                </a:solidFill>
              </a:rPr>
              <a:t> Structure Breakdown </a:t>
            </a:r>
            <a:endParaRPr lang="en-IN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567976444913113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'Common size BL.'!$Q$48</c:f>
              <c:strCache>
                <c:ptCount val="1"/>
                <c:pt idx="0">
                  <c:v>Equity Capital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'Common size BL.'!$R$47</c:f>
              <c:strCache>
                <c:ptCount val="1"/>
                <c:pt idx="0">
                  <c:v>100%</c:v>
                </c:pt>
              </c:strCache>
            </c:strRef>
          </c:cat>
          <c:val>
            <c:numRef>
              <c:f>'Common size BL.'!$R$48</c:f>
              <c:numCache>
                <c:formatCode>0%</c:formatCode>
                <c:ptCount val="1"/>
                <c:pt idx="0">
                  <c:v>3.8705495624797442E-2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6C-4723-B9E3-C40C9A4BBC31}"/>
            </c:ext>
          </c:extLst>
        </c:ser>
        <c:ser>
          <c:idx val="1"/>
          <c:order val="1"/>
          <c:tx>
            <c:strRef>
              <c:f>'Common size BL.'!$Q$49</c:f>
              <c:strCache>
                <c:ptCount val="1"/>
                <c:pt idx="0">
                  <c:v>Reserves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'Common size BL.'!$R$47</c:f>
              <c:strCache>
                <c:ptCount val="1"/>
                <c:pt idx="0">
                  <c:v>100%</c:v>
                </c:pt>
              </c:strCache>
            </c:strRef>
          </c:cat>
          <c:val>
            <c:numRef>
              <c:f>'Common size BL.'!$R$49</c:f>
              <c:numCache>
                <c:formatCode>0%</c:formatCode>
                <c:ptCount val="1"/>
                <c:pt idx="0">
                  <c:v>0.8622621417658225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C-4723-B9E3-C40C9A4BBC31}"/>
            </c:ext>
          </c:extLst>
        </c:ser>
        <c:ser>
          <c:idx val="2"/>
          <c:order val="2"/>
          <c:tx>
            <c:strRef>
              <c:f>'Common size BL.'!$Q$50</c:f>
              <c:strCache>
                <c:ptCount val="1"/>
                <c:pt idx="0">
                  <c:v>Borrowings +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'Common size BL.'!$R$47</c:f>
              <c:strCache>
                <c:ptCount val="1"/>
                <c:pt idx="0">
                  <c:v>100%</c:v>
                </c:pt>
              </c:strCache>
            </c:strRef>
          </c:cat>
          <c:val>
            <c:numRef>
              <c:f>'Common size BL.'!$R$50</c:f>
              <c:numCache>
                <c:formatCode>0%</c:formatCode>
                <c:ptCount val="1"/>
                <c:pt idx="0">
                  <c:v>2.3473308949488403E-2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6C-4723-B9E3-C40C9A4BBC31}"/>
            </c:ext>
          </c:extLst>
        </c:ser>
        <c:ser>
          <c:idx val="3"/>
          <c:order val="3"/>
          <c:tx>
            <c:strRef>
              <c:f>'Common size BL.'!$Q$51</c:f>
              <c:strCache>
                <c:ptCount val="1"/>
                <c:pt idx="0">
                  <c:v>Other Liabilities +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'Common size BL.'!$R$47</c:f>
              <c:strCache>
                <c:ptCount val="1"/>
                <c:pt idx="0">
                  <c:v>100%</c:v>
                </c:pt>
              </c:strCache>
            </c:strRef>
          </c:cat>
          <c:val>
            <c:numRef>
              <c:f>'Common size BL.'!$R$51</c:f>
              <c:numCache>
                <c:formatCode>0%</c:formatCode>
                <c:ptCount val="1"/>
                <c:pt idx="0">
                  <c:v>7.5559053659891656E-2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6C-4723-B9E3-C40C9A4BB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301759"/>
        <c:axId val="663322879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'Common size BL.'!$Q$52</c15:sqref>
                        </c15:formulaRef>
                      </c:ext>
                    </c:extLst>
                    <c:strCache>
                      <c:ptCount val="1"/>
                      <c:pt idx="0">
                        <c:v>Total Liabilities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'Common size BL.'!$R$47</c15:sqref>
                        </c15:formulaRef>
                      </c:ext>
                    </c:extLst>
                    <c:strCache>
                      <c:ptCount val="1"/>
                      <c:pt idx="0">
                        <c:v>100%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'Common size BL.'!$R$52</c15:sqref>
                        </c15:formulaRef>
                      </c:ext>
                    </c:extLst>
                    <c:numCache>
                      <c:formatCode>0%</c:formatCode>
                      <c:ptCount val="1"/>
                      <c:pt idx="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2E6C-4723-B9E3-C40C9A4BBC3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'Common size BL.'!$Q$53</c15:sqref>
                        </c15:formulaRef>
                      </c:ext>
                    </c:extLst>
                    <c:strCache>
                      <c:ptCount val="1"/>
                      <c:pt idx="0">
                        <c:v>Fixed Assets +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'Common size BL.'!$R$47</c15:sqref>
                        </c15:formulaRef>
                      </c:ext>
                    </c:extLst>
                    <c:strCache>
                      <c:ptCount val="1"/>
                      <c:pt idx="0">
                        <c:v>100%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'Common size BL.'!$R$53</c15:sqref>
                        </c15:formulaRef>
                      </c:ext>
                    </c:extLst>
                    <c:numCache>
                      <c:formatCode>0%</c:formatCode>
                      <c:ptCount val="1"/>
                      <c:pt idx="0">
                        <c:v>0.29371730172693178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2E6C-4723-B9E3-C40C9A4BBC3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'Common size BL.'!$Q$54</c15:sqref>
                        </c15:formulaRef>
                      </c:ext>
                    </c:extLst>
                    <c:strCache>
                      <c:ptCount val="1"/>
                      <c:pt idx="0">
                        <c:v>CWIP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'Common size BL.'!$R$47</c15:sqref>
                        </c15:formulaRef>
                      </c:ext>
                    </c:extLst>
                    <c:strCache>
                      <c:ptCount val="1"/>
                      <c:pt idx="0">
                        <c:v>100%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'Common size BL.'!$R$54</c15:sqref>
                        </c15:formulaRef>
                      </c:ext>
                    </c:extLst>
                    <c:numCache>
                      <c:formatCode>0%</c:formatCode>
                      <c:ptCount val="1"/>
                      <c:pt idx="0">
                        <c:v>3.2408907819806473E-4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2E6C-4723-B9E3-C40C9A4BBC3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'Common size BL.'!$Q$55</c15:sqref>
                        </c15:formulaRef>
                      </c:ext>
                    </c:extLst>
                    <c:strCache>
                      <c:ptCount val="1"/>
                      <c:pt idx="0">
                        <c:v>Investments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'Common size BL.'!$R$47</c15:sqref>
                        </c15:formulaRef>
                      </c:ext>
                    </c:extLst>
                    <c:strCache>
                      <c:ptCount val="1"/>
                      <c:pt idx="0">
                        <c:v>100%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'Common size BL.'!$R$55</c15:sqref>
                        </c15:formulaRef>
                      </c:ext>
                    </c:extLst>
                    <c:numCache>
                      <c:formatCode>0%</c:formatCode>
                      <c:ptCount val="1"/>
                      <c:pt idx="0">
                        <c:v>0.31320894485855827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2E6C-4723-B9E3-C40C9A4BBC3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'Common size BL.'!$Q$56</c15:sqref>
                        </c15:formulaRef>
                      </c:ext>
                    </c:extLst>
                    <c:strCache>
                      <c:ptCount val="1"/>
                      <c:pt idx="0">
                        <c:v>Other Assets +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'Common size BL.'!$R$47</c15:sqref>
                        </c15:formulaRef>
                      </c:ext>
                    </c:extLst>
                    <c:strCache>
                      <c:ptCount val="1"/>
                      <c:pt idx="0">
                        <c:v>100%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'Common size BL.'!$R$56</c15:sqref>
                        </c15:formulaRef>
                      </c:ext>
                    </c:extLst>
                    <c:numCache>
                      <c:formatCode>0%</c:formatCode>
                      <c:ptCount val="1"/>
                      <c:pt idx="0">
                        <c:v>0.39274966433631187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2E6C-4723-B9E3-C40C9A4BBC31}"/>
                  </c:ext>
                </c:extLst>
              </c15:ser>
            </c15:filteredBarSeries>
          </c:ext>
        </c:extLst>
      </c:barChart>
      <c:catAx>
        <c:axId val="6633017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322879"/>
        <c:crosses val="autoZero"/>
        <c:auto val="1"/>
        <c:lblAlgn val="ctr"/>
        <c:lblOffset val="100"/>
        <c:noMultiLvlLbl val="0"/>
      </c:catAx>
      <c:valAx>
        <c:axId val="663322879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30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3045503378929418E-2"/>
          <c:y val="0.91684724599230294"/>
          <c:w val="0.88650158473301965"/>
          <c:h val="8.31527540076970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31750">
        <a:solidFill>
          <a:schemeClr val="phClr">
            <a:alpha val="7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noFill/>
      <a:ln w="31750">
        <a:solidFill>
          <a:schemeClr val="phClr">
            <a:alpha val="70000"/>
          </a:schemeClr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2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2174147</xdr:colOff>
      <xdr:row>4</xdr:row>
      <xdr:rowOff>447413</xdr:rowOff>
    </xdr:from>
    <xdr:to>
      <xdr:col>7</xdr:col>
      <xdr:colOff>566257</xdr:colOff>
      <xdr:row>4</xdr:row>
      <xdr:rowOff>454403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60EE09B-862C-2C69-DF52-B70585ACBB63}"/>
            </a:ext>
          </a:extLst>
        </xdr:cNvPr>
        <xdr:cNvCxnSpPr/>
      </xdr:nvCxnSpPr>
      <xdr:spPr>
        <a:xfrm>
          <a:off x="8472881" y="2782349"/>
          <a:ext cx="2306972" cy="699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1167468</xdr:colOff>
      <xdr:row>7</xdr:row>
      <xdr:rowOff>419449</xdr:rowOff>
    </xdr:from>
    <xdr:to>
      <xdr:col>7</xdr:col>
      <xdr:colOff>552276</xdr:colOff>
      <xdr:row>7</xdr:row>
      <xdr:rowOff>419449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D28615A-9D4F-8085-3A1B-0F8616215138}"/>
            </a:ext>
          </a:extLst>
        </xdr:cNvPr>
        <xdr:cNvCxnSpPr/>
      </xdr:nvCxnSpPr>
      <xdr:spPr>
        <a:xfrm>
          <a:off x="10031835" y="4201486"/>
          <a:ext cx="73403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1264024</xdr:colOff>
      <xdr:row>6</xdr:row>
      <xdr:rowOff>421341</xdr:rowOff>
    </xdr:from>
    <xdr:to>
      <xdr:col>7</xdr:col>
      <xdr:colOff>519953</xdr:colOff>
      <xdr:row>6</xdr:row>
      <xdr:rowOff>430306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1E6F4D26-BFAD-EF7A-641A-6D39D11A4D54}"/>
            </a:ext>
          </a:extLst>
        </xdr:cNvPr>
        <xdr:cNvCxnSpPr/>
      </xdr:nvCxnSpPr>
      <xdr:spPr>
        <a:xfrm flipV="1">
          <a:off x="4975412" y="3738282"/>
          <a:ext cx="6051176" cy="896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1389529</xdr:colOff>
      <xdr:row>15</xdr:row>
      <xdr:rowOff>358588</xdr:rowOff>
    </xdr:from>
    <xdr:to>
      <xdr:col>7</xdr:col>
      <xdr:colOff>528918</xdr:colOff>
      <xdr:row>15</xdr:row>
      <xdr:rowOff>358588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60A9943-70A7-42DA-4E8E-C83397B8C7DF}"/>
            </a:ext>
          </a:extLst>
        </xdr:cNvPr>
        <xdr:cNvCxnSpPr/>
      </xdr:nvCxnSpPr>
      <xdr:spPr>
        <a:xfrm>
          <a:off x="6463553" y="6606988"/>
          <a:ext cx="457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42</xdr:row>
      <xdr:rowOff>0</xdr:rowOff>
    </xdr:from>
    <xdr:to>
      <xdr:col>46</xdr:col>
      <xdr:colOff>64928</xdr:colOff>
      <xdr:row>86</xdr:row>
      <xdr:rowOff>152145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1460A2-D05C-591F-799E-4770CDC0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7652" y="9088783"/>
          <a:ext cx="12212754" cy="8059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591911</xdr:colOff>
      <xdr:row>8</xdr:row>
      <xdr:rowOff>319768</xdr:rowOff>
    </xdr:from>
    <xdr:to>
      <xdr:col>10</xdr:col>
      <xdr:colOff>435429</xdr:colOff>
      <xdr:row>8</xdr:row>
      <xdr:rowOff>326571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E91643-960E-240E-BFB3-878534B7CE28}"/>
            </a:ext>
          </a:extLst>
        </xdr:cNvPr>
        <xdr:cNvCxnSpPr/>
      </xdr:nvCxnSpPr>
      <xdr:spPr>
        <a:xfrm flipV="1">
          <a:off x="5007429" y="3401786"/>
          <a:ext cx="3993696" cy="6803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640773</xdr:colOff>
      <xdr:row>17</xdr:row>
      <xdr:rowOff>432955</xdr:rowOff>
    </xdr:from>
    <xdr:to>
      <xdr:col>10</xdr:col>
      <xdr:colOff>337704</xdr:colOff>
      <xdr:row>17</xdr:row>
      <xdr:rowOff>441614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3122C7D-E289-00C3-2922-7EC8C3BDB764}"/>
            </a:ext>
          </a:extLst>
        </xdr:cNvPr>
        <xdr:cNvCxnSpPr/>
      </xdr:nvCxnSpPr>
      <xdr:spPr>
        <a:xfrm flipV="1">
          <a:off x="5048250" y="6935932"/>
          <a:ext cx="3853295" cy="865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528204</xdr:colOff>
      <xdr:row>26</xdr:row>
      <xdr:rowOff>424295</xdr:rowOff>
    </xdr:from>
    <xdr:to>
      <xdr:col>10</xdr:col>
      <xdr:colOff>337704</xdr:colOff>
      <xdr:row>26</xdr:row>
      <xdr:rowOff>432954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ED4FE32-64DD-CDF1-405B-BE9B4C15A902}"/>
            </a:ext>
          </a:extLst>
        </xdr:cNvPr>
        <xdr:cNvCxnSpPr/>
      </xdr:nvCxnSpPr>
      <xdr:spPr>
        <a:xfrm flipV="1">
          <a:off x="3273136" y="10312977"/>
          <a:ext cx="5628409" cy="865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545523</xdr:colOff>
      <xdr:row>35</xdr:row>
      <xdr:rowOff>458932</xdr:rowOff>
    </xdr:from>
    <xdr:to>
      <xdr:col>10</xdr:col>
      <xdr:colOff>415636</xdr:colOff>
      <xdr:row>35</xdr:row>
      <xdr:rowOff>467591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C88A1D9-18D3-FFB4-E1C9-68072086EF80}"/>
            </a:ext>
          </a:extLst>
        </xdr:cNvPr>
        <xdr:cNvCxnSpPr/>
      </xdr:nvCxnSpPr>
      <xdr:spPr>
        <a:xfrm flipV="1">
          <a:off x="4953000" y="14001750"/>
          <a:ext cx="4026477" cy="865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493568</xdr:colOff>
      <xdr:row>44</xdr:row>
      <xdr:rowOff>441613</xdr:rowOff>
    </xdr:from>
    <xdr:to>
      <xdr:col>10</xdr:col>
      <xdr:colOff>398318</xdr:colOff>
      <xdr:row>44</xdr:row>
      <xdr:rowOff>441613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EACB479E-4AE6-1C0E-8858-3F88F5853FC2}"/>
            </a:ext>
          </a:extLst>
        </xdr:cNvPr>
        <xdr:cNvCxnSpPr/>
      </xdr:nvCxnSpPr>
      <xdr:spPr>
        <a:xfrm>
          <a:off x="4901045" y="17569295"/>
          <a:ext cx="4061114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580159</xdr:colOff>
      <xdr:row>53</xdr:row>
      <xdr:rowOff>406977</xdr:rowOff>
    </xdr:from>
    <xdr:to>
      <xdr:col>10</xdr:col>
      <xdr:colOff>398318</xdr:colOff>
      <xdr:row>53</xdr:row>
      <xdr:rowOff>432955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761D20C-9175-8B21-DD2A-C3205314666A}"/>
            </a:ext>
          </a:extLst>
        </xdr:cNvPr>
        <xdr:cNvCxnSpPr/>
      </xdr:nvCxnSpPr>
      <xdr:spPr>
        <a:xfrm flipV="1">
          <a:off x="4156364" y="21379295"/>
          <a:ext cx="4805795" cy="259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5</xdr:row>
      <xdr:rowOff>106680</xdr:rowOff>
    </xdr:from>
    <xdr:to>
      <xdr:col>6</xdr:col>
      <xdr:colOff>304800</xdr:colOff>
      <xdr:row>8</xdr:row>
      <xdr:rowOff>205740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D03FF793-B575-0E18-B0A9-2B30B3000D3C}"/>
            </a:ext>
          </a:extLst>
        </xdr:cNvPr>
        <xdr:cNvSpPr/>
      </xdr:nvSpPr>
      <xdr:spPr>
        <a:xfrm>
          <a:off x="5775960" y="1257300"/>
          <a:ext cx="190500" cy="92202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483870</xdr:colOff>
      <xdr:row>3</xdr:row>
      <xdr:rowOff>49530</xdr:rowOff>
    </xdr:from>
    <xdr:to>
      <xdr:col>11</xdr:col>
      <xdr:colOff>251460</xdr:colOff>
      <xdr:row>3</xdr:row>
      <xdr:rowOff>289560</xdr:rowOff>
    </xdr:to>
    <xdr:sp macro="" textlink="">
      <xdr:nvSpPr>
        <xdr:cNvPr id="4" name="Left Brace 3">
          <a:extLst>
            <a:ext uri="{FF2B5EF4-FFF2-40B4-BE49-F238E27FC236}">
              <a16:creationId xmlns:a16="http://schemas.microsoft.com/office/drawing/2014/main" id="{341FF320-4D70-1BCE-20DB-52FE9E7C83B6}"/>
            </a:ext>
          </a:extLst>
        </xdr:cNvPr>
        <xdr:cNvSpPr/>
      </xdr:nvSpPr>
      <xdr:spPr>
        <a:xfrm rot="5400000">
          <a:off x="7920990" y="-80010"/>
          <a:ext cx="240030" cy="1596390"/>
        </a:xfrm>
        <a:prstGeom prst="leftBrace">
          <a:avLst>
            <a:gd name="adj1" fmla="val 8333"/>
            <a:gd name="adj2" fmla="val 49858"/>
          </a:avLst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114300</xdr:colOff>
      <xdr:row>15</xdr:row>
      <xdr:rowOff>106680</xdr:rowOff>
    </xdr:from>
    <xdr:to>
      <xdr:col>6</xdr:col>
      <xdr:colOff>304800</xdr:colOff>
      <xdr:row>18</xdr:row>
      <xdr:rowOff>205740</xdr:rowOff>
    </xdr:to>
    <xdr:sp macro="" textlink="">
      <xdr:nvSpPr>
        <xdr:cNvPr id="7" name="Left Brace 6">
          <a:extLst>
            <a:ext uri="{FF2B5EF4-FFF2-40B4-BE49-F238E27FC236}">
              <a16:creationId xmlns:a16="http://schemas.microsoft.com/office/drawing/2014/main" id="{DA238D1A-C2F4-42CB-9224-BFE8F129EB69}"/>
            </a:ext>
          </a:extLst>
        </xdr:cNvPr>
        <xdr:cNvSpPr/>
      </xdr:nvSpPr>
      <xdr:spPr>
        <a:xfrm>
          <a:off x="6057900" y="3848100"/>
          <a:ext cx="190500" cy="92202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483870</xdr:colOff>
      <xdr:row>13</xdr:row>
      <xdr:rowOff>49530</xdr:rowOff>
    </xdr:from>
    <xdr:to>
      <xdr:col>11</xdr:col>
      <xdr:colOff>251460</xdr:colOff>
      <xdr:row>13</xdr:row>
      <xdr:rowOff>289560</xdr:rowOff>
    </xdr:to>
    <xdr:sp macro="" textlink="">
      <xdr:nvSpPr>
        <xdr:cNvPr id="9" name="Left Brace 8">
          <a:extLst>
            <a:ext uri="{FF2B5EF4-FFF2-40B4-BE49-F238E27FC236}">
              <a16:creationId xmlns:a16="http://schemas.microsoft.com/office/drawing/2014/main" id="{92864E1F-D367-4E4C-8987-ED774C61CC18}"/>
            </a:ext>
          </a:extLst>
        </xdr:cNvPr>
        <xdr:cNvSpPr/>
      </xdr:nvSpPr>
      <xdr:spPr>
        <a:xfrm rot="5400000">
          <a:off x="8214360" y="3375660"/>
          <a:ext cx="224790" cy="1604010"/>
        </a:xfrm>
        <a:prstGeom prst="leftBrace">
          <a:avLst>
            <a:gd name="adj1" fmla="val 8333"/>
            <a:gd name="adj2" fmla="val 49858"/>
          </a:avLst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114300</xdr:colOff>
      <xdr:row>25</xdr:row>
      <xdr:rowOff>106680</xdr:rowOff>
    </xdr:from>
    <xdr:to>
      <xdr:col>6</xdr:col>
      <xdr:colOff>304800</xdr:colOff>
      <xdr:row>28</xdr:row>
      <xdr:rowOff>205740</xdr:rowOff>
    </xdr:to>
    <xdr:sp macro="" textlink="">
      <xdr:nvSpPr>
        <xdr:cNvPr id="10" name="Left Brace 9">
          <a:extLst>
            <a:ext uri="{FF2B5EF4-FFF2-40B4-BE49-F238E27FC236}">
              <a16:creationId xmlns:a16="http://schemas.microsoft.com/office/drawing/2014/main" id="{AD3FBF31-C24E-4D15-953E-B168EE6B3B03}"/>
            </a:ext>
          </a:extLst>
        </xdr:cNvPr>
        <xdr:cNvSpPr/>
      </xdr:nvSpPr>
      <xdr:spPr>
        <a:xfrm>
          <a:off x="6240780" y="4168140"/>
          <a:ext cx="190500" cy="92202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483870</xdr:colOff>
      <xdr:row>23</xdr:row>
      <xdr:rowOff>49530</xdr:rowOff>
    </xdr:from>
    <xdr:to>
      <xdr:col>11</xdr:col>
      <xdr:colOff>251460</xdr:colOff>
      <xdr:row>23</xdr:row>
      <xdr:rowOff>289560</xdr:rowOff>
    </xdr:to>
    <xdr:sp macro="" textlink="">
      <xdr:nvSpPr>
        <xdr:cNvPr id="11" name="Left Brace 10">
          <a:extLst>
            <a:ext uri="{FF2B5EF4-FFF2-40B4-BE49-F238E27FC236}">
              <a16:creationId xmlns:a16="http://schemas.microsoft.com/office/drawing/2014/main" id="{59474DEB-4E9A-4751-AD59-389C0ACE1663}"/>
            </a:ext>
          </a:extLst>
        </xdr:cNvPr>
        <xdr:cNvSpPr/>
      </xdr:nvSpPr>
      <xdr:spPr>
        <a:xfrm rot="5400000">
          <a:off x="8442960" y="2918460"/>
          <a:ext cx="133350" cy="1604010"/>
        </a:xfrm>
        <a:prstGeom prst="leftBrace">
          <a:avLst>
            <a:gd name="adj1" fmla="val 8333"/>
            <a:gd name="adj2" fmla="val 49858"/>
          </a:avLst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114300</xdr:colOff>
      <xdr:row>35</xdr:row>
      <xdr:rowOff>106680</xdr:rowOff>
    </xdr:from>
    <xdr:to>
      <xdr:col>6</xdr:col>
      <xdr:colOff>304800</xdr:colOff>
      <xdr:row>38</xdr:row>
      <xdr:rowOff>205740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40B2F674-D3A4-4DBC-93C6-9E0B5D24681B}"/>
            </a:ext>
          </a:extLst>
        </xdr:cNvPr>
        <xdr:cNvSpPr/>
      </xdr:nvSpPr>
      <xdr:spPr>
        <a:xfrm>
          <a:off x="6240780" y="6537960"/>
          <a:ext cx="190500" cy="103632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483870</xdr:colOff>
      <xdr:row>33</xdr:row>
      <xdr:rowOff>49530</xdr:rowOff>
    </xdr:from>
    <xdr:to>
      <xdr:col>11</xdr:col>
      <xdr:colOff>251460</xdr:colOff>
      <xdr:row>33</xdr:row>
      <xdr:rowOff>289560</xdr:rowOff>
    </xdr:to>
    <xdr:sp macro="" textlink="">
      <xdr:nvSpPr>
        <xdr:cNvPr id="13" name="Left Brace 12">
          <a:extLst>
            <a:ext uri="{FF2B5EF4-FFF2-40B4-BE49-F238E27FC236}">
              <a16:creationId xmlns:a16="http://schemas.microsoft.com/office/drawing/2014/main" id="{89438E50-CB5E-4AFC-BFD4-A4ACD00B2A71}"/>
            </a:ext>
          </a:extLst>
        </xdr:cNvPr>
        <xdr:cNvSpPr/>
      </xdr:nvSpPr>
      <xdr:spPr>
        <a:xfrm rot="5400000">
          <a:off x="8442960" y="5250180"/>
          <a:ext cx="133350" cy="1604010"/>
        </a:xfrm>
        <a:prstGeom prst="leftBrace">
          <a:avLst>
            <a:gd name="adj1" fmla="val 8333"/>
            <a:gd name="adj2" fmla="val 49858"/>
          </a:avLst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321627</xdr:colOff>
      <xdr:row>7</xdr:row>
      <xdr:rowOff>21808</xdr:rowOff>
    </xdr:from>
    <xdr:to>
      <xdr:col>2</xdr:col>
      <xdr:colOff>560199</xdr:colOff>
      <xdr:row>13</xdr:row>
      <xdr:rowOff>181830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BFEF9E35-6B3E-82C1-C718-0F4D4FE9433A}"/>
            </a:ext>
          </a:extLst>
        </xdr:cNvPr>
        <xdr:cNvSpPr/>
      </xdr:nvSpPr>
      <xdr:spPr>
        <a:xfrm>
          <a:off x="463867" y="3608288"/>
          <a:ext cx="2331532" cy="1257302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859567</xdr:colOff>
      <xdr:row>7</xdr:row>
      <xdr:rowOff>128643</xdr:rowOff>
    </xdr:from>
    <xdr:to>
      <xdr:col>2</xdr:col>
      <xdr:colOff>20072</xdr:colOff>
      <xdr:row>13</xdr:row>
      <xdr:rowOff>102485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CFD27E-F74D-4F79-C8C0-494CB046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807" y="3715123"/>
          <a:ext cx="1253465" cy="1071122"/>
        </a:xfrm>
        <a:prstGeom prst="rect">
          <a:avLst/>
        </a:prstGeom>
      </xdr:spPr>
    </xdr:pic>
    <xdr:clientData/>
  </xdr:twoCellAnchor>
  <xdr:twoCellAnchor>
    <xdr:from>
      <xdr:col>17</xdr:col>
      <xdr:colOff>602998</xdr:colOff>
      <xdr:row>24</xdr:row>
      <xdr:rowOff>86413</xdr:rowOff>
    </xdr:from>
    <xdr:to>
      <xdr:col>25</xdr:col>
      <xdr:colOff>53512</xdr:colOff>
      <xdr:row>39</xdr:row>
      <xdr:rowOff>176368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A33D7DF6-B83D-A863-DBBB-F1FC18BE9FDD}"/>
            </a:ext>
          </a:extLst>
        </xdr:cNvPr>
        <xdr:cNvSpPr/>
      </xdr:nvSpPr>
      <xdr:spPr>
        <a:xfrm>
          <a:off x="12734038" y="6903773"/>
          <a:ext cx="4327314" cy="283315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5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YOY Net Profit Growth(%)- 2022 &amp; 2023</a:t>
          </a:r>
          <a:endParaRPr lang="en-IN" sz="1250">
            <a:effectLst/>
          </a:endParaRPr>
        </a:p>
        <a:p>
          <a:pPr algn="l"/>
          <a:endParaRPr lang="en-IN" sz="1100"/>
        </a:p>
      </xdr:txBody>
    </xdr:sp>
    <xdr:clientData/>
  </xdr:twoCellAnchor>
  <xdr:twoCellAnchor>
    <xdr:from>
      <xdr:col>3</xdr:col>
      <xdr:colOff>256723</xdr:colOff>
      <xdr:row>6</xdr:row>
      <xdr:rowOff>174993</xdr:rowOff>
    </xdr:from>
    <xdr:to>
      <xdr:col>10</xdr:col>
      <xdr:colOff>256724</xdr:colOff>
      <xdr:row>23</xdr:row>
      <xdr:rowOff>103065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B35D046-D3CC-42ED-9AE1-118ABD54198E}"/>
            </a:ext>
          </a:extLst>
        </xdr:cNvPr>
        <xdr:cNvSpPr/>
      </xdr:nvSpPr>
      <xdr:spPr>
        <a:xfrm>
          <a:off x="3527747" y="2618969"/>
          <a:ext cx="4293221" cy="302253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53180</xdr:colOff>
      <xdr:row>24</xdr:row>
      <xdr:rowOff>139390</xdr:rowOff>
    </xdr:from>
    <xdr:to>
      <xdr:col>3</xdr:col>
      <xdr:colOff>260196</xdr:colOff>
      <xdr:row>40</xdr:row>
      <xdr:rowOff>54014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3F47948F-EE95-46F6-A441-934BC303A5BE}"/>
            </a:ext>
          </a:extLst>
        </xdr:cNvPr>
        <xdr:cNvSpPr/>
      </xdr:nvSpPr>
      <xdr:spPr>
        <a:xfrm>
          <a:off x="53180" y="6235390"/>
          <a:ext cx="3478040" cy="288828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5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YOY Revenue Growth(%) - 2021 &amp; 2023</a:t>
          </a:r>
          <a:endParaRPr lang="en-IN" sz="1150">
            <a:effectLst/>
          </a:endParaRPr>
        </a:p>
        <a:p>
          <a:pPr algn="l"/>
          <a:endParaRPr lang="en-IN" sz="1100"/>
        </a:p>
      </xdr:txBody>
    </xdr:sp>
    <xdr:clientData/>
  </xdr:twoCellAnchor>
  <xdr:twoCellAnchor>
    <xdr:from>
      <xdr:col>1</xdr:col>
      <xdr:colOff>18586</xdr:colOff>
      <xdr:row>27</xdr:row>
      <xdr:rowOff>0</xdr:rowOff>
    </xdr:from>
    <xdr:to>
      <xdr:col>3</xdr:col>
      <xdr:colOff>65125</xdr:colOff>
      <xdr:row>39</xdr:row>
      <xdr:rowOff>23519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ADDD373-66E4-4273-9746-8E98AF86F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151357</xdr:colOff>
      <xdr:row>26</xdr:row>
      <xdr:rowOff>88726</xdr:rowOff>
    </xdr:from>
    <xdr:to>
      <xdr:col>24</xdr:col>
      <xdr:colOff>495822</xdr:colOff>
      <xdr:row>39</xdr:row>
      <xdr:rowOff>52991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A3AF72A5-62AD-45E4-8BA8-D546D553C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378122</xdr:colOff>
      <xdr:row>7</xdr:row>
      <xdr:rowOff>56485</xdr:rowOff>
    </xdr:from>
    <xdr:to>
      <xdr:col>17</xdr:col>
      <xdr:colOff>426952</xdr:colOff>
      <xdr:row>23</xdr:row>
      <xdr:rowOff>165370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18F6F4B1-854F-41DA-9EAD-DB4C2A0ADDF3}"/>
            </a:ext>
          </a:extLst>
        </xdr:cNvPr>
        <xdr:cNvSpPr/>
      </xdr:nvSpPr>
      <xdr:spPr>
        <a:xfrm>
          <a:off x="8217681" y="3634010"/>
          <a:ext cx="4297949" cy="313105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 sz="1200">
            <a:effectLst/>
            <a:latin typeface="+mn-lt"/>
          </a:endParaRPr>
        </a:p>
        <a:p>
          <a:pPr algn="l"/>
          <a:endParaRPr lang="en-IN" sz="1100"/>
        </a:p>
      </xdr:txBody>
    </xdr:sp>
    <xdr:clientData/>
  </xdr:twoCellAnchor>
  <xdr:twoCellAnchor>
    <xdr:from>
      <xdr:col>10</xdr:col>
      <xdr:colOff>535719</xdr:colOff>
      <xdr:row>24</xdr:row>
      <xdr:rowOff>126628</xdr:rowOff>
    </xdr:from>
    <xdr:to>
      <xdr:col>17</xdr:col>
      <xdr:colOff>505030</xdr:colOff>
      <xdr:row>40</xdr:row>
      <xdr:rowOff>38805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96794A6E-F009-4EED-94BD-1D3B323D1A11}"/>
            </a:ext>
          </a:extLst>
        </xdr:cNvPr>
        <xdr:cNvSpPr/>
      </xdr:nvSpPr>
      <xdr:spPr>
        <a:xfrm>
          <a:off x="8399559" y="6943988"/>
          <a:ext cx="4236511" cy="283825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 </a:t>
          </a:r>
          <a:endParaRPr lang="en-IN" sz="1100" b="1"/>
        </a:p>
      </xdr:txBody>
    </xdr:sp>
    <xdr:clientData/>
  </xdr:twoCellAnchor>
  <xdr:twoCellAnchor>
    <xdr:from>
      <xdr:col>11</xdr:col>
      <xdr:colOff>114300</xdr:colOff>
      <xdr:row>25</xdr:row>
      <xdr:rowOff>63500</xdr:rowOff>
    </xdr:from>
    <xdr:to>
      <xdr:col>17</xdr:col>
      <xdr:colOff>319926</xdr:colOff>
      <xdr:row>38</xdr:row>
      <xdr:rowOff>145003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AC06CCFD-68F7-4101-8D32-DB3920F42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552148</xdr:colOff>
      <xdr:row>7</xdr:row>
      <xdr:rowOff>64965</xdr:rowOff>
    </xdr:from>
    <xdr:to>
      <xdr:col>24</xdr:col>
      <xdr:colOff>552149</xdr:colOff>
      <xdr:row>23</xdr:row>
      <xdr:rowOff>150904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265F9419-6139-4DEA-A7C3-8DA76F160BF9}"/>
            </a:ext>
          </a:extLst>
        </xdr:cNvPr>
        <xdr:cNvSpPr/>
      </xdr:nvSpPr>
      <xdr:spPr>
        <a:xfrm>
          <a:off x="12640826" y="3642490"/>
          <a:ext cx="4249120" cy="310810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115456</xdr:colOff>
      <xdr:row>8</xdr:row>
      <xdr:rowOff>92364</xdr:rowOff>
    </xdr:from>
    <xdr:to>
      <xdr:col>24</xdr:col>
      <xdr:colOff>455187</xdr:colOff>
      <xdr:row>22</xdr:row>
      <xdr:rowOff>84300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7816EFF-E717-49AA-A9C8-F45410927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476714</xdr:colOff>
      <xdr:row>7</xdr:row>
      <xdr:rowOff>150773</xdr:rowOff>
    </xdr:from>
    <xdr:to>
      <xdr:col>10</xdr:col>
      <xdr:colOff>76664</xdr:colOff>
      <xdr:row>22</xdr:row>
      <xdr:rowOff>300139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3221CB8-420D-4730-AE3F-D0947667F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316666</xdr:colOff>
      <xdr:row>24</xdr:row>
      <xdr:rowOff>111760</xdr:rowOff>
    </xdr:from>
    <xdr:to>
      <xdr:col>10</xdr:col>
      <xdr:colOff>467359</xdr:colOff>
      <xdr:row>39</xdr:row>
      <xdr:rowOff>180469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C491919-D3A3-41E2-9AF3-F3B2E5246748}"/>
            </a:ext>
          </a:extLst>
        </xdr:cNvPr>
        <xdr:cNvSpPr/>
      </xdr:nvSpPr>
      <xdr:spPr>
        <a:xfrm>
          <a:off x="3913306" y="6929120"/>
          <a:ext cx="4417893" cy="281190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Profit Impact Based on Revenue and Expense Growth</a:t>
          </a:r>
          <a:endParaRPr lang="en-IN" sz="1200">
            <a:effectLst/>
            <a:latin typeface="+mn-lt"/>
          </a:endParaRPr>
        </a:p>
        <a:p>
          <a:pPr algn="l"/>
          <a:endParaRPr lang="en-IN" sz="1100"/>
        </a:p>
      </xdr:txBody>
    </xdr:sp>
    <xdr:clientData/>
  </xdr:twoCellAnchor>
  <xdr:twoCellAnchor>
    <xdr:from>
      <xdr:col>3</xdr:col>
      <xdr:colOff>473506</xdr:colOff>
      <xdr:row>26</xdr:row>
      <xdr:rowOff>125381</xdr:rowOff>
    </xdr:from>
    <xdr:to>
      <xdr:col>10</xdr:col>
      <xdr:colOff>311020</xdr:colOff>
      <xdr:row>39</xdr:row>
      <xdr:rowOff>25919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3C551C6-44EF-4DA2-B92A-A1571EFA5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549088</xdr:colOff>
      <xdr:row>8</xdr:row>
      <xdr:rowOff>38746</xdr:rowOff>
    </xdr:from>
    <xdr:to>
      <xdr:col>17</xdr:col>
      <xdr:colOff>271220</xdr:colOff>
      <xdr:row>22</xdr:row>
      <xdr:rowOff>195148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08AF0BC-2BB9-41D5-88D4-45811E3A0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78230</xdr:colOff>
      <xdr:row>5</xdr:row>
      <xdr:rowOff>189117</xdr:rowOff>
    </xdr:from>
    <xdr:to>
      <xdr:col>3</xdr:col>
      <xdr:colOff>230630</xdr:colOff>
      <xdr:row>6</xdr:row>
      <xdr:rowOff>69374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CE1B8309-1EB8-653D-2C59-87AA95EF3D66}"/>
            </a:ext>
          </a:extLst>
        </xdr:cNvPr>
        <xdr:cNvSpPr/>
      </xdr:nvSpPr>
      <xdr:spPr>
        <a:xfrm>
          <a:off x="78230" y="2552609"/>
          <a:ext cx="3742841" cy="91347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IN" sz="2400" b="1"/>
            <a:t>Zomato</a:t>
          </a:r>
          <a:r>
            <a:rPr lang="en-IN" sz="2400" b="1" baseline="0"/>
            <a:t> Net Profit                                           </a:t>
          </a:r>
        </a:p>
      </xdr:txBody>
    </xdr:sp>
    <xdr:clientData/>
  </xdr:twoCellAnchor>
  <xdr:twoCellAnchor>
    <xdr:from>
      <xdr:col>3</xdr:col>
      <xdr:colOff>322511</xdr:colOff>
      <xdr:row>5</xdr:row>
      <xdr:rowOff>210888</xdr:rowOff>
    </xdr:from>
    <xdr:to>
      <xdr:col>10</xdr:col>
      <xdr:colOff>224541</xdr:colOff>
      <xdr:row>6</xdr:row>
      <xdr:rowOff>91145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66C5306A-D0B1-429E-9FF1-EC255F69C66A}"/>
            </a:ext>
          </a:extLst>
        </xdr:cNvPr>
        <xdr:cNvSpPr/>
      </xdr:nvSpPr>
      <xdr:spPr>
        <a:xfrm>
          <a:off x="3912952" y="2574380"/>
          <a:ext cx="4151148" cy="91347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lvl="0" indent="0" algn="l"/>
          <a:r>
            <a:rPr lang="en-IN" sz="2400" b="1">
              <a:solidFill>
                <a:schemeClr val="dk1"/>
              </a:solidFill>
              <a:latin typeface="+mn-lt"/>
              <a:ea typeface="+mn-ea"/>
              <a:cs typeface="+mn-cs"/>
            </a:rPr>
            <a:t>Nykaa</a:t>
          </a:r>
          <a:r>
            <a:rPr lang="en-IN" sz="24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Net Profit</a:t>
          </a:r>
          <a:endParaRPr lang="en-IN" sz="24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348341</xdr:colOff>
      <xdr:row>5</xdr:row>
      <xdr:rowOff>223803</xdr:rowOff>
    </xdr:from>
    <xdr:to>
      <xdr:col>17</xdr:col>
      <xdr:colOff>381000</xdr:colOff>
      <xdr:row>6</xdr:row>
      <xdr:rowOff>104060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A89C15A5-42BD-4A30-B98A-EA2429D76489}"/>
            </a:ext>
          </a:extLst>
        </xdr:cNvPr>
        <xdr:cNvSpPr/>
      </xdr:nvSpPr>
      <xdr:spPr>
        <a:xfrm>
          <a:off x="8187900" y="2587295"/>
          <a:ext cx="4281778" cy="91347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IN" sz="2400" b="1">
              <a:solidFill>
                <a:schemeClr val="dk1"/>
              </a:solidFill>
              <a:latin typeface="+mn-lt"/>
              <a:ea typeface="+mn-ea"/>
              <a:cs typeface="+mn-cs"/>
            </a:rPr>
            <a:t>Mamaearth Net Profit</a:t>
          </a:r>
          <a:r>
            <a:rPr lang="en-IN" sz="24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endParaRPr lang="en-IN" sz="24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526574</xdr:colOff>
      <xdr:row>5</xdr:row>
      <xdr:rowOff>225833</xdr:rowOff>
    </xdr:from>
    <xdr:to>
      <xdr:col>24</xdr:col>
      <xdr:colOff>395945</xdr:colOff>
      <xdr:row>6</xdr:row>
      <xdr:rowOff>106090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EF148DD5-F8C8-45F3-87F0-BF218A768265}"/>
            </a:ext>
          </a:extLst>
        </xdr:cNvPr>
        <xdr:cNvSpPr/>
      </xdr:nvSpPr>
      <xdr:spPr>
        <a:xfrm>
          <a:off x="12615252" y="2589325"/>
          <a:ext cx="4118490" cy="91347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l"/>
          <a:r>
            <a:rPr lang="en-IN" sz="2400" b="1">
              <a:solidFill>
                <a:schemeClr val="dk1"/>
              </a:solidFill>
              <a:latin typeface="+mn-lt"/>
              <a:ea typeface="+mn-ea"/>
              <a:cs typeface="+mn-cs"/>
            </a:rPr>
            <a:t>Delhivery Net Profit</a:t>
          </a:r>
        </a:p>
      </xdr:txBody>
    </xdr:sp>
    <xdr:clientData/>
  </xdr:twoCellAnchor>
  <xdr:oneCellAnchor>
    <xdr:from>
      <xdr:col>2</xdr:col>
      <xdr:colOff>391887</xdr:colOff>
      <xdr:row>5</xdr:row>
      <xdr:rowOff>435429</xdr:rowOff>
    </xdr:from>
    <xdr:ext cx="1262742" cy="405432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3634C077-3910-1965-1012-8162E294906F}"/>
            </a:ext>
          </a:extLst>
        </xdr:cNvPr>
        <xdr:cNvSpPr txBox="1"/>
      </xdr:nvSpPr>
      <xdr:spPr>
        <a:xfrm>
          <a:off x="2623458" y="2819400"/>
          <a:ext cx="126274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000" b="1"/>
            <a:t>( ₹ 971 Cr)</a:t>
          </a:r>
        </a:p>
      </xdr:txBody>
    </xdr:sp>
    <xdr:clientData/>
  </xdr:oneCellAnchor>
  <xdr:oneCellAnchor>
    <xdr:from>
      <xdr:col>8</xdr:col>
      <xdr:colOff>152400</xdr:colOff>
      <xdr:row>5</xdr:row>
      <xdr:rowOff>424544</xdr:rowOff>
    </xdr:from>
    <xdr:ext cx="1197429" cy="468013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9F42272B-4829-EFF4-75BE-FD77760546D2}"/>
            </a:ext>
          </a:extLst>
        </xdr:cNvPr>
        <xdr:cNvSpPr txBox="1"/>
      </xdr:nvSpPr>
      <xdr:spPr>
        <a:xfrm>
          <a:off x="6792686" y="2808515"/>
          <a:ext cx="1197429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400" b="1"/>
            <a:t>₹</a:t>
          </a:r>
          <a:r>
            <a:rPr lang="en-IN" sz="2400" b="1" baseline="0"/>
            <a:t> 21 Cr</a:t>
          </a:r>
          <a:endParaRPr lang="en-IN" sz="2400" b="1"/>
        </a:p>
      </xdr:txBody>
    </xdr:sp>
    <xdr:clientData/>
  </xdr:oneCellAnchor>
  <xdr:oneCellAnchor>
    <xdr:from>
      <xdr:col>15</xdr:col>
      <xdr:colOff>323851</xdr:colOff>
      <xdr:row>5</xdr:row>
      <xdr:rowOff>443593</xdr:rowOff>
    </xdr:from>
    <xdr:ext cx="1323119" cy="405432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9B09886-F8E6-2E89-0758-F64B0ABE03E5}"/>
            </a:ext>
          </a:extLst>
        </xdr:cNvPr>
        <xdr:cNvSpPr txBox="1"/>
      </xdr:nvSpPr>
      <xdr:spPr>
        <a:xfrm>
          <a:off x="11250387" y="2824843"/>
          <a:ext cx="132311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2000" b="1">
              <a:solidFill>
                <a:schemeClr val="tx1"/>
              </a:solidFill>
            </a:rPr>
            <a:t>( ₹</a:t>
          </a:r>
          <a:r>
            <a:rPr lang="en-IN" sz="2000" b="1" baseline="0">
              <a:solidFill>
                <a:schemeClr val="tx1"/>
              </a:solidFill>
            </a:rPr>
            <a:t> 121 Cr </a:t>
          </a:r>
          <a:r>
            <a:rPr lang="en-IN" sz="2000" b="1" baseline="0"/>
            <a:t>)</a:t>
          </a:r>
          <a:endParaRPr lang="en-IN" sz="2000" b="1"/>
        </a:p>
      </xdr:txBody>
    </xdr:sp>
    <xdr:clientData/>
  </xdr:oneCellAnchor>
  <xdr:oneCellAnchor>
    <xdr:from>
      <xdr:col>22</xdr:col>
      <xdr:colOff>253092</xdr:colOff>
      <xdr:row>5</xdr:row>
      <xdr:rowOff>459921</xdr:rowOff>
    </xdr:from>
    <xdr:ext cx="1386020" cy="655949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1486A5E-9361-6D16-198E-982E858E30F1}"/>
            </a:ext>
          </a:extLst>
        </xdr:cNvPr>
        <xdr:cNvSpPr txBox="1"/>
      </xdr:nvSpPr>
      <xdr:spPr>
        <a:xfrm>
          <a:off x="15432132" y="2837361"/>
          <a:ext cx="1386020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800" b="1"/>
            <a:t>(</a:t>
          </a:r>
          <a:r>
            <a:rPr lang="en-IN" sz="1800" b="1" baseline="0"/>
            <a:t> ₹ 1,008 Cr )</a:t>
          </a:r>
        </a:p>
        <a:p>
          <a:endParaRPr lang="en-IN" sz="1800" b="1"/>
        </a:p>
      </xdr:txBody>
    </xdr:sp>
    <xdr:clientData/>
  </xdr:one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0.11568</cdr:x>
      <cdr:y>0.13272</cdr:y>
    </cdr:from>
    <cdr:to>
      <cdr:x>0.35464</cdr:x>
      <cdr:y>0.52161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4777025-9226-C072-F2CE-27DD2E9F7177}"/>
            </a:ext>
          </a:extLst>
        </cdr:cNvPr>
        <cdr:cNvSpPr txBox="1"/>
      </cdr:nvSpPr>
      <cdr:spPr>
        <a:xfrm xmlns:a="http://schemas.openxmlformats.org/drawingml/2006/main">
          <a:off x="442686" y="31205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0.02655</cdr:x>
      <cdr:y>0.02778</cdr:y>
    </cdr:from>
    <cdr:to>
      <cdr:x>0.2655</cdr:x>
      <cdr:y>0.45679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306EF0B-DCC8-3311-5B54-A9234BF2FE38}"/>
            </a:ext>
          </a:extLst>
        </cdr:cNvPr>
        <cdr:cNvSpPr txBox="1"/>
      </cdr:nvSpPr>
      <cdr:spPr>
        <a:xfrm xmlns:a="http://schemas.openxmlformats.org/drawingml/2006/main">
          <a:off x="101601" y="65314"/>
          <a:ext cx="914400" cy="1008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0.38052</cdr:x>
      <cdr:y>0.30556</cdr:y>
    </cdr:from>
    <cdr:to>
      <cdr:x>0.61948</cdr:x>
      <cdr:y>0.69444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E16D75C-96B3-341C-DF07-206BC9710B64}"/>
            </a:ext>
          </a:extLst>
        </cdr:cNvPr>
        <cdr:cNvSpPr txBox="1"/>
      </cdr:nvSpPr>
      <cdr:spPr>
        <a:xfrm xmlns:a="http://schemas.openxmlformats.org/drawingml/2006/main">
          <a:off x="1456138" y="71845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0.00759</cdr:x>
      <cdr:y>0</cdr:y>
    </cdr:from>
    <cdr:to>
      <cdr:x>0.27309</cdr:x>
      <cdr:y>0.17284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1ED24D1-A19E-8AC0-4AFB-FBE8DDF09754}"/>
            </a:ext>
          </a:extLst>
        </cdr:cNvPr>
        <cdr:cNvSpPr txBox="1"/>
      </cdr:nvSpPr>
      <cdr:spPr>
        <a:xfrm xmlns:a="http://schemas.openxmlformats.org/drawingml/2006/main">
          <a:off x="29029" y="0"/>
          <a:ext cx="1016000" cy="406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200" b="1" kern="1200">
              <a:solidFill>
                <a:schemeClr val="tx1"/>
              </a:solidFill>
            </a:rPr>
            <a:t>REVENUES OF COMPANIES</a:t>
          </a:r>
        </a:p>
        <a:p xmlns:a="http://schemas.openxmlformats.org/drawingml/2006/main">
          <a:endParaRPr lang="en-IN" sz="1100" kern="12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0.18546</cdr:x>
      <cdr:y>0.39103</cdr:y>
    </cdr:from>
    <cdr:to>
      <cdr:x>0.42034</cdr:x>
      <cdr:y>0.72338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07FDABF-FFBC-B9F3-6809-85CC063FF547}"/>
            </a:ext>
          </a:extLst>
        </cdr:cNvPr>
        <cdr:cNvSpPr txBox="1"/>
      </cdr:nvSpPr>
      <cdr:spPr>
        <a:xfrm xmlns:a="http://schemas.openxmlformats.org/drawingml/2006/main">
          <a:off x="722042" y="107586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0.18308</cdr:x>
      <cdr:y>0.38428</cdr:y>
    </cdr:from>
    <cdr:to>
      <cdr:x>0.41795</cdr:x>
      <cdr:y>0.71663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87A2383-A95A-EE3D-D2F5-D179A48A8457}"/>
            </a:ext>
          </a:extLst>
        </cdr:cNvPr>
        <cdr:cNvSpPr txBox="1"/>
      </cdr:nvSpPr>
      <cdr:spPr>
        <a:xfrm xmlns:a="http://schemas.openxmlformats.org/drawingml/2006/main">
          <a:off x="712750" y="105727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0.13773</cdr:x>
      <cdr:y>0.66765</cdr:y>
    </cdr:from>
    <cdr:to>
      <cdr:x>0.3726</cdr:x>
      <cdr:y>1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69415C9-253A-1512-2996-C8465EAADD23}"/>
            </a:ext>
          </a:extLst>
        </cdr:cNvPr>
        <cdr:cNvSpPr txBox="1"/>
      </cdr:nvSpPr>
      <cdr:spPr>
        <a:xfrm xmlns:a="http://schemas.openxmlformats.org/drawingml/2006/main">
          <a:off x="536189" y="183691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1" xr16:uid="{E75C6028-0082-40BE-8372-299C25BBC0A6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Mar 2019" tableColumnId="2"/>
      <queryTableField id="3" name="Mar 2020" tableColumnId="3"/>
      <queryTableField id="4" name="Mar 2021" tableColumnId="4"/>
      <queryTableField id="5" name="Mar 2022" tableColumnId="5"/>
      <queryTableField id="6" name="Mar 2023" tableColumnId="6"/>
      <queryTableField id="7" name="Mar 2024" tableColumnId="7"/>
      <queryTableField id="8" name="Mar 2025" tableColumnId="8"/>
    </queryTableFields>
  </queryTableRefresh>
  <extLst>
    <ext xmlns:x15="http://schemas.microsoft.com/office/spreadsheetml/2010/11/main" uri="{883FBD77-0823-4a55-B5E3-86C4891E6966}">
      <x15:queryTable sourceDataName="Query - mamaearth_P_L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63FE2531-2605-40B5-8A55-FCCBED31DEA6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Mar 2019" tableColumnId="2"/>
      <queryTableField id="3" name="Mar 2020" tableColumnId="3"/>
      <queryTableField id="4" name="Mar 2021" tableColumnId="4"/>
      <queryTableField id="5" name="Mar 2022" tableColumnId="5"/>
      <queryTableField id="6" name="Mar 2023" tableColumnId="6"/>
      <queryTableField id="7" name="Mar 2024" tableColumnId="7"/>
      <queryTableField id="8" name="Mar 2025" tableColumnId="8"/>
    </queryTableFields>
  </queryTableRefresh>
  <extLst>
    <ext xmlns:x15="http://schemas.microsoft.com/office/spreadsheetml/2010/11/main" uri="{883FBD77-0823-4a55-B5E3-86C4891E6966}">
      <x15:queryTable sourceDataName="Query - mamaearth_BL5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2" xr16:uid="{B9E6AF11-7660-4FE7-8668-20FBB88AA9E6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Mar 2019" tableColumnId="2"/>
      <queryTableField id="3" name="Mar 2020" tableColumnId="3"/>
      <queryTableField id="4" name="Mar 2021" tableColumnId="4"/>
      <queryTableField id="5" name="Mar 2022" tableColumnId="5"/>
      <queryTableField id="6" name="Mar 2023" tableColumnId="6"/>
      <queryTableField id="7" name="Mar 2024" tableColumnId="7"/>
      <queryTableField id="8" name="Mar 2025" tableColumnId="8"/>
    </queryTableFields>
  </queryTableRefresh>
  <extLst>
    <ext xmlns:x15="http://schemas.microsoft.com/office/spreadsheetml/2010/11/main" uri="{883FBD77-0823-4a55-B5E3-86C4891E6966}">
      <x15:queryTable sourceDataName="Query - mamaearth_CF6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9" xr16:uid="{D53EC2A1-285A-4E51-BA21-BCEFCB4D4D1A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Mar 2018" tableColumnId="2"/>
      <queryTableField id="3" name="Mar 2019" tableColumnId="3"/>
      <queryTableField id="4" name="Mar 2020" tableColumnId="4"/>
      <queryTableField id="5" name="Mar 2021" tableColumnId="5"/>
      <queryTableField id="6" name="Mar 2022" tableColumnId="6"/>
      <queryTableField id="7" name="Mar 2023" tableColumnId="7"/>
      <queryTableField id="8" name="Mar 2024" tableColumnId="8"/>
      <queryTableField id="9" name="Mar 2025" tableColumnId="9"/>
    </queryTableFields>
  </queryTableRefresh>
  <extLst>
    <ext xmlns:x15="http://schemas.microsoft.com/office/spreadsheetml/2010/11/main" uri="{883FBD77-0823-4a55-B5E3-86C4891E6966}">
      <x15:queryTable sourceDataName="Query - nykaa_P_L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C808AB2A-8240-4C0A-9CAB-7BBFD798E11A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Mar 2018" tableColumnId="2"/>
      <queryTableField id="3" name="Mar 2019" tableColumnId="3"/>
      <queryTableField id="4" name="Mar 2020" tableColumnId="4"/>
      <queryTableField id="5" name="Mar 2021" tableColumnId="5"/>
      <queryTableField id="6" name="Mar 2022" tableColumnId="6"/>
      <queryTableField id="7" name="Mar 2023" tableColumnId="7"/>
      <queryTableField id="8" name="Mar 2024" tableColumnId="8"/>
      <queryTableField id="9" name="Mar 2025" tableColumnId="9"/>
    </queryTableFields>
  </queryTableRefresh>
  <extLst>
    <ext xmlns:x15="http://schemas.microsoft.com/office/spreadsheetml/2010/11/main" uri="{883FBD77-0823-4a55-B5E3-86C4891E6966}">
      <x15:queryTable sourceDataName="Query - nykaa_BL5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7" xr16:uid="{7036F91E-E36E-4A90-A581-079FFF741C86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Mar 2018" tableColumnId="2"/>
      <queryTableField id="3" name="Mar 2019" tableColumnId="3"/>
      <queryTableField id="4" name="Mar 2020" tableColumnId="4"/>
      <queryTableField id="5" name="Mar 2021" tableColumnId="5"/>
      <queryTableField id="6" name="Mar 2022" tableColumnId="6"/>
      <queryTableField id="7" name="Mar 2023" tableColumnId="7"/>
      <queryTableField id="8" name="Mar 2024" tableColumnId="8"/>
      <queryTableField id="9" name="Mar 2025" tableColumnId="9"/>
    </queryTableFields>
  </queryTableRefresh>
  <extLst>
    <ext xmlns:x15="http://schemas.microsoft.com/office/spreadsheetml/2010/11/main" uri="{883FBD77-0823-4a55-B5E3-86C4891E6966}">
      <x15:queryTable sourceDataName="Query - nykaa_CF6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8" xr16:uid="{0F58D20A-F1F7-45F7-92C1-DBC6E6E3A3C9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Mar 2019" tableColumnId="2"/>
      <queryTableField id="3" name="Mar 2020" tableColumnId="3"/>
      <queryTableField id="4" name="Mar 2021" tableColumnId="4"/>
      <queryTableField id="5" name="Mar 2022" tableColumnId="5"/>
      <queryTableField id="6" name="Mar 2023" tableColumnId="6"/>
      <queryTableField id="7" name="Mar 2024" tableColumnId="7"/>
      <queryTableField id="8" name="Mar 2025" tableColumnId="8"/>
    </queryTableFields>
  </queryTableRefresh>
  <extLst>
    <ext xmlns:x15="http://schemas.microsoft.com/office/spreadsheetml/2010/11/main" uri="{883FBD77-0823-4a55-B5E3-86C4891E6966}">
      <x15:queryTable sourceDataName="Query - delhivery_P_L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24433C1-B155-4B23-B6CE-447D1802FD3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Mar 2019" tableColumnId="2"/>
      <queryTableField id="3" name="Mar 2020" tableColumnId="3"/>
      <queryTableField id="4" name="Mar 2021" tableColumnId="4"/>
      <queryTableField id="5" name="Mar 2022" tableColumnId="5"/>
      <queryTableField id="6" name="Mar 2023" tableColumnId="6"/>
      <queryTableField id="7" name="Mar 2024" tableColumnId="7"/>
      <queryTableField id="8" name="Mar 2025" tableColumnId="8"/>
    </queryTableFields>
  </queryTableRefresh>
  <extLst>
    <ext xmlns:x15="http://schemas.microsoft.com/office/spreadsheetml/2010/11/main" uri="{883FBD77-0823-4a55-B5E3-86C4891E6966}">
      <x15:queryTable sourceDataName="Query - delhivery_BL5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6" xr16:uid="{21A38C1A-D349-4A2B-B52A-4368143B822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Mar 2019" tableColumnId="2"/>
      <queryTableField id="3" name="Mar 2020" tableColumnId="3"/>
      <queryTableField id="4" name="Mar 2021" tableColumnId="4"/>
      <queryTableField id="5" name="Mar 2022" tableColumnId="5"/>
      <queryTableField id="6" name="Mar 2023" tableColumnId="6"/>
      <queryTableField id="7" name="Mar 2024" tableColumnId="7"/>
      <queryTableField id="8" name="Mar 2025" tableColumnId="8"/>
    </queryTableFields>
  </queryTableRefresh>
  <extLst>
    <ext xmlns:x15="http://schemas.microsoft.com/office/spreadsheetml/2010/11/main" uri="{883FBD77-0823-4a55-B5E3-86C4891E6966}">
      <x15:queryTable sourceDataName="Query - delhivery_CF6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5" xr16:uid="{32830A3F-8998-4BB4-9353-946426ADB1E0}" autoFormatId="16" applyNumberFormats="0" applyBorderFormats="0" applyFontFormats="0" applyPatternFormats="0" applyAlignmentFormats="0" applyWidthHeightFormats="0">
  <queryTableRefresh nextId="10">
    <queryTableFields count="9">
      <queryTableField id="1" name="Particulars" tableColumnId="1"/>
      <queryTableField id="2" name="Mar 2018" tableColumnId="2"/>
      <queryTableField id="3" name="Mar 2019" tableColumnId="3"/>
      <queryTableField id="4" name="Mar 2020" tableColumnId="4"/>
      <queryTableField id="5" name="Mar 2021" tableColumnId="5"/>
      <queryTableField id="6" name="Mar 2022" tableColumnId="6"/>
      <queryTableField id="7" name="Mar 2023" tableColumnId="7"/>
      <queryTableField id="8" name="Mar 2024" tableColumnId="8"/>
      <queryTableField id="9" name="Mar 2025" tableColumnId="9"/>
    </queryTableFields>
  </queryTableRefresh>
  <extLst>
    <ext xmlns:x15="http://schemas.microsoft.com/office/spreadsheetml/2010/11/main" uri="{883FBD77-0823-4a55-B5E3-86C4891E6966}">
      <x15:queryTable sourceDataName="Query - P_L_Statement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EBD82F4-800D-4275-91EF-44C0C541A7C0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Mar 2018" tableColumnId="2"/>
      <queryTableField id="3" name="Mar 2019" tableColumnId="3"/>
      <queryTableField id="4" name="Mar 2020" tableColumnId="4"/>
      <queryTableField id="5" name="Mar 2021" tableColumnId="5"/>
      <queryTableField id="6" name="Mar 2022" tableColumnId="6"/>
      <queryTableField id="7" name="Mar 2023" tableColumnId="7"/>
      <queryTableField id="8" name="Mar 2024" tableColumnId="8"/>
      <queryTableField id="9" name="Mar 2025" tableColumnId="9"/>
    </queryTableFields>
  </queryTableRefresh>
  <extLst>
    <ext xmlns:x15="http://schemas.microsoft.com/office/spreadsheetml/2010/11/main" uri="{883FBD77-0823-4a55-B5E3-86C4891E6966}">
      <x15:queryTable sourceDataName="Query - Balance_Sheet5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0" xr16:uid="{8DCB94AF-D3EE-4889-813B-E3BA81D593C8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Mar 2018" tableColumnId="2"/>
      <queryTableField id="3" name="Mar 2019" tableColumnId="3"/>
      <queryTableField id="4" name="Mar 2020" tableColumnId="4"/>
      <queryTableField id="5" name="Mar 2021" tableColumnId="5"/>
      <queryTableField id="6" name="Mar 2022" tableColumnId="6"/>
      <queryTableField id="7" name="Mar 2023" tableColumnId="7"/>
      <queryTableField id="8" name="Mar 2024" tableColumnId="8"/>
      <queryTableField id="9" name="Mar 2025" tableColumnId="9"/>
    </queryTableFields>
  </queryTableRefresh>
  <extLst>
    <ext xmlns:x15="http://schemas.microsoft.com/office/spreadsheetml/2010/11/main" uri="{883FBD77-0823-4a55-B5E3-86C4891E6966}">
      <x15:queryTable sourceDataName="Query - Cash_Flows6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5DD8501-B8DA-48E2-8AE8-00027E0AF8E5}" name="mamaearth_PL" displayName="mamaearth_PL" ref="A4:H16" tableType="queryTable" totalsRowShown="0">
  <autoFilter ref="A4:H16" xr:uid="{55DD8501-B8DA-48E2-8AE8-00027E0AF8E5}"/>
  <tableColumns count="8">
    <tableColumn id="1" xr3:uid="{B023D771-E4E3-48A9-96EC-A966AD7AD3F4}" uniqueName="1" name="Particulars" queryTableFieldId="1" dataDxfId="239"/>
    <tableColumn id="2" xr3:uid="{805A7A92-0235-4632-9A2B-873C9E47162C}" uniqueName="2" name="Mar 2019" queryTableFieldId="2"/>
    <tableColumn id="3" xr3:uid="{DE51E8A5-4646-4493-87C7-A2AD4DB02A57}" uniqueName="3" name="Mar 2020" queryTableFieldId="3"/>
    <tableColumn id="4" xr3:uid="{427572EF-CCEA-4C61-91E9-A5BC1766449A}" uniqueName="4" name="Mar 2021" queryTableFieldId="4"/>
    <tableColumn id="5" xr3:uid="{15CA8A4A-15B0-4C88-9FD0-42CCD9393A55}" uniqueName="5" name="Mar 2022" queryTableFieldId="5"/>
    <tableColumn id="6" xr3:uid="{7EE5371D-5F06-4AC0-BB03-7CF3D3ACF85B}" uniqueName="6" name="Mar 2023" queryTableFieldId="6"/>
    <tableColumn id="7" xr3:uid="{A1FAA7A2-7A0D-489A-BD3C-E94C4478BD26}" uniqueName="7" name="Mar 2024" queryTableFieldId="7"/>
    <tableColumn id="8" xr3:uid="{C59E7C24-60E4-4F3F-9EB9-790BE86A1519}" uniqueName="8" name="Mar 2025" queryTableFieldId="8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EDF3664-012B-4C7E-95D6-5F5153BCC17E}" name="mamaearth_BL" displayName="mamaearth_BL" ref="A19:H29" tableType="queryTable" totalsRowShown="0">
  <autoFilter ref="A19:H29" xr:uid="{CEDF3664-012B-4C7E-95D6-5F5153BCC17E}"/>
  <tableColumns count="8">
    <tableColumn id="1" xr3:uid="{CD88CE6F-B94E-4B86-9CF3-657BAC27C0CF}" uniqueName="1" name="Column1" queryTableFieldId="1" dataDxfId="238"/>
    <tableColumn id="2" xr3:uid="{CF148E17-A202-4B50-BC8F-9F75386CBE49}" uniqueName="2" name="Mar 2019" queryTableFieldId="2"/>
    <tableColumn id="3" xr3:uid="{D64C53D1-0CC8-403E-AA60-C40E48C8B8F8}" uniqueName="3" name="Mar 2020" queryTableFieldId="3"/>
    <tableColumn id="4" xr3:uid="{89CDE18F-7D18-41E6-83FA-49303484A46E}" uniqueName="4" name="Mar 2021" queryTableFieldId="4"/>
    <tableColumn id="5" xr3:uid="{015294D3-4818-4C69-BE36-513C8DAB081D}" uniqueName="5" name="Mar 2022" queryTableFieldId="5"/>
    <tableColumn id="6" xr3:uid="{1B251AFB-FFB2-4745-9BF6-2E27F8E5AA78}" uniqueName="6" name="Mar 2023" queryTableFieldId="6"/>
    <tableColumn id="7" xr3:uid="{10ABB1E0-7646-414E-B96D-3710C8BFA330}" uniqueName="7" name="Mar 2024" queryTableFieldId="7"/>
    <tableColumn id="8" xr3:uid="{BB56C71A-ABEB-417D-8305-3050623E4581}" uniqueName="8" name="Mar 2025" queryTableFieldId="8"/>
  </tableColumns>
  <tableStyleInfo name="TableStyleLight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6550192-F136-4955-9D5B-296FE7A36B86}" name="mamaearth_CF" displayName="mamaearth_CF" ref="A32:H36" tableType="queryTable" totalsRowShown="0">
  <autoFilter ref="A32:H36" xr:uid="{96550192-F136-4955-9D5B-296FE7A36B86}"/>
  <tableColumns count="8">
    <tableColumn id="1" xr3:uid="{81E00779-1EBA-4863-ACE2-7BBE18D8719E}" uniqueName="1" name="Column1" queryTableFieldId="1" dataDxfId="237"/>
    <tableColumn id="2" xr3:uid="{2DA8121F-B01D-4808-93EA-91551A029C69}" uniqueName="2" name="Mar 2019" queryTableFieldId="2"/>
    <tableColumn id="3" xr3:uid="{26235C9C-A94C-4BCE-9CE7-02DBB27F223F}" uniqueName="3" name="Mar 2020" queryTableFieldId="3"/>
    <tableColumn id="4" xr3:uid="{C5E0A06B-D1CE-4B80-9657-F8D1A4526226}" uniqueName="4" name="Mar 2021" queryTableFieldId="4"/>
    <tableColumn id="5" xr3:uid="{673A86BB-C38D-4662-8487-54D270B6103B}" uniqueName="5" name="Mar 2022" queryTableFieldId="5"/>
    <tableColumn id="6" xr3:uid="{57627F48-ECF2-47BE-8FB9-FD79103E4914}" uniqueName="6" name="Mar 2023" queryTableFieldId="6"/>
    <tableColumn id="7" xr3:uid="{F635C90E-C72A-4DBA-B239-AEAB0C00E4A9}" uniqueName="7" name="Mar 2024" queryTableFieldId="7"/>
    <tableColumn id="8" xr3:uid="{943D648E-8CA6-4588-B4CE-1B0D9DBD03F0}" uniqueName="8" name="Mar 2025" queryTableFieldId="8"/>
  </tableColumns>
  <tableStyleInfo name="TableStyleLight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F6DC94-C8E5-4AC2-9E3E-5EB286ABAD4A}" name="Nykaa_PL" displayName="Nykaa_PL" ref="A4:I16" tableType="queryTable" totalsRowShown="0">
  <autoFilter ref="A4:I16" xr:uid="{7FF6DC94-C8E5-4AC2-9E3E-5EB286ABAD4A}"/>
  <tableColumns count="9">
    <tableColumn id="1" xr3:uid="{F727248D-4150-48AA-B64D-0316B1F75E8D}" uniqueName="1" name="Particulars" queryTableFieldId="1" dataDxfId="236"/>
    <tableColumn id="2" xr3:uid="{7B08A030-33EC-45A8-87AA-0386A902C513}" uniqueName="2" name="Mar 2018" queryTableFieldId="2"/>
    <tableColumn id="3" xr3:uid="{2A874AB9-D596-4980-A793-985770CC8CFE}" uniqueName="3" name="Mar 2019" queryTableFieldId="3"/>
    <tableColumn id="4" xr3:uid="{746AE982-BCEF-41D6-BCF1-0D025509B52E}" uniqueName="4" name="Mar 2020" queryTableFieldId="4"/>
    <tableColumn id="5" xr3:uid="{0D920C91-C02D-46B9-9764-31C90246C39C}" uniqueName="5" name="Mar 2021" queryTableFieldId="5"/>
    <tableColumn id="6" xr3:uid="{3B3A764E-8931-4900-9607-22D1F75B3065}" uniqueName="6" name="Mar 2022" queryTableFieldId="6"/>
    <tableColumn id="7" xr3:uid="{F2D73733-5284-4AE2-AD56-762209B6C3E3}" uniqueName="7" name="Mar 2023" queryTableFieldId="7"/>
    <tableColumn id="8" xr3:uid="{0944C88B-BF6C-491F-8CC4-53CE69F375DA}" uniqueName="8" name="Mar 2024" queryTableFieldId="8"/>
    <tableColumn id="9" xr3:uid="{06B05E0C-7781-4899-B7DE-6F4E2A42D9D7}" uniqueName="9" name="Mar 2025" queryTableFieldId="9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6DF3F5C-D618-4FCB-BE66-CA6711112A8E}" name="nykaa_BL" displayName="nykaa_BL" ref="A19:I29" tableType="queryTable" totalsRowShown="0">
  <autoFilter ref="A19:I29" xr:uid="{B6DF3F5C-D618-4FCB-BE66-CA6711112A8E}"/>
  <tableColumns count="9">
    <tableColumn id="1" xr3:uid="{181E44C5-30BD-4CB0-891F-FA6A9EF166BF}" uniqueName="1" name="Column1" queryTableFieldId="1" dataDxfId="235"/>
    <tableColumn id="2" xr3:uid="{3620D7FF-5072-4784-A8DC-C8654F53311E}" uniqueName="2" name="Mar 2018" queryTableFieldId="2"/>
    <tableColumn id="3" xr3:uid="{3C32D8FF-155C-4219-BD33-78DF8BAEA427}" uniqueName="3" name="Mar 2019" queryTableFieldId="3"/>
    <tableColumn id="4" xr3:uid="{D27DFA9D-1AE0-41C8-985D-1B1DAA5947DB}" uniqueName="4" name="Mar 2020" queryTableFieldId="4"/>
    <tableColumn id="5" xr3:uid="{A88829D9-3285-4048-AAC8-CBA37D5D4337}" uniqueName="5" name="Mar 2021" queryTableFieldId="5"/>
    <tableColumn id="6" xr3:uid="{CBA57492-184E-4AAB-B5C0-E8427EDC4FB0}" uniqueName="6" name="Mar 2022" queryTableFieldId="6"/>
    <tableColumn id="7" xr3:uid="{163E3FEB-44D2-4F94-B5AD-F604C2A01F8E}" uniqueName="7" name="Mar 2023" queryTableFieldId="7"/>
    <tableColumn id="8" xr3:uid="{4F7BBB94-5548-4272-8374-887906D76514}" uniqueName="8" name="Mar 2024" queryTableFieldId="8"/>
    <tableColumn id="9" xr3:uid="{9DBC6F7A-5382-44B9-A911-043954343C78}" uniqueName="9" name="Mar 2025" queryTableFieldId="9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59A87C6-81DF-4497-BACD-473AC67560BC}" name="nykaa_CF" displayName="nykaa_CF" ref="A32:I36" tableType="queryTable" totalsRowShown="0">
  <autoFilter ref="A32:I36" xr:uid="{159A87C6-81DF-4497-BACD-473AC67560BC}"/>
  <tableColumns count="9">
    <tableColumn id="1" xr3:uid="{88E1F81F-C1CE-4D9A-B80B-3A51166B4C4B}" uniqueName="1" name="Column1" queryTableFieldId="1" dataDxfId="234"/>
    <tableColumn id="2" xr3:uid="{CD17CA02-B634-4D90-9347-F1352309EE66}" uniqueName="2" name="Mar 2018" queryTableFieldId="2"/>
    <tableColumn id="3" xr3:uid="{7C321F9E-DFC0-482B-87D2-EB473AAB3C39}" uniqueName="3" name="Mar 2019" queryTableFieldId="3"/>
    <tableColumn id="4" xr3:uid="{99633618-B908-4A56-A6E2-8652B9EB07EB}" uniqueName="4" name="Mar 2020" queryTableFieldId="4"/>
    <tableColumn id="5" xr3:uid="{B6DE611B-9426-4DFD-9EE2-C6C4FE7CA42C}" uniqueName="5" name="Mar 2021" queryTableFieldId="5"/>
    <tableColumn id="6" xr3:uid="{D48E0F3A-E6BC-40BD-BC67-E25BDB238D78}" uniqueName="6" name="Mar 2022" queryTableFieldId="6"/>
    <tableColumn id="7" xr3:uid="{337D924C-1439-4EFA-9DD4-E0F4CCAC9328}" uniqueName="7" name="Mar 2023" queryTableFieldId="7"/>
    <tableColumn id="8" xr3:uid="{F253D89B-785E-40AB-A473-4F0DA06928C8}" uniqueName="8" name="Mar 2024" queryTableFieldId="8"/>
    <tableColumn id="9" xr3:uid="{4E72C753-C935-4475-9C96-449169FE7C5A}" uniqueName="9" name="Mar 2025" queryTableFieldId="9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4D2356-9C9A-47CC-B560-A8CABDB2BFFC}" name="delhivery_PL" displayName="delhivery_PL" ref="A4:H16" tableType="queryTable" totalsRowShown="0" headerRowDxfId="233" dataDxfId="232">
  <autoFilter ref="A4:H16" xr:uid="{BA4D2356-9C9A-47CC-B560-A8CABDB2BFFC}"/>
  <tableColumns count="8">
    <tableColumn id="1" xr3:uid="{FA98AC70-ADA4-4DE4-B398-94AD9B820325}" uniqueName="1" name="Particulars" queryTableFieldId="1" dataDxfId="231"/>
    <tableColumn id="2" xr3:uid="{05E20DDA-654B-4705-B7DE-C9163FA2A581}" uniqueName="2" name="Mar 2019" queryTableFieldId="2" dataDxfId="230"/>
    <tableColumn id="3" xr3:uid="{1F160EF8-C22F-4F90-BF5D-59B3B644CC96}" uniqueName="3" name="Mar 2020" queryTableFieldId="3" dataDxfId="229"/>
    <tableColumn id="4" xr3:uid="{67DD0EA2-CA40-456C-9BD5-957537C585C9}" uniqueName="4" name="Mar 2021" queryTableFieldId="4" dataDxfId="228"/>
    <tableColumn id="5" xr3:uid="{54B09731-790F-447B-AB6E-3114DBCAA530}" uniqueName="5" name="Mar 2022" queryTableFieldId="5" dataDxfId="227"/>
    <tableColumn id="6" xr3:uid="{6DE340F1-297A-4E99-AC0E-F45FC2115C34}" uniqueName="6" name="Mar 2023" queryTableFieldId="6" dataDxfId="226"/>
    <tableColumn id="7" xr3:uid="{2726916B-7816-4BE8-8104-ED1B326C8CAC}" uniqueName="7" name="Mar 2024" queryTableFieldId="7" dataDxfId="225"/>
    <tableColumn id="8" xr3:uid="{C87E7234-7826-424C-9CB2-142F0E4A60B4}" uniqueName="8" name="Mar 2025" queryTableFieldId="8" dataDxfId="224"/>
  </tableColumns>
  <tableStyleInfo name="TableStyleLight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FDF9E5-88B8-46ED-B233-86F33592BC43}" name="Delhivery_BL" displayName="Delhivery_BL" ref="A19:H29" tableType="queryTable" totalsRowShown="0">
  <autoFilter ref="A19:H29" xr:uid="{24FDF9E5-88B8-46ED-B233-86F33592BC43}"/>
  <tableColumns count="8">
    <tableColumn id="1" xr3:uid="{4B8D56CB-CC52-41E3-8C75-45648FBA30D2}" uniqueName="1" name="Column1" queryTableFieldId="1" dataDxfId="223"/>
    <tableColumn id="2" xr3:uid="{2DF9E444-62ED-4EAB-8D23-4F0E6D223759}" uniqueName="2" name="Mar 2019" queryTableFieldId="2"/>
    <tableColumn id="3" xr3:uid="{F9074ED2-EE98-4EFA-A64C-065E0F50104D}" uniqueName="3" name="Mar 2020" queryTableFieldId="3"/>
    <tableColumn id="4" xr3:uid="{52FAC69A-F2DA-44E6-806D-2FB42CFBDAF2}" uniqueName="4" name="Mar 2021" queryTableFieldId="4"/>
    <tableColumn id="5" xr3:uid="{40ABCF86-0206-4803-8DC5-4F3E09A5FBE9}" uniqueName="5" name="Mar 2022" queryTableFieldId="5"/>
    <tableColumn id="6" xr3:uid="{F4EA38DC-6528-4944-9AB8-5FD96C73FE3E}" uniqueName="6" name="Mar 2023" queryTableFieldId="6"/>
    <tableColumn id="7" xr3:uid="{626103BC-ACD9-491D-B516-61F09BA5D0FB}" uniqueName="7" name="Mar 2024" queryTableFieldId="7"/>
    <tableColumn id="8" xr3:uid="{8EC8601C-9648-43FB-B2F5-EDA822B58172}" uniqueName="8" name="Mar 2025" queryTableFieldId="8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FD1635-27D5-4675-8F03-7AD7E7772FDD}" name="delhivery_CF" displayName="delhivery_CF" ref="A32:H36" tableType="queryTable" totalsRowShown="0">
  <autoFilter ref="A32:H36" xr:uid="{CAFD1635-27D5-4675-8F03-7AD7E7772FDD}"/>
  <tableColumns count="8">
    <tableColumn id="1" xr3:uid="{A004A98E-17F3-4227-BBAB-8761960115EA}" uniqueName="1" name="Column1" queryTableFieldId="1" dataDxfId="222"/>
    <tableColumn id="2" xr3:uid="{C4C3CEAC-C58C-4E60-85F5-34F803D0CCA6}" uniqueName="2" name="Mar 2019" queryTableFieldId="2"/>
    <tableColumn id="3" xr3:uid="{CDA59A84-2656-4C14-BB20-CD3982C9908F}" uniqueName="3" name="Mar 2020" queryTableFieldId="3"/>
    <tableColumn id="4" xr3:uid="{71FD9FE9-3381-4D4F-B81C-002E32C937D4}" uniqueName="4" name="Mar 2021" queryTableFieldId="4"/>
    <tableColumn id="5" xr3:uid="{E70FF767-D603-4E3A-821E-875CDA47B3B3}" uniqueName="5" name="Mar 2022" queryTableFieldId="5"/>
    <tableColumn id="6" xr3:uid="{BAFD72AB-C2E8-49A3-A2A0-13D7141180DB}" uniqueName="6" name="Mar 2023" queryTableFieldId="6"/>
    <tableColumn id="7" xr3:uid="{B7A9EDF0-FACE-4AD1-96FE-027E80AE34F4}" uniqueName="7" name="Mar 2024" queryTableFieldId="7"/>
    <tableColumn id="8" xr3:uid="{CE52FB6D-7697-4849-9B34-D28F2D0A1771}" uniqueName="8" name="Mar 2025" queryTableFieldId="8"/>
  </tableColumns>
  <tableStyleInfo name="TableStyleLight1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EBD0D00-9F61-4688-87A6-EB16C10FB1DF}" name="ZOMATO_PL" displayName="ZOMATO_PL" ref="A4:I16" tableType="queryTable" totalsRowShown="0" headerRowDxfId="221" dataDxfId="220">
  <autoFilter ref="A4:I16" xr:uid="{6EBD0D00-9F61-4688-87A6-EB16C10FB1DF}"/>
  <tableColumns count="9">
    <tableColumn id="1" xr3:uid="{7B790BA3-100B-4598-A857-1C9109643DC7}" uniqueName="1" name="Particulars" queryTableFieldId="1" dataDxfId="219"/>
    <tableColumn id="2" xr3:uid="{92C8EC96-9CAA-4BBA-8698-C85BD141D9E1}" uniqueName="2" name="Mar 2018" queryTableFieldId="2" dataDxfId="218"/>
    <tableColumn id="3" xr3:uid="{0C4F4DD4-DFBC-464E-A9D0-B2C750F84647}" uniqueName="3" name="Mar 2019" queryTableFieldId="3" dataDxfId="217"/>
    <tableColumn id="4" xr3:uid="{D1EAD562-EE41-469A-B40E-6CE7C94D4E6C}" uniqueName="4" name="Mar 2020" queryTableFieldId="4" dataDxfId="216"/>
    <tableColumn id="5" xr3:uid="{C9807FCD-2A35-46D7-955D-FA606B41BBEB}" uniqueName="5" name="Mar 2021" queryTableFieldId="5" dataDxfId="215"/>
    <tableColumn id="6" xr3:uid="{8C764F9B-BEC4-4E6A-A1E8-B2E1380BB3C4}" uniqueName="6" name="Mar 2022" queryTableFieldId="6" dataDxfId="214"/>
    <tableColumn id="7" xr3:uid="{A974D56C-519D-43F5-8035-B68EAF647636}" uniqueName="7" name="Mar 2023" queryTableFieldId="7" dataDxfId="213"/>
    <tableColumn id="8" xr3:uid="{027256AD-8F37-4AE9-BE70-3071F4642DAC}" uniqueName="8" name="Mar 2024" queryTableFieldId="8" dataDxfId="212"/>
    <tableColumn id="9" xr3:uid="{EA9CE516-7CA1-4CE1-840D-7E30F295C42A}" uniqueName="9" name="Mar 2025" queryTableFieldId="9" dataDxfId="211"/>
  </tableColumns>
  <tableStyleInfo name="TableStyleLight1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AC26547-D156-485C-B37F-B7ED5AC506B4}" name="ZOMATO_BL" displayName="ZOMATO_BL" ref="A19:I29" tableType="queryTable" totalsRowShown="0" headerRowDxfId="210" dataDxfId="209">
  <autoFilter ref="A19:I29" xr:uid="{3AC26547-D156-485C-B37F-B7ED5AC506B4}"/>
  <tableColumns count="9">
    <tableColumn id="1" xr3:uid="{5E2591B7-98D4-422A-8E32-2C26664C6817}" uniqueName="1" name="Column1" queryTableFieldId="1" dataDxfId="208"/>
    <tableColumn id="2" xr3:uid="{4DCCBC00-EE34-4F1C-A7AC-68223D8201F0}" uniqueName="2" name="Mar 2018" queryTableFieldId="2" dataDxfId="207"/>
    <tableColumn id="3" xr3:uid="{130A8119-EFCA-4720-9355-D6E08E5ABA4A}" uniqueName="3" name="Mar 2019" queryTableFieldId="3" dataDxfId="206"/>
    <tableColumn id="4" xr3:uid="{99728A8A-D36C-4BB0-9624-3A8A85479AF1}" uniqueName="4" name="Mar 2020" queryTableFieldId="4" dataDxfId="205"/>
    <tableColumn id="5" xr3:uid="{66D2BFA5-C8CC-4FD7-8B3C-D4D1286FFC1E}" uniqueName="5" name="Mar 2021" queryTableFieldId="5" dataDxfId="204"/>
    <tableColumn id="6" xr3:uid="{B22AA10A-0F70-4ADD-A7A4-7644F9C2854B}" uniqueName="6" name="Mar 2022" queryTableFieldId="6" dataDxfId="203"/>
    <tableColumn id="7" xr3:uid="{3621057F-618B-493A-B4DA-D309865FC75F}" uniqueName="7" name="Mar 2023" queryTableFieldId="7" dataDxfId="202"/>
    <tableColumn id="8" xr3:uid="{ED5191E8-30B7-459A-9141-79769EAC9DA0}" uniqueName="8" name="Mar 2024" queryTableFieldId="8" dataDxfId="201"/>
    <tableColumn id="9" xr3:uid="{C23C2928-A850-4E93-9D80-E660D46EA762}" uniqueName="9" name="Mar 2025" queryTableFieldId="9" dataDxfId="200"/>
  </tableColumns>
  <tableStyleInfo name="TableStyleLight1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9639AF4-9DA3-478D-BF4B-95EC7E7813E5}" name="ZOMATO_CF" displayName="ZOMATO_CF" ref="A32:I36" tableType="queryTable" totalsRowShown="0" headerRowDxfId="199">
  <autoFilter ref="A32:I36" xr:uid="{A9639AF4-9DA3-478D-BF4B-95EC7E7813E5}"/>
  <tableColumns count="9">
    <tableColumn id="1" xr3:uid="{01972E71-7CCA-4A10-835B-2ECA2AFEC481}" uniqueName="1" name="Column1" queryTableFieldId="1" dataDxfId="198"/>
    <tableColumn id="2" xr3:uid="{BACD5415-2287-4410-B240-E04D5D0D27CD}" uniqueName="2" name="Mar 2018" queryTableFieldId="2" dataDxfId="197"/>
    <tableColumn id="3" xr3:uid="{3C41317B-B9FB-4290-B408-0104EF6B41BD}" uniqueName="3" name="Mar 2019" queryTableFieldId="3" dataDxfId="196"/>
    <tableColumn id="4" xr3:uid="{E9429B03-CD6F-4095-ADB3-044AEC7C8CC2}" uniqueName="4" name="Mar 2020" queryTableFieldId="4"/>
    <tableColumn id="5" xr3:uid="{8595D959-E892-4F30-9714-962193E2D6DF}" uniqueName="5" name="Mar 2021" queryTableFieldId="5"/>
    <tableColumn id="6" xr3:uid="{11E4A51A-2675-497A-AF52-072E6CF01E86}" uniqueName="6" name="Mar 2022" queryTableFieldId="6"/>
    <tableColumn id="7" xr3:uid="{1BDFDC4E-964C-4C36-AB0D-EBABB7E5798E}" uniqueName="7" name="Mar 2023" queryTableFieldId="7"/>
    <tableColumn id="8" xr3:uid="{B4888A17-50EB-4310-A1C5-364F87366D06}" uniqueName="8" name="Mar 2024" queryTableFieldId="8"/>
    <tableColumn id="9" xr3:uid="{9098F3EF-4CD4-49F3-BAF1-55D0737F9FAF}" uniqueName="9" name="Mar 2025" queryTableFieldId="9"/>
  </tableColumns>
  <tableStyleInfo name="TableStyleLight1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8506C6-FCF5-4239-B0E4-D7505981F4AC}" name="Table1" displayName="Table1" ref="B8:F20" totalsRowShown="0" headerRowDxfId="195" dataDxfId="194">
  <autoFilter ref="B8:F20" xr:uid="{4C8506C6-FCF5-4239-B0E4-D7505981F4AC}"/>
  <tableColumns count="5">
    <tableColumn id="1" xr3:uid="{05FCD03B-A855-454C-B14C-DDF94ED9F3F5}" name="COMPANY" dataDxfId="193"/>
    <tableColumn id="2" xr3:uid="{F33FCB67-D2EC-44B3-B325-5D04F485D8A8}" name="FINANCIAL YEAR" dataDxfId="192"/>
    <tableColumn id="3" xr3:uid="{214E2D33-52F5-4C2B-8516-2C03C01EC02F}" name="Casf Flow From Operating Activities (CFO)" dataDxfId="191"/>
    <tableColumn id="4" xr3:uid="{82F85FF1-0920-4F3B-9D6F-3E0C6040453E}" name="Cash Flow From Financing Activities (CFF)" dataDxfId="190"/>
    <tableColumn id="5" xr3:uid="{AACA12E9-131B-49E0-A711-8FA167BEA336}" name="CFDR=CFF/CFO" dataDxfId="189" dataCellStyle="Percent">
      <calculatedColumnFormula>E9/D9</calculatedColumnFormula>
    </tableColumn>
  </tableColumns>
  <tableStyleInfo name="TableStyleLight2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B25A04-D2BE-4F2D-9942-2DF955C942D0}" name="Table2" displayName="Table2" ref="I8:I20" totalsRowShown="0" headerRowDxfId="188" dataDxfId="187">
  <autoFilter ref="I8:I20" xr:uid="{74B25A04-D2BE-4F2D-9942-2DF955C942D0}"/>
  <tableColumns count="1">
    <tableColumn id="1" xr3:uid="{B1EF894E-1A68-4370-B99B-4FE3B5370719}" name="Insight" dataDxfId="186"/>
  </tableColumns>
  <tableStyleInfo name="TableStyleLight2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CBD6268-CD1E-4BFA-B264-FCF4785BAD80}" name="Table22" displayName="Table22" ref="B4:G8" totalsRowShown="0" headerRowDxfId="185" dataDxfId="184">
  <tableColumns count="6">
    <tableColumn id="1" xr3:uid="{34708FC8-5A91-434E-AF43-2E8D8CC37807}" name="Company" dataDxfId="183"/>
    <tableColumn id="2" xr3:uid="{357D0BE4-079D-4084-A89E-2587A46249CC}" name="FY21 REVENUE" dataDxfId="182"/>
    <tableColumn id="3" xr3:uid="{7BBFCFE4-ED49-4142-852B-34E14B2A23D3}" name="FY22 REVENUE" dataDxfId="181"/>
    <tableColumn id="4" xr3:uid="{0DD3823F-D777-4A47-A8F0-6F2BDF14B15B}" name="FY23 REVENUE" dataDxfId="180"/>
    <tableColumn id="5" xr3:uid="{321A004C-A260-4736-9D9A-F063F595EAC8}" name="FY22 GROWTH" dataDxfId="179" dataCellStyle="Percent">
      <calculatedColumnFormula>(D5-C5)/C5</calculatedColumnFormula>
    </tableColumn>
    <tableColumn id="6" xr3:uid="{A61C430E-07FD-42C4-98D9-D40D3CE31D69}" name="FY23 GROWTH" dataDxfId="178" dataCellStyle="Percent">
      <calculatedColumnFormula>(E5-D5)/D5</calculatedColumnFormula>
    </tableColumn>
  </tableColumns>
  <tableStyleInfo name="TableStyleLight1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93F484E-2CB5-449E-B49D-880453CAA3BD}" name="Table23" displayName="Table23" ref="B14:G18" totalsRowShown="0" headerRowDxfId="177" dataDxfId="176">
  <tableColumns count="6">
    <tableColumn id="1" xr3:uid="{E078B804-3A73-494A-A6B0-C087FBCCB624}" name="Company" dataDxfId="175"/>
    <tableColumn id="2" xr3:uid="{C87B8FA7-0D3D-40F0-A5F8-AA17092B7D93}" name="FY21 PROFIT" dataDxfId="174"/>
    <tableColumn id="3" xr3:uid="{079C23AB-0C68-474A-A884-BAEDAE547D41}" name="FY22 PROFIT" dataDxfId="173"/>
    <tableColumn id="4" xr3:uid="{9E0B3792-7226-470B-A597-DDBD80D7E544}" name="FY23 PROFIT" dataDxfId="172"/>
    <tableColumn id="5" xr3:uid="{CD28D2B9-BC6D-4490-8A04-9F7F777BBA6A}" name="FY22 GROWTH" dataDxfId="171" dataCellStyle="Percent">
      <calculatedColumnFormula>(D15-C15)/C15</calculatedColumnFormula>
    </tableColumn>
    <tableColumn id="6" xr3:uid="{CD43F3F1-A702-400F-ABE4-C21B21807EE0}" name="FY23 GROWTH" dataDxfId="170" dataCellStyle="Percent">
      <calculatedColumnFormula>(E15-D15)/D15</calculatedColumnFormula>
    </tableColumn>
  </tableColumns>
  <tableStyleInfo name="TableStyleLight1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4636F9AC-0EA4-4D23-958D-D5C39BD834C0}" name="Table1140" displayName="Table1140" ref="D3:E15" totalsRowShown="0" headerRowDxfId="169">
  <tableColumns count="2">
    <tableColumn id="1" xr3:uid="{3B7B22AF-57B6-4745-BAC4-5AEC6E07151C}" name="ZOMATO (Cr)" dataDxfId="168" dataCellStyle="Percent">
      <calculatedColumnFormula>_xlfn.XLOOKUP(B4,ZOMATO_BL[Column1],ZOMATO_BL[Mar 2021])</calculatedColumnFormula>
    </tableColumn>
    <tableColumn id="2" xr3:uid="{BC6E708B-EE9D-49D8-BA1A-F2EA3C037F98}" name="ZOMATO % of Sales" dataDxfId="167" dataCellStyle="Percent">
      <calculatedColumnFormula>D4/$D$4</calculatedColumnFormula>
    </tableColumn>
  </tableColumns>
  <tableStyleInfo name="TableStyleLight15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DC61057-619F-45A6-9091-87B9F2EA59EF}" name="Table1241" displayName="Table1241" ref="G3:H15" totalsRowShown="0" headerRowDxfId="166">
  <tableColumns count="2">
    <tableColumn id="1" xr3:uid="{DE88F38D-0DAA-4729-A815-8DA77CEDA801}" name="NYKAA (Cr)" dataDxfId="165">
      <calculatedColumnFormula>_xlfn.XLOOKUP(B4,nykaa_BL[Column1],nykaa_BL[Mar 2021])</calculatedColumnFormula>
    </tableColumn>
    <tableColumn id="2" xr3:uid="{353C29F8-02E3-4293-9C97-F0897BCACCAD}" name="NYKAA % Of Sales" dataDxfId="164" dataCellStyle="Percent">
      <calculatedColumnFormula>G4/$G$4</calculatedColumnFormula>
    </tableColumn>
  </tableColumns>
  <tableStyleInfo name="TableStyleLight15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A5B4F2C-2675-4347-A570-2F5824C16EBD}" name="Table1642" displayName="Table1642" ref="J3:K15" totalsRowShown="0" headerRowDxfId="163">
  <tableColumns count="2">
    <tableColumn id="1" xr3:uid="{E3D8B8A1-FA9A-4182-B08D-A5BA8D79A363}" name="MAMAEARTH (Cr)" dataDxfId="162" dataCellStyle="Percent">
      <calculatedColumnFormula>_xlfn.XLOOKUP(B4,mamaearth_BL[Column1],mamaearth_BL[Mar 2021])</calculatedColumnFormula>
    </tableColumn>
    <tableColumn id="2" xr3:uid="{B30F4880-E642-416D-9AF6-462919D4E28F}" name="MAMAEARTH % Of Sales" dataDxfId="161" dataCellStyle="Percent">
      <calculatedColumnFormula>J4/$J$4</calculatedColumnFormula>
    </tableColumn>
  </tableColumns>
  <tableStyleInfo name="TableStyleLight15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169BFEE6-E909-44FC-B776-BD80CB21DDA4}" name="Table1743" displayName="Table1743" ref="M3:N15" totalsRowShown="0" headerRowDxfId="160">
  <tableColumns count="2">
    <tableColumn id="1" xr3:uid="{E386DA44-3472-4DBC-BD49-FC8207F90FFB}" name="DELHIVERY (Cr)" dataDxfId="159">
      <calculatedColumnFormula>_xlfn.XLOOKUP(B4,Delhivery_BL[Column1],Delhivery_BL[Mar 2021])</calculatedColumnFormula>
    </tableColumn>
    <tableColumn id="2" xr3:uid="{926276E5-E062-4E9A-8E73-71E3FA82FDD3}" name="DELHIVERY % Of Sales" dataDxfId="158" dataCellStyle="Percent">
      <calculatedColumnFormula>M4/$M$4</calculatedColumnFormula>
    </tableColumn>
  </tableColumns>
  <tableStyleInfo name="TableStyleLight15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100C288-A87B-42EB-A4A1-017D394FC2DC}" name="Table3144" displayName="Table3144" ref="D18:E30" totalsRowShown="0" headerRowDxfId="157">
  <tableColumns count="2">
    <tableColumn id="1" xr3:uid="{2C3FDF14-7194-4B1C-B61C-517AB5B26C92}" name="ZOMATO (Cr)" dataDxfId="156">
      <calculatedColumnFormula>_xlfn.XLOOKUP(B19,ZOMATO_BL[Column1],ZOMATO_BL[Mar 2022])</calculatedColumnFormula>
    </tableColumn>
    <tableColumn id="2" xr3:uid="{10F02BA5-B047-4E51-9E7A-1DB52E1E935E}" name="ZOMATO % of Sales" dataDxfId="155" dataCellStyle="Percent">
      <calculatedColumnFormula>D19/$D$19</calculatedColumnFormula>
    </tableColumn>
  </tableColumns>
  <tableStyleInfo name="TableStyleLight15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50AC37A1-5E29-49E5-81F8-21326D7DB2C7}" name="Table3245" displayName="Table3245" ref="G18:H30" totalsRowShown="0" headerRowDxfId="154">
  <tableColumns count="2">
    <tableColumn id="1" xr3:uid="{29266ED6-CCF0-423D-BB6F-5242839D91BC}" name="NYKAA (Cr)" dataDxfId="153">
      <calculatedColumnFormula>_xlfn.XLOOKUP(B19,'NYKAA ltd.'!A19:A28,'NYKAA ltd.'!F19:F28)</calculatedColumnFormula>
    </tableColumn>
    <tableColumn id="2" xr3:uid="{7177993F-5C94-470E-85CD-8967D250C593}" name="NYKAA % Of Sales" dataDxfId="152" dataCellStyle="Percent">
      <calculatedColumnFormula>G19/$G$19</calculatedColumnFormula>
    </tableColumn>
  </tableColumns>
  <tableStyleInfo name="TableStyleLight15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370E8EA8-9065-48AA-A774-8ABC65CF58D8}" name="Table3346" displayName="Table3346" ref="J18:K30" totalsRowShown="0" headerRowDxfId="151">
  <tableColumns count="2">
    <tableColumn id="1" xr3:uid="{6819DAD9-7A52-486F-9104-18877E062FBC}" name="MAMAEARTH (Cr)" dataDxfId="150">
      <calculatedColumnFormula>_xlfn.XLOOKUP(B19,mamaearth_BL[Column1],mamaearth_BL[Mar 2022])</calculatedColumnFormula>
    </tableColumn>
    <tableColumn id="2" xr3:uid="{BD3F4C7F-5E02-4464-BB13-BA3FE3366E8A}" name="MAMAEARTH % Of Sales" dataDxfId="149" dataCellStyle="Percent">
      <calculatedColumnFormula>J19/$J$19</calculatedColumnFormula>
    </tableColumn>
  </tableColumns>
  <tableStyleInfo name="TableStyleLight15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E956A908-6BCD-4EB8-87DA-58D336E7F017}" name="Table3447" displayName="Table3447" ref="M18:N30" totalsRowShown="0" headerRowDxfId="148">
  <tableColumns count="2">
    <tableColumn id="1" xr3:uid="{57458993-AA98-4BD5-A5A0-5B0876D4669D}" name="DELHIVERY (Cr)" dataDxfId="147">
      <calculatedColumnFormula>_xlfn.XLOOKUP(B19,Delhivery_BL[Column1],Delhivery_BL[Mar 2022])</calculatedColumnFormula>
    </tableColumn>
    <tableColumn id="2" xr3:uid="{EF0152B3-2830-4872-B298-5EE14A53C846}" name="DELHIVERY % Of Sales" dataDxfId="146" dataCellStyle="Percent">
      <calculatedColumnFormula>M19/$M$19</calculatedColumnFormula>
    </tableColumn>
  </tableColumns>
  <tableStyleInfo name="TableStyleLight15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1C00A96-4512-4030-B523-1019C35D5C20}" name="Table3548" displayName="Table3548" ref="D33:E45" totalsRowShown="0" headerRowDxfId="145">
  <tableColumns count="2">
    <tableColumn id="1" xr3:uid="{E62ACB66-C8D4-4DA9-9A4F-C3B777648ABF}" name="ZOMATO (Cr)" dataDxfId="144">
      <calculatedColumnFormula>_xlfn.XLOOKUP(B34,ZOMATO_BL[Column1],ZOMATO_BL[Mar 2023])</calculatedColumnFormula>
    </tableColumn>
    <tableColumn id="2" xr3:uid="{7EA97071-AB02-4E0A-936C-2ABBAE4D0238}" name="ZOMATO % of Sales" dataDxfId="143" dataCellStyle="Percent">
      <calculatedColumnFormula>D34/$D$34</calculatedColumnFormula>
    </tableColumn>
  </tableColumns>
  <tableStyleInfo name="TableStyleLight15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8E6382FC-944E-4CF0-985C-E48446D45A9D}" name="Table3649" displayName="Table3649" ref="G33:H45" totalsRowShown="0" headerRowDxfId="142">
  <tableColumns count="2">
    <tableColumn id="1" xr3:uid="{1571A3B6-94DA-4D31-A68F-3BD8759B39AE}" name="NYKAA (Cr)" dataDxfId="141">
      <calculatedColumnFormula>_xlfn.XLOOKUP(B34,nykaa_BL[Column1],nykaa_BL[Mar 2023])</calculatedColumnFormula>
    </tableColumn>
    <tableColumn id="2" xr3:uid="{A1EC19C7-15E5-466D-B7FF-6522192054F6}" name="NYKAA % Of Sales" dataDxfId="140" dataCellStyle="Percent">
      <calculatedColumnFormula>G34/$G$34</calculatedColumnFormula>
    </tableColumn>
  </tableColumns>
  <tableStyleInfo name="TableStyleLight15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4C0CCA61-9ED5-44FE-846C-6E2532A95387}" name="Table3750" displayName="Table3750" ref="J33:K45" totalsRowShown="0" headerRowDxfId="139">
  <tableColumns count="2">
    <tableColumn id="1" xr3:uid="{728052EA-E532-4BE3-A074-D19F0723EC31}" name="MAMAEARTH (Cr)" dataDxfId="138">
      <calculatedColumnFormula>_xlfn.XLOOKUP(B34,mamaearth_BL[Column1],mamaearth_BL[Mar 2023])</calculatedColumnFormula>
    </tableColumn>
    <tableColumn id="2" xr3:uid="{912F9FDA-51C6-4B4A-B0A5-FED812130C91}" name="MAMAEARTH % Of Sales" dataDxfId="137" dataCellStyle="Percent">
      <calculatedColumnFormula>J34/$J$34</calculatedColumnFormula>
    </tableColumn>
  </tableColumns>
  <tableStyleInfo name="TableStyleLight15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3BC35A58-E954-4A1E-ABB0-B0257C762B52}" name="Table3851" displayName="Table3851" ref="M33:N45" totalsRowShown="0" headerRowDxfId="136">
  <tableColumns count="2">
    <tableColumn id="1" xr3:uid="{90105698-7690-4FD1-993D-6B6AA42AD70B}" name="DELHIVERY (Cr)" dataDxfId="135">
      <calculatedColumnFormula>_xlfn.XLOOKUP(B34,Delhivery_BL[Column1],Delhivery_BL[Mar 2023])</calculatedColumnFormula>
    </tableColumn>
    <tableColumn id="2" xr3:uid="{1BD596BC-E093-4C76-9B33-AA1EBA28EC7D}" name="DELHIVERY % Of Sales" dataDxfId="134" dataCellStyle="Percent">
      <calculatedColumnFormula>M34/$M$34</calculatedColumnFormula>
    </tableColumn>
  </tableColumns>
  <tableStyleInfo name="TableStyleLight15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35122CE5-F766-4387-935C-1EB79E5C1A23}" name="Table51" displayName="Table51" ref="B34:B43" totalsRowShown="0" headerRowDxfId="133" dataDxfId="132">
  <tableColumns count="1">
    <tableColumn id="1" xr3:uid="{E0EAB93A-BDA2-4D41-A0D7-E1D736CFCFC5}" name="Total Assets" dataDxfId="131"/>
  </tableColumns>
  <tableStyleInfo name="TableStyleLight15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DA1A4C10-557D-40DA-A949-55D6A2B27BAB}" name="Table52" displayName="Table52" ref="B19:B28" totalsRowShown="0" headerRowDxfId="130" dataDxfId="129">
  <tableColumns count="1">
    <tableColumn id="1" xr3:uid="{17F086C4-3EEA-4BEF-A63A-D9A1E4F1D42E}" name="Total Assets" dataDxfId="128"/>
  </tableColumns>
  <tableStyleInfo name="TableStyleLight15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C661786-94E2-4ED9-BBF8-AF7E90B9CBB0}" name="Table53" displayName="Table53" ref="B4:B13" totalsRowShown="0" headerRowDxfId="127" dataDxfId="126">
  <tableColumns count="1">
    <tableColumn id="1" xr3:uid="{D8F671B3-CB27-468F-8EA3-8A0D317591AD}" name="Total Assets" dataDxfId="125"/>
  </tableColumns>
  <tableStyleInfo name="TableStyleLight15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7EACDB-B635-4166-A667-03D4045FD853}" name="Table517" displayName="Table517" ref="Q47:R56" totalsRowShown="0" headerRowDxfId="3" dataDxfId="2">
  <tableColumns count="2">
    <tableColumn id="1" xr3:uid="{DC1359E2-E1E8-4724-ACF2-038F8125FCCD}" name="Total Assets" dataDxfId="1"/>
    <tableColumn id="2" xr3:uid="{5AAE77F1-CE8B-4167-B43D-89B7C6F4A719}" name="100%" dataDxfId="0"/>
  </tableColumns>
  <tableStyleInfo name="TableStyleLight15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BDA2B2B-9A22-4C01-B419-45B4CB1360CE}" name="Table24" displayName="Table24" ref="B6:J10" totalsRowShown="0" headerRowDxfId="124" dataDxfId="123" dataCellStyle="Percent">
  <autoFilter ref="B6:J10" xr:uid="{DBDA2B2B-9A22-4C01-B419-45B4CB1360CE}"/>
  <tableColumns count="9">
    <tableColumn id="1" xr3:uid="{FC17D80D-07A5-4A07-8DA2-B17A9FBCE7EA}" name="Company" dataDxfId="122"/>
    <tableColumn id="2" xr3:uid="{30AEFBAC-6702-47BF-B5DF-E827C5D05D84}" name="FY 2018" dataDxfId="121"/>
    <tableColumn id="3" xr3:uid="{2238C40C-196F-46B5-8CA1-AEF29BE8CF09}" name="FY 2019" dataDxfId="120" dataCellStyle="Percent"/>
    <tableColumn id="4" xr3:uid="{4139CBAD-39FD-4E15-B179-810670A08608}" name="FY 2020" dataDxfId="119" dataCellStyle="Percent"/>
    <tableColumn id="5" xr3:uid="{897477C3-0726-48DC-BAF6-341AADC67B91}" name="FY 2021" dataDxfId="118" dataCellStyle="Percent"/>
    <tableColumn id="6" xr3:uid="{93D64313-0CB7-43CE-8E1F-1E0113F9DB03}" name="FY 2022" dataDxfId="117" dataCellStyle="Percent"/>
    <tableColumn id="7" xr3:uid="{A9B55025-1935-43DE-801A-D7CD127A5444}" name="FY 2023" dataDxfId="116" dataCellStyle="Percent"/>
    <tableColumn id="8" xr3:uid="{325E36CD-3428-409E-97DF-61A0FF427A9C}" name="FY 2024" dataDxfId="115" dataCellStyle="Percent"/>
    <tableColumn id="9" xr3:uid="{486537D8-10C3-4574-BB76-A0B90F2F67A7}" name="FY 2025" dataDxfId="114" dataCellStyle="Percent"/>
  </tableColumns>
  <tableStyleInfo name="TableStyleMedium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F960AB3-5926-4C71-B730-53E663E55B87}" name="Table25" displayName="Table25" ref="B15:J19" totalsRowShown="0" headerRowDxfId="113" dataDxfId="112" dataCellStyle="Percent">
  <autoFilter ref="B15:J19" xr:uid="{2F960AB3-5926-4C71-B730-53E663E55B87}"/>
  <tableColumns count="9">
    <tableColumn id="1" xr3:uid="{279771DB-33A4-4169-BD8D-BE4C3D7A671C}" name="Company" dataDxfId="111"/>
    <tableColumn id="2" xr3:uid="{41D91E8C-0685-4609-B97B-AAE0F218392D}" name="FY 2018" dataDxfId="110"/>
    <tableColumn id="3" xr3:uid="{E1BA745F-71EF-4BB0-990E-A5ED81B00037}" name="FY 2019" dataDxfId="109" dataCellStyle="Percent"/>
    <tableColumn id="4" xr3:uid="{3667A7E9-A564-4601-893A-D8C537B4DC38}" name="FY 2020" dataDxfId="108" dataCellStyle="Percent"/>
    <tableColumn id="5" xr3:uid="{729C6E1F-933A-49B8-8C9F-CF2CCCEA0A34}" name="FY 2021" dataDxfId="107" dataCellStyle="Percent"/>
    <tableColumn id="6" xr3:uid="{0720E225-C1A9-433E-A816-275C895CBEB8}" name="FY 2022" dataDxfId="106" dataCellStyle="Percent"/>
    <tableColumn id="7" xr3:uid="{A1DBA631-038F-4D4C-8594-3C64258F16A9}" name="FY 2023" dataDxfId="105" dataCellStyle="Percent"/>
    <tableColumn id="8" xr3:uid="{56D9FA15-6821-4BF6-A122-AC2055EF79BE}" name="FY 2024" dataDxfId="104" dataCellStyle="Percent"/>
    <tableColumn id="9" xr3:uid="{F325EB12-AD37-4DDE-8F86-01DD22CE0B35}" name="FY 2025" dataDxfId="103" dataCellStyle="Percent"/>
  </tableColumns>
  <tableStyleInfo name="TableStyleMedium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78323EF-DB87-44A5-AB98-BA39AFC8DF0F}" name="Table26" displayName="Table26" ref="B24:I28" totalsRowShown="0" headerRowDxfId="102" dataDxfId="101" dataCellStyle="Percent">
  <autoFilter ref="B24:I28" xr:uid="{678323EF-DB87-44A5-AB98-BA39AFC8DF0F}"/>
  <tableColumns count="8">
    <tableColumn id="1" xr3:uid="{1F02055F-9004-414E-A793-5C05E93BB371}" name="Company" dataDxfId="100"/>
    <tableColumn id="2" xr3:uid="{ED224320-EB8F-4BD7-85D6-77515EAD0FC0}" name="FY 2019" dataDxfId="99"/>
    <tableColumn id="3" xr3:uid="{FFD3D725-79D4-4393-8D57-FEBB0FDDC23F}" name="FY 2020" dataDxfId="98" dataCellStyle="Percent"/>
    <tableColumn id="4" xr3:uid="{850EF02E-20ED-4282-A072-8D3ABCB6CA62}" name="FY 2021" dataDxfId="97" dataCellStyle="Percent"/>
    <tableColumn id="5" xr3:uid="{08904012-C529-4577-BECC-D00B6A95A0AB}" name="FY 2022" dataDxfId="96" dataCellStyle="Percent"/>
    <tableColumn id="6" xr3:uid="{988EE324-84F5-4DC0-B9A1-6D7C308953BC}" name="FY 2023" dataDxfId="95" dataCellStyle="Percent"/>
    <tableColumn id="7" xr3:uid="{4155476A-09BC-4409-A0F6-B836DD212AA6}" name="FY 2024" dataDxfId="94" dataCellStyle="Percent"/>
    <tableColumn id="8" xr3:uid="{AAA9B55D-A615-4492-B551-E2D9B2177A49}" name="FY 2025" dataDxfId="93" dataCellStyle="Percent"/>
  </tableColumns>
  <tableStyleInfo name="TableStyleMedium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25B6680-165A-4103-A29E-AE03AD5572C0}" name="Table27" displayName="Table27" ref="B33:J37" totalsRowShown="0" headerRowDxfId="92" dataDxfId="91" dataCellStyle="Percent">
  <autoFilter ref="B33:J37" xr:uid="{D25B6680-165A-4103-A29E-AE03AD5572C0}"/>
  <tableColumns count="9">
    <tableColumn id="1" xr3:uid="{615C38A6-B37F-4914-9FBE-3071ECF37B97}" name="Company" dataDxfId="90"/>
    <tableColumn id="2" xr3:uid="{8EBA248D-911E-4D39-8168-763D0B6B4774}" name="FY 2018" dataDxfId="89"/>
    <tableColumn id="3" xr3:uid="{E758F8FF-6344-49C6-90BD-B0D01171B368}" name="FY 2019" dataDxfId="88" dataCellStyle="Percent"/>
    <tableColumn id="4" xr3:uid="{F2D63A7E-7C7E-4D0B-BEA9-04DE42CEDD4A}" name="FY 2020" dataDxfId="87" dataCellStyle="Percent"/>
    <tableColumn id="5" xr3:uid="{91494388-7F8F-4A51-BF66-EDF3EF7D0679}" name="FY 2021" dataDxfId="86" dataCellStyle="Percent"/>
    <tableColumn id="6" xr3:uid="{EB2B2349-3637-46FA-85D1-A9AD5E19A162}" name="FY 2022" dataDxfId="85" dataCellStyle="Percent"/>
    <tableColumn id="7" xr3:uid="{0715C9AA-DE79-4F2B-9CD3-AB556AF67873}" name="FY 2023" dataDxfId="84" dataCellStyle="Percent"/>
    <tableColumn id="8" xr3:uid="{076ADE67-8919-4CB3-A530-E463977DB6A2}" name="FY 2024" dataDxfId="83" dataCellStyle="Percent"/>
    <tableColumn id="9" xr3:uid="{3649C143-7757-4752-A082-99B3A039641A}" name="FY 2025" dataDxfId="82" dataCellStyle="Percent"/>
  </tableColumns>
  <tableStyleInfo name="TableStyleMedium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C41AEA7-EAE9-403C-B2EF-CD40398C902D}" name="Table28" displayName="Table28" ref="B42:J46" totalsRowShown="0" headerRowDxfId="81" dataDxfId="80" dataCellStyle="Percent">
  <autoFilter ref="B42:J46" xr:uid="{1C41AEA7-EAE9-403C-B2EF-CD40398C902D}"/>
  <tableColumns count="9">
    <tableColumn id="1" xr3:uid="{72281FAE-AFED-48C1-AE2C-35A9D8DD275C}" name="Company" dataDxfId="79"/>
    <tableColumn id="2" xr3:uid="{10F20722-CF5F-4BD8-90DA-6CAC4BD77080}" name="FY 2018" dataDxfId="78"/>
    <tableColumn id="3" xr3:uid="{C1AF16A0-9BEA-461E-ABD4-0BAF9704742C}" name="FY 2019" dataDxfId="77" dataCellStyle="Percent"/>
    <tableColumn id="4" xr3:uid="{CE5E2DAE-5A3E-4B7B-A37B-16A14264F184}" name="FY 2020" dataDxfId="76" dataCellStyle="Percent"/>
    <tableColumn id="5" xr3:uid="{8D6BC93B-DE5F-46CF-8683-844EF8201B43}" name="FY 2021" dataDxfId="75" dataCellStyle="Percent"/>
    <tableColumn id="6" xr3:uid="{864A6225-5A8D-4D9E-93F6-10CA8AEF84C4}" name="FY 2022" dataDxfId="74" dataCellStyle="Percent"/>
    <tableColumn id="7" xr3:uid="{06BD2AA6-1095-42F3-B9A8-7B8960D4C3A4}" name="FY 2023" dataDxfId="73" dataCellStyle="Percent"/>
    <tableColumn id="8" xr3:uid="{B4F0FD2F-265C-4B87-B53E-69547DEDCD92}" name="FY 2024" dataDxfId="72" dataCellStyle="Percent"/>
    <tableColumn id="9" xr3:uid="{8BA0A6C4-8029-419D-B72D-3A3867259A99}" name="FY 2025" dataDxfId="71" dataCellStyle="Percent"/>
  </tableColumns>
  <tableStyleInfo name="TableStyleMedium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32C75B6-7C91-4D5E-97C8-116FFFB7E3BD}" name="Table29" displayName="Table29" ref="B51:J55" totalsRowShown="0" headerRowDxfId="70" dataDxfId="69" dataCellStyle="Percent">
  <autoFilter ref="B51:J55" xr:uid="{632C75B6-7C91-4D5E-97C8-116FFFB7E3BD}"/>
  <tableColumns count="9">
    <tableColumn id="1" xr3:uid="{DFCA3085-8063-4BCE-8562-818CAF383869}" name="Company" dataDxfId="68"/>
    <tableColumn id="2" xr3:uid="{BB040471-11A9-4D5F-A203-648E04B926B9}" name="FY 2018" dataDxfId="67"/>
    <tableColumn id="3" xr3:uid="{2687D9CC-7600-4BC6-B95D-F575E2C728A8}" name="FY 2019" dataDxfId="66" dataCellStyle="Percent"/>
    <tableColumn id="4" xr3:uid="{CBD785D5-27AA-40E7-B509-81606D95BE03}" name="FY 2020" dataDxfId="65" dataCellStyle="Percent"/>
    <tableColumn id="5" xr3:uid="{B8E67C99-6388-4588-9C54-28DDA87830F6}" name="FY 2021" dataDxfId="64" dataCellStyle="Percent"/>
    <tableColumn id="6" xr3:uid="{49CFD64D-8F40-4D15-8738-8C29E9747EB7}" name="FY 2022" dataDxfId="63" dataCellStyle="Percent"/>
    <tableColumn id="7" xr3:uid="{6FD1CA5B-5DB3-446D-89C7-C5F027EE4A69}" name="FY 2023" dataDxfId="62" dataCellStyle="Percent"/>
    <tableColumn id="8" xr3:uid="{CE7BB3B6-9E47-426A-921A-3721F9DE9DE9}" name="FY 2024" dataDxfId="61" dataCellStyle="Percent"/>
    <tableColumn id="9" xr3:uid="{BE0C3B95-1326-4D6E-914D-41B9D2927907}" name="FY 2025" dataDxfId="60" dataCellStyle="Percent"/>
  </tableColumns>
  <tableStyleInfo name="TableStyleMedium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7E8FA35-D996-4888-8AE6-F271A5E9DA00}" name="Table8" displayName="Table8" ref="C5:D9" totalsRowShown="0" headerRowDxfId="59" dataDxfId="58">
  <tableColumns count="2">
    <tableColumn id="1" xr3:uid="{4A26B9EC-0A01-437E-A2E9-39291533D35A}" name="COMPANY" dataDxfId="57"/>
    <tableColumn id="2" xr3:uid="{8AD2DB5E-EEA4-430E-8B28-CA31DCD98E6E}" name="ZOMATO" dataDxfId="56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3461491-1D18-487B-8D79-4AD506C1E279}" name="Table821" displayName="Table821" ref="C15:D19" totalsRowShown="0" headerRowDxfId="55" dataDxfId="54">
  <tableColumns count="2">
    <tableColumn id="1" xr3:uid="{51FE94AA-A521-41B8-B7DF-A2BC048E0876}" name="COMPANY" dataDxfId="53"/>
    <tableColumn id="2" xr3:uid="{2EB9A031-8B72-4DE8-A73A-439BC9FAE13F}" name="NYKAA" dataDxfId="52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E2BAD36-BD0D-4404-BBAF-FAB27D581D3F}" name="Table82131" displayName="Table82131" ref="C25:D29" totalsRowShown="0" headerRowDxfId="51" dataDxfId="50">
  <tableColumns count="2">
    <tableColumn id="1" xr3:uid="{31C5EDBE-27A9-432C-8BF1-4C52AB04417E}" name="COMPANY" dataDxfId="49"/>
    <tableColumn id="2" xr3:uid="{0A3D1578-6708-4FE3-832D-F259616A72E9}" name="MAMAEARTH" dataDxfId="48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8DC07389-485F-4653-85B1-1EC6E9A6D51D}" name="Table82155" displayName="Table82155" ref="C35:D39" totalsRowShown="0" headerRowDxfId="47" dataDxfId="46">
  <tableColumns count="2">
    <tableColumn id="1" xr3:uid="{AC80561D-A9A1-4510-899A-D7F59D164AA9}" name="COMPANY" dataDxfId="45"/>
    <tableColumn id="2" xr3:uid="{BFAEFC39-0C5E-4D78-865D-10E3D937A5A5}" name="DELHIVERY" dataDxfId="44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F8BA5454-ED3C-4712-BBF1-1D6A330F6FF6}" name="Table56" displayName="Table56" ref="B16:C23" totalsRowShown="0" headerRowDxfId="43" dataDxfId="42">
  <tableColumns count="2">
    <tableColumn id="1" xr3:uid="{CB90B327-D403-46F4-A51C-90C602606DFB}" name="Select Company" dataDxfId="41"/>
    <tableColumn id="2" xr3:uid="{1CD030E0-B5FD-4128-8465-7221515E55F5}" name="Delhivery" dataDxfId="40" dataCellStyle="Percent"/>
  </tableColumns>
  <tableStyleInfo name="TableStyleMedium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00EA375-9D66-400B-B45B-951CACCC8C99}" name="Table11" displayName="Table11" ref="D3:E15" totalsRowShown="0" headerRowDxfId="39">
  <tableColumns count="2">
    <tableColumn id="1" xr3:uid="{23E77633-4B4F-4C8A-8E46-A9CF5E728E6A}" name="ZOMATO (Cr)" dataDxfId="38" dataCellStyle="Percent">
      <calculatedColumnFormula>_xlfn.XLOOKUP(B4,ZOMATO_PL[Particulars],ZOMATO_PL[Mar 2021])</calculatedColumnFormula>
    </tableColumn>
    <tableColumn id="2" xr3:uid="{49DE7FD8-F89A-4738-AEC7-DA7A3418EFF1}" name="ZOMATO % of Sales" dataDxfId="37" dataCellStyle="Percent">
      <calculatedColumnFormula>D4/$D$4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77203F8-51C3-48F7-AB00-DF2373F18036}" name="Table12" displayName="Table12" ref="G3:H15" totalsRowShown="0" headerRowDxfId="36">
  <tableColumns count="2">
    <tableColumn id="1" xr3:uid="{D1C783C1-88F3-4AA6-87BB-4398BEA1CCD9}" name="NYKAA (Cr)" dataDxfId="35">
      <calculatedColumnFormula>_xlfn.XLOOKUP('Common p&amp;l'!B4,Nykaa_PL[Particulars],Nykaa_PL[Mar 2021])</calculatedColumnFormula>
    </tableColumn>
    <tableColumn id="2" xr3:uid="{981E8ED1-BA72-4B7A-8FFB-1D80D4097B3A}" name="NYKAA % Of Sales" dataDxfId="34" dataCellStyle="Percent">
      <calculatedColumnFormula>G4/$G$4</calculatedColumnFormula>
    </tableColumn>
  </tableColumns>
  <tableStyleInfo name="TableStyleLight15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2A7AC45-EA62-48C2-8335-93EB4E161244}" name="Table16" displayName="Table16" ref="J3:K15" totalsRowShown="0" headerRowDxfId="33">
  <tableColumns count="2">
    <tableColumn id="1" xr3:uid="{5EA8A5E4-5504-40A0-B474-B8A5BFD3EE4C}" name="MAMAEARTH (Cr)" dataDxfId="32" dataCellStyle="Percent">
      <calculatedColumnFormula>_xlfn.XLOOKUP(B4,mamaearth_PL[Particulars],mamaearth_PL[Mar 2021])</calculatedColumnFormula>
    </tableColumn>
    <tableColumn id="2" xr3:uid="{A450D9E3-6BF1-4D95-9C07-C3F07DEA1C92}" name="MAMAEARTH % Of Sales" dataDxfId="31" dataCellStyle="Percent">
      <calculatedColumnFormula>J4/$J$4</calculatedColumnFormula>
    </tableColumn>
  </tableColumns>
  <tableStyleInfo name="TableStyleLight15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9CB6F0B-F38D-4F4B-A30D-5F54652F4F77}" name="Table17" displayName="Table17" ref="M3:N15" totalsRowShown="0" headerRowDxfId="30">
  <tableColumns count="2">
    <tableColumn id="1" xr3:uid="{D67A5950-7A4C-4A87-AACD-7DE3F4C83CB5}" name="DELHIVERY (Cr)" dataDxfId="29">
      <calculatedColumnFormula>_xlfn.XLOOKUP(B4,delhivery_PL[Particulars],delhivery_PL[Mar 2021])</calculatedColumnFormula>
    </tableColumn>
    <tableColumn id="2" xr3:uid="{34F74599-E87A-4DA2-AC14-B3D2B387AD95}" name="DELHIVERY % Of Sales" dataDxfId="28" dataCellStyle="Percent">
      <calculatedColumnFormula>M4/$M$4</calculatedColumnFormula>
    </tableColumn>
  </tableColumns>
  <tableStyleInfo name="TableStyleLight15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E04F82C-3EEB-42AD-9EB7-F5E436EF5E56}" name="Table31" displayName="Table31" ref="D18:E30" totalsRowShown="0" headerRowDxfId="27">
  <tableColumns count="2">
    <tableColumn id="1" xr3:uid="{9DD4EB80-1655-4887-8D5B-BB682654366A}" name="ZOMATO (Cr)" dataDxfId="26">
      <calculatedColumnFormula>_xlfn.XLOOKUP(B19,ZOMATO_PL[Particulars],ZOMATO_PL[Mar 2022])</calculatedColumnFormula>
    </tableColumn>
    <tableColumn id="2" xr3:uid="{3C3B156B-AB8F-4975-A26A-7865181BB28B}" name="ZOMATO % of Sales" dataDxfId="25" dataCellStyle="Percent">
      <calculatedColumnFormula>D19/$D$19</calculatedColumnFormula>
    </tableColumn>
  </tableColumns>
  <tableStyleInfo name="TableStyleLight15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EB75731-42EF-44D8-A3B7-DC129B168339}" name="Table32" displayName="Table32" ref="G18:H30" totalsRowShown="0" headerRowDxfId="24">
  <tableColumns count="2">
    <tableColumn id="1" xr3:uid="{C7AB8EDE-D045-44BB-BA09-02C3B2706786}" name="NYKAA (Cr)" dataDxfId="23">
      <calculatedColumnFormula>_xlfn.XLOOKUP(B19,Nykaa_PL[Particulars],Nykaa_PL[Mar 2022])</calculatedColumnFormula>
    </tableColumn>
    <tableColumn id="2" xr3:uid="{D9FE4793-0F25-481B-99A2-5E7050E500B0}" name="NYKAA % Of Sales" dataDxfId="22" dataCellStyle="Percent">
      <calculatedColumnFormula>G19/$G$19</calculatedColumnFormula>
    </tableColumn>
  </tableColumns>
  <tableStyleInfo name="TableStyleLight15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CABFD6A6-3D0E-47A1-8181-03D33A5BEEE3}" name="Table33" displayName="Table33" ref="J18:K30" totalsRowShown="0" headerRowDxfId="21">
  <tableColumns count="2">
    <tableColumn id="1" xr3:uid="{1D53B06B-B6D8-44E2-8EFF-8FA832DE2C67}" name="MAMAEARTH (Cr)" dataDxfId="20">
      <calculatedColumnFormula>_xlfn.XLOOKUP(B19,mamaearth_PL[Particulars],mamaearth_PL[Mar 2022])</calculatedColumnFormula>
    </tableColumn>
    <tableColumn id="2" xr3:uid="{3F079B77-88BF-450E-88B4-FC4DBDCC3D81}" name="MAMAEARTH % Of Sales" dataDxfId="19" dataCellStyle="Percent">
      <calculatedColumnFormula>J19/$J$19</calculatedColumnFormula>
    </tableColumn>
  </tableColumns>
  <tableStyleInfo name="TableStyleLight15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DDD567D-14CD-43E8-807A-018A0DF39CB7}" name="Table34" displayName="Table34" ref="M18:N30" totalsRowShown="0" headerRowDxfId="18">
  <tableColumns count="2">
    <tableColumn id="1" xr3:uid="{B5C53418-FED7-4B88-85B8-860B1C99D62A}" name="DELHIVERY (Cr)" dataDxfId="17">
      <calculatedColumnFormula>_xlfn.XLOOKUP('Common p&amp;l'!B19,delhivery_PL[Particulars],delhivery_PL[Mar 2022])</calculatedColumnFormula>
    </tableColumn>
    <tableColumn id="2" xr3:uid="{7283EA62-99D1-4A6F-AC57-B2FF5AF86304}" name="DELHIVERY % Of Sales" dataDxfId="16" dataCellStyle="Percent">
      <calculatedColumnFormula>M19/$M$19</calculatedColumnFormula>
    </tableColumn>
  </tableColumns>
  <tableStyleInfo name="TableStyleLight15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4BA04B-3500-476D-BEF5-A6ECAEEBC102}" name="Table35" displayName="Table35" ref="D33:E45" totalsRowShown="0" headerRowDxfId="15">
  <tableColumns count="2">
    <tableColumn id="1" xr3:uid="{30DF558A-6609-4A91-BD63-0DEE8911518F}" name="ZOMATO (Cr)" dataDxfId="14">
      <calculatedColumnFormula>_xlfn.XLOOKUP(B34,ZOMATO_PL[Particulars],ZOMATO_PL[Mar 2023])</calculatedColumnFormula>
    </tableColumn>
    <tableColumn id="2" xr3:uid="{0F7D9A8F-B59D-48C0-9D21-EB5BF9D92F5D}" name="ZOMATO % of Sales" dataDxfId="13" dataCellStyle="Percent">
      <calculatedColumnFormula>D34/$D$34</calculatedColumnFormula>
    </tableColumn>
  </tableColumns>
  <tableStyleInfo name="TableStyleLight15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C3E8D9A4-FD4B-4D16-A775-1ADF015791F8}" name="Table36" displayName="Table36" ref="G33:H45" totalsRowShown="0" headerRowDxfId="12">
  <tableColumns count="2">
    <tableColumn id="1" xr3:uid="{151433D5-2FED-4327-B5A2-56564B77F28D}" name="NYKAA (Cr)" dataDxfId="11">
      <calculatedColumnFormula>_xlfn.XLOOKUP(B34,Nykaa_PL[Particulars],Nykaa_PL[Mar 2023])</calculatedColumnFormula>
    </tableColumn>
    <tableColumn id="2" xr3:uid="{BBA19822-69F6-495E-A2C9-5A885476AFD8}" name="NYKAA % Of Sales" dataDxfId="10" dataCellStyle="Percent">
      <calculatedColumnFormula>G34/$G$34</calculatedColumnFormula>
    </tableColumn>
  </tableColumns>
  <tableStyleInfo name="TableStyleLight15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3479505-1BEC-4F7D-81B5-F3358804922A}" name="Table37" displayName="Table37" ref="J33:K45" totalsRowShown="0" headerRowDxfId="9">
  <tableColumns count="2">
    <tableColumn id="1" xr3:uid="{9F778FDF-B437-4D0F-8AEC-4205E5014FDE}" name="MAMAEARTH (Cr)" dataDxfId="8">
      <calculatedColumnFormula>_xlfn.XLOOKUP(B34,mamaearth_PL[Particulars],mamaearth_PL[Mar 2023])</calculatedColumnFormula>
    </tableColumn>
    <tableColumn id="2" xr3:uid="{809838E2-3B58-422C-A212-C15E8B54A0C3}" name="MAMAEARTH % Of Sales" dataDxfId="7" dataCellStyle="Percent">
      <calculatedColumnFormula>J34/$J$34</calculatedColumnFormula>
    </tableColumn>
  </tableColumns>
  <tableStyleInfo name="TableStyleLight15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E5D2D9EB-F093-4075-8592-8187F857D8C7}" name="Table38" displayName="Table38" ref="M33:N45" totalsRowShown="0" headerRowDxfId="6">
  <tableColumns count="2">
    <tableColumn id="1" xr3:uid="{4DCE7956-0BC3-4068-ACCE-6B73E2327F07}" name="DELHIVERY (Cr)" dataDxfId="5">
      <calculatedColumnFormula>_xlfn.XLOOKUP('Common p&amp;l'!B34,delhivery_PL[Particulars],delhivery_PL[Mar 2023])</calculatedColumnFormula>
    </tableColumn>
    <tableColumn id="2" xr3:uid="{C87AD446-4134-4175-B7D9-0B58748B4540}" name="DELHIVERY % Of Sales" dataDxfId="4" dataCellStyle="Percent">
      <calculatedColumnFormula>M34/$M$34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13" Type="http://schemas.openxmlformats.org/officeDocument/2006/relationships/table" Target="../tables/table28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12" Type="http://schemas.openxmlformats.org/officeDocument/2006/relationships/table" Target="../tables/table27.xml"/><Relationship Id="rId17" Type="http://schemas.openxmlformats.org/officeDocument/2006/relationships/table" Target="../tables/table32.xml"/><Relationship Id="rId2" Type="http://schemas.openxmlformats.org/officeDocument/2006/relationships/table" Target="../tables/table17.xml"/><Relationship Id="rId16" Type="http://schemas.openxmlformats.org/officeDocument/2006/relationships/table" Target="../tables/table31.xml"/><Relationship Id="rId1" Type="http://schemas.openxmlformats.org/officeDocument/2006/relationships/drawing" Target="../drawings/drawing2.xml"/><Relationship Id="rId6" Type="http://schemas.openxmlformats.org/officeDocument/2006/relationships/table" Target="../tables/table21.xml"/><Relationship Id="rId11" Type="http://schemas.openxmlformats.org/officeDocument/2006/relationships/table" Target="../tables/table26.xml"/><Relationship Id="rId5" Type="http://schemas.openxmlformats.org/officeDocument/2006/relationships/table" Target="../tables/table20.xml"/><Relationship Id="rId15" Type="http://schemas.openxmlformats.org/officeDocument/2006/relationships/table" Target="../tables/table30.xml"/><Relationship Id="rId10" Type="http://schemas.openxmlformats.org/officeDocument/2006/relationships/table" Target="../tables/table25.xml"/><Relationship Id="rId4" Type="http://schemas.openxmlformats.org/officeDocument/2006/relationships/table" Target="../tables/table19.xml"/><Relationship Id="rId9" Type="http://schemas.openxmlformats.org/officeDocument/2006/relationships/table" Target="../tables/table24.xml"/><Relationship Id="rId14" Type="http://schemas.openxmlformats.org/officeDocument/2006/relationships/table" Target="../tables/table2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7" Type="http://schemas.openxmlformats.org/officeDocument/2006/relationships/table" Target="../tables/table38.xml"/><Relationship Id="rId2" Type="http://schemas.openxmlformats.org/officeDocument/2006/relationships/table" Target="../tables/table33.xml"/><Relationship Id="rId1" Type="http://schemas.openxmlformats.org/officeDocument/2006/relationships/drawing" Target="../drawings/drawing3.xml"/><Relationship Id="rId6" Type="http://schemas.openxmlformats.org/officeDocument/2006/relationships/table" Target="../tables/table37.xml"/><Relationship Id="rId5" Type="http://schemas.openxmlformats.org/officeDocument/2006/relationships/table" Target="../tables/table36.xml"/><Relationship Id="rId4" Type="http://schemas.openxmlformats.org/officeDocument/2006/relationships/table" Target="../tables/table3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2" Type="http://schemas.openxmlformats.org/officeDocument/2006/relationships/table" Target="../tables/table39.xml"/><Relationship Id="rId1" Type="http://schemas.openxmlformats.org/officeDocument/2006/relationships/drawing" Target="../drawings/drawing4.xml"/><Relationship Id="rId5" Type="http://schemas.openxmlformats.org/officeDocument/2006/relationships/table" Target="../tables/table42.xml"/><Relationship Id="rId4" Type="http://schemas.openxmlformats.org/officeDocument/2006/relationships/table" Target="../tables/table4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1.xml"/><Relationship Id="rId3" Type="http://schemas.openxmlformats.org/officeDocument/2006/relationships/table" Target="../tables/table46.xml"/><Relationship Id="rId7" Type="http://schemas.openxmlformats.org/officeDocument/2006/relationships/table" Target="../tables/table50.xml"/><Relationship Id="rId12" Type="http://schemas.openxmlformats.org/officeDocument/2006/relationships/table" Target="../tables/table55.xml"/><Relationship Id="rId2" Type="http://schemas.openxmlformats.org/officeDocument/2006/relationships/table" Target="../tables/table45.xml"/><Relationship Id="rId1" Type="http://schemas.openxmlformats.org/officeDocument/2006/relationships/table" Target="../tables/table44.xml"/><Relationship Id="rId6" Type="http://schemas.openxmlformats.org/officeDocument/2006/relationships/table" Target="../tables/table49.xml"/><Relationship Id="rId11" Type="http://schemas.openxmlformats.org/officeDocument/2006/relationships/table" Target="../tables/table54.xml"/><Relationship Id="rId5" Type="http://schemas.openxmlformats.org/officeDocument/2006/relationships/table" Target="../tables/table48.xml"/><Relationship Id="rId10" Type="http://schemas.openxmlformats.org/officeDocument/2006/relationships/table" Target="../tables/table53.xml"/><Relationship Id="rId4" Type="http://schemas.openxmlformats.org/officeDocument/2006/relationships/table" Target="../tables/table47.xml"/><Relationship Id="rId9" Type="http://schemas.openxmlformats.org/officeDocument/2006/relationships/table" Target="../tables/table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C2106-68FE-445A-92EE-F5E77508A339}">
  <sheetPr codeName="Sheet4"/>
  <dimension ref="A1:H36"/>
  <sheetViews>
    <sheetView showGridLines="0" zoomScale="93" workbookViewId="0">
      <selection activeCell="F5" sqref="F5"/>
    </sheetView>
  </sheetViews>
  <sheetFormatPr defaultRowHeight="14.4" x14ac:dyDescent="0.3"/>
  <cols>
    <col min="1" max="1" width="30.88671875" customWidth="1"/>
    <col min="2" max="3" width="11.109375" bestFit="1" customWidth="1"/>
    <col min="4" max="4" width="11.6640625" bestFit="1" customWidth="1"/>
    <col min="5" max="8" width="11.109375" bestFit="1" customWidth="1"/>
  </cols>
  <sheetData>
    <row r="1" spans="1:8" s="1" customFormat="1" ht="51.6" customHeight="1" x14ac:dyDescent="0.3">
      <c r="A1" s="4" t="s">
        <v>43</v>
      </c>
    </row>
    <row r="2" spans="1:8" ht="19.2" customHeight="1" x14ac:dyDescent="0.3"/>
    <row r="3" spans="1:8" ht="24.6" customHeight="1" x14ac:dyDescent="0.3">
      <c r="A3" s="3" t="s">
        <v>36</v>
      </c>
    </row>
    <row r="4" spans="1:8" x14ac:dyDescent="0.3">
      <c r="A4" t="s">
        <v>39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</row>
    <row r="5" spans="1:8" x14ac:dyDescent="0.3">
      <c r="A5" t="s">
        <v>22</v>
      </c>
      <c r="B5">
        <v>17</v>
      </c>
      <c r="C5">
        <v>110</v>
      </c>
      <c r="D5">
        <v>460</v>
      </c>
      <c r="E5">
        <v>932</v>
      </c>
      <c r="F5">
        <v>1395</v>
      </c>
      <c r="G5">
        <v>1764</v>
      </c>
      <c r="H5">
        <v>1866</v>
      </c>
    </row>
    <row r="6" spans="1:8" x14ac:dyDescent="0.3">
      <c r="A6" t="s">
        <v>23</v>
      </c>
      <c r="B6">
        <v>21</v>
      </c>
      <c r="C6">
        <v>541</v>
      </c>
      <c r="D6">
        <v>1794</v>
      </c>
      <c r="E6">
        <v>916</v>
      </c>
      <c r="F6">
        <v>1350</v>
      </c>
      <c r="G6">
        <v>1634</v>
      </c>
      <c r="H6">
        <v>1812</v>
      </c>
    </row>
    <row r="7" spans="1:8" x14ac:dyDescent="0.3">
      <c r="A7" t="s">
        <v>24</v>
      </c>
      <c r="B7">
        <v>-4</v>
      </c>
      <c r="C7">
        <v>-432</v>
      </c>
      <c r="D7">
        <v>-1334</v>
      </c>
      <c r="E7">
        <v>16</v>
      </c>
      <c r="F7">
        <v>45</v>
      </c>
      <c r="G7">
        <v>130</v>
      </c>
      <c r="H7">
        <v>54</v>
      </c>
    </row>
    <row r="8" spans="1:8" x14ac:dyDescent="0.3">
      <c r="A8" t="s">
        <v>25</v>
      </c>
      <c r="B8">
        <v>-0.26</v>
      </c>
      <c r="C8">
        <v>-3.93</v>
      </c>
      <c r="D8">
        <v>-2.9</v>
      </c>
      <c r="E8">
        <v>0.02</v>
      </c>
      <c r="F8">
        <v>0.03</v>
      </c>
      <c r="G8">
        <v>7.0000000000000007E-2</v>
      </c>
      <c r="H8">
        <v>0.03</v>
      </c>
    </row>
    <row r="9" spans="1:8" x14ac:dyDescent="0.3">
      <c r="A9" t="s">
        <v>26</v>
      </c>
      <c r="B9">
        <v>1</v>
      </c>
      <c r="C9">
        <v>4</v>
      </c>
      <c r="D9">
        <v>12</v>
      </c>
      <c r="E9">
        <v>21</v>
      </c>
      <c r="F9">
        <v>-132</v>
      </c>
      <c r="G9">
        <v>58</v>
      </c>
      <c r="H9">
        <v>76</v>
      </c>
    </row>
    <row r="10" spans="1:8" x14ac:dyDescent="0.3">
      <c r="A10" t="s">
        <v>27</v>
      </c>
      <c r="B10">
        <v>0</v>
      </c>
      <c r="C10">
        <v>0</v>
      </c>
      <c r="D10">
        <v>1</v>
      </c>
      <c r="E10">
        <v>3</v>
      </c>
      <c r="F10">
        <v>5</v>
      </c>
      <c r="G10">
        <v>7</v>
      </c>
      <c r="H10">
        <v>11</v>
      </c>
    </row>
    <row r="11" spans="1:8" x14ac:dyDescent="0.3">
      <c r="A11" t="s">
        <v>28</v>
      </c>
      <c r="B11">
        <v>0</v>
      </c>
      <c r="C11">
        <v>1</v>
      </c>
      <c r="D11">
        <v>2</v>
      </c>
      <c r="E11">
        <v>6</v>
      </c>
      <c r="F11">
        <v>15</v>
      </c>
      <c r="G11">
        <v>23</v>
      </c>
      <c r="H11">
        <v>36</v>
      </c>
    </row>
    <row r="12" spans="1:8" x14ac:dyDescent="0.3">
      <c r="A12" t="s">
        <v>29</v>
      </c>
      <c r="B12">
        <v>-4</v>
      </c>
      <c r="C12">
        <v>-428</v>
      </c>
      <c r="D12">
        <v>-1325</v>
      </c>
      <c r="E12">
        <v>28</v>
      </c>
      <c r="F12">
        <v>-107</v>
      </c>
      <c r="G12">
        <v>158</v>
      </c>
      <c r="H12">
        <v>84</v>
      </c>
    </row>
    <row r="13" spans="1:8" x14ac:dyDescent="0.3">
      <c r="A13" t="s">
        <v>30</v>
      </c>
      <c r="B13">
        <v>0</v>
      </c>
      <c r="C13">
        <v>0</v>
      </c>
      <c r="D13">
        <v>0.01</v>
      </c>
      <c r="E13">
        <v>0.28999999999999998</v>
      </c>
      <c r="F13">
        <v>0.12</v>
      </c>
      <c r="G13">
        <v>0.24</v>
      </c>
      <c r="H13">
        <v>0.24</v>
      </c>
    </row>
    <row r="14" spans="1:8" x14ac:dyDescent="0.3">
      <c r="A14" t="s">
        <v>31</v>
      </c>
      <c r="B14">
        <v>-4</v>
      </c>
      <c r="C14">
        <v>-428</v>
      </c>
      <c r="D14">
        <v>-1332</v>
      </c>
      <c r="E14">
        <v>20</v>
      </c>
      <c r="F14">
        <v>-121</v>
      </c>
      <c r="G14">
        <v>121</v>
      </c>
      <c r="H14">
        <v>64</v>
      </c>
    </row>
    <row r="15" spans="1:8" x14ac:dyDescent="0.3">
      <c r="A15" t="s">
        <v>32</v>
      </c>
      <c r="B15">
        <v>-3431.37</v>
      </c>
      <c r="C15">
        <v>-419637.25</v>
      </c>
      <c r="D15">
        <v>-1306098.04</v>
      </c>
      <c r="E15">
        <v>19291.259999999998</v>
      </c>
      <c r="F15">
        <v>-8.84</v>
      </c>
      <c r="G15">
        <v>3.73</v>
      </c>
      <c r="H15">
        <v>1.97</v>
      </c>
    </row>
    <row r="16" spans="1:8" x14ac:dyDescent="0.3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ht="14.4" customHeight="1" x14ac:dyDescent="0.3"/>
    <row r="18" spans="1:8" ht="22.2" customHeight="1" x14ac:dyDescent="0.3">
      <c r="A18" s="3" t="s">
        <v>35</v>
      </c>
    </row>
    <row r="19" spans="1:8" x14ac:dyDescent="0.3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</row>
    <row r="20" spans="1:8" x14ac:dyDescent="0.3">
      <c r="A20" t="s">
        <v>8</v>
      </c>
      <c r="B20">
        <v>0.01</v>
      </c>
      <c r="C20">
        <v>0.01</v>
      </c>
      <c r="D20">
        <v>0.01</v>
      </c>
      <c r="E20">
        <v>0.01</v>
      </c>
      <c r="F20">
        <v>136</v>
      </c>
      <c r="G20">
        <v>324</v>
      </c>
      <c r="H20">
        <v>325</v>
      </c>
    </row>
    <row r="21" spans="1:8" x14ac:dyDescent="0.3">
      <c r="A21" t="s">
        <v>9</v>
      </c>
      <c r="B21">
        <v>30</v>
      </c>
      <c r="C21">
        <v>-437</v>
      </c>
      <c r="D21">
        <v>-1765</v>
      </c>
      <c r="E21">
        <v>712</v>
      </c>
      <c r="F21">
        <v>-1302</v>
      </c>
      <c r="G21">
        <v>800</v>
      </c>
      <c r="H21">
        <v>875</v>
      </c>
    </row>
    <row r="22" spans="1:8" x14ac:dyDescent="0.3">
      <c r="A22" t="s">
        <v>10</v>
      </c>
      <c r="B22">
        <v>0</v>
      </c>
      <c r="C22">
        <v>593</v>
      </c>
      <c r="D22">
        <v>1974</v>
      </c>
      <c r="E22">
        <v>0</v>
      </c>
      <c r="F22">
        <v>1866</v>
      </c>
      <c r="G22">
        <v>110</v>
      </c>
      <c r="H22">
        <v>110</v>
      </c>
    </row>
    <row r="23" spans="1:8" x14ac:dyDescent="0.3">
      <c r="A23" t="s">
        <v>11</v>
      </c>
      <c r="B23">
        <v>4</v>
      </c>
      <c r="C23">
        <v>25</v>
      </c>
      <c r="D23">
        <v>94</v>
      </c>
      <c r="E23">
        <v>240</v>
      </c>
      <c r="F23">
        <v>249</v>
      </c>
      <c r="G23">
        <v>387</v>
      </c>
      <c r="H23">
        <v>434</v>
      </c>
    </row>
    <row r="24" spans="1:8" x14ac:dyDescent="0.3">
      <c r="A24" t="s">
        <v>12</v>
      </c>
      <c r="B24">
        <v>34</v>
      </c>
      <c r="C24">
        <v>181</v>
      </c>
      <c r="D24">
        <v>303</v>
      </c>
      <c r="E24">
        <v>952</v>
      </c>
      <c r="F24">
        <v>949</v>
      </c>
      <c r="G24">
        <v>1622</v>
      </c>
      <c r="H24">
        <v>1744</v>
      </c>
    </row>
    <row r="25" spans="1:8" x14ac:dyDescent="0.3">
      <c r="A25" t="s">
        <v>13</v>
      </c>
      <c r="B25">
        <v>0</v>
      </c>
      <c r="C25">
        <v>1</v>
      </c>
      <c r="D25">
        <v>21</v>
      </c>
      <c r="E25">
        <v>98</v>
      </c>
      <c r="F25">
        <v>126</v>
      </c>
      <c r="G25">
        <v>170</v>
      </c>
      <c r="H25">
        <v>334</v>
      </c>
    </row>
    <row r="26" spans="1:8" x14ac:dyDescent="0.3">
      <c r="A26" t="s">
        <v>14</v>
      </c>
      <c r="B26">
        <v>0</v>
      </c>
      <c r="C26">
        <v>0</v>
      </c>
      <c r="D26">
        <v>0</v>
      </c>
      <c r="E26">
        <v>2</v>
      </c>
      <c r="F26">
        <v>0</v>
      </c>
      <c r="G26">
        <v>0</v>
      </c>
      <c r="H26">
        <v>0</v>
      </c>
    </row>
    <row r="27" spans="1:8" x14ac:dyDescent="0.3">
      <c r="A27" t="s">
        <v>15</v>
      </c>
      <c r="B27">
        <v>26</v>
      </c>
      <c r="C27">
        <v>124</v>
      </c>
      <c r="D27">
        <v>164</v>
      </c>
      <c r="E27">
        <v>532</v>
      </c>
      <c r="F27">
        <v>392</v>
      </c>
      <c r="G27">
        <v>426</v>
      </c>
      <c r="H27">
        <v>290</v>
      </c>
    </row>
    <row r="28" spans="1:8" x14ac:dyDescent="0.3">
      <c r="A28" t="s">
        <v>16</v>
      </c>
      <c r="B28">
        <v>8</v>
      </c>
      <c r="C28">
        <v>56</v>
      </c>
      <c r="D28">
        <v>118</v>
      </c>
      <c r="E28">
        <v>321</v>
      </c>
      <c r="F28">
        <v>431</v>
      </c>
      <c r="G28">
        <v>1026</v>
      </c>
      <c r="H28">
        <v>1120</v>
      </c>
    </row>
    <row r="29" spans="1:8" x14ac:dyDescent="0.3">
      <c r="A29" t="s">
        <v>17</v>
      </c>
      <c r="B29">
        <v>34</v>
      </c>
      <c r="C29">
        <v>181</v>
      </c>
      <c r="D29">
        <v>303</v>
      </c>
      <c r="E29">
        <v>952</v>
      </c>
      <c r="F29">
        <v>949</v>
      </c>
      <c r="G29">
        <v>1622</v>
      </c>
      <c r="H29">
        <v>1744</v>
      </c>
    </row>
    <row r="31" spans="1:8" ht="22.8" customHeight="1" x14ac:dyDescent="0.3">
      <c r="A31" s="3" t="s">
        <v>37</v>
      </c>
    </row>
    <row r="32" spans="1:8" x14ac:dyDescent="0.3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</row>
    <row r="33" spans="1:8" x14ac:dyDescent="0.3">
      <c r="A33" t="s">
        <v>18</v>
      </c>
      <c r="B33">
        <v>-4</v>
      </c>
      <c r="C33">
        <v>-10</v>
      </c>
      <c r="D33">
        <v>30</v>
      </c>
      <c r="E33">
        <v>52</v>
      </c>
      <c r="F33">
        <v>-23</v>
      </c>
      <c r="G33">
        <v>218</v>
      </c>
      <c r="H33">
        <v>78</v>
      </c>
    </row>
    <row r="34" spans="1:8" x14ac:dyDescent="0.3">
      <c r="A34" t="s">
        <v>19</v>
      </c>
      <c r="B34">
        <v>-23</v>
      </c>
      <c r="C34">
        <v>-117</v>
      </c>
      <c r="D34">
        <v>-21</v>
      </c>
      <c r="E34">
        <v>-518</v>
      </c>
      <c r="F34">
        <v>3</v>
      </c>
      <c r="G34">
        <v>-459</v>
      </c>
      <c r="H34">
        <v>-132</v>
      </c>
    </row>
    <row r="35" spans="1:8" x14ac:dyDescent="0.3">
      <c r="A35" t="s">
        <v>20</v>
      </c>
      <c r="B35">
        <v>28</v>
      </c>
      <c r="C35">
        <v>129</v>
      </c>
      <c r="D35">
        <v>-1</v>
      </c>
      <c r="E35">
        <v>481</v>
      </c>
      <c r="F35">
        <v>-7</v>
      </c>
      <c r="G35">
        <v>344</v>
      </c>
      <c r="H35">
        <v>-24</v>
      </c>
    </row>
    <row r="36" spans="1:8" x14ac:dyDescent="0.3">
      <c r="A36" t="s">
        <v>21</v>
      </c>
      <c r="B36">
        <v>0</v>
      </c>
      <c r="C36">
        <v>1</v>
      </c>
      <c r="D36">
        <v>8</v>
      </c>
      <c r="E36">
        <v>15</v>
      </c>
      <c r="F36">
        <v>-27</v>
      </c>
      <c r="G36">
        <v>103</v>
      </c>
      <c r="H36">
        <v>-78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B413D-FB28-4610-9C98-027A70357EC2}">
  <sheetPr codeName="Sheet5"/>
  <dimension ref="A1:I36"/>
  <sheetViews>
    <sheetView showGridLines="0" topLeftCell="A2" zoomScale="101" workbookViewId="0">
      <selection activeCell="A31" sqref="A31"/>
    </sheetView>
  </sheetViews>
  <sheetFormatPr defaultRowHeight="14.4" x14ac:dyDescent="0.3"/>
  <cols>
    <col min="1" max="1" width="27.109375" customWidth="1"/>
    <col min="2" max="9" width="11.109375" bestFit="1" customWidth="1"/>
  </cols>
  <sheetData>
    <row r="1" spans="1:9" s="5" customFormat="1" ht="48" customHeight="1" x14ac:dyDescent="0.3">
      <c r="A1" s="7" t="s">
        <v>42</v>
      </c>
    </row>
    <row r="2" spans="1:9" ht="12.6" customHeight="1" x14ac:dyDescent="0.3"/>
    <row r="3" spans="1:9" s="29" customFormat="1" ht="18" customHeight="1" x14ac:dyDescent="0.3">
      <c r="A3" s="6" t="s">
        <v>36</v>
      </c>
    </row>
    <row r="4" spans="1:9" x14ac:dyDescent="0.3">
      <c r="A4" t="s">
        <v>39</v>
      </c>
      <c r="B4" t="s">
        <v>38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</row>
    <row r="5" spans="1:9" x14ac:dyDescent="0.3">
      <c r="A5" t="s">
        <v>22</v>
      </c>
      <c r="B5">
        <v>574</v>
      </c>
      <c r="C5">
        <v>1111</v>
      </c>
      <c r="D5">
        <v>1768</v>
      </c>
      <c r="E5">
        <v>2441</v>
      </c>
      <c r="F5">
        <v>3774</v>
      </c>
      <c r="G5">
        <v>5144</v>
      </c>
      <c r="H5">
        <v>6386</v>
      </c>
      <c r="I5">
        <v>7950</v>
      </c>
    </row>
    <row r="6" spans="1:9" x14ac:dyDescent="0.3">
      <c r="A6" t="s">
        <v>23</v>
      </c>
      <c r="B6">
        <v>601</v>
      </c>
      <c r="C6">
        <v>1091</v>
      </c>
      <c r="D6">
        <v>1685</v>
      </c>
      <c r="E6">
        <v>2283</v>
      </c>
      <c r="F6">
        <v>3610</v>
      </c>
      <c r="G6">
        <v>4887</v>
      </c>
      <c r="H6">
        <v>6039</v>
      </c>
      <c r="I6">
        <v>7476</v>
      </c>
    </row>
    <row r="7" spans="1:9" x14ac:dyDescent="0.3">
      <c r="A7" t="s">
        <v>24</v>
      </c>
      <c r="B7">
        <v>-27</v>
      </c>
      <c r="C7">
        <v>21</v>
      </c>
      <c r="D7">
        <v>83</v>
      </c>
      <c r="E7">
        <v>158</v>
      </c>
      <c r="F7">
        <v>164</v>
      </c>
      <c r="G7">
        <v>257</v>
      </c>
      <c r="H7">
        <v>347</v>
      </c>
      <c r="I7">
        <v>474</v>
      </c>
    </row>
    <row r="8" spans="1:9" x14ac:dyDescent="0.3">
      <c r="A8" t="s">
        <v>25</v>
      </c>
      <c r="B8">
        <v>-0.05</v>
      </c>
      <c r="C8">
        <v>0.02</v>
      </c>
      <c r="D8">
        <v>0.05</v>
      </c>
      <c r="E8">
        <v>0.06</v>
      </c>
      <c r="F8">
        <v>0.04</v>
      </c>
      <c r="G8">
        <v>0.05</v>
      </c>
      <c r="H8">
        <v>0.05</v>
      </c>
      <c r="I8">
        <v>0.06</v>
      </c>
    </row>
    <row r="9" spans="1:9" x14ac:dyDescent="0.3">
      <c r="A9" t="s">
        <v>26</v>
      </c>
      <c r="B9">
        <v>4</v>
      </c>
      <c r="C9">
        <v>5</v>
      </c>
      <c r="D9">
        <v>10</v>
      </c>
      <c r="E9">
        <v>12</v>
      </c>
      <c r="F9">
        <v>27</v>
      </c>
      <c r="G9">
        <v>30</v>
      </c>
      <c r="H9">
        <v>30</v>
      </c>
      <c r="I9">
        <v>27</v>
      </c>
    </row>
    <row r="10" spans="1:9" x14ac:dyDescent="0.3">
      <c r="A10" t="s">
        <v>27</v>
      </c>
      <c r="B10">
        <v>7</v>
      </c>
      <c r="C10">
        <v>27</v>
      </c>
      <c r="D10">
        <v>46</v>
      </c>
      <c r="E10">
        <v>32</v>
      </c>
      <c r="F10">
        <v>47</v>
      </c>
      <c r="G10">
        <v>76</v>
      </c>
      <c r="H10">
        <v>84</v>
      </c>
      <c r="I10">
        <v>107</v>
      </c>
    </row>
    <row r="11" spans="1:9" x14ac:dyDescent="0.3">
      <c r="A11" t="s">
        <v>28</v>
      </c>
      <c r="B11">
        <v>7</v>
      </c>
      <c r="C11">
        <v>31</v>
      </c>
      <c r="D11">
        <v>60</v>
      </c>
      <c r="E11">
        <v>72</v>
      </c>
      <c r="F11">
        <v>96</v>
      </c>
      <c r="G11">
        <v>173</v>
      </c>
      <c r="H11">
        <v>224</v>
      </c>
      <c r="I11">
        <v>266</v>
      </c>
    </row>
    <row r="12" spans="1:9" x14ac:dyDescent="0.3">
      <c r="A12" t="s">
        <v>29</v>
      </c>
      <c r="B12">
        <v>-37</v>
      </c>
      <c r="C12">
        <v>-32</v>
      </c>
      <c r="D12">
        <v>-12</v>
      </c>
      <c r="E12">
        <v>66</v>
      </c>
      <c r="F12">
        <v>47</v>
      </c>
      <c r="G12">
        <v>38</v>
      </c>
      <c r="H12">
        <v>69</v>
      </c>
      <c r="I12">
        <v>127</v>
      </c>
    </row>
    <row r="13" spans="1:9" x14ac:dyDescent="0.3">
      <c r="A13" t="s">
        <v>30</v>
      </c>
      <c r="B13">
        <v>-0.25</v>
      </c>
      <c r="C13">
        <v>-0.23</v>
      </c>
      <c r="D13">
        <v>0.31</v>
      </c>
      <c r="E13">
        <v>7.0000000000000007E-2</v>
      </c>
      <c r="F13">
        <v>0.13</v>
      </c>
      <c r="G13">
        <v>0.35</v>
      </c>
      <c r="H13">
        <v>0.37</v>
      </c>
      <c r="I13">
        <v>0.42</v>
      </c>
    </row>
    <row r="14" spans="1:9" x14ac:dyDescent="0.3">
      <c r="A14" t="s">
        <v>31</v>
      </c>
      <c r="B14">
        <v>-28</v>
      </c>
      <c r="C14">
        <v>-25</v>
      </c>
      <c r="D14">
        <v>-16</v>
      </c>
      <c r="E14">
        <v>62</v>
      </c>
      <c r="F14">
        <v>41</v>
      </c>
      <c r="G14">
        <v>21</v>
      </c>
      <c r="H14">
        <v>40</v>
      </c>
      <c r="I14">
        <v>72</v>
      </c>
    </row>
    <row r="15" spans="1:9" x14ac:dyDescent="0.3">
      <c r="A15" t="s">
        <v>32</v>
      </c>
      <c r="B15">
        <v>-3.47</v>
      </c>
      <c r="C15">
        <v>-2.87</v>
      </c>
      <c r="D15">
        <v>-1.9</v>
      </c>
      <c r="E15">
        <v>6.82</v>
      </c>
      <c r="F15">
        <v>0.14000000000000001</v>
      </c>
      <c r="G15">
        <v>7.0000000000000007E-2</v>
      </c>
      <c r="H15">
        <v>0.11</v>
      </c>
      <c r="I15">
        <v>0.23</v>
      </c>
    </row>
    <row r="16" spans="1:9" x14ac:dyDescent="0.3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8" spans="1:9" s="29" customFormat="1" ht="18" customHeight="1" x14ac:dyDescent="0.3">
      <c r="A18" s="6" t="s">
        <v>35</v>
      </c>
    </row>
    <row r="19" spans="1:9" x14ac:dyDescent="0.3">
      <c r="A19" t="s">
        <v>0</v>
      </c>
      <c r="B19" t="s">
        <v>38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</row>
    <row r="20" spans="1:9" x14ac:dyDescent="0.3">
      <c r="A20" t="s">
        <v>8</v>
      </c>
      <c r="B20">
        <v>14</v>
      </c>
      <c r="C20">
        <v>14</v>
      </c>
      <c r="D20">
        <v>15</v>
      </c>
      <c r="E20">
        <v>15</v>
      </c>
      <c r="F20">
        <v>47</v>
      </c>
      <c r="G20">
        <v>285</v>
      </c>
      <c r="H20">
        <v>286</v>
      </c>
      <c r="I20">
        <v>286</v>
      </c>
    </row>
    <row r="21" spans="1:9" x14ac:dyDescent="0.3">
      <c r="A21" t="s">
        <v>9</v>
      </c>
      <c r="B21">
        <v>108</v>
      </c>
      <c r="C21">
        <v>216</v>
      </c>
      <c r="D21">
        <v>307</v>
      </c>
      <c r="E21">
        <v>475</v>
      </c>
      <c r="F21">
        <v>1292</v>
      </c>
      <c r="G21">
        <v>1093</v>
      </c>
      <c r="H21">
        <v>977</v>
      </c>
      <c r="I21">
        <v>1015</v>
      </c>
    </row>
    <row r="22" spans="1:9" x14ac:dyDescent="0.3">
      <c r="A22" t="s">
        <v>10</v>
      </c>
      <c r="B22">
        <v>83</v>
      </c>
      <c r="C22">
        <v>310</v>
      </c>
      <c r="D22">
        <v>413</v>
      </c>
      <c r="E22">
        <v>333</v>
      </c>
      <c r="F22">
        <v>593</v>
      </c>
      <c r="G22">
        <v>798</v>
      </c>
      <c r="H22">
        <v>969</v>
      </c>
      <c r="I22">
        <v>1321</v>
      </c>
    </row>
    <row r="23" spans="1:9" x14ac:dyDescent="0.3">
      <c r="A23" t="s">
        <v>11</v>
      </c>
      <c r="B23">
        <v>148</v>
      </c>
      <c r="C23">
        <v>235</v>
      </c>
      <c r="D23">
        <v>390</v>
      </c>
      <c r="E23">
        <v>479</v>
      </c>
      <c r="F23">
        <v>714</v>
      </c>
      <c r="G23">
        <v>773</v>
      </c>
      <c r="H23">
        <v>1169</v>
      </c>
      <c r="I23">
        <v>1358</v>
      </c>
    </row>
    <row r="24" spans="1:9" x14ac:dyDescent="0.3">
      <c r="A24" t="s">
        <v>12</v>
      </c>
      <c r="B24">
        <v>353</v>
      </c>
      <c r="C24">
        <v>776</v>
      </c>
      <c r="D24">
        <v>1124</v>
      </c>
      <c r="E24">
        <v>1302</v>
      </c>
      <c r="F24">
        <v>2646</v>
      </c>
      <c r="G24">
        <v>2950</v>
      </c>
      <c r="H24">
        <v>3401</v>
      </c>
      <c r="I24">
        <v>3980</v>
      </c>
    </row>
    <row r="25" spans="1:9" x14ac:dyDescent="0.3">
      <c r="A25" t="s">
        <v>13</v>
      </c>
      <c r="B25">
        <v>34</v>
      </c>
      <c r="C25">
        <v>140</v>
      </c>
      <c r="D25">
        <v>227</v>
      </c>
      <c r="E25">
        <v>231</v>
      </c>
      <c r="F25">
        <v>483</v>
      </c>
      <c r="G25">
        <v>699</v>
      </c>
      <c r="H25">
        <v>668</v>
      </c>
      <c r="I25">
        <v>868</v>
      </c>
    </row>
    <row r="26" spans="1:9" x14ac:dyDescent="0.3">
      <c r="A26" t="s">
        <v>14</v>
      </c>
      <c r="B26">
        <v>0</v>
      </c>
      <c r="C26">
        <v>0</v>
      </c>
      <c r="D26">
        <v>2</v>
      </c>
      <c r="E26">
        <v>2</v>
      </c>
      <c r="F26">
        <v>24</v>
      </c>
      <c r="G26">
        <v>31</v>
      </c>
      <c r="H26">
        <v>30</v>
      </c>
      <c r="I26">
        <v>3</v>
      </c>
    </row>
    <row r="27" spans="1:9" x14ac:dyDescent="0.3">
      <c r="A27" t="s">
        <v>15</v>
      </c>
      <c r="B27">
        <v>10</v>
      </c>
      <c r="C27">
        <v>138</v>
      </c>
      <c r="D27">
        <v>4</v>
      </c>
      <c r="E27">
        <v>1</v>
      </c>
      <c r="F27">
        <v>0</v>
      </c>
      <c r="G27">
        <v>38</v>
      </c>
      <c r="H27">
        <v>34</v>
      </c>
      <c r="I27">
        <v>0</v>
      </c>
    </row>
    <row r="28" spans="1:9" x14ac:dyDescent="0.3">
      <c r="A28" t="s">
        <v>16</v>
      </c>
      <c r="B28">
        <v>308</v>
      </c>
      <c r="C28">
        <v>497</v>
      </c>
      <c r="D28">
        <v>892</v>
      </c>
      <c r="E28">
        <v>1067</v>
      </c>
      <c r="F28">
        <v>2138</v>
      </c>
      <c r="G28">
        <v>2182</v>
      </c>
      <c r="H28">
        <v>2668</v>
      </c>
      <c r="I28">
        <v>3108</v>
      </c>
    </row>
    <row r="29" spans="1:9" x14ac:dyDescent="0.3">
      <c r="A29" t="s">
        <v>17</v>
      </c>
      <c r="B29">
        <v>353</v>
      </c>
      <c r="C29">
        <v>776</v>
      </c>
      <c r="D29">
        <v>1124</v>
      </c>
      <c r="E29">
        <v>1302</v>
      </c>
      <c r="F29">
        <v>2646</v>
      </c>
      <c r="G29">
        <v>2950</v>
      </c>
      <c r="H29">
        <v>3401</v>
      </c>
      <c r="I29">
        <v>3980</v>
      </c>
    </row>
    <row r="31" spans="1:9" s="29" customFormat="1" ht="18.600000000000001" customHeight="1" x14ac:dyDescent="0.3">
      <c r="A31" s="6" t="s">
        <v>37</v>
      </c>
    </row>
    <row r="32" spans="1:9" x14ac:dyDescent="0.3">
      <c r="A32" t="s">
        <v>0</v>
      </c>
      <c r="B32" t="s">
        <v>38</v>
      </c>
      <c r="C32" t="s">
        <v>1</v>
      </c>
      <c r="D32" t="s">
        <v>2</v>
      </c>
      <c r="E32" t="s">
        <v>3</v>
      </c>
      <c r="F32" t="s">
        <v>4</v>
      </c>
      <c r="G32" t="s">
        <v>5</v>
      </c>
      <c r="H32" t="s">
        <v>6</v>
      </c>
      <c r="I32" t="s">
        <v>7</v>
      </c>
    </row>
    <row r="33" spans="1:9" x14ac:dyDescent="0.3">
      <c r="A33" t="s">
        <v>18</v>
      </c>
      <c r="B33">
        <v>-79</v>
      </c>
      <c r="C33">
        <v>-100</v>
      </c>
      <c r="D33">
        <v>6</v>
      </c>
      <c r="E33">
        <v>133</v>
      </c>
      <c r="F33">
        <v>-354</v>
      </c>
      <c r="G33">
        <v>-140</v>
      </c>
      <c r="H33">
        <v>0</v>
      </c>
      <c r="I33">
        <v>467</v>
      </c>
    </row>
    <row r="34" spans="1:9" x14ac:dyDescent="0.3">
      <c r="A34" t="s">
        <v>19</v>
      </c>
      <c r="B34">
        <v>31</v>
      </c>
      <c r="C34">
        <v>-162</v>
      </c>
      <c r="D34">
        <v>15</v>
      </c>
      <c r="E34">
        <v>-130</v>
      </c>
      <c r="F34">
        <v>-603</v>
      </c>
      <c r="G34">
        <v>140</v>
      </c>
      <c r="H34">
        <v>-10</v>
      </c>
      <c r="I34">
        <v>-205</v>
      </c>
    </row>
    <row r="35" spans="1:9" x14ac:dyDescent="0.3">
      <c r="A35" t="s">
        <v>20</v>
      </c>
      <c r="B35">
        <v>82</v>
      </c>
      <c r="C35">
        <v>236</v>
      </c>
      <c r="D35">
        <v>69</v>
      </c>
      <c r="E35">
        <v>-38</v>
      </c>
      <c r="F35">
        <v>927</v>
      </c>
      <c r="G35">
        <v>5</v>
      </c>
      <c r="H35">
        <v>44</v>
      </c>
      <c r="I35">
        <v>-212</v>
      </c>
    </row>
    <row r="36" spans="1:9" x14ac:dyDescent="0.3">
      <c r="A36" t="s">
        <v>21</v>
      </c>
      <c r="B36">
        <v>33</v>
      </c>
      <c r="C36">
        <v>-26</v>
      </c>
      <c r="D36">
        <v>90</v>
      </c>
      <c r="E36">
        <v>-34</v>
      </c>
      <c r="F36">
        <v>-30</v>
      </c>
      <c r="G36">
        <v>4</v>
      </c>
      <c r="H36">
        <v>34</v>
      </c>
      <c r="I36">
        <v>49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05098-A9ED-45D5-BDAC-EC1ED7213339}">
  <sheetPr codeName="Sheet6"/>
  <dimension ref="A1:H36"/>
  <sheetViews>
    <sheetView showGridLines="0" workbookViewId="0">
      <selection activeCell="A31" sqref="A31"/>
    </sheetView>
  </sheetViews>
  <sheetFormatPr defaultRowHeight="14.4" x14ac:dyDescent="0.3"/>
  <cols>
    <col min="1" max="1" width="26.88671875" customWidth="1"/>
    <col min="2" max="8" width="11.109375" bestFit="1" customWidth="1"/>
  </cols>
  <sheetData>
    <row r="1" spans="1:8" s="32" customFormat="1" ht="54" customHeight="1" x14ac:dyDescent="0.85">
      <c r="A1" s="31" t="s">
        <v>34</v>
      </c>
    </row>
    <row r="3" spans="1:8" s="29" customFormat="1" ht="21.6" customHeight="1" x14ac:dyDescent="0.3">
      <c r="A3" s="30" t="s">
        <v>36</v>
      </c>
    </row>
    <row r="4" spans="1:8" x14ac:dyDescent="0.3">
      <c r="A4" t="s">
        <v>39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</row>
    <row r="5" spans="1:8" x14ac:dyDescent="0.3">
      <c r="A5" t="s">
        <v>22</v>
      </c>
      <c r="B5">
        <v>1654</v>
      </c>
      <c r="C5">
        <v>2781</v>
      </c>
      <c r="D5">
        <v>3647</v>
      </c>
      <c r="E5">
        <v>6882</v>
      </c>
      <c r="F5">
        <v>7225</v>
      </c>
      <c r="G5">
        <v>8142</v>
      </c>
      <c r="H5">
        <v>8932</v>
      </c>
    </row>
    <row r="6" spans="1:8" x14ac:dyDescent="0.3">
      <c r="A6" t="s">
        <v>23</v>
      </c>
      <c r="B6">
        <v>3272</v>
      </c>
      <c r="C6">
        <v>2952</v>
      </c>
      <c r="D6">
        <v>3769</v>
      </c>
      <c r="E6">
        <v>7357</v>
      </c>
      <c r="F6">
        <v>7677</v>
      </c>
      <c r="G6">
        <v>8015</v>
      </c>
      <c r="H6">
        <v>8556</v>
      </c>
    </row>
    <row r="7" spans="1:8" x14ac:dyDescent="0.3">
      <c r="A7" t="s">
        <v>24</v>
      </c>
      <c r="B7">
        <v>-1618</v>
      </c>
      <c r="C7">
        <v>-171</v>
      </c>
      <c r="D7">
        <v>-123</v>
      </c>
      <c r="E7">
        <v>-475</v>
      </c>
      <c r="F7">
        <v>-452</v>
      </c>
      <c r="G7">
        <v>127</v>
      </c>
      <c r="H7">
        <v>376</v>
      </c>
    </row>
    <row r="8" spans="1:8" x14ac:dyDescent="0.3">
      <c r="A8" t="s">
        <v>25</v>
      </c>
      <c r="B8">
        <v>-0.98</v>
      </c>
      <c r="C8">
        <v>-0.06</v>
      </c>
      <c r="D8">
        <v>-0.03</v>
      </c>
      <c r="E8">
        <v>-7.0000000000000007E-2</v>
      </c>
      <c r="F8">
        <v>-0.06</v>
      </c>
      <c r="G8">
        <v>0.02</v>
      </c>
      <c r="H8">
        <v>0.04</v>
      </c>
    </row>
    <row r="9" spans="1:8" x14ac:dyDescent="0.3">
      <c r="A9" t="s">
        <v>26</v>
      </c>
      <c r="B9">
        <v>41</v>
      </c>
      <c r="C9">
        <v>207</v>
      </c>
      <c r="D9">
        <v>150</v>
      </c>
      <c r="E9">
        <v>156</v>
      </c>
      <c r="F9">
        <v>319</v>
      </c>
      <c r="G9">
        <v>439</v>
      </c>
      <c r="H9">
        <v>442</v>
      </c>
    </row>
    <row r="10" spans="1:8" x14ac:dyDescent="0.3">
      <c r="A10" t="s">
        <v>27</v>
      </c>
      <c r="B10">
        <v>36</v>
      </c>
      <c r="C10">
        <v>49</v>
      </c>
      <c r="D10">
        <v>89</v>
      </c>
      <c r="E10">
        <v>100</v>
      </c>
      <c r="F10">
        <v>89</v>
      </c>
      <c r="G10">
        <v>89</v>
      </c>
      <c r="H10">
        <v>126</v>
      </c>
    </row>
    <row r="11" spans="1:8" x14ac:dyDescent="0.3">
      <c r="A11" t="s">
        <v>28</v>
      </c>
      <c r="B11">
        <v>170</v>
      </c>
      <c r="C11">
        <v>256</v>
      </c>
      <c r="D11">
        <v>355</v>
      </c>
      <c r="E11">
        <v>611</v>
      </c>
      <c r="F11">
        <v>831</v>
      </c>
      <c r="G11">
        <v>722</v>
      </c>
      <c r="H11">
        <v>535</v>
      </c>
    </row>
    <row r="12" spans="1:8" x14ac:dyDescent="0.3">
      <c r="A12" t="s">
        <v>29</v>
      </c>
      <c r="B12">
        <v>-1783</v>
      </c>
      <c r="C12">
        <v>-269</v>
      </c>
      <c r="D12">
        <v>-416</v>
      </c>
      <c r="E12">
        <v>-1029</v>
      </c>
      <c r="F12">
        <v>-1053</v>
      </c>
      <c r="G12">
        <v>-244</v>
      </c>
      <c r="H12">
        <v>157</v>
      </c>
    </row>
    <row r="13" spans="1:8" x14ac:dyDescent="0.3">
      <c r="A13" t="s">
        <v>30</v>
      </c>
      <c r="B13">
        <v>0</v>
      </c>
      <c r="C13">
        <v>0</v>
      </c>
      <c r="D13">
        <v>0</v>
      </c>
      <c r="E13">
        <v>-0.02</v>
      </c>
      <c r="F13">
        <v>-0.04</v>
      </c>
      <c r="G13">
        <v>0.02</v>
      </c>
      <c r="H13">
        <v>-0.03</v>
      </c>
    </row>
    <row r="14" spans="1:8" x14ac:dyDescent="0.3">
      <c r="A14" t="s">
        <v>31</v>
      </c>
      <c r="B14">
        <v>-1783</v>
      </c>
      <c r="C14">
        <v>-269</v>
      </c>
      <c r="D14">
        <v>-416</v>
      </c>
      <c r="E14">
        <v>-1011</v>
      </c>
      <c r="F14">
        <v>-1008</v>
      </c>
      <c r="G14">
        <v>-249</v>
      </c>
      <c r="H14">
        <v>162</v>
      </c>
    </row>
    <row r="15" spans="1:8" x14ac:dyDescent="0.3">
      <c r="A15" t="s">
        <v>32</v>
      </c>
      <c r="B15">
        <v>-18607.05</v>
      </c>
      <c r="C15">
        <v>-2758.26</v>
      </c>
      <c r="D15">
        <v>-2492.6</v>
      </c>
      <c r="E15">
        <v>-15.75</v>
      </c>
      <c r="F15">
        <v>-13.83</v>
      </c>
      <c r="G15">
        <v>-3.38</v>
      </c>
      <c r="H15">
        <v>2.17</v>
      </c>
    </row>
    <row r="16" spans="1:8" x14ac:dyDescent="0.3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8" spans="1:8" s="29" customFormat="1" ht="24.6" customHeight="1" x14ac:dyDescent="0.3">
      <c r="A18" s="30" t="s">
        <v>35</v>
      </c>
    </row>
    <row r="19" spans="1:8" x14ac:dyDescent="0.3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</row>
    <row r="20" spans="1:8" x14ac:dyDescent="0.3">
      <c r="A20" t="s">
        <v>8</v>
      </c>
      <c r="B20">
        <v>0.96</v>
      </c>
      <c r="C20">
        <v>0.98</v>
      </c>
      <c r="D20">
        <v>2</v>
      </c>
      <c r="E20">
        <v>64</v>
      </c>
      <c r="F20">
        <v>73</v>
      </c>
      <c r="G20">
        <v>74</v>
      </c>
      <c r="H20">
        <v>75</v>
      </c>
    </row>
    <row r="21" spans="1:8" x14ac:dyDescent="0.3">
      <c r="A21" t="s">
        <v>9</v>
      </c>
      <c r="B21">
        <v>3348</v>
      </c>
      <c r="C21">
        <v>3130</v>
      </c>
      <c r="D21">
        <v>2800</v>
      </c>
      <c r="E21">
        <v>5893</v>
      </c>
      <c r="F21">
        <v>9104</v>
      </c>
      <c r="G21">
        <v>9071</v>
      </c>
      <c r="H21">
        <v>9358</v>
      </c>
    </row>
    <row r="22" spans="1:8" x14ac:dyDescent="0.3">
      <c r="A22" t="s">
        <v>10</v>
      </c>
      <c r="B22">
        <v>450</v>
      </c>
      <c r="C22">
        <v>794</v>
      </c>
      <c r="D22">
        <v>1152</v>
      </c>
      <c r="E22">
        <v>1102</v>
      </c>
      <c r="F22">
        <v>923</v>
      </c>
      <c r="G22">
        <v>1169</v>
      </c>
      <c r="H22">
        <v>1422</v>
      </c>
    </row>
    <row r="23" spans="1:8" x14ac:dyDescent="0.3">
      <c r="A23" t="s">
        <v>11</v>
      </c>
      <c r="B23">
        <v>264</v>
      </c>
      <c r="C23">
        <v>432</v>
      </c>
      <c r="D23">
        <v>644</v>
      </c>
      <c r="E23">
        <v>1192</v>
      </c>
      <c r="F23">
        <v>1090</v>
      </c>
      <c r="G23">
        <v>1139</v>
      </c>
      <c r="H23">
        <v>1209</v>
      </c>
    </row>
    <row r="24" spans="1:8" x14ac:dyDescent="0.3">
      <c r="A24" t="s">
        <v>12</v>
      </c>
      <c r="B24">
        <v>4063</v>
      </c>
      <c r="C24">
        <v>4357</v>
      </c>
      <c r="D24">
        <v>4598</v>
      </c>
      <c r="E24">
        <v>8251</v>
      </c>
      <c r="F24">
        <v>11191</v>
      </c>
      <c r="G24">
        <v>11453</v>
      </c>
      <c r="H24">
        <v>12063</v>
      </c>
    </row>
    <row r="25" spans="1:8" x14ac:dyDescent="0.3">
      <c r="A25" t="s">
        <v>13</v>
      </c>
      <c r="B25">
        <v>488</v>
      </c>
      <c r="C25">
        <v>744</v>
      </c>
      <c r="D25">
        <v>1053</v>
      </c>
      <c r="E25">
        <v>3052</v>
      </c>
      <c r="F25">
        <v>2995</v>
      </c>
      <c r="G25">
        <v>3354</v>
      </c>
      <c r="H25">
        <v>3887</v>
      </c>
    </row>
    <row r="26" spans="1:8" x14ac:dyDescent="0.3">
      <c r="A26" t="s">
        <v>14</v>
      </c>
      <c r="B26">
        <v>1</v>
      </c>
      <c r="C26">
        <v>32</v>
      </c>
      <c r="D26">
        <v>77</v>
      </c>
      <c r="E26">
        <v>60</v>
      </c>
      <c r="F26">
        <v>23</v>
      </c>
      <c r="G26">
        <v>29</v>
      </c>
      <c r="H26">
        <v>33</v>
      </c>
    </row>
    <row r="27" spans="1:8" x14ac:dyDescent="0.3">
      <c r="A27" t="s">
        <v>15</v>
      </c>
      <c r="B27">
        <v>1155</v>
      </c>
      <c r="C27">
        <v>1188</v>
      </c>
      <c r="D27">
        <v>1128</v>
      </c>
      <c r="E27">
        <v>2091</v>
      </c>
      <c r="F27">
        <v>2094</v>
      </c>
      <c r="G27">
        <v>2776</v>
      </c>
      <c r="H27">
        <v>3578</v>
      </c>
    </row>
    <row r="28" spans="1:8" x14ac:dyDescent="0.3">
      <c r="A28" t="s">
        <v>16</v>
      </c>
      <c r="B28">
        <v>2419</v>
      </c>
      <c r="C28">
        <v>2394</v>
      </c>
      <c r="D28">
        <v>2340</v>
      </c>
      <c r="E28">
        <v>3048</v>
      </c>
      <c r="F28">
        <v>6078</v>
      </c>
      <c r="G28">
        <v>5295</v>
      </c>
      <c r="H28">
        <v>4565</v>
      </c>
    </row>
    <row r="29" spans="1:8" x14ac:dyDescent="0.3">
      <c r="A29" t="s">
        <v>17</v>
      </c>
      <c r="B29">
        <v>4063</v>
      </c>
      <c r="C29">
        <v>4357</v>
      </c>
      <c r="D29">
        <v>4598</v>
      </c>
      <c r="E29">
        <v>8251</v>
      </c>
      <c r="F29">
        <v>11191</v>
      </c>
      <c r="G29">
        <v>11453</v>
      </c>
      <c r="H29">
        <v>12063</v>
      </c>
    </row>
    <row r="31" spans="1:8" s="29" customFormat="1" ht="23.4" customHeight="1" x14ac:dyDescent="0.3">
      <c r="A31" s="30" t="s">
        <v>37</v>
      </c>
    </row>
    <row r="32" spans="1:8" x14ac:dyDescent="0.3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</row>
    <row r="33" spans="1:8" x14ac:dyDescent="0.3">
      <c r="A33" t="s">
        <v>18</v>
      </c>
      <c r="B33">
        <v>-243</v>
      </c>
      <c r="C33">
        <v>-634</v>
      </c>
      <c r="D33">
        <v>5</v>
      </c>
      <c r="E33">
        <v>-241</v>
      </c>
      <c r="F33">
        <v>-30</v>
      </c>
      <c r="G33">
        <v>472</v>
      </c>
      <c r="H33">
        <v>567</v>
      </c>
    </row>
    <row r="34" spans="1:8" x14ac:dyDescent="0.3">
      <c r="A34" t="s">
        <v>19</v>
      </c>
      <c r="B34">
        <v>-939</v>
      </c>
      <c r="C34">
        <v>-933</v>
      </c>
      <c r="D34">
        <v>338</v>
      </c>
      <c r="E34">
        <v>-2742</v>
      </c>
      <c r="F34">
        <v>-3408</v>
      </c>
      <c r="G34">
        <v>-99</v>
      </c>
      <c r="H34">
        <v>-104</v>
      </c>
    </row>
    <row r="35" spans="1:8" x14ac:dyDescent="0.3">
      <c r="A35" t="s">
        <v>20</v>
      </c>
      <c r="B35">
        <v>2858</v>
      </c>
      <c r="C35">
        <v>-17</v>
      </c>
      <c r="D35">
        <v>-147</v>
      </c>
      <c r="E35">
        <v>2902</v>
      </c>
      <c r="F35">
        <v>3538</v>
      </c>
      <c r="G35">
        <v>-366</v>
      </c>
      <c r="H35">
        <v>-432</v>
      </c>
    </row>
    <row r="36" spans="1:8" x14ac:dyDescent="0.3">
      <c r="A36" t="s">
        <v>21</v>
      </c>
      <c r="B36">
        <v>1676</v>
      </c>
      <c r="C36">
        <v>-1583</v>
      </c>
      <c r="D36">
        <v>196</v>
      </c>
      <c r="E36">
        <v>-81</v>
      </c>
      <c r="F36">
        <v>100</v>
      </c>
      <c r="G36">
        <v>8</v>
      </c>
      <c r="H36">
        <v>31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391BF-89EB-4696-96D8-1B8BCD8BC760}">
  <sheetPr codeName="Sheet7"/>
  <dimension ref="A1:I36"/>
  <sheetViews>
    <sheetView showGridLines="0" workbookViewId="0">
      <selection activeCell="G5" sqref="G5"/>
    </sheetView>
  </sheetViews>
  <sheetFormatPr defaultRowHeight="14.4" x14ac:dyDescent="0.3"/>
  <cols>
    <col min="1" max="1" width="29" customWidth="1"/>
    <col min="2" max="9" width="11.109375" bestFit="1" customWidth="1"/>
  </cols>
  <sheetData>
    <row r="1" spans="1:9" s="4" customFormat="1" ht="49.8" customHeight="1" x14ac:dyDescent="0.3">
      <c r="A1" s="4" t="s">
        <v>41</v>
      </c>
    </row>
    <row r="3" spans="1:9" s="29" customFormat="1" ht="24" customHeight="1" x14ac:dyDescent="0.3">
      <c r="A3" s="2" t="s">
        <v>36</v>
      </c>
    </row>
    <row r="4" spans="1:9" x14ac:dyDescent="0.3">
      <c r="A4" t="s">
        <v>39</v>
      </c>
      <c r="B4" t="s">
        <v>38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</row>
    <row r="5" spans="1:9" x14ac:dyDescent="0.3">
      <c r="A5" t="s">
        <v>22</v>
      </c>
      <c r="B5">
        <v>466</v>
      </c>
      <c r="C5">
        <v>1313</v>
      </c>
      <c r="D5">
        <v>2605</v>
      </c>
      <c r="E5">
        <v>1994</v>
      </c>
      <c r="F5">
        <v>4192</v>
      </c>
      <c r="G5">
        <v>7079</v>
      </c>
      <c r="H5">
        <v>12114</v>
      </c>
      <c r="I5">
        <v>20243</v>
      </c>
    </row>
    <row r="6" spans="1:9" x14ac:dyDescent="0.3">
      <c r="A6" t="s">
        <v>23</v>
      </c>
      <c r="B6">
        <v>558</v>
      </c>
      <c r="C6">
        <v>3556</v>
      </c>
      <c r="D6">
        <v>4909</v>
      </c>
      <c r="E6">
        <v>2461</v>
      </c>
      <c r="F6">
        <v>6043</v>
      </c>
      <c r="G6">
        <v>8290</v>
      </c>
      <c r="H6">
        <v>12071</v>
      </c>
      <c r="I6">
        <v>19606</v>
      </c>
    </row>
    <row r="7" spans="1:9" x14ac:dyDescent="0.3">
      <c r="A7" t="s">
        <v>24</v>
      </c>
      <c r="B7">
        <v>-92</v>
      </c>
      <c r="C7">
        <v>-2243</v>
      </c>
      <c r="D7">
        <v>-2305</v>
      </c>
      <c r="E7">
        <v>-467</v>
      </c>
      <c r="F7">
        <v>-1851</v>
      </c>
      <c r="G7">
        <v>-1211</v>
      </c>
      <c r="H7">
        <v>43</v>
      </c>
      <c r="I7">
        <v>637</v>
      </c>
    </row>
    <row r="8" spans="1:9" x14ac:dyDescent="0.3">
      <c r="A8" t="s">
        <v>25</v>
      </c>
      <c r="B8">
        <v>-0.2</v>
      </c>
      <c r="C8">
        <v>-1.71</v>
      </c>
      <c r="D8">
        <v>-0.88</v>
      </c>
      <c r="E8">
        <v>-0.23</v>
      </c>
      <c r="F8">
        <v>-0.44</v>
      </c>
      <c r="G8">
        <v>-0.17</v>
      </c>
      <c r="H8">
        <v>0</v>
      </c>
      <c r="I8">
        <v>0.03</v>
      </c>
    </row>
    <row r="9" spans="1:9" x14ac:dyDescent="0.3">
      <c r="A9" t="s">
        <v>26</v>
      </c>
      <c r="B9">
        <v>21</v>
      </c>
      <c r="C9">
        <v>1285</v>
      </c>
      <c r="D9">
        <v>16</v>
      </c>
      <c r="E9">
        <v>-200</v>
      </c>
      <c r="F9">
        <v>793</v>
      </c>
      <c r="G9">
        <v>682</v>
      </c>
      <c r="H9">
        <v>846</v>
      </c>
      <c r="I9">
        <v>1077</v>
      </c>
    </row>
    <row r="10" spans="1:9" x14ac:dyDescent="0.3">
      <c r="A10" t="s">
        <v>27</v>
      </c>
      <c r="B10">
        <v>6</v>
      </c>
      <c r="C10">
        <v>9</v>
      </c>
      <c r="D10">
        <v>13</v>
      </c>
      <c r="E10">
        <v>10</v>
      </c>
      <c r="F10">
        <v>12</v>
      </c>
      <c r="G10">
        <v>49</v>
      </c>
      <c r="H10">
        <v>72</v>
      </c>
      <c r="I10">
        <v>154</v>
      </c>
    </row>
    <row r="11" spans="1:9" x14ac:dyDescent="0.3">
      <c r="A11" t="s">
        <v>28</v>
      </c>
      <c r="B11">
        <v>29</v>
      </c>
      <c r="C11">
        <v>43</v>
      </c>
      <c r="D11">
        <v>84</v>
      </c>
      <c r="E11">
        <v>138</v>
      </c>
      <c r="F11">
        <v>150</v>
      </c>
      <c r="G11">
        <v>437</v>
      </c>
      <c r="H11">
        <v>526</v>
      </c>
      <c r="I11">
        <v>863</v>
      </c>
    </row>
    <row r="12" spans="1:9" x14ac:dyDescent="0.3">
      <c r="A12" t="s">
        <v>29</v>
      </c>
      <c r="B12">
        <v>-107</v>
      </c>
      <c r="C12">
        <v>-1010</v>
      </c>
      <c r="D12" t="s">
        <v>116</v>
      </c>
      <c r="E12">
        <v>-815</v>
      </c>
      <c r="F12">
        <v>-1220</v>
      </c>
      <c r="G12">
        <v>-1015</v>
      </c>
      <c r="H12">
        <v>291</v>
      </c>
      <c r="I12">
        <v>697</v>
      </c>
    </row>
    <row r="13" spans="1:9" x14ac:dyDescent="0.3">
      <c r="A13" t="s">
        <v>30</v>
      </c>
      <c r="B13">
        <v>0</v>
      </c>
      <c r="C13">
        <v>0</v>
      </c>
      <c r="D13">
        <v>0</v>
      </c>
      <c r="E13">
        <v>0</v>
      </c>
      <c r="F13">
        <v>0</v>
      </c>
      <c r="G13">
        <v>-0.04</v>
      </c>
      <c r="H13">
        <v>-0.21</v>
      </c>
      <c r="I13">
        <v>0.24</v>
      </c>
    </row>
    <row r="14" spans="1:9" x14ac:dyDescent="0.3">
      <c r="A14" t="s">
        <v>31</v>
      </c>
      <c r="B14">
        <v>-107</v>
      </c>
      <c r="C14">
        <v>-1010</v>
      </c>
      <c r="D14">
        <v>-2386</v>
      </c>
      <c r="E14">
        <v>-816</v>
      </c>
      <c r="F14">
        <v>-1222</v>
      </c>
      <c r="G14">
        <v>-971</v>
      </c>
      <c r="H14">
        <v>351</v>
      </c>
      <c r="I14">
        <v>527</v>
      </c>
    </row>
    <row r="15" spans="1:9" x14ac:dyDescent="0.3">
      <c r="A15" t="s">
        <v>32</v>
      </c>
      <c r="B15">
        <v>-3070.18</v>
      </c>
      <c r="C15">
        <v>-28574.18</v>
      </c>
      <c r="D15">
        <v>-70096.539999999994</v>
      </c>
      <c r="E15">
        <v>-23123.759999999998</v>
      </c>
      <c r="F15">
        <v>-1.54</v>
      </c>
      <c r="G15">
        <v>-1.1399999999999999</v>
      </c>
      <c r="H15">
        <v>0.4</v>
      </c>
      <c r="I15">
        <v>0.55000000000000004</v>
      </c>
    </row>
    <row r="16" spans="1:9" x14ac:dyDescent="0.3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8" spans="1:9" s="29" customFormat="1" ht="28.8" customHeight="1" x14ac:dyDescent="0.3">
      <c r="A18" s="2" t="s">
        <v>35</v>
      </c>
    </row>
    <row r="19" spans="1:9" x14ac:dyDescent="0.3">
      <c r="A19" t="s">
        <v>0</v>
      </c>
      <c r="B19" t="s">
        <v>38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</row>
    <row r="20" spans="1:9" x14ac:dyDescent="0.3">
      <c r="A20" t="s">
        <v>8</v>
      </c>
      <c r="B20">
        <v>0.03</v>
      </c>
      <c r="C20">
        <v>0.03</v>
      </c>
      <c r="D20">
        <v>0.03</v>
      </c>
      <c r="E20">
        <v>0</v>
      </c>
      <c r="F20">
        <v>764</v>
      </c>
      <c r="G20">
        <v>836</v>
      </c>
      <c r="H20">
        <v>868</v>
      </c>
      <c r="I20">
        <v>907</v>
      </c>
    </row>
    <row r="21" spans="1:9" x14ac:dyDescent="0.3">
      <c r="A21" t="s">
        <v>9</v>
      </c>
      <c r="B21">
        <v>1036</v>
      </c>
      <c r="C21">
        <v>2356</v>
      </c>
      <c r="D21">
        <v>457</v>
      </c>
      <c r="E21">
        <v>7644</v>
      </c>
      <c r="F21">
        <v>15741</v>
      </c>
      <c r="G21">
        <v>18624</v>
      </c>
      <c r="H21">
        <v>19545</v>
      </c>
      <c r="I21">
        <v>29410</v>
      </c>
    </row>
    <row r="22" spans="1:9" x14ac:dyDescent="0.3">
      <c r="A22" t="s">
        <v>10</v>
      </c>
      <c r="B22">
        <v>186</v>
      </c>
      <c r="C22">
        <v>348</v>
      </c>
      <c r="D22">
        <v>326</v>
      </c>
      <c r="E22">
        <v>527</v>
      </c>
      <c r="F22">
        <v>70</v>
      </c>
      <c r="G22">
        <v>507</v>
      </c>
      <c r="H22">
        <v>749</v>
      </c>
      <c r="I22">
        <v>2045</v>
      </c>
    </row>
    <row r="23" spans="1:9" x14ac:dyDescent="0.3">
      <c r="A23" t="s">
        <v>11</v>
      </c>
      <c r="B23">
        <v>152</v>
      </c>
      <c r="C23">
        <v>709</v>
      </c>
      <c r="D23">
        <v>2117</v>
      </c>
      <c r="E23">
        <v>532</v>
      </c>
      <c r="F23">
        <v>751</v>
      </c>
      <c r="G23">
        <v>1632</v>
      </c>
      <c r="H23">
        <v>2194</v>
      </c>
      <c r="I23">
        <v>3261</v>
      </c>
    </row>
    <row r="24" spans="1:9" x14ac:dyDescent="0.3">
      <c r="A24" t="s">
        <v>12</v>
      </c>
      <c r="B24">
        <v>1374</v>
      </c>
      <c r="C24">
        <v>3413</v>
      </c>
      <c r="D24">
        <v>2900</v>
      </c>
      <c r="E24">
        <v>8704</v>
      </c>
      <c r="F24">
        <v>17327</v>
      </c>
      <c r="G24">
        <v>21599</v>
      </c>
      <c r="H24">
        <v>23356</v>
      </c>
      <c r="I24">
        <v>35623</v>
      </c>
    </row>
    <row r="25" spans="1:9" x14ac:dyDescent="0.3">
      <c r="A25" t="s">
        <v>13</v>
      </c>
      <c r="B25">
        <v>190</v>
      </c>
      <c r="C25">
        <v>389</v>
      </c>
      <c r="D25">
        <v>1591</v>
      </c>
      <c r="E25">
        <v>1539</v>
      </c>
      <c r="F25">
        <v>1404</v>
      </c>
      <c r="G25">
        <v>6344</v>
      </c>
      <c r="H25">
        <v>6448</v>
      </c>
      <c r="I25">
        <v>9532</v>
      </c>
    </row>
    <row r="26" spans="1:9" x14ac:dyDescent="0.3">
      <c r="A26" t="s">
        <v>14</v>
      </c>
      <c r="B26">
        <v>1</v>
      </c>
      <c r="C26">
        <v>1</v>
      </c>
      <c r="D26">
        <v>1</v>
      </c>
      <c r="E26">
        <v>0</v>
      </c>
      <c r="F26">
        <v>1</v>
      </c>
      <c r="G26">
        <v>7</v>
      </c>
      <c r="H26">
        <v>18</v>
      </c>
      <c r="I26">
        <v>51</v>
      </c>
    </row>
    <row r="27" spans="1:9" x14ac:dyDescent="0.3">
      <c r="A27" t="s">
        <v>15</v>
      </c>
      <c r="B27">
        <v>829</v>
      </c>
      <c r="C27">
        <v>2145</v>
      </c>
      <c r="D27">
        <v>324</v>
      </c>
      <c r="E27">
        <v>2205</v>
      </c>
      <c r="F27">
        <v>4718</v>
      </c>
      <c r="G27">
        <v>6765</v>
      </c>
      <c r="H27">
        <v>11645</v>
      </c>
      <c r="I27">
        <v>13192</v>
      </c>
    </row>
    <row r="28" spans="1:9" x14ac:dyDescent="0.3">
      <c r="A28" t="s">
        <v>16</v>
      </c>
      <c r="B28">
        <v>354</v>
      </c>
      <c r="C28">
        <v>879</v>
      </c>
      <c r="D28">
        <v>985</v>
      </c>
      <c r="E28">
        <v>4959</v>
      </c>
      <c r="F28">
        <v>11204</v>
      </c>
      <c r="G28">
        <v>8483</v>
      </c>
      <c r="H28">
        <v>5245</v>
      </c>
      <c r="I28">
        <v>12848</v>
      </c>
    </row>
    <row r="29" spans="1:9" x14ac:dyDescent="0.3">
      <c r="A29" t="s">
        <v>17</v>
      </c>
      <c r="B29">
        <v>1374</v>
      </c>
      <c r="C29">
        <v>3413</v>
      </c>
      <c r="D29">
        <v>2900</v>
      </c>
      <c r="E29">
        <v>8704</v>
      </c>
      <c r="F29">
        <v>17327</v>
      </c>
      <c r="G29">
        <v>21599</v>
      </c>
      <c r="H29">
        <v>23356</v>
      </c>
      <c r="I29">
        <v>35623</v>
      </c>
    </row>
    <row r="31" spans="1:9" s="29" customFormat="1" ht="25.8" customHeight="1" x14ac:dyDescent="0.3">
      <c r="A31" s="2" t="s">
        <v>37</v>
      </c>
    </row>
    <row r="32" spans="1:9" x14ac:dyDescent="0.3">
      <c r="A32" t="s">
        <v>0</v>
      </c>
      <c r="B32" t="s">
        <v>38</v>
      </c>
      <c r="C32" t="s">
        <v>1</v>
      </c>
      <c r="D32" t="s">
        <v>2</v>
      </c>
      <c r="E32" t="s">
        <v>3</v>
      </c>
      <c r="F32" t="s">
        <v>4</v>
      </c>
      <c r="G32" t="s">
        <v>5</v>
      </c>
      <c r="H32" t="s">
        <v>6</v>
      </c>
      <c r="I32" t="s">
        <v>7</v>
      </c>
    </row>
    <row r="33" spans="1:9" x14ac:dyDescent="0.3">
      <c r="A33" t="s">
        <v>18</v>
      </c>
      <c r="B33" t="s">
        <v>40</v>
      </c>
      <c r="C33" t="s">
        <v>40</v>
      </c>
      <c r="D33">
        <v>-2144</v>
      </c>
      <c r="E33">
        <v>-1018</v>
      </c>
      <c r="F33">
        <v>-693</v>
      </c>
      <c r="G33">
        <v>-844</v>
      </c>
      <c r="H33">
        <v>646</v>
      </c>
      <c r="I33">
        <v>308</v>
      </c>
    </row>
    <row r="34" spans="1:9" x14ac:dyDescent="0.3">
      <c r="A34" t="s">
        <v>19</v>
      </c>
      <c r="B34" t="s">
        <v>40</v>
      </c>
      <c r="C34" t="s">
        <v>40</v>
      </c>
      <c r="D34">
        <v>1740</v>
      </c>
      <c r="E34">
        <v>-5245</v>
      </c>
      <c r="F34">
        <v>-7971</v>
      </c>
      <c r="G34">
        <v>797</v>
      </c>
      <c r="H34">
        <v>-348</v>
      </c>
      <c r="I34">
        <v>-7993</v>
      </c>
    </row>
    <row r="35" spans="1:9" x14ac:dyDescent="0.3">
      <c r="A35" t="s">
        <v>20</v>
      </c>
      <c r="B35" t="s">
        <v>40</v>
      </c>
      <c r="C35" t="s">
        <v>40</v>
      </c>
      <c r="D35">
        <v>359</v>
      </c>
      <c r="E35">
        <v>6402</v>
      </c>
      <c r="F35">
        <v>8750</v>
      </c>
      <c r="G35">
        <v>-127</v>
      </c>
      <c r="H35">
        <v>-207</v>
      </c>
      <c r="I35">
        <v>8042</v>
      </c>
    </row>
    <row r="36" spans="1:9" x14ac:dyDescent="0.3">
      <c r="A36" t="s">
        <v>21</v>
      </c>
      <c r="B36" t="s">
        <v>40</v>
      </c>
      <c r="C36" t="s">
        <v>40</v>
      </c>
      <c r="D36">
        <v>-45</v>
      </c>
      <c r="E36">
        <v>139</v>
      </c>
      <c r="F36">
        <v>86</v>
      </c>
      <c r="G36">
        <v>-174</v>
      </c>
      <c r="H36">
        <v>91</v>
      </c>
      <c r="I36">
        <v>357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D843A-5BEA-4D00-8156-75037DE58B8E}">
  <sheetPr codeName="Sheet3"/>
  <dimension ref="A1:Q20"/>
  <sheetViews>
    <sheetView showGridLines="0" tabSelected="1" zoomScale="70" zoomScaleNormal="50" workbookViewId="0">
      <selection activeCell="N9" sqref="N9:Q13"/>
    </sheetView>
  </sheetViews>
  <sheetFormatPr defaultRowHeight="14.4" x14ac:dyDescent="0.3"/>
  <cols>
    <col min="1" max="1" width="5.21875" customWidth="1"/>
    <col min="2" max="2" width="17.33203125" customWidth="1"/>
    <col min="3" max="3" width="21.44140625" customWidth="1"/>
    <col min="4" max="4" width="48.77734375" customWidth="1"/>
    <col min="5" max="5" width="44.6640625" customWidth="1"/>
    <col min="6" max="6" width="22.21875" customWidth="1"/>
    <col min="7" max="7" width="8.88671875" customWidth="1"/>
    <col min="8" max="8" width="4.88671875" hidden="1" customWidth="1"/>
    <col min="9" max="9" width="119.33203125" customWidth="1"/>
    <col min="10" max="10" width="11.5546875" customWidth="1"/>
    <col min="14" max="14" width="15.5546875" customWidth="1"/>
  </cols>
  <sheetData>
    <row r="1" spans="1:17" s="42" customFormat="1" ht="99" customHeight="1" x14ac:dyDescent="0.3">
      <c r="A1" s="42" t="s">
        <v>93</v>
      </c>
    </row>
    <row r="4" spans="1:17" ht="30.6" customHeight="1" x14ac:dyDescent="0.35">
      <c r="B4" s="55" t="s">
        <v>94</v>
      </c>
      <c r="E4" s="38" t="s">
        <v>101</v>
      </c>
    </row>
    <row r="5" spans="1:17" ht="30.6" customHeight="1" x14ac:dyDescent="0.3">
      <c r="E5" s="39" t="s">
        <v>102</v>
      </c>
      <c r="H5" s="37"/>
    </row>
    <row r="7" spans="1:17" ht="2.4" customHeight="1" x14ac:dyDescent="0.3"/>
    <row r="8" spans="1:17" ht="105.6" customHeight="1" x14ac:dyDescent="0.3">
      <c r="B8" s="53" t="s">
        <v>95</v>
      </c>
      <c r="C8" s="52" t="s">
        <v>96</v>
      </c>
      <c r="D8" s="52" t="s">
        <v>97</v>
      </c>
      <c r="E8" s="52" t="s">
        <v>98</v>
      </c>
      <c r="F8" s="51" t="s">
        <v>99</v>
      </c>
      <c r="G8" s="41"/>
      <c r="I8" s="54" t="s">
        <v>100</v>
      </c>
    </row>
    <row r="9" spans="1:17" ht="32.4" customHeight="1" x14ac:dyDescent="0.35">
      <c r="B9" s="49" t="s">
        <v>51</v>
      </c>
      <c r="C9" s="49" t="s">
        <v>68</v>
      </c>
      <c r="D9" s="49" cm="1">
        <f t="array" ref="D9">_xlfn.XLOOKUP('ZOMATO ltd.'!$A$33,ZOMATO_CF[[Column1]:[Column1]],ZOMATO_CF[Mar 2021])</f>
        <v>-1018</v>
      </c>
      <c r="E9" s="49">
        <f>_xlfn.XLOOKUP('ZOMATO ltd.'!A35,ZOMATO_CF[Column1],ZOMATO_CF[Mar 2021])</f>
        <v>6402</v>
      </c>
      <c r="F9" s="50">
        <f>E9/D9</f>
        <v>-6.288801571709234</v>
      </c>
      <c r="G9" s="22"/>
      <c r="I9" s="27" t="s">
        <v>104</v>
      </c>
      <c r="N9" t="s">
        <v>95</v>
      </c>
      <c r="O9" t="s">
        <v>68</v>
      </c>
      <c r="P9" t="s">
        <v>69</v>
      </c>
      <c r="Q9" t="s">
        <v>70</v>
      </c>
    </row>
    <row r="10" spans="1:17" ht="32.4" customHeight="1" x14ac:dyDescent="0.35">
      <c r="B10" s="49" t="s">
        <v>51</v>
      </c>
      <c r="C10" s="49" t="s">
        <v>69</v>
      </c>
      <c r="D10" s="49" cm="1">
        <f t="array" ref="D10">_xlfn.XLOOKUP('ZOMATO ltd.'!$A$33,ZOMATO_CF[[Column1]:[Column1]],ZOMATO_CF[Mar 2022])</f>
        <v>-693</v>
      </c>
      <c r="E10" s="49">
        <f>_xlfn.XLOOKUP('ZOMATO ltd.'!A35,ZOMATO_CF[Column1],ZOMATO_CF[Mar 2022])</f>
        <v>8750</v>
      </c>
      <c r="F10" s="50">
        <f t="shared" ref="F10:F20" si="0">E10/D10</f>
        <v>-12.626262626262626</v>
      </c>
      <c r="G10" s="22"/>
      <c r="I10" s="27" t="s">
        <v>105</v>
      </c>
      <c r="N10" t="s">
        <v>51</v>
      </c>
      <c r="O10" cm="1">
        <f t="array" ref="O10:Q10">TRANSPOSE(F9:F11)</f>
        <v>-6.288801571709234</v>
      </c>
      <c r="P10">
        <v>-12.626262626262626</v>
      </c>
      <c r="Q10">
        <v>0.1504739336492891</v>
      </c>
    </row>
    <row r="11" spans="1:17" ht="32.4" customHeight="1" x14ac:dyDescent="0.35">
      <c r="B11" s="49" t="s">
        <v>51</v>
      </c>
      <c r="C11" s="49" t="s">
        <v>70</v>
      </c>
      <c r="D11" s="49" cm="1">
        <f t="array" ref="D11">_xlfn.XLOOKUP('ZOMATO ltd.'!$A$33,ZOMATO_CF[[Column1]:[Column1]],ZOMATO_CF[Mar 2023])</f>
        <v>-844</v>
      </c>
      <c r="E11" s="49">
        <f>_xlfn.XLOOKUP('ZOMATO ltd.'!A35,ZOMATO_CF[Column1],ZOMATO_CF[Mar 2023])</f>
        <v>-127</v>
      </c>
      <c r="F11" s="50">
        <f t="shared" si="0"/>
        <v>0.1504739336492891</v>
      </c>
      <c r="G11" s="22"/>
      <c r="I11" s="27" t="s">
        <v>106</v>
      </c>
      <c r="N11" t="s">
        <v>42</v>
      </c>
      <c r="O11" cm="1">
        <f t="array" ref="O11:Q11">TRANSPOSE(F12:F14)</f>
        <v>-0.2857142857142857</v>
      </c>
      <c r="P11">
        <v>-2.6186440677966103</v>
      </c>
      <c r="Q11">
        <v>-3.5714285714285712E-2</v>
      </c>
    </row>
    <row r="12" spans="1:17" ht="32.4" customHeight="1" x14ac:dyDescent="0.35">
      <c r="B12" s="49" t="s">
        <v>42</v>
      </c>
      <c r="C12" s="49" t="s">
        <v>68</v>
      </c>
      <c r="D12" s="49">
        <f>VLOOKUP('NYKAA ltd.'!A33,nykaa_CF[],5,FALSE)</f>
        <v>133</v>
      </c>
      <c r="E12" s="49">
        <f>_xlfn.XLOOKUP('NYKAA ltd.'!A35,nykaa_CF[Column1],nykaa_CF[Mar 2021])</f>
        <v>-38</v>
      </c>
      <c r="F12" s="50">
        <f t="shared" si="0"/>
        <v>-0.2857142857142857</v>
      </c>
      <c r="G12" s="22"/>
      <c r="I12" s="27" t="s">
        <v>107</v>
      </c>
      <c r="N12" t="s">
        <v>52</v>
      </c>
      <c r="O12" cm="1">
        <f t="array" ref="O12:Q12">TRANSPOSE(F15:F17)</f>
        <v>-3.3333333333333333E-2</v>
      </c>
      <c r="P12">
        <v>9.25</v>
      </c>
      <c r="Q12">
        <v>0.30434782608695654</v>
      </c>
    </row>
    <row r="13" spans="1:17" ht="32.4" customHeight="1" x14ac:dyDescent="0.35">
      <c r="B13" s="49" t="s">
        <v>42</v>
      </c>
      <c r="C13" s="49" t="s">
        <v>69</v>
      </c>
      <c r="D13" s="49">
        <f>VLOOKUP('NYKAA ltd.'!A33,nykaa_CF[],6,FALSE)</f>
        <v>-354</v>
      </c>
      <c r="E13" s="49">
        <f>_xlfn.XLOOKUP('NYKAA ltd.'!A35,nykaa_CF[Column1],nykaa_CF[Mar 2022])</f>
        <v>927</v>
      </c>
      <c r="F13" s="50">
        <f t="shared" si="0"/>
        <v>-2.6186440677966103</v>
      </c>
      <c r="G13" s="22"/>
      <c r="I13" s="27" t="s">
        <v>108</v>
      </c>
      <c r="N13" t="s">
        <v>53</v>
      </c>
      <c r="O13" cm="1">
        <f t="array" ref="O13:Q13">TRANSPOSE(F18:F20)</f>
        <v>-29.4</v>
      </c>
      <c r="P13">
        <v>-12.04149377593361</v>
      </c>
      <c r="Q13">
        <v>-117.93333333333334</v>
      </c>
    </row>
    <row r="14" spans="1:17" ht="32.4" customHeight="1" x14ac:dyDescent="0.35">
      <c r="B14" s="49" t="s">
        <v>42</v>
      </c>
      <c r="C14" s="49" t="s">
        <v>70</v>
      </c>
      <c r="D14" s="49">
        <f>VLOOKUP('NYKAA ltd.'!A33,nykaa_CF[],7,FALSE)</f>
        <v>-140</v>
      </c>
      <c r="E14" s="49">
        <f>_xlfn.XLOOKUP('NYKAA ltd.'!A35,nykaa_CF[Column1],nykaa_CF[Mar 2023])</f>
        <v>5</v>
      </c>
      <c r="F14" s="50">
        <f t="shared" si="0"/>
        <v>-3.5714285714285712E-2</v>
      </c>
      <c r="G14" s="22"/>
      <c r="I14" s="27" t="s">
        <v>109</v>
      </c>
    </row>
    <row r="15" spans="1:17" ht="32.4" customHeight="1" x14ac:dyDescent="0.35">
      <c r="B15" s="49" t="s">
        <v>52</v>
      </c>
      <c r="C15" s="49" t="s">
        <v>68</v>
      </c>
      <c r="D15" s="49">
        <f>INDEX(mamaearth_CF[Mar 2021],MATCH(MAMAEARTH!A33,mamaearth_CF[Column1],0))</f>
        <v>30</v>
      </c>
      <c r="E15" s="49">
        <f>_xlfn.XLOOKUP(MAMAEARTH!A35,mamaearth_CF[Column1],mamaearth_CF[Mar 2021])</f>
        <v>-1</v>
      </c>
      <c r="F15" s="50">
        <f t="shared" si="0"/>
        <v>-3.3333333333333333E-2</v>
      </c>
      <c r="G15" s="22"/>
      <c r="I15" s="27" t="s">
        <v>110</v>
      </c>
    </row>
    <row r="16" spans="1:17" ht="32.4" customHeight="1" x14ac:dyDescent="0.35">
      <c r="B16" s="49" t="s">
        <v>52</v>
      </c>
      <c r="C16" s="49" t="s">
        <v>69</v>
      </c>
      <c r="D16" s="49">
        <f>INDEX(mamaearth_CF[Mar 2022],MATCH(MAMAEARTH!A33,mamaearth_CF[Column1],0))</f>
        <v>52</v>
      </c>
      <c r="E16" s="49">
        <f>_xlfn.XLOOKUP(MAMAEARTH!A35,mamaearth_CF[Column1],mamaearth_CF[Mar 2022])</f>
        <v>481</v>
      </c>
      <c r="F16" s="50">
        <f t="shared" si="0"/>
        <v>9.25</v>
      </c>
      <c r="G16" s="22"/>
      <c r="I16" s="27" t="s">
        <v>111</v>
      </c>
    </row>
    <row r="17" spans="2:9" ht="32.4" customHeight="1" x14ac:dyDescent="0.35">
      <c r="B17" s="49" t="s">
        <v>52</v>
      </c>
      <c r="C17" s="49" t="s">
        <v>70</v>
      </c>
      <c r="D17" s="49">
        <f>INDEX(mamaearth_CF[Mar 2023],MATCH(MAMAEARTH!A33,mamaearth_CF[Column1],0))</f>
        <v>-23</v>
      </c>
      <c r="E17" s="49">
        <f>_xlfn.XLOOKUP(MAMAEARTH!A35,mamaearth_CF[Column1],mamaearth_CF[Mar 2023])</f>
        <v>-7</v>
      </c>
      <c r="F17" s="50">
        <f t="shared" si="0"/>
        <v>0.30434782608695654</v>
      </c>
      <c r="G17" s="22"/>
      <c r="I17" s="27" t="s">
        <v>112</v>
      </c>
    </row>
    <row r="18" spans="2:9" ht="32.4" customHeight="1" x14ac:dyDescent="0.35">
      <c r="B18" s="49" t="s">
        <v>53</v>
      </c>
      <c r="C18" s="49" t="s">
        <v>68</v>
      </c>
      <c r="D18" s="49">
        <f>_xlfn.XLOOKUP('DELHIVERY ltd.'!A33,delhivery_CF[Column1],delhivery_CF[Mar 2021])</f>
        <v>5</v>
      </c>
      <c r="E18" s="49">
        <f>_xlfn.XLOOKUP('DELHIVERY ltd.'!A35,delhivery_CF[Column1],delhivery_CF[Mar 2021])</f>
        <v>-147</v>
      </c>
      <c r="F18" s="50">
        <f t="shared" si="0"/>
        <v>-29.4</v>
      </c>
      <c r="G18" s="22"/>
      <c r="I18" s="27" t="s">
        <v>115</v>
      </c>
    </row>
    <row r="19" spans="2:9" ht="32.4" customHeight="1" x14ac:dyDescent="0.35">
      <c r="B19" s="49" t="s">
        <v>53</v>
      </c>
      <c r="C19" s="49" t="s">
        <v>69</v>
      </c>
      <c r="D19" s="49">
        <f>_xlfn.XLOOKUP('DELHIVERY ltd.'!A33,delhivery_CF[Column1],delhivery_CF[Mar 2022])</f>
        <v>-241</v>
      </c>
      <c r="E19" s="49">
        <f>_xlfn.XLOOKUP('DELHIVERY ltd.'!A35,delhivery_CF[Column1],delhivery_CF[Mar 2022])</f>
        <v>2902</v>
      </c>
      <c r="F19" s="50">
        <f t="shared" si="0"/>
        <v>-12.04149377593361</v>
      </c>
      <c r="G19" s="22"/>
      <c r="I19" s="27" t="s">
        <v>113</v>
      </c>
    </row>
    <row r="20" spans="2:9" ht="32.4" customHeight="1" x14ac:dyDescent="0.35">
      <c r="B20" s="49" t="s">
        <v>53</v>
      </c>
      <c r="C20" s="49" t="s">
        <v>70</v>
      </c>
      <c r="D20" s="49">
        <f>_xlfn.XLOOKUP('DELHIVERY ltd.'!A33,delhivery_CF[Column1],delhivery_CF[Mar 2023])</f>
        <v>-30</v>
      </c>
      <c r="E20" s="49">
        <f>_xlfn.XLOOKUP('DELHIVERY ltd.'!A35,delhivery_CF[Column1],delhivery_CF[Mar 2023])</f>
        <v>3538</v>
      </c>
      <c r="F20" s="50">
        <f t="shared" si="0"/>
        <v>-117.93333333333334</v>
      </c>
      <c r="G20" s="22"/>
      <c r="I20" s="27" t="s">
        <v>114</v>
      </c>
    </row>
  </sheetData>
  <phoneticPr fontId="15" type="noConversion"/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D22C-6DD5-425B-84EA-25DE76107ECF}">
  <sheetPr codeName="Sheet1"/>
  <dimension ref="A1:L23"/>
  <sheetViews>
    <sheetView showGridLines="0" zoomScale="76" zoomScaleNormal="109" workbookViewId="0">
      <selection activeCell="R22" sqref="R22"/>
    </sheetView>
  </sheetViews>
  <sheetFormatPr defaultRowHeight="14.4" x14ac:dyDescent="0.3"/>
  <cols>
    <col min="1" max="1" width="8.88671875" customWidth="1"/>
    <col min="2" max="2" width="24.109375" customWidth="1"/>
    <col min="3" max="3" width="21.109375" customWidth="1"/>
    <col min="4" max="4" width="19.88671875" customWidth="1"/>
    <col min="5" max="5" width="22.21875" customWidth="1"/>
    <col min="6" max="6" width="37.44140625" customWidth="1"/>
    <col min="7" max="7" width="19.6640625" customWidth="1"/>
    <col min="8" max="8" width="9.21875" customWidth="1"/>
    <col min="9" max="9" width="13.21875" customWidth="1"/>
    <col min="10" max="10" width="13.44140625" customWidth="1"/>
    <col min="11" max="11" width="23.109375" customWidth="1"/>
    <col min="12" max="12" width="13.44140625" customWidth="1"/>
  </cols>
  <sheetData>
    <row r="1" spans="1:12" s="18" customFormat="1" ht="100.8" customHeight="1" x14ac:dyDescent="0.3">
      <c r="A1" s="19" t="s">
        <v>58</v>
      </c>
    </row>
    <row r="2" spans="1:12" ht="16.2" customHeight="1" thickBot="1" x14ac:dyDescent="0.35">
      <c r="A2" s="10"/>
    </row>
    <row r="3" spans="1:12" ht="29.4" thickBot="1" x14ac:dyDescent="0.6">
      <c r="C3" s="12" t="s">
        <v>22</v>
      </c>
      <c r="F3" s="13" t="s">
        <v>56</v>
      </c>
    </row>
    <row r="4" spans="1:12" ht="37.799999999999997" customHeight="1" x14ac:dyDescent="0.3">
      <c r="B4" s="17" t="s">
        <v>44</v>
      </c>
      <c r="C4" s="17" t="s">
        <v>45</v>
      </c>
      <c r="D4" s="17" t="s">
        <v>46</v>
      </c>
      <c r="E4" s="17" t="s">
        <v>47</v>
      </c>
      <c r="F4" s="17" t="s">
        <v>54</v>
      </c>
      <c r="G4" s="17" t="s">
        <v>55</v>
      </c>
    </row>
    <row r="5" spans="1:12" ht="37.799999999999997" customHeight="1" x14ac:dyDescent="0.3">
      <c r="B5" s="17" t="s">
        <v>51</v>
      </c>
      <c r="C5" s="15">
        <f>_xlfn.XLOOKUP($C$3,'ZOMATO ltd.'!$A$5:$A$16,'ZOMATO ltd.'!E5:E16)</f>
        <v>1994</v>
      </c>
      <c r="D5" s="15">
        <f>_xlfn.XLOOKUP($C$3,'ZOMATO ltd.'!$A$5:$A$16,'ZOMATO ltd.'!F5:F16)</f>
        <v>4192</v>
      </c>
      <c r="E5" s="15">
        <f>_xlfn.XLOOKUP($C$3,'ZOMATO ltd.'!$A$5:$A$16,'ZOMATO ltd.'!G5:G16)</f>
        <v>7079</v>
      </c>
      <c r="F5" s="16">
        <f>(D5-C5)/C5</f>
        <v>1.1023069207622869</v>
      </c>
      <c r="G5" s="16">
        <f>(E5-D5)/D5</f>
        <v>0.68869274809160308</v>
      </c>
      <c r="I5" s="14" t="s">
        <v>78</v>
      </c>
      <c r="K5" s="9"/>
      <c r="L5" s="9"/>
    </row>
    <row r="6" spans="1:12" ht="37.799999999999997" customHeight="1" x14ac:dyDescent="0.3">
      <c r="B6" s="17" t="s">
        <v>42</v>
      </c>
      <c r="C6" s="15" cm="1">
        <f t="array" ref="C6">_xlfn.XLOOKUP($C$3,'NYKAA ltd.'!$A$5:$A$16,Nykaa_PL[Mar 2021])</f>
        <v>2441</v>
      </c>
      <c r="D6" s="15" cm="1">
        <f t="array" ref="D6">_xlfn.XLOOKUP($C$3,'NYKAA ltd.'!$A$5:$A$16,Nykaa_PL[Mar 2022])</f>
        <v>3774</v>
      </c>
      <c r="E6" s="15" cm="1">
        <f t="array" ref="E6">_xlfn.XLOOKUP($C$3,'NYKAA ltd.'!$A$5:$A$16,Nykaa_PL[Mar 2023])</f>
        <v>5144</v>
      </c>
      <c r="F6" s="16">
        <f t="shared" ref="F6:F8" si="0">(D6-C6)/C6</f>
        <v>0.54608766898811967</v>
      </c>
      <c r="G6" s="16">
        <f t="shared" ref="G6:G7" si="1">(E6-D6)/D6</f>
        <v>0.36301006889242182</v>
      </c>
      <c r="I6" s="35" t="s">
        <v>79</v>
      </c>
      <c r="K6" s="9"/>
      <c r="L6" s="9"/>
    </row>
    <row r="7" spans="1:12" ht="37.799999999999997" customHeight="1" x14ac:dyDescent="0.3">
      <c r="B7" s="17" t="s">
        <v>52</v>
      </c>
      <c r="C7" s="15">
        <f>_xlfn.XLOOKUP(C3,mamaearth_PL[Particulars],mamaearth_PL[Mar 2021])</f>
        <v>460</v>
      </c>
      <c r="D7" s="15">
        <f>_xlfn.XLOOKUP(C3,mamaearth_PL[Particulars],mamaearth_PL[Mar 2022])</f>
        <v>932</v>
      </c>
      <c r="E7" s="15">
        <f>_xlfn.XLOOKUP(C3,mamaearth_PL[Particulars],mamaearth_PL[Mar 2023])</f>
        <v>1395</v>
      </c>
      <c r="F7" s="16">
        <f t="shared" si="0"/>
        <v>1.0260869565217392</v>
      </c>
      <c r="G7" s="16">
        <f t="shared" si="1"/>
        <v>0.49678111587982832</v>
      </c>
      <c r="I7" s="14" t="s">
        <v>82</v>
      </c>
      <c r="K7" s="9"/>
      <c r="L7" s="9"/>
    </row>
    <row r="8" spans="1:12" ht="37.799999999999997" customHeight="1" x14ac:dyDescent="0.3">
      <c r="B8" s="17" t="s">
        <v>53</v>
      </c>
      <c r="C8" s="15">
        <f>_xlfn.XLOOKUP(C3,delhivery_PL[Particulars],delhivery_PL[Mar 2021])</f>
        <v>3647</v>
      </c>
      <c r="D8" s="15">
        <f>_xlfn.XLOOKUP(C3,delhivery_PL[Particulars],delhivery_PL[Mar 2022])</f>
        <v>6882</v>
      </c>
      <c r="E8" s="15">
        <f>_xlfn.XLOOKUP(C3,delhivery_PL[Particulars],delhivery_PL[Mar 2023])</f>
        <v>7225</v>
      </c>
      <c r="F8" s="16">
        <f t="shared" si="0"/>
        <v>0.88703043597477382</v>
      </c>
      <c r="G8" s="16">
        <f>(E8-D8)/D8</f>
        <v>4.9840162743388552E-2</v>
      </c>
      <c r="I8" s="14" t="s">
        <v>80</v>
      </c>
      <c r="K8" s="9"/>
      <c r="L8" s="9"/>
    </row>
    <row r="9" spans="1:12" x14ac:dyDescent="0.3">
      <c r="F9" s="9"/>
      <c r="G9" s="9"/>
      <c r="I9" s="14" t="s">
        <v>81</v>
      </c>
      <c r="K9" s="9"/>
      <c r="L9" s="9"/>
    </row>
    <row r="10" spans="1:12" x14ac:dyDescent="0.3">
      <c r="F10" s="9"/>
      <c r="G10" s="9"/>
      <c r="K10" s="9"/>
      <c r="L10" s="9"/>
    </row>
    <row r="11" spans="1:12" x14ac:dyDescent="0.3">
      <c r="F11" s="9"/>
      <c r="G11" s="9"/>
      <c r="K11" s="9"/>
      <c r="L11" s="9"/>
    </row>
    <row r="12" spans="1:12" ht="15" thickBot="1" x14ac:dyDescent="0.35"/>
    <row r="13" spans="1:12" ht="29.4" thickBot="1" x14ac:dyDescent="0.6">
      <c r="C13" s="12" t="s">
        <v>31</v>
      </c>
      <c r="F13" s="11" t="s">
        <v>57</v>
      </c>
    </row>
    <row r="14" spans="1:12" ht="34.200000000000003" customHeight="1" x14ac:dyDescent="0.3">
      <c r="B14" s="17" t="s">
        <v>44</v>
      </c>
      <c r="C14" s="17" t="s">
        <v>48</v>
      </c>
      <c r="D14" s="17" t="s">
        <v>49</v>
      </c>
      <c r="E14" s="17" t="s">
        <v>50</v>
      </c>
      <c r="F14" s="17" t="s">
        <v>54</v>
      </c>
      <c r="G14" s="17" t="s">
        <v>55</v>
      </c>
    </row>
    <row r="15" spans="1:12" ht="34.200000000000003" customHeight="1" x14ac:dyDescent="0.3">
      <c r="B15" s="17" t="s">
        <v>51</v>
      </c>
      <c r="C15" s="15">
        <f>_xlfn.XLOOKUP($C$13,'ZOMATO ltd.'!$A$5:$A$16,'ZOMATO ltd.'!E5:E16)</f>
        <v>-816</v>
      </c>
      <c r="D15" s="15">
        <f>_xlfn.XLOOKUP($C$13,'ZOMATO ltd.'!$A$5:$A$16,'ZOMATO ltd.'!F5:F16)</f>
        <v>-1222</v>
      </c>
      <c r="E15" s="15">
        <f>_xlfn.XLOOKUP($C$13,'ZOMATO ltd.'!$A$5:$A$16,'ZOMATO ltd.'!G5:G16)</f>
        <v>-971</v>
      </c>
      <c r="F15" s="16">
        <f>(D15-C15)/C15</f>
        <v>0.49754901960784315</v>
      </c>
      <c r="G15" s="16">
        <f>(E15-D15)/D15</f>
        <v>-0.20540098199672668</v>
      </c>
    </row>
    <row r="16" spans="1:12" ht="34.200000000000003" customHeight="1" x14ac:dyDescent="0.3">
      <c r="B16" s="17" t="s">
        <v>42</v>
      </c>
      <c r="C16" s="15" cm="1">
        <f t="array" ref="C16">_xlfn.XLOOKUP($C$13,'NYKAA ltd.'!$A$5:$A$16,Nykaa_PL[Mar 2021])</f>
        <v>62</v>
      </c>
      <c r="D16" s="15" cm="1">
        <f t="array" ref="D16">_xlfn.XLOOKUP($C$13,'NYKAA ltd.'!$A$5:$A$16,Nykaa_PL[Mar 2022])</f>
        <v>41</v>
      </c>
      <c r="E16" s="15" cm="1">
        <f t="array" ref="E16">_xlfn.XLOOKUP($C$13,'NYKAA ltd.'!$A$5:$A$16,Nykaa_PL[Mar 2023])</f>
        <v>21</v>
      </c>
      <c r="F16" s="16">
        <f t="shared" ref="F16:F18" si="2">(D16-C16)/C16</f>
        <v>-0.33870967741935482</v>
      </c>
      <c r="G16" s="16">
        <f t="shared" ref="G16:G18" si="3">(E16-D16)/D16</f>
        <v>-0.48780487804878048</v>
      </c>
      <c r="I16" s="14" t="s">
        <v>83</v>
      </c>
    </row>
    <row r="17" spans="2:7" ht="34.200000000000003" customHeight="1" x14ac:dyDescent="0.3">
      <c r="B17" s="17" t="s">
        <v>52</v>
      </c>
      <c r="C17" s="15">
        <f>_xlfn.XLOOKUP(C13,mamaearth_PL[Particulars],mamaearth_PL[Mar 2021])</f>
        <v>-1332</v>
      </c>
      <c r="D17" s="15">
        <f>_xlfn.XLOOKUP(C13,mamaearth_PL[Particulars],mamaearth_PL[Mar 2022])</f>
        <v>20</v>
      </c>
      <c r="E17" s="15">
        <f>_xlfn.XLOOKUP(C13,mamaearth_PL[Particulars],mamaearth_PL[Mar 2023])</f>
        <v>-121</v>
      </c>
      <c r="F17" s="16">
        <f t="shared" si="2"/>
        <v>-1.015015015015015</v>
      </c>
      <c r="G17" s="16">
        <f t="shared" si="3"/>
        <v>-7.05</v>
      </c>
    </row>
    <row r="18" spans="2:7" ht="34.200000000000003" customHeight="1" x14ac:dyDescent="0.3">
      <c r="B18" s="17" t="s">
        <v>53</v>
      </c>
      <c r="C18" s="15">
        <f>_xlfn.XLOOKUP(C13,delhivery_PL[Particulars],delhivery_PL[Mar 2021])</f>
        <v>-416</v>
      </c>
      <c r="D18" s="15">
        <f>_xlfn.XLOOKUP(C13,delhivery_PL[Particulars],delhivery_PL[Mar 2022])</f>
        <v>-1011</v>
      </c>
      <c r="E18" s="15">
        <f>_xlfn.XLOOKUP(C13,delhivery_PL[Particulars],delhivery_PL[Mar 2023])</f>
        <v>-1008</v>
      </c>
      <c r="F18" s="16">
        <f t="shared" si="2"/>
        <v>1.4302884615384615</v>
      </c>
      <c r="G18" s="16">
        <f t="shared" si="3"/>
        <v>-2.967359050445104E-3</v>
      </c>
    </row>
    <row r="22" spans="2:7" x14ac:dyDescent="0.3">
      <c r="B22" s="33"/>
    </row>
    <row r="23" spans="2:7" ht="15.6" x14ac:dyDescent="0.4">
      <c r="B23" s="34"/>
    </row>
  </sheetData>
  <conditionalFormatting sqref="F5:F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5:F18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:G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:G1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5C4B-49B9-4A13-A8FE-B0EFB180D1E8}">
  <sheetPr codeName="Sheet11"/>
  <dimension ref="B1:U56"/>
  <sheetViews>
    <sheetView showGridLines="0" zoomScale="69" workbookViewId="0">
      <selection activeCell="AA43" sqref="AA43"/>
    </sheetView>
  </sheetViews>
  <sheetFormatPr defaultRowHeight="14.4" x14ac:dyDescent="0.3"/>
  <cols>
    <col min="2" max="2" width="24.44140625" customWidth="1"/>
    <col min="3" max="3" width="13.6640625" customWidth="1"/>
    <col min="4" max="5" width="13.33203125" customWidth="1"/>
    <col min="6" max="6" width="10.5546875" customWidth="1"/>
    <col min="7" max="7" width="8.88671875" customWidth="1"/>
    <col min="8" max="8" width="9.77734375" customWidth="1"/>
    <col min="10" max="10" width="14.44140625" customWidth="1"/>
    <col min="11" max="11" width="15.44140625" customWidth="1"/>
    <col min="12" max="12" width="9.77734375" customWidth="1"/>
    <col min="13" max="13" width="12.109375" customWidth="1"/>
    <col min="14" max="14" width="13.109375" customWidth="1"/>
    <col min="17" max="17" width="17" customWidth="1"/>
  </cols>
  <sheetData>
    <row r="1" spans="2:14" s="65" customFormat="1" ht="43.8" customHeight="1" x14ac:dyDescent="0.3">
      <c r="B1" s="66" t="s">
        <v>126</v>
      </c>
    </row>
    <row r="3" spans="2:14" ht="49.8" customHeight="1" x14ac:dyDescent="1.1000000000000001">
      <c r="B3" s="59">
        <v>2021</v>
      </c>
      <c r="C3" s="60"/>
      <c r="D3" s="69" t="s">
        <v>125</v>
      </c>
      <c r="E3" s="69" t="s">
        <v>118</v>
      </c>
      <c r="F3" s="22"/>
      <c r="G3" s="69" t="s">
        <v>119</v>
      </c>
      <c r="H3" s="69" t="s">
        <v>120</v>
      </c>
      <c r="I3" s="22"/>
      <c r="J3" s="69" t="s">
        <v>121</v>
      </c>
      <c r="K3" s="69" t="s">
        <v>122</v>
      </c>
      <c r="L3" s="22"/>
      <c r="M3" s="69" t="s">
        <v>123</v>
      </c>
      <c r="N3" s="69" t="s">
        <v>124</v>
      </c>
    </row>
    <row r="4" spans="2:14" ht="15.6" x14ac:dyDescent="0.3">
      <c r="B4" t="s">
        <v>17</v>
      </c>
      <c r="C4" s="58"/>
      <c r="D4" s="57">
        <f>_xlfn.XLOOKUP(B4,ZOMATO_BL[Column1],ZOMATO_BL[Mar 2021])</f>
        <v>8704</v>
      </c>
      <c r="E4" s="67">
        <f>D4/$D$4</f>
        <v>1</v>
      </c>
      <c r="F4" s="56"/>
      <c r="G4" s="22">
        <f>_xlfn.XLOOKUP(B4,nykaa_BL[Column1],nykaa_BL[Mar 2021])</f>
        <v>1302</v>
      </c>
      <c r="H4" s="56">
        <f t="shared" ref="H4:H15" si="0">G4/$G$4</f>
        <v>1</v>
      </c>
      <c r="I4" s="56"/>
      <c r="J4" s="57">
        <f>_xlfn.XLOOKUP(B4,mamaearth_BL[Column1],mamaearth_BL[Mar 2021])</f>
        <v>303</v>
      </c>
      <c r="K4" s="56">
        <f t="shared" ref="K4:K15" si="1">J4/$J$4</f>
        <v>1</v>
      </c>
      <c r="L4" s="56"/>
      <c r="M4" s="22">
        <f>_xlfn.XLOOKUP(B4,Delhivery_BL[Column1],Delhivery_BL[Mar 2021])</f>
        <v>4598</v>
      </c>
      <c r="N4" s="56">
        <f t="shared" ref="N4:N15" si="2">M4/$M$4</f>
        <v>1</v>
      </c>
    </row>
    <row r="5" spans="2:14" ht="15.6" x14ac:dyDescent="0.3">
      <c r="B5" t="s">
        <v>8</v>
      </c>
      <c r="C5" s="58"/>
      <c r="D5" s="57">
        <f>_xlfn.XLOOKUP(B5,ZOMATO_BL[Column1],ZOMATO_BL[Mar 2021])</f>
        <v>0</v>
      </c>
      <c r="E5" s="67">
        <f t="shared" ref="E5:E15" si="3">D5/$D$4</f>
        <v>0</v>
      </c>
      <c r="F5" s="56"/>
      <c r="G5" s="22">
        <f>_xlfn.XLOOKUP(B5,nykaa_BL[Column1],nykaa_BL[Mar 2021])</f>
        <v>15</v>
      </c>
      <c r="H5" s="56">
        <f t="shared" si="0"/>
        <v>1.1520737327188941E-2</v>
      </c>
      <c r="I5" s="56"/>
      <c r="J5" s="57">
        <f>_xlfn.XLOOKUP(B5,mamaearth_BL[Column1],mamaearth_BL[Mar 2021])</f>
        <v>0.01</v>
      </c>
      <c r="K5" s="56">
        <f t="shared" si="1"/>
        <v>3.3003300330033001E-5</v>
      </c>
      <c r="L5" s="56"/>
      <c r="M5" s="22">
        <f>_xlfn.XLOOKUP(B5,Delhivery_BL[Column1],Delhivery_BL[Mar 2021])</f>
        <v>2</v>
      </c>
      <c r="N5" s="56">
        <f t="shared" si="2"/>
        <v>4.3497172683775554E-4</v>
      </c>
    </row>
    <row r="6" spans="2:14" ht="15.6" x14ac:dyDescent="0.3">
      <c r="B6" t="s">
        <v>9</v>
      </c>
      <c r="C6" s="58"/>
      <c r="D6" s="57">
        <f>_xlfn.XLOOKUP(B6,ZOMATO_BL[Column1],ZOMATO_BL[Mar 2021])</f>
        <v>7644</v>
      </c>
      <c r="E6" s="67">
        <f t="shared" si="3"/>
        <v>0.87821691176470584</v>
      </c>
      <c r="F6" s="56"/>
      <c r="G6" s="22">
        <f>_xlfn.XLOOKUP(B6,nykaa_BL[Column1],nykaa_BL[Mar 2021])</f>
        <v>475</v>
      </c>
      <c r="H6" s="56">
        <f t="shared" si="0"/>
        <v>0.36482334869431643</v>
      </c>
      <c r="I6" s="56"/>
      <c r="J6" s="57">
        <f>_xlfn.XLOOKUP(B6,mamaearth_BL[Column1],mamaearth_BL[Mar 2021])</f>
        <v>-1765</v>
      </c>
      <c r="K6" s="56">
        <f t="shared" si="1"/>
        <v>-5.8250825082508255</v>
      </c>
      <c r="L6" s="56"/>
      <c r="M6" s="22">
        <f>_xlfn.XLOOKUP(B6,Delhivery_BL[Column1],Delhivery_BL[Mar 2021])</f>
        <v>2800</v>
      </c>
      <c r="N6" s="56">
        <f t="shared" si="2"/>
        <v>0.60896041757285779</v>
      </c>
    </row>
    <row r="7" spans="2:14" ht="15.6" x14ac:dyDescent="0.3">
      <c r="B7" t="s">
        <v>10</v>
      </c>
      <c r="C7" s="58"/>
      <c r="D7" s="57">
        <f>_xlfn.XLOOKUP(B7,ZOMATO_BL[Column1],ZOMATO_BL[Mar 2021])</f>
        <v>527</v>
      </c>
      <c r="E7" s="67">
        <f t="shared" si="3"/>
        <v>6.0546875E-2</v>
      </c>
      <c r="F7" s="56"/>
      <c r="G7" s="22">
        <f>_xlfn.XLOOKUP(B7,nykaa_BL[Column1],nykaa_BL[Mar 2021])</f>
        <v>333</v>
      </c>
      <c r="H7" s="56">
        <f t="shared" si="0"/>
        <v>0.25576036866359447</v>
      </c>
      <c r="I7" s="56"/>
      <c r="J7" s="57">
        <f>_xlfn.XLOOKUP(B7,mamaearth_BL[Column1],mamaearth_BL[Mar 2021])</f>
        <v>1974</v>
      </c>
      <c r="K7" s="56">
        <f t="shared" si="1"/>
        <v>6.5148514851485144</v>
      </c>
      <c r="L7" s="56"/>
      <c r="M7" s="22">
        <f>_xlfn.XLOOKUP(B7,Delhivery_BL[Column1],Delhivery_BL[Mar 2021])</f>
        <v>1152</v>
      </c>
      <c r="N7" s="56">
        <f t="shared" si="2"/>
        <v>0.25054371465854719</v>
      </c>
    </row>
    <row r="8" spans="2:14" ht="15.6" x14ac:dyDescent="0.3">
      <c r="B8" t="s">
        <v>11</v>
      </c>
      <c r="C8" s="58"/>
      <c r="D8" s="57">
        <f>_xlfn.XLOOKUP(B8,ZOMATO_BL[Column1],ZOMATO_BL[Mar 2021])</f>
        <v>532</v>
      </c>
      <c r="E8" s="67">
        <f t="shared" si="3"/>
        <v>6.1121323529411763E-2</v>
      </c>
      <c r="F8" s="56"/>
      <c r="G8" s="22">
        <f>_xlfn.XLOOKUP(B8,nykaa_BL[Column1],nykaa_BL[Mar 2021])</f>
        <v>479</v>
      </c>
      <c r="H8" s="56">
        <f t="shared" si="0"/>
        <v>0.36789554531490015</v>
      </c>
      <c r="I8" s="56"/>
      <c r="J8" s="57">
        <f>_xlfn.XLOOKUP(B8,mamaearth_BL[Column1],mamaearth_BL[Mar 2021])</f>
        <v>94</v>
      </c>
      <c r="K8" s="56">
        <f t="shared" si="1"/>
        <v>0.31023102310231021</v>
      </c>
      <c r="L8" s="56"/>
      <c r="M8" s="22">
        <f>_xlfn.XLOOKUP(B8,Delhivery_BL[Column1],Delhivery_BL[Mar 2021])</f>
        <v>644</v>
      </c>
      <c r="N8" s="56">
        <f t="shared" si="2"/>
        <v>0.14006089604175728</v>
      </c>
    </row>
    <row r="9" spans="2:14" ht="15.6" x14ac:dyDescent="0.3">
      <c r="B9" t="s">
        <v>12</v>
      </c>
      <c r="C9" s="58"/>
      <c r="D9" s="57">
        <f>_xlfn.XLOOKUP(B9,ZOMATO_BL[Column1],ZOMATO_BL[Mar 2021])</f>
        <v>8704</v>
      </c>
      <c r="E9" s="67">
        <f t="shared" si="3"/>
        <v>1</v>
      </c>
      <c r="F9" s="56"/>
      <c r="G9" s="22">
        <f>_xlfn.XLOOKUP(B9,nykaa_BL[Column1],nykaa_BL[Mar 2021])</f>
        <v>1302</v>
      </c>
      <c r="H9" s="56">
        <f t="shared" si="0"/>
        <v>1</v>
      </c>
      <c r="I9" s="56"/>
      <c r="J9" s="57">
        <f>_xlfn.XLOOKUP(B9,mamaearth_BL[Column1],mamaearth_BL[Mar 2021])</f>
        <v>303</v>
      </c>
      <c r="K9" s="56">
        <f t="shared" si="1"/>
        <v>1</v>
      </c>
      <c r="L9" s="56"/>
      <c r="M9" s="22">
        <f>_xlfn.XLOOKUP(B9,Delhivery_BL[Column1],Delhivery_BL[Mar 2021])</f>
        <v>4598</v>
      </c>
      <c r="N9" s="56">
        <f t="shared" si="2"/>
        <v>1</v>
      </c>
    </row>
    <row r="10" spans="2:14" ht="15.6" x14ac:dyDescent="0.3">
      <c r="B10" t="s">
        <v>13</v>
      </c>
      <c r="C10" s="58"/>
      <c r="D10" s="57">
        <f>_xlfn.XLOOKUP(B10,ZOMATO_BL[Column1],ZOMATO_BL[Mar 2021])</f>
        <v>1539</v>
      </c>
      <c r="E10" s="67">
        <f t="shared" si="3"/>
        <v>0.17681525735294118</v>
      </c>
      <c r="F10" s="56"/>
      <c r="G10" s="22">
        <f>_xlfn.XLOOKUP(B10,nykaa_BL[Column1],nykaa_BL[Mar 2021])</f>
        <v>231</v>
      </c>
      <c r="H10" s="56">
        <f t="shared" si="0"/>
        <v>0.17741935483870969</v>
      </c>
      <c r="I10" s="56"/>
      <c r="J10" s="57">
        <f>_xlfn.XLOOKUP(B10,mamaearth_BL[Column1],mamaearth_BL[Mar 2021])</f>
        <v>21</v>
      </c>
      <c r="K10" s="56">
        <f t="shared" si="1"/>
        <v>6.9306930693069313E-2</v>
      </c>
      <c r="L10" s="56"/>
      <c r="M10" s="22">
        <f>_xlfn.XLOOKUP(B10,Delhivery_BL[Column1],Delhivery_BL[Mar 2021])</f>
        <v>1053</v>
      </c>
      <c r="N10" s="56">
        <f t="shared" si="2"/>
        <v>0.22901261418007829</v>
      </c>
    </row>
    <row r="11" spans="2:14" ht="15.6" x14ac:dyDescent="0.3">
      <c r="B11" t="s">
        <v>14</v>
      </c>
      <c r="C11" s="58"/>
      <c r="D11" s="57">
        <f>_xlfn.XLOOKUP(B11,ZOMATO_BL[Column1],ZOMATO_BL[Mar 2021])</f>
        <v>0</v>
      </c>
      <c r="E11" s="67">
        <f t="shared" si="3"/>
        <v>0</v>
      </c>
      <c r="F11" s="56"/>
      <c r="G11" s="22">
        <f>_xlfn.XLOOKUP(B11,nykaa_BL[Column1],nykaa_BL[Mar 2021])</f>
        <v>2</v>
      </c>
      <c r="H11" s="56">
        <f t="shared" si="0"/>
        <v>1.5360983102918587E-3</v>
      </c>
      <c r="I11" s="56"/>
      <c r="J11" s="57">
        <f>_xlfn.XLOOKUP(B11,mamaearth_BL[Column1],mamaearth_BL[Mar 2021])</f>
        <v>0</v>
      </c>
      <c r="K11" s="56">
        <f t="shared" si="1"/>
        <v>0</v>
      </c>
      <c r="L11" s="56"/>
      <c r="M11" s="22">
        <f>_xlfn.XLOOKUP(B11,Delhivery_BL[Column1],Delhivery_BL[Mar 2021])</f>
        <v>77</v>
      </c>
      <c r="N11" s="56">
        <f t="shared" si="2"/>
        <v>1.6746411483253589E-2</v>
      </c>
    </row>
    <row r="12" spans="2:14" ht="15.6" x14ac:dyDescent="0.3">
      <c r="B12" t="s">
        <v>15</v>
      </c>
      <c r="C12" s="58"/>
      <c r="D12" s="57">
        <f>_xlfn.XLOOKUP(B12,ZOMATO_BL[Column1],ZOMATO_BL[Mar 2021])</f>
        <v>2205</v>
      </c>
      <c r="E12" s="67">
        <f t="shared" si="3"/>
        <v>0.25333180147058826</v>
      </c>
      <c r="F12" s="56"/>
      <c r="G12" s="22">
        <f>_xlfn.XLOOKUP(B12,nykaa_BL[Column1],nykaa_BL[Mar 2021])</f>
        <v>1</v>
      </c>
      <c r="H12" s="56">
        <f t="shared" si="0"/>
        <v>7.6804915514592934E-4</v>
      </c>
      <c r="I12" s="56"/>
      <c r="J12" s="57">
        <f>_xlfn.XLOOKUP(B12,mamaearth_BL[Column1],mamaearth_BL[Mar 2021])</f>
        <v>164</v>
      </c>
      <c r="K12" s="56">
        <f t="shared" si="1"/>
        <v>0.54125412541254125</v>
      </c>
      <c r="L12" s="56"/>
      <c r="M12" s="22">
        <f>_xlfn.XLOOKUP(B12,Delhivery_BL[Column1],Delhivery_BL[Mar 2021])</f>
        <v>1128</v>
      </c>
      <c r="N12" s="56">
        <f t="shared" si="2"/>
        <v>0.24532405393649412</v>
      </c>
    </row>
    <row r="13" spans="2:14" ht="15.6" x14ac:dyDescent="0.3">
      <c r="B13" t="s">
        <v>16</v>
      </c>
      <c r="C13" s="58"/>
      <c r="D13" s="57">
        <f>_xlfn.XLOOKUP(B13,ZOMATO_BL[Column1],ZOMATO_BL[Mar 2021])</f>
        <v>4959</v>
      </c>
      <c r="E13" s="67">
        <f t="shared" si="3"/>
        <v>0.5697380514705882</v>
      </c>
      <c r="F13" s="56"/>
      <c r="G13" s="22">
        <f>_xlfn.XLOOKUP(B13,nykaa_BL[Column1],nykaa_BL[Mar 2021])</f>
        <v>1067</v>
      </c>
      <c r="H13" s="56">
        <f t="shared" si="0"/>
        <v>0.81950844854070659</v>
      </c>
      <c r="I13" s="56"/>
      <c r="J13" s="57">
        <f>_xlfn.XLOOKUP(B13,mamaearth_BL[Column1],mamaearth_BL[Mar 2021])</f>
        <v>118</v>
      </c>
      <c r="K13" s="56">
        <f t="shared" si="1"/>
        <v>0.38943894389438943</v>
      </c>
      <c r="L13" s="56"/>
      <c r="M13" s="22">
        <f>_xlfn.XLOOKUP(B13,Delhivery_BL[Column1],Delhivery_BL[Mar 2021])</f>
        <v>2340</v>
      </c>
      <c r="N13" s="56">
        <f t="shared" si="2"/>
        <v>0.508916920400174</v>
      </c>
    </row>
    <row r="14" spans="2:14" ht="15.6" hidden="1" x14ac:dyDescent="0.3">
      <c r="C14" s="58"/>
      <c r="D14" s="57"/>
      <c r="E14" s="67">
        <f t="shared" si="3"/>
        <v>0</v>
      </c>
      <c r="F14" s="56"/>
      <c r="G14" s="22"/>
      <c r="H14" s="56">
        <f t="shared" si="0"/>
        <v>0</v>
      </c>
      <c r="I14" s="56"/>
      <c r="J14" s="57"/>
      <c r="K14" s="56">
        <f t="shared" si="1"/>
        <v>0</v>
      </c>
      <c r="L14" s="56"/>
      <c r="M14" s="22"/>
      <c r="N14" s="56">
        <f t="shared" si="2"/>
        <v>0</v>
      </c>
    </row>
    <row r="15" spans="2:14" ht="15.6" hidden="1" x14ac:dyDescent="0.3">
      <c r="B15" s="58"/>
      <c r="C15" s="58"/>
      <c r="D15" s="57"/>
      <c r="E15" s="67">
        <f t="shared" si="3"/>
        <v>0</v>
      </c>
      <c r="F15" s="56"/>
      <c r="G15" s="22"/>
      <c r="H15" s="56">
        <f t="shared" si="0"/>
        <v>0</v>
      </c>
      <c r="I15" s="56"/>
      <c r="J15" s="57"/>
      <c r="K15" s="56">
        <f t="shared" si="1"/>
        <v>0</v>
      </c>
      <c r="L15" s="56"/>
      <c r="M15" s="22"/>
      <c r="N15" s="56">
        <f t="shared" si="2"/>
        <v>0</v>
      </c>
    </row>
    <row r="16" spans="2:14" x14ac:dyDescent="0.3">
      <c r="B16" s="22"/>
      <c r="C16" s="22"/>
      <c r="D16" s="57"/>
      <c r="E16" s="56"/>
      <c r="F16" s="56"/>
      <c r="G16" s="22"/>
      <c r="H16" s="56"/>
      <c r="I16" s="56"/>
      <c r="J16" s="57"/>
      <c r="K16" s="56"/>
      <c r="L16" s="56"/>
      <c r="M16" s="22"/>
      <c r="N16" s="56"/>
    </row>
    <row r="17" spans="2:14" x14ac:dyDescent="0.3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</row>
    <row r="18" spans="2:14" ht="48" customHeight="1" x14ac:dyDescent="1.1000000000000001">
      <c r="B18" s="59">
        <v>2022</v>
      </c>
      <c r="C18" s="60"/>
      <c r="D18" s="69" t="s">
        <v>125</v>
      </c>
      <c r="E18" s="69" t="s">
        <v>118</v>
      </c>
      <c r="F18" s="22"/>
      <c r="G18" s="69" t="s">
        <v>119</v>
      </c>
      <c r="H18" s="69" t="s">
        <v>120</v>
      </c>
      <c r="I18" s="22"/>
      <c r="J18" s="69" t="s">
        <v>121</v>
      </c>
      <c r="K18" s="69" t="s">
        <v>122</v>
      </c>
      <c r="L18" s="22"/>
      <c r="M18" s="69" t="s">
        <v>123</v>
      </c>
      <c r="N18" s="69" t="s">
        <v>124</v>
      </c>
    </row>
    <row r="19" spans="2:14" x14ac:dyDescent="0.3">
      <c r="B19" t="s">
        <v>17</v>
      </c>
      <c r="C19" s="27"/>
      <c r="D19" s="22">
        <f>_xlfn.XLOOKUP(B19,ZOMATO_BL[Column1],ZOMATO_BL[Mar 2022])</f>
        <v>17327</v>
      </c>
      <c r="E19" s="56">
        <f t="shared" ref="E19:E30" si="4">D19/$D$19</f>
        <v>1</v>
      </c>
      <c r="F19" s="56"/>
      <c r="G19" s="22">
        <f>_xlfn.XLOOKUP(B19,nykaa_BL[Column1],nykaa_BL[Mar 2022])</f>
        <v>2646</v>
      </c>
      <c r="H19" s="56">
        <f t="shared" ref="H19:H30" si="5">G19/$G$19</f>
        <v>1</v>
      </c>
      <c r="I19" s="56"/>
      <c r="J19" s="22">
        <f>_xlfn.XLOOKUP(B19,mamaearth_BL[Column1],mamaearth_BL[Mar 2022])</f>
        <v>952</v>
      </c>
      <c r="K19" s="56">
        <f t="shared" ref="K19:K30" si="6">J19/$J$19</f>
        <v>1</v>
      </c>
      <c r="L19" s="56"/>
      <c r="M19" s="22">
        <f>_xlfn.XLOOKUP(B19,Delhivery_BL[Column1],Delhivery_BL[Mar 2022])</f>
        <v>8251</v>
      </c>
      <c r="N19" s="56">
        <f t="shared" ref="N19:N30" si="7">M19/$M$19</f>
        <v>1</v>
      </c>
    </row>
    <row r="20" spans="2:14" x14ac:dyDescent="0.3">
      <c r="B20" t="s">
        <v>8</v>
      </c>
      <c r="C20" s="27"/>
      <c r="D20" s="22">
        <f>_xlfn.XLOOKUP(B20,ZOMATO_BL[Column1],ZOMATO_BL[Mar 2022])</f>
        <v>764</v>
      </c>
      <c r="E20" s="56">
        <f t="shared" si="4"/>
        <v>4.4093033993189819E-2</v>
      </c>
      <c r="F20" s="56"/>
      <c r="G20" s="22">
        <f>_xlfn.XLOOKUP(B20,'NYKAA ltd.'!A20:A29,'NYKAA ltd.'!F20:F29)</f>
        <v>47</v>
      </c>
      <c r="H20" s="56">
        <f t="shared" si="5"/>
        <v>1.7762660619803475E-2</v>
      </c>
      <c r="I20" s="56"/>
      <c r="J20" s="22">
        <f>_xlfn.XLOOKUP(B20,mamaearth_BL[Column1],mamaearth_BL[Mar 2022])</f>
        <v>0.01</v>
      </c>
      <c r="K20" s="56">
        <f t="shared" si="6"/>
        <v>1.0504201680672269E-5</v>
      </c>
      <c r="L20" s="56"/>
      <c r="M20" s="22">
        <f>_xlfn.XLOOKUP(B20,Delhivery_BL[Column1],Delhivery_BL[Mar 2022])</f>
        <v>64</v>
      </c>
      <c r="N20" s="56">
        <f t="shared" si="7"/>
        <v>7.7566355593261423E-3</v>
      </c>
    </row>
    <row r="21" spans="2:14" x14ac:dyDescent="0.3">
      <c r="B21" t="s">
        <v>9</v>
      </c>
      <c r="C21" s="27"/>
      <c r="D21" s="22">
        <f>_xlfn.XLOOKUP(B21,ZOMATO_BL[Column1],ZOMATO_BL[Mar 2022])</f>
        <v>15741</v>
      </c>
      <c r="E21" s="56">
        <f t="shared" si="4"/>
        <v>0.90846655508743579</v>
      </c>
      <c r="F21" s="56"/>
      <c r="G21" s="22">
        <f>_xlfn.XLOOKUP(B21,'NYKAA ltd.'!A21:A30,'NYKAA ltd.'!F21:F30)</f>
        <v>1292</v>
      </c>
      <c r="H21" s="56">
        <f t="shared" si="5"/>
        <v>0.48828420256991684</v>
      </c>
      <c r="I21" s="56"/>
      <c r="J21" s="22">
        <f>_xlfn.XLOOKUP(B21,mamaearth_BL[Column1],mamaearth_BL[Mar 2022])</f>
        <v>712</v>
      </c>
      <c r="K21" s="56">
        <f t="shared" si="6"/>
        <v>0.74789915966386555</v>
      </c>
      <c r="L21" s="56"/>
      <c r="M21" s="22">
        <f>_xlfn.XLOOKUP(B21,Delhivery_BL[Column1],Delhivery_BL[Mar 2022])</f>
        <v>5893</v>
      </c>
      <c r="N21" s="56">
        <f t="shared" si="7"/>
        <v>0.71421645861107741</v>
      </c>
    </row>
    <row r="22" spans="2:14" x14ac:dyDescent="0.3">
      <c r="B22" t="s">
        <v>10</v>
      </c>
      <c r="C22" s="27"/>
      <c r="D22" s="22">
        <f>_xlfn.XLOOKUP(B22,ZOMATO_BL[Column1],ZOMATO_BL[Mar 2022])</f>
        <v>70</v>
      </c>
      <c r="E22" s="56">
        <f t="shared" si="4"/>
        <v>4.0399376695330986E-3</v>
      </c>
      <c r="F22" s="56"/>
      <c r="G22" s="22">
        <f>_xlfn.XLOOKUP(B22,'NYKAA ltd.'!A22:A31,'NYKAA ltd.'!F22:F31)</f>
        <v>593</v>
      </c>
      <c r="H22" s="56">
        <f t="shared" si="5"/>
        <v>0.22411186696900984</v>
      </c>
      <c r="I22" s="56"/>
      <c r="J22" s="22">
        <f>_xlfn.XLOOKUP(B22,mamaearth_BL[Column1],mamaearth_BL[Mar 2022])</f>
        <v>0</v>
      </c>
      <c r="K22" s="56">
        <f t="shared" si="6"/>
        <v>0</v>
      </c>
      <c r="L22" s="56"/>
      <c r="M22" s="22">
        <f>_xlfn.XLOOKUP(B22,Delhivery_BL[Column1],Delhivery_BL[Mar 2022])</f>
        <v>1102</v>
      </c>
      <c r="N22" s="56">
        <f t="shared" si="7"/>
        <v>0.13355956853714701</v>
      </c>
    </row>
    <row r="23" spans="2:14" x14ac:dyDescent="0.3">
      <c r="B23" t="s">
        <v>11</v>
      </c>
      <c r="C23" s="27"/>
      <c r="D23" s="22">
        <f>_xlfn.XLOOKUP(B23,ZOMATO_BL[Column1],ZOMATO_BL[Mar 2022])</f>
        <v>751</v>
      </c>
      <c r="E23" s="56">
        <f t="shared" si="4"/>
        <v>4.3342759854562242E-2</v>
      </c>
      <c r="F23" s="56"/>
      <c r="G23" s="22">
        <f>_xlfn.XLOOKUP(B23,'NYKAA ltd.'!A23:A32,'NYKAA ltd.'!F23:F32)</f>
        <v>714</v>
      </c>
      <c r="H23" s="56">
        <f t="shared" si="5"/>
        <v>0.26984126984126983</v>
      </c>
      <c r="I23" s="56"/>
      <c r="J23" s="22">
        <f>_xlfn.XLOOKUP(B23,mamaearth_BL[Column1],mamaearth_BL[Mar 2022])</f>
        <v>240</v>
      </c>
      <c r="K23" s="56">
        <f t="shared" si="6"/>
        <v>0.25210084033613445</v>
      </c>
      <c r="L23" s="56"/>
      <c r="M23" s="22">
        <f>_xlfn.XLOOKUP(B23,Delhivery_BL[Column1],Delhivery_BL[Mar 2022])</f>
        <v>1192</v>
      </c>
      <c r="N23" s="56">
        <f t="shared" si="7"/>
        <v>0.1444673372924494</v>
      </c>
    </row>
    <row r="24" spans="2:14" x14ac:dyDescent="0.3">
      <c r="B24" t="s">
        <v>12</v>
      </c>
      <c r="C24" s="27"/>
      <c r="D24" s="22">
        <f>_xlfn.XLOOKUP(B24,ZOMATO_BL[Column1],ZOMATO_BL[Mar 2022])</f>
        <v>17327</v>
      </c>
      <c r="E24" s="56">
        <f t="shared" si="4"/>
        <v>1</v>
      </c>
      <c r="F24" s="56"/>
      <c r="G24" s="22">
        <f>_xlfn.XLOOKUP(B24,'NYKAA ltd.'!A24:A33,'NYKAA ltd.'!F24:F33)</f>
        <v>2646</v>
      </c>
      <c r="H24" s="56">
        <f t="shared" si="5"/>
        <v>1</v>
      </c>
      <c r="I24" s="56"/>
      <c r="J24" s="22">
        <f>_xlfn.XLOOKUP(B24,mamaearth_BL[Column1],mamaearth_BL[Mar 2022])</f>
        <v>952</v>
      </c>
      <c r="K24" s="56">
        <f t="shared" si="6"/>
        <v>1</v>
      </c>
      <c r="L24" s="56"/>
      <c r="M24" s="22">
        <f>_xlfn.XLOOKUP(B24,Delhivery_BL[Column1],Delhivery_BL[Mar 2022])</f>
        <v>8251</v>
      </c>
      <c r="N24" s="56">
        <f t="shared" si="7"/>
        <v>1</v>
      </c>
    </row>
    <row r="25" spans="2:14" x14ac:dyDescent="0.3">
      <c r="B25" t="s">
        <v>13</v>
      </c>
      <c r="C25" s="27"/>
      <c r="D25" s="22">
        <f>_xlfn.XLOOKUP(B25,ZOMATO_BL[Column1],ZOMATO_BL[Mar 2022])</f>
        <v>1404</v>
      </c>
      <c r="E25" s="56">
        <f t="shared" si="4"/>
        <v>8.1029606971778148E-2</v>
      </c>
      <c r="F25" s="56"/>
      <c r="G25" s="22">
        <f>_xlfn.XLOOKUP(B25,'NYKAA ltd.'!A25:A34,'NYKAA ltd.'!F25:F34)</f>
        <v>483</v>
      </c>
      <c r="H25" s="56">
        <f t="shared" si="5"/>
        <v>0.18253968253968253</v>
      </c>
      <c r="I25" s="56"/>
      <c r="J25" s="22">
        <f>_xlfn.XLOOKUP(B25,mamaearth_BL[Column1],mamaearth_BL[Mar 2022])</f>
        <v>98</v>
      </c>
      <c r="K25" s="56">
        <f t="shared" si="6"/>
        <v>0.10294117647058823</v>
      </c>
      <c r="L25" s="56"/>
      <c r="M25" s="22">
        <f>_xlfn.XLOOKUP(B25,Delhivery_BL[Column1],Delhivery_BL[Mar 2022])</f>
        <v>3052</v>
      </c>
      <c r="N25" s="56">
        <f t="shared" si="7"/>
        <v>0.36989455823536543</v>
      </c>
    </row>
    <row r="26" spans="2:14" x14ac:dyDescent="0.3">
      <c r="B26" t="s">
        <v>14</v>
      </c>
      <c r="C26" s="27"/>
      <c r="D26" s="22">
        <f>_xlfn.XLOOKUP(B26,ZOMATO_BL[Column1],ZOMATO_BL[Mar 2022])</f>
        <v>1</v>
      </c>
      <c r="E26" s="56">
        <f t="shared" si="4"/>
        <v>5.7713395279044266E-5</v>
      </c>
      <c r="F26" s="56"/>
      <c r="G26" s="22">
        <f>_xlfn.XLOOKUP(B26,'NYKAA ltd.'!A26:A35,'NYKAA ltd.'!F26:F35)</f>
        <v>24</v>
      </c>
      <c r="H26" s="56">
        <f t="shared" si="5"/>
        <v>9.0702947845804991E-3</v>
      </c>
      <c r="I26" s="56"/>
      <c r="J26" s="22">
        <f>_xlfn.XLOOKUP(B26,mamaearth_BL[Column1],mamaearth_BL[Mar 2022])</f>
        <v>2</v>
      </c>
      <c r="K26" s="56">
        <f t="shared" si="6"/>
        <v>2.1008403361344537E-3</v>
      </c>
      <c r="L26" s="56"/>
      <c r="M26" s="22">
        <f>_xlfn.XLOOKUP(B26,Delhivery_BL[Column1],Delhivery_BL[Mar 2022])</f>
        <v>60</v>
      </c>
      <c r="N26" s="56">
        <f t="shared" si="7"/>
        <v>7.2718458368682586E-3</v>
      </c>
    </row>
    <row r="27" spans="2:14" x14ac:dyDescent="0.3">
      <c r="B27" t="s">
        <v>15</v>
      </c>
      <c r="C27" s="27"/>
      <c r="D27" s="22">
        <f>_xlfn.XLOOKUP(B27,ZOMATO_BL[Column1],ZOMATO_BL[Mar 2022])</f>
        <v>4718</v>
      </c>
      <c r="E27" s="56">
        <f t="shared" si="4"/>
        <v>0.27229179892653083</v>
      </c>
      <c r="F27" s="56"/>
      <c r="G27" s="22">
        <f>_xlfn.XLOOKUP(B27,'NYKAA ltd.'!A27:A36,'NYKAA ltd.'!F27:F36)</f>
        <v>0</v>
      </c>
      <c r="H27" s="56">
        <f t="shared" si="5"/>
        <v>0</v>
      </c>
      <c r="I27" s="56"/>
      <c r="J27" s="22">
        <f>_xlfn.XLOOKUP(B27,mamaearth_BL[Column1],mamaearth_BL[Mar 2022])</f>
        <v>532</v>
      </c>
      <c r="K27" s="56">
        <f t="shared" si="6"/>
        <v>0.55882352941176472</v>
      </c>
      <c r="L27" s="56"/>
      <c r="M27" s="22">
        <f>_xlfn.XLOOKUP(B27,Delhivery_BL[Column1],Delhivery_BL[Mar 2022])</f>
        <v>2091</v>
      </c>
      <c r="N27" s="56">
        <f t="shared" si="7"/>
        <v>0.2534238274148588</v>
      </c>
    </row>
    <row r="28" spans="2:14" x14ac:dyDescent="0.3">
      <c r="B28" t="s">
        <v>16</v>
      </c>
      <c r="C28" s="27"/>
      <c r="D28" s="22">
        <f>_xlfn.XLOOKUP(B28,ZOMATO_BL[Column1],ZOMATO_BL[Mar 2022])</f>
        <v>11204</v>
      </c>
      <c r="E28" s="56">
        <f t="shared" si="4"/>
        <v>0.64662088070641199</v>
      </c>
      <c r="F28" s="56"/>
      <c r="G28" s="22">
        <f>_xlfn.XLOOKUP(B28,'NYKAA ltd.'!A28:A37,'NYKAA ltd.'!F28:F37)</f>
        <v>2138</v>
      </c>
      <c r="H28" s="56">
        <f t="shared" si="5"/>
        <v>0.80801209372637939</v>
      </c>
      <c r="I28" s="56"/>
      <c r="J28" s="22">
        <f>_xlfn.XLOOKUP(B28,mamaearth_BL[Column1],mamaearth_BL[Mar 2022])</f>
        <v>321</v>
      </c>
      <c r="K28" s="56">
        <f t="shared" si="6"/>
        <v>0.33718487394957986</v>
      </c>
      <c r="L28" s="56"/>
      <c r="M28" s="22">
        <f>_xlfn.XLOOKUP(B28,Delhivery_BL[Column1],Delhivery_BL[Mar 2022])</f>
        <v>3048</v>
      </c>
      <c r="N28" s="56">
        <f t="shared" si="7"/>
        <v>0.36940976851290752</v>
      </c>
    </row>
    <row r="29" spans="2:14" hidden="1" x14ac:dyDescent="0.3">
      <c r="C29" s="27"/>
      <c r="D29" s="22"/>
      <c r="E29" s="70">
        <f t="shared" si="4"/>
        <v>0</v>
      </c>
      <c r="F29" s="70"/>
      <c r="G29" s="22"/>
      <c r="H29" s="70">
        <f t="shared" si="5"/>
        <v>0</v>
      </c>
      <c r="I29" s="70"/>
      <c r="J29" s="22"/>
      <c r="K29" s="70">
        <f t="shared" si="6"/>
        <v>0</v>
      </c>
      <c r="L29" s="70"/>
      <c r="M29" s="22"/>
      <c r="N29" s="70">
        <f t="shared" si="7"/>
        <v>0</v>
      </c>
    </row>
    <row r="30" spans="2:14" hidden="1" x14ac:dyDescent="0.3">
      <c r="B30" s="27"/>
      <c r="C30" s="27"/>
      <c r="D30" s="22"/>
      <c r="E30" s="70">
        <f t="shared" si="4"/>
        <v>0</v>
      </c>
      <c r="F30" s="70"/>
      <c r="G30" s="22"/>
      <c r="H30" s="70">
        <f t="shared" si="5"/>
        <v>0</v>
      </c>
      <c r="I30" s="70"/>
      <c r="J30" s="22"/>
      <c r="K30" s="70">
        <f t="shared" si="6"/>
        <v>0</v>
      </c>
      <c r="L30" s="70"/>
      <c r="M30" s="22"/>
      <c r="N30" s="70">
        <f t="shared" si="7"/>
        <v>0</v>
      </c>
    </row>
    <row r="31" spans="2:14" x14ac:dyDescent="0.3"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</row>
    <row r="32" spans="2:14" x14ac:dyDescent="0.3"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</row>
    <row r="33" spans="2:21" ht="48" customHeight="1" x14ac:dyDescent="1.1000000000000001">
      <c r="B33" s="59">
        <v>2023</v>
      </c>
      <c r="C33" s="60"/>
      <c r="D33" s="69" t="s">
        <v>125</v>
      </c>
      <c r="E33" s="69" t="s">
        <v>118</v>
      </c>
      <c r="F33" s="22"/>
      <c r="G33" s="69" t="s">
        <v>119</v>
      </c>
      <c r="H33" s="69" t="s">
        <v>120</v>
      </c>
      <c r="I33" s="22"/>
      <c r="J33" s="69" t="s">
        <v>121</v>
      </c>
      <c r="K33" s="69" t="s">
        <v>122</v>
      </c>
      <c r="L33" s="22"/>
      <c r="M33" s="69" t="s">
        <v>123</v>
      </c>
      <c r="N33" s="69" t="s">
        <v>124</v>
      </c>
    </row>
    <row r="34" spans="2:21" ht="16.8" customHeight="1" x14ac:dyDescent="0.3">
      <c r="B34" t="s">
        <v>17</v>
      </c>
      <c r="C34" s="27"/>
      <c r="D34" s="22">
        <f>_xlfn.XLOOKUP(B34,ZOMATO_BL[Column1],ZOMATO_BL[Mar 2023])</f>
        <v>21599</v>
      </c>
      <c r="E34" s="56">
        <f t="shared" ref="E34:E45" si="8">D34/$D$34</f>
        <v>1</v>
      </c>
      <c r="F34" s="22"/>
      <c r="G34" s="22">
        <f>_xlfn.XLOOKUP(B34,nykaa_BL[Column1],nykaa_BL[Mar 2023])</f>
        <v>2950</v>
      </c>
      <c r="H34" s="56">
        <f t="shared" ref="H34:H45" si="9">G34/$G$34</f>
        <v>1</v>
      </c>
      <c r="I34" s="22"/>
      <c r="J34" s="22">
        <f>_xlfn.XLOOKUP(B34,mamaearth_BL[Column1],mamaearth_BL[Mar 2023])</f>
        <v>949</v>
      </c>
      <c r="K34" s="56">
        <f t="shared" ref="K34:K45" si="10">J34/$J$34</f>
        <v>1</v>
      </c>
      <c r="L34" s="22"/>
      <c r="M34" s="22">
        <f>_xlfn.XLOOKUP(B34,Delhivery_BL[Column1],Delhivery_BL[Mar 2023])</f>
        <v>11191</v>
      </c>
      <c r="N34" s="56">
        <f t="shared" ref="N34:N45" si="11">M34/$M$34</f>
        <v>1</v>
      </c>
    </row>
    <row r="35" spans="2:21" ht="16.8" customHeight="1" x14ac:dyDescent="0.3">
      <c r="B35" t="s">
        <v>8</v>
      </c>
      <c r="C35" s="27"/>
      <c r="D35" s="22">
        <f>_xlfn.XLOOKUP(B35,ZOMATO_BL[Column1],ZOMATO_BL[Mar 2023])</f>
        <v>836</v>
      </c>
      <c r="E35" s="56">
        <f t="shared" si="8"/>
        <v>3.8705495624797442E-2</v>
      </c>
      <c r="F35" s="22"/>
      <c r="G35" s="22">
        <f>_xlfn.XLOOKUP(B35,nykaa_BL[Column1],nykaa_BL[Mar 2023])</f>
        <v>285</v>
      </c>
      <c r="H35" s="56">
        <f t="shared" si="9"/>
        <v>9.6610169491525427E-2</v>
      </c>
      <c r="I35" s="22"/>
      <c r="J35" s="22">
        <f>_xlfn.XLOOKUP(B35,mamaearth_BL[Column1],mamaearth_BL[Mar 2023])</f>
        <v>136</v>
      </c>
      <c r="K35" s="56">
        <f t="shared" si="10"/>
        <v>0.14330874604847207</v>
      </c>
      <c r="L35" s="22"/>
      <c r="M35" s="22">
        <f>_xlfn.XLOOKUP(B35,Delhivery_BL[Column1],Delhivery_BL[Mar 2023])</f>
        <v>73</v>
      </c>
      <c r="N35" s="56">
        <f t="shared" si="11"/>
        <v>6.5230989187740149E-3</v>
      </c>
    </row>
    <row r="36" spans="2:21" ht="16.8" customHeight="1" x14ac:dyDescent="0.3">
      <c r="B36" t="s">
        <v>9</v>
      </c>
      <c r="C36" s="27"/>
      <c r="D36" s="22">
        <f>_xlfn.XLOOKUP(B36,ZOMATO_BL[Column1],ZOMATO_BL[Mar 2023])</f>
        <v>18624</v>
      </c>
      <c r="E36" s="56">
        <f t="shared" si="8"/>
        <v>0.8622621417658225</v>
      </c>
      <c r="F36" s="22"/>
      <c r="G36" s="22">
        <f>_xlfn.XLOOKUP(B36,nykaa_BL[Column1],nykaa_BL[Mar 2023])</f>
        <v>1093</v>
      </c>
      <c r="H36" s="56">
        <f t="shared" si="9"/>
        <v>0.37050847457627117</v>
      </c>
      <c r="I36" s="22"/>
      <c r="J36" s="22">
        <f>_xlfn.XLOOKUP(B36,mamaearth_BL[Column1],mamaearth_BL[Mar 2023])</f>
        <v>-1302</v>
      </c>
      <c r="K36" s="56">
        <f t="shared" si="10"/>
        <v>-1.3719704952581664</v>
      </c>
      <c r="L36" s="22"/>
      <c r="M36" s="22">
        <f>_xlfn.XLOOKUP(B36,Delhivery_BL[Column1],Delhivery_BL[Mar 2023])</f>
        <v>9104</v>
      </c>
      <c r="N36" s="56">
        <f t="shared" si="11"/>
        <v>0.81351085693861136</v>
      </c>
    </row>
    <row r="37" spans="2:21" ht="16.8" customHeight="1" x14ac:dyDescent="0.3">
      <c r="B37" t="s">
        <v>10</v>
      </c>
      <c r="C37" s="27"/>
      <c r="D37" s="22">
        <f>_xlfn.XLOOKUP(B37,ZOMATO_BL[Column1],ZOMATO_BL[Mar 2023])</f>
        <v>507</v>
      </c>
      <c r="E37" s="56">
        <f t="shared" si="8"/>
        <v>2.3473308949488403E-2</v>
      </c>
      <c r="F37" s="22"/>
      <c r="G37" s="22">
        <f>_xlfn.XLOOKUP(B37,nykaa_BL[Column1],nykaa_BL[Mar 2023])</f>
        <v>798</v>
      </c>
      <c r="H37" s="56">
        <f t="shared" si="9"/>
        <v>0.2705084745762712</v>
      </c>
      <c r="I37" s="22"/>
      <c r="J37" s="22">
        <f>_xlfn.XLOOKUP(B37,mamaearth_BL[Column1],mamaearth_BL[Mar 2023])</f>
        <v>1866</v>
      </c>
      <c r="K37" s="56">
        <f t="shared" si="10"/>
        <v>1.9662802950474183</v>
      </c>
      <c r="L37" s="22"/>
      <c r="M37" s="22">
        <f>_xlfn.XLOOKUP(B37,Delhivery_BL[Column1],Delhivery_BL[Mar 2023])</f>
        <v>923</v>
      </c>
      <c r="N37" s="56">
        <f t="shared" si="11"/>
        <v>8.2476990438745415E-2</v>
      </c>
    </row>
    <row r="38" spans="2:21" ht="16.8" customHeight="1" x14ac:dyDescent="0.3">
      <c r="B38" t="s">
        <v>11</v>
      </c>
      <c r="C38" s="27"/>
      <c r="D38" s="22">
        <f>_xlfn.XLOOKUP(B38,ZOMATO_BL[Column1],ZOMATO_BL[Mar 2023])</f>
        <v>1632</v>
      </c>
      <c r="E38" s="56">
        <f t="shared" si="8"/>
        <v>7.5559053659891656E-2</v>
      </c>
      <c r="F38" s="22"/>
      <c r="G38" s="22">
        <f>_xlfn.XLOOKUP(B38,nykaa_BL[Column1],nykaa_BL[Mar 2023])</f>
        <v>773</v>
      </c>
      <c r="H38" s="56">
        <f t="shared" si="9"/>
        <v>0.26203389830508472</v>
      </c>
      <c r="I38" s="22"/>
      <c r="J38" s="22">
        <f>_xlfn.XLOOKUP(B38,mamaearth_BL[Column1],mamaearth_BL[Mar 2023])</f>
        <v>249</v>
      </c>
      <c r="K38" s="56">
        <f t="shared" si="10"/>
        <v>0.2623814541622761</v>
      </c>
      <c r="L38" s="22"/>
      <c r="M38" s="22">
        <f>_xlfn.XLOOKUP(B38,Delhivery_BL[Column1],Delhivery_BL[Mar 2023])</f>
        <v>1090</v>
      </c>
      <c r="N38" s="56">
        <f t="shared" si="11"/>
        <v>9.739969618443392E-2</v>
      </c>
    </row>
    <row r="39" spans="2:21" ht="16.8" customHeight="1" x14ac:dyDescent="0.3">
      <c r="B39" t="s">
        <v>12</v>
      </c>
      <c r="C39" s="27"/>
      <c r="D39" s="22">
        <f>_xlfn.XLOOKUP(B39,ZOMATO_BL[Column1],ZOMATO_BL[Mar 2023])</f>
        <v>21599</v>
      </c>
      <c r="E39" s="56">
        <f t="shared" si="8"/>
        <v>1</v>
      </c>
      <c r="F39" s="22"/>
      <c r="G39" s="22">
        <f>_xlfn.XLOOKUP(B39,nykaa_BL[Column1],nykaa_BL[Mar 2023])</f>
        <v>2950</v>
      </c>
      <c r="H39" s="56">
        <f t="shared" si="9"/>
        <v>1</v>
      </c>
      <c r="I39" s="22"/>
      <c r="J39" s="22">
        <f>_xlfn.XLOOKUP(B39,mamaearth_BL[Column1],mamaearth_BL[Mar 2023])</f>
        <v>949</v>
      </c>
      <c r="K39" s="56">
        <f t="shared" si="10"/>
        <v>1</v>
      </c>
      <c r="L39" s="22"/>
      <c r="M39" s="22">
        <f>_xlfn.XLOOKUP(B39,Delhivery_BL[Column1],Delhivery_BL[Mar 2023])</f>
        <v>11191</v>
      </c>
      <c r="N39" s="56">
        <f t="shared" si="11"/>
        <v>1</v>
      </c>
    </row>
    <row r="40" spans="2:21" ht="16.8" customHeight="1" x14ac:dyDescent="0.3">
      <c r="B40" t="s">
        <v>13</v>
      </c>
      <c r="C40" s="27"/>
      <c r="D40" s="22">
        <f>_xlfn.XLOOKUP(B40,ZOMATO_BL[Column1],ZOMATO_BL[Mar 2023])</f>
        <v>6344</v>
      </c>
      <c r="E40" s="56">
        <f t="shared" si="8"/>
        <v>0.29371730172693178</v>
      </c>
      <c r="F40" s="22"/>
      <c r="G40" s="22">
        <f>_xlfn.XLOOKUP(B40,nykaa_BL[Column1],nykaa_BL[Mar 2023])</f>
        <v>699</v>
      </c>
      <c r="H40" s="56">
        <f t="shared" si="9"/>
        <v>0.23694915254237289</v>
      </c>
      <c r="I40" s="22"/>
      <c r="J40" s="22">
        <f>_xlfn.XLOOKUP(B40,mamaearth_BL[Column1],mamaearth_BL[Mar 2023])</f>
        <v>126</v>
      </c>
      <c r="K40" s="56">
        <f t="shared" si="10"/>
        <v>0.13277133825079029</v>
      </c>
      <c r="L40" s="22"/>
      <c r="M40" s="22">
        <f>_xlfn.XLOOKUP(B40,Delhivery_BL[Column1],Delhivery_BL[Mar 2023])</f>
        <v>2995</v>
      </c>
      <c r="N40" s="56">
        <f t="shared" si="11"/>
        <v>0.2676257707086051</v>
      </c>
    </row>
    <row r="41" spans="2:21" ht="16.8" customHeight="1" x14ac:dyDescent="0.3">
      <c r="B41" t="s">
        <v>14</v>
      </c>
      <c r="C41" s="27"/>
      <c r="D41" s="22">
        <f>_xlfn.XLOOKUP(B41,ZOMATO_BL[Column1],ZOMATO_BL[Mar 2023])</f>
        <v>7</v>
      </c>
      <c r="E41" s="56">
        <f t="shared" si="8"/>
        <v>3.2408907819806473E-4</v>
      </c>
      <c r="F41" s="22"/>
      <c r="G41" s="22">
        <f>_xlfn.XLOOKUP(B41,nykaa_BL[Column1],nykaa_BL[Mar 2023])</f>
        <v>31</v>
      </c>
      <c r="H41" s="56">
        <f t="shared" si="9"/>
        <v>1.0508474576271187E-2</v>
      </c>
      <c r="I41" s="22"/>
      <c r="J41" s="22">
        <f>_xlfn.XLOOKUP(B41,mamaearth_BL[Column1],mamaearth_BL[Mar 2023])</f>
        <v>0</v>
      </c>
      <c r="K41" s="56">
        <f t="shared" si="10"/>
        <v>0</v>
      </c>
      <c r="L41" s="22"/>
      <c r="M41" s="22">
        <f>_xlfn.XLOOKUP(B41,Delhivery_BL[Column1],Delhivery_BL[Mar 2023])</f>
        <v>23</v>
      </c>
      <c r="N41" s="56">
        <f t="shared" si="11"/>
        <v>2.0552229470109911E-3</v>
      </c>
    </row>
    <row r="42" spans="2:21" ht="16.8" customHeight="1" x14ac:dyDescent="0.3">
      <c r="B42" t="s">
        <v>15</v>
      </c>
      <c r="C42" s="27"/>
      <c r="D42" s="22">
        <f>_xlfn.XLOOKUP(B42,ZOMATO_BL[Column1],ZOMATO_BL[Mar 2023])</f>
        <v>6765</v>
      </c>
      <c r="E42" s="56">
        <f t="shared" si="8"/>
        <v>0.31320894485855827</v>
      </c>
      <c r="F42" s="22"/>
      <c r="G42" s="22">
        <f>_xlfn.XLOOKUP(B42,nykaa_BL[Column1],nykaa_BL[Mar 2023])</f>
        <v>38</v>
      </c>
      <c r="H42" s="56">
        <f t="shared" si="9"/>
        <v>1.288135593220339E-2</v>
      </c>
      <c r="I42" s="22"/>
      <c r="J42" s="22">
        <f>_xlfn.XLOOKUP(B42,mamaearth_BL[Column1],mamaearth_BL[Mar 2023])</f>
        <v>392</v>
      </c>
      <c r="K42" s="56">
        <f t="shared" si="10"/>
        <v>0.4130663856691254</v>
      </c>
      <c r="L42" s="22"/>
      <c r="M42" s="22">
        <f>_xlfn.XLOOKUP(B42,Delhivery_BL[Column1],Delhivery_BL[Mar 2023])</f>
        <v>2094</v>
      </c>
      <c r="N42" s="56">
        <f t="shared" si="11"/>
        <v>0.18711464569743544</v>
      </c>
    </row>
    <row r="43" spans="2:21" ht="16.8" customHeight="1" x14ac:dyDescent="0.3">
      <c r="B43" t="s">
        <v>16</v>
      </c>
      <c r="C43" s="27"/>
      <c r="D43" s="22">
        <f>_xlfn.XLOOKUP(B43,ZOMATO_BL[Column1],ZOMATO_BL[Mar 2023])</f>
        <v>8483</v>
      </c>
      <c r="E43" s="56">
        <f t="shared" si="8"/>
        <v>0.39274966433631187</v>
      </c>
      <c r="F43" s="22"/>
      <c r="G43" s="22">
        <f>_xlfn.XLOOKUP(B43,nykaa_BL[Column1],nykaa_BL[Mar 2023])</f>
        <v>2182</v>
      </c>
      <c r="H43" s="56">
        <f t="shared" si="9"/>
        <v>0.73966101694915254</v>
      </c>
      <c r="I43" s="22"/>
      <c r="J43" s="22">
        <f>_xlfn.XLOOKUP(B43,mamaearth_BL[Column1],mamaearth_BL[Mar 2023])</f>
        <v>431</v>
      </c>
      <c r="K43" s="56">
        <f t="shared" si="10"/>
        <v>0.4541622760800843</v>
      </c>
      <c r="L43" s="22"/>
      <c r="M43" s="22">
        <f>_xlfn.XLOOKUP(B43,Delhivery_BL[Column1],Delhivery_BL[Mar 2023])</f>
        <v>6078</v>
      </c>
      <c r="N43" s="56">
        <f t="shared" si="11"/>
        <v>0.54311500312751315</v>
      </c>
    </row>
    <row r="44" spans="2:21" ht="16.8" hidden="1" customHeight="1" x14ac:dyDescent="0.3">
      <c r="C44" s="27"/>
      <c r="D44" s="22"/>
      <c r="E44" s="56">
        <f t="shared" si="8"/>
        <v>0</v>
      </c>
      <c r="F44" s="22"/>
      <c r="G44" s="22"/>
      <c r="H44" s="56">
        <f t="shared" si="9"/>
        <v>0</v>
      </c>
      <c r="I44" s="22"/>
      <c r="J44" s="22"/>
      <c r="K44" s="56">
        <f t="shared" si="10"/>
        <v>0</v>
      </c>
      <c r="L44" s="22"/>
      <c r="M44" s="22"/>
      <c r="N44" s="56">
        <f t="shared" si="11"/>
        <v>0</v>
      </c>
    </row>
    <row r="45" spans="2:21" ht="16.8" hidden="1" customHeight="1" x14ac:dyDescent="0.3">
      <c r="B45" s="58"/>
      <c r="C45" s="27"/>
      <c r="D45" s="22"/>
      <c r="E45" s="56">
        <f t="shared" si="8"/>
        <v>0</v>
      </c>
      <c r="F45" s="22"/>
      <c r="G45" s="22"/>
      <c r="H45" s="56">
        <f t="shared" si="9"/>
        <v>0</v>
      </c>
      <c r="I45" s="22"/>
      <c r="J45" s="22"/>
      <c r="K45" s="56">
        <f t="shared" si="10"/>
        <v>0</v>
      </c>
      <c r="L45" s="22"/>
      <c r="M45" s="22"/>
      <c r="N45" s="56">
        <f t="shared" si="11"/>
        <v>0</v>
      </c>
    </row>
    <row r="46" spans="2:21" x14ac:dyDescent="0.3">
      <c r="N46" s="22"/>
      <c r="R46" t="s">
        <v>51</v>
      </c>
      <c r="S46" t="s">
        <v>42</v>
      </c>
      <c r="T46" t="s">
        <v>52</v>
      </c>
      <c r="U46" t="s">
        <v>53</v>
      </c>
    </row>
    <row r="47" spans="2:21" x14ac:dyDescent="0.3">
      <c r="Q47" t="s">
        <v>17</v>
      </c>
      <c r="R47" s="93" t="s">
        <v>146</v>
      </c>
      <c r="S47" s="90">
        <v>1</v>
      </c>
      <c r="T47" s="90">
        <v>1</v>
      </c>
      <c r="U47" s="90">
        <v>1</v>
      </c>
    </row>
    <row r="48" spans="2:21" x14ac:dyDescent="0.3">
      <c r="Q48" t="s">
        <v>8</v>
      </c>
      <c r="R48" s="93">
        <v>3.8705495624797442E-2</v>
      </c>
      <c r="S48" s="90">
        <v>9.6610169491525427E-2</v>
      </c>
      <c r="T48" s="90">
        <v>0.14330874604847207</v>
      </c>
      <c r="U48" s="90">
        <v>6.5230989187740149E-3</v>
      </c>
    </row>
    <row r="49" spans="17:21" x14ac:dyDescent="0.3">
      <c r="Q49" t="s">
        <v>9</v>
      </c>
      <c r="R49" s="93">
        <v>0.8622621417658225</v>
      </c>
      <c r="S49" s="90">
        <v>0.37050847457627117</v>
      </c>
      <c r="T49" s="90">
        <v>-1.3719704952581664</v>
      </c>
      <c r="U49" s="90">
        <v>0.81351085693861136</v>
      </c>
    </row>
    <row r="50" spans="17:21" x14ac:dyDescent="0.3">
      <c r="Q50" t="s">
        <v>10</v>
      </c>
      <c r="R50" s="93">
        <v>2.3473308949488403E-2</v>
      </c>
      <c r="S50" s="90">
        <v>0.2705084745762712</v>
      </c>
      <c r="T50" s="90">
        <v>1.9662802950474183</v>
      </c>
      <c r="U50" s="90">
        <v>8.2476990438745415E-2</v>
      </c>
    </row>
    <row r="51" spans="17:21" x14ac:dyDescent="0.3">
      <c r="Q51" t="s">
        <v>11</v>
      </c>
      <c r="R51" s="93">
        <v>7.5559053659891656E-2</v>
      </c>
      <c r="S51" s="90">
        <v>0.26203389830508472</v>
      </c>
      <c r="T51" s="90">
        <v>0.2623814541622761</v>
      </c>
      <c r="U51" s="90">
        <v>9.739969618443392E-2</v>
      </c>
    </row>
    <row r="52" spans="17:21" x14ac:dyDescent="0.3">
      <c r="Q52" t="s">
        <v>12</v>
      </c>
      <c r="R52" s="93">
        <v>1</v>
      </c>
      <c r="S52" s="90">
        <v>1</v>
      </c>
      <c r="T52" s="90">
        <v>1</v>
      </c>
      <c r="U52" s="90">
        <v>1</v>
      </c>
    </row>
    <row r="53" spans="17:21" x14ac:dyDescent="0.3">
      <c r="Q53" t="s">
        <v>13</v>
      </c>
      <c r="R53" s="93">
        <v>0.29371730172693178</v>
      </c>
      <c r="S53" s="90">
        <v>0.23694915254237289</v>
      </c>
      <c r="T53" s="90">
        <v>0.13277133825079029</v>
      </c>
      <c r="U53" s="90">
        <v>0.2676257707086051</v>
      </c>
    </row>
    <row r="54" spans="17:21" x14ac:dyDescent="0.3">
      <c r="Q54" t="s">
        <v>14</v>
      </c>
      <c r="R54" s="93">
        <v>3.2408907819806473E-4</v>
      </c>
      <c r="S54" s="90">
        <v>1.0508474576271187E-2</v>
      </c>
      <c r="T54" s="90">
        <v>0</v>
      </c>
      <c r="U54" s="90">
        <v>2.0552229470109911E-3</v>
      </c>
    </row>
    <row r="55" spans="17:21" x14ac:dyDescent="0.3">
      <c r="Q55" t="s">
        <v>15</v>
      </c>
      <c r="R55" s="93">
        <v>0.31320894485855827</v>
      </c>
      <c r="S55" s="90">
        <v>1.288135593220339E-2</v>
      </c>
      <c r="T55" s="90">
        <v>0.4130663856691254</v>
      </c>
      <c r="U55" s="90">
        <v>0.18711464569743544</v>
      </c>
    </row>
    <row r="56" spans="17:21" x14ac:dyDescent="0.3">
      <c r="Q56" t="s">
        <v>16</v>
      </c>
      <c r="R56" s="93">
        <v>0.39274966433631187</v>
      </c>
      <c r="S56" s="90">
        <v>0.73966101694915254</v>
      </c>
      <c r="T56" s="90">
        <v>0.4541622760800843</v>
      </c>
      <c r="U56" s="90">
        <v>0.54311500312751315</v>
      </c>
    </row>
  </sheetData>
  <pageMargins left="0.7" right="0.7" top="0.75" bottom="0.75" header="0.3" footer="0.3"/>
  <drawing r:id="rId1"/>
  <tableParts count="16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9B0A6-D2AE-4503-A8DA-C13D75C6BDEA}">
  <sheetPr codeName="Sheet2"/>
  <dimension ref="A1:T55"/>
  <sheetViews>
    <sheetView showGridLines="0" topLeftCell="A30" zoomScale="62" zoomScaleNormal="88" workbookViewId="0">
      <selection activeCell="AE4" sqref="AE4"/>
    </sheetView>
  </sheetViews>
  <sheetFormatPr defaultRowHeight="14.4" x14ac:dyDescent="0.3"/>
  <cols>
    <col min="2" max="2" width="19.109375" customWidth="1"/>
    <col min="3" max="10" width="12.109375" customWidth="1"/>
    <col min="12" max="13" width="0" hidden="1" customWidth="1"/>
    <col min="14" max="14" width="19.6640625" hidden="1" customWidth="1"/>
    <col min="15" max="15" width="0" hidden="1" customWidth="1"/>
    <col min="16" max="16" width="12.5546875" hidden="1" customWidth="1"/>
    <col min="17" max="19" width="0" hidden="1" customWidth="1"/>
    <col min="20" max="20" width="96.5546875" customWidth="1"/>
  </cols>
  <sheetData>
    <row r="1" spans="1:20" s="20" customFormat="1" ht="61.2" customHeight="1" x14ac:dyDescent="0.3">
      <c r="A1" s="24" t="s">
        <v>59</v>
      </c>
    </row>
    <row r="4" spans="1:20" ht="42" x14ac:dyDescent="0.4">
      <c r="B4" s="25" t="s">
        <v>60</v>
      </c>
      <c r="L4" s="8" t="s">
        <v>31</v>
      </c>
      <c r="M4" s="21" t="s">
        <v>22</v>
      </c>
      <c r="N4" s="23" t="s">
        <v>24</v>
      </c>
      <c r="O4" s="21" t="s">
        <v>32</v>
      </c>
      <c r="P4" s="21" t="s">
        <v>8</v>
      </c>
      <c r="Q4" s="8" t="s">
        <v>9</v>
      </c>
      <c r="R4" s="21" t="s">
        <v>10</v>
      </c>
      <c r="S4" s="8" t="s">
        <v>17</v>
      </c>
      <c r="T4" s="44" t="s">
        <v>103</v>
      </c>
    </row>
    <row r="6" spans="1:20" ht="32.4" customHeight="1" x14ac:dyDescent="0.3">
      <c r="B6" s="47" t="s">
        <v>44</v>
      </c>
      <c r="C6" s="47" t="s">
        <v>65</v>
      </c>
      <c r="D6" s="47" t="s">
        <v>66</v>
      </c>
      <c r="E6" s="47" t="s">
        <v>67</v>
      </c>
      <c r="F6" s="47" t="s">
        <v>68</v>
      </c>
      <c r="G6" s="47" t="s">
        <v>69</v>
      </c>
      <c r="H6" s="47" t="s">
        <v>70</v>
      </c>
      <c r="I6" s="47" t="s">
        <v>71</v>
      </c>
      <c r="J6" s="47" t="s">
        <v>72</v>
      </c>
    </row>
    <row r="7" spans="1:20" ht="32.4" customHeight="1" x14ac:dyDescent="0.3">
      <c r="B7" s="40" t="s">
        <v>61</v>
      </c>
      <c r="C7" s="48">
        <f>INDEX(ZOMATO_PL[Mar 2018],MATCH(L4,ZOMATO_PL[Particulars],0))/INDEX(ZOMATO_PL[Mar 2018],MATCH(M4,ZOMATO_PL[Particulars],0))</f>
        <v>-0.2296137339055794</v>
      </c>
      <c r="D7" s="48">
        <f>INDEX(ZOMATO_PL[Mar 2019],MATCH(L4,ZOMATO_PL[Particulars],0))/INDEX(ZOMATO_PL[Mar 2019],MATCH(M4,ZOMATO_PL[Particulars],0))</f>
        <v>-0.76923076923076927</v>
      </c>
      <c r="E7" s="48">
        <f>INDEX(ZOMATO_PL[Mar 2021],MATCH(L4,ZOMATO_PL[Particulars],0))/INDEX(ZOMATO_PL[Mar 2020],MATCH(M4,ZOMATO_PL[Particulars],0))</f>
        <v>-0.31324376199616122</v>
      </c>
      <c r="F7" s="48">
        <f>INDEX(ZOMATO_PL[Mar 2021],MATCH(L4,ZOMATO_PL[Particulars],0))/INDEX(ZOMATO_PL[Mar 2021],MATCH(M4,ZOMATO_PL[Particulars],0))</f>
        <v>-0.40922768304914742</v>
      </c>
      <c r="G7" s="48">
        <f>INDEX(ZOMATO_PL[Mar 2022],MATCH(L4,ZOMATO_PL[Particulars],0))/INDEX(ZOMATO_PL[Mar 2022],MATCH(M4,ZOMATO_PL[Particulars],0))</f>
        <v>-0.29150763358778625</v>
      </c>
      <c r="H7" s="48">
        <f>INDEX(ZOMATO_PL[Mar 2023],MATCH(L4,ZOMATO_PL[Particulars],0))/INDEX(ZOMATO_PL[Mar 2023],MATCH(M4,ZOMATO_PL[Particulars],0))</f>
        <v>-0.13716626642181098</v>
      </c>
      <c r="I7" s="48">
        <f>INDEX(ZOMATO_PL[Mar 2024],MATCH(L4,ZOMATO_PL[Particulars],0))/INDEX(ZOMATO_PL[Mar 2024],MATCH(M4,ZOMATO_PL[Particulars],0))</f>
        <v>2.8974739970282319E-2</v>
      </c>
      <c r="J7" s="48">
        <f>INDEX(ZOMATO_PL[Mar 2025],MATCH(L4,ZOMATO_PL[Particulars],0))/INDEX(ZOMATO_PL[Mar 2025],MATCH(M4,ZOMATO_PL[Particulars],0))</f>
        <v>2.6033690658499236E-2</v>
      </c>
    </row>
    <row r="8" spans="1:20" ht="32.4" customHeight="1" x14ac:dyDescent="0.3">
      <c r="B8" s="40" t="s">
        <v>62</v>
      </c>
      <c r="C8" s="48">
        <f>INDEX(Nykaa_PL[Mar 2018],MATCH($L$4,Nykaa_PL[[Particulars]:[Particulars]],0))/INDEX(Nykaa_PL[Mar 2018],MATCH($M$4,Nykaa_PL[[Particulars]:[Particulars]],0))</f>
        <v>-4.878048780487805E-2</v>
      </c>
      <c r="D8" s="48">
        <f>INDEX(Nykaa_PL[Mar 2019],MATCH($L$4,Nykaa_PL[[Particulars]:[Particulars]],0))/INDEX(Nykaa_PL[Mar 2019],MATCH($M$4,Nykaa_PL[[Particulars]:[Particulars]],0))</f>
        <v>-2.2502250225022502E-2</v>
      </c>
      <c r="E8" s="48">
        <f>INDEX(Nykaa_PL[Mar 2020],MATCH($L$4,Nykaa_PL[[Particulars]:[Particulars]],0))/INDEX(Nykaa_PL[Mar 2020],MATCH($M$4,Nykaa_PL[[Particulars]:[Particulars]],0))</f>
        <v>-9.0497737556561094E-3</v>
      </c>
      <c r="F8" s="48">
        <f>INDEX(Nykaa_PL[Mar 2021],MATCH($L$4,Nykaa_PL[[Particulars]:[Particulars]],0))/INDEX(Nykaa_PL[Mar 2021],MATCH($M$4,Nykaa_PL[[Particulars]:[Particulars]],0))</f>
        <v>2.5399426464563703E-2</v>
      </c>
      <c r="G8" s="48">
        <f>INDEX(Nykaa_PL[Mar 2022],MATCH($L$4,Nykaa_PL[[Particulars]:[Particulars]],0))/INDEX(Nykaa_PL[Mar 2022],MATCH($M$4,Nykaa_PL[[Particulars]:[Particulars]],0))</f>
        <v>1.0863804981452041E-2</v>
      </c>
      <c r="H8" s="48">
        <f>INDEX(Nykaa_PL[Mar 2023],MATCH($L$4,Nykaa_PL[[Particulars]:[Particulars]],0))/INDEX(Nykaa_PL[Mar 2023],MATCH($M$4,Nykaa_PL[[Particulars]:[Particulars]],0))</f>
        <v>4.0824261275272163E-3</v>
      </c>
      <c r="I8" s="48">
        <f>INDEX(Nykaa_PL[Mar 2024],MATCH($L$4,Nykaa_PL[[Particulars]:[Particulars]],0))/INDEX(Nykaa_PL[Mar 2024],MATCH($M$4,Nykaa_PL[[Particulars]:[Particulars]],0))</f>
        <v>6.2637018477920449E-3</v>
      </c>
      <c r="J8" s="48">
        <f>INDEX(Nykaa_PL[Mar 2025],MATCH($L$4,Nykaa_PL[[Particulars]:[Particulars]],0))/INDEX(Nykaa_PL[Mar 2025],MATCH($M$4,Nykaa_PL[[Particulars]:[Particulars]],0))</f>
        <v>9.0566037735849061E-3</v>
      </c>
    </row>
    <row r="9" spans="1:20" ht="32.4" customHeight="1" x14ac:dyDescent="0.3">
      <c r="B9" s="40" t="s">
        <v>63</v>
      </c>
      <c r="C9" s="40" t="s">
        <v>40</v>
      </c>
      <c r="D9" s="48">
        <f>INDEX(mamaearth_PL[Mar 2019],MATCH($L$4,mamaearth_PL[[Particulars]:[Particulars]],0))/INDEX(mamaearth_PL[Mar 2019],MATCH($M$4,mamaearth_PL[[Particulars]:[Particulars]],0))</f>
        <v>-0.23529411764705882</v>
      </c>
      <c r="E9" s="48">
        <f>INDEX(mamaearth_PL[Mar 2020],MATCH($L$4,mamaearth_PL[[Particulars]:[Particulars]],0))/INDEX(mamaearth_PL[Mar 2020],MATCH($M$4,mamaearth_PL[[Particulars]:[Particulars]],0))</f>
        <v>-3.8909090909090911</v>
      </c>
      <c r="F9" s="48">
        <f>INDEX(mamaearth_PL[Mar 2021],MATCH($L$4,mamaearth_PL[[Particulars]:[Particulars]],0))/INDEX(mamaearth_PL[Mar 2021],MATCH($M$4,mamaearth_PL[[Particulars]:[Particulars]],0))</f>
        <v>-2.8956521739130436</v>
      </c>
      <c r="G9" s="48">
        <f>INDEX(mamaearth_PL[Mar 2022],MATCH($L$4,mamaearth_PL[[Particulars]:[Particulars]],0))/INDEX(mamaearth_PL[Mar 2022],MATCH($M$4,mamaearth_PL[[Particulars]:[Particulars]],0))</f>
        <v>2.1459227467811159E-2</v>
      </c>
      <c r="H9" s="48">
        <f>INDEX(mamaearth_PL[Mar 2023],MATCH($L$4,mamaearth_PL[[Particulars]:[Particulars]],0))/INDEX(mamaearth_PL[Mar 2023],MATCH($M$4,mamaearth_PL[[Particulars]:[Particulars]],0))</f>
        <v>-8.6738351254480289E-2</v>
      </c>
      <c r="I9" s="48">
        <f>INDEX(mamaearth_PL[Mar 2024],MATCH($L$4,mamaearth_PL[[Particulars]:[Particulars]],0))/INDEX(mamaearth_PL[Mar 2024],MATCH($M$4,mamaearth_PL[[Particulars]:[Particulars]],0))</f>
        <v>6.8594104308390025E-2</v>
      </c>
      <c r="J9" s="48">
        <f>INDEX(mamaearth_PL[Mar 2025],MATCH($L$4,mamaearth_PL[[Particulars]:[Particulars]],0))/INDEX(mamaearth_PL[Mar 2025],MATCH($M$4,mamaearth_PL[[Particulars]:[Particulars]],0))</f>
        <v>3.4297963558413719E-2</v>
      </c>
      <c r="T9" s="38" t="s">
        <v>84</v>
      </c>
    </row>
    <row r="10" spans="1:20" ht="32.4" customHeight="1" x14ac:dyDescent="0.3">
      <c r="B10" s="40" t="s">
        <v>64</v>
      </c>
      <c r="C10" s="40" t="s">
        <v>40</v>
      </c>
      <c r="D10" s="48">
        <f>INDEX(delhivery_PL[Mar 2019],MATCH($L$4,delhivery_PL[[Particulars]:[Particulars]],0))/INDEX(delhivery_PL[Mar 2019],MATCH($M$4,delhivery_PL[[Particulars]:[Particulars]],0))</f>
        <v>-1.0779927448609432</v>
      </c>
      <c r="E10" s="48">
        <f>INDEX(delhivery_PL[Mar 2020],MATCH($L$4,delhivery_PL[[Particulars]:[Particulars]],0))/INDEX(delhivery_PL[Mar 2020],MATCH($M$4,delhivery_PL[[Particulars]:[Particulars]],0))</f>
        <v>-9.6727795756921975E-2</v>
      </c>
      <c r="F10" s="48">
        <f>INDEX(delhivery_PL[Mar 2021],MATCH($L$4,delhivery_PL[[Particulars]:[Particulars]],0))/INDEX(delhivery_PL[Mar 2021],MATCH($M$4,delhivery_PL[[Particulars]:[Particulars]],0))</f>
        <v>-0.11406635590896627</v>
      </c>
      <c r="G10" s="48">
        <f>INDEX(delhivery_PL[Mar 2022],MATCH($L$4,delhivery_PL[[Particulars]:[Particulars]],0))/INDEX(delhivery_PL[Mar 2022],MATCH($M$4,delhivery_PL[[Particulars]:[Particulars]],0))</f>
        <v>-0.14690496948561466</v>
      </c>
      <c r="H10" s="48">
        <f>INDEX(delhivery_PL[Mar 2023],MATCH($L$4,delhivery_PL[[Particulars]:[Particulars]],0))/INDEX(delhivery_PL[Mar 2023],MATCH($M$4,delhivery_PL[[Particulars]:[Particulars]],0))</f>
        <v>-0.13951557093425607</v>
      </c>
      <c r="I10" s="48">
        <f>INDEX(delhivery_PL[Mar 2024],MATCH($L$4,delhivery_PL[[Particulars]:[Particulars]],0))/INDEX(delhivery_PL[Mar 2024],MATCH($M$4,delhivery_PL[[Particulars]:[Particulars]],0))</f>
        <v>-3.0582166543846722E-2</v>
      </c>
      <c r="J10" s="48">
        <f>INDEX(delhivery_PL[Mar 2025],MATCH($L$4,delhivery_PL[[Particulars]:[Particulars]],0))/INDEX(delhivery_PL[Mar 2025],MATCH($M$4,delhivery_PL[[Particulars]:[Particulars]],0))</f>
        <v>1.8137035378414688E-2</v>
      </c>
      <c r="T10" s="43" t="s">
        <v>85</v>
      </c>
    </row>
    <row r="13" spans="1:20" ht="42" x14ac:dyDescent="0.4">
      <c r="B13" s="25" t="s">
        <v>73</v>
      </c>
    </row>
    <row r="15" spans="1:20" s="14" customFormat="1" ht="39" customHeight="1" x14ac:dyDescent="0.3">
      <c r="B15" s="40" t="s">
        <v>44</v>
      </c>
      <c r="C15" s="40" t="s">
        <v>65</v>
      </c>
      <c r="D15" s="40" t="s">
        <v>66</v>
      </c>
      <c r="E15" s="40" t="s">
        <v>67</v>
      </c>
      <c r="F15" s="40" t="s">
        <v>68</v>
      </c>
      <c r="G15" s="40" t="s">
        <v>69</v>
      </c>
      <c r="H15" s="40" t="s">
        <v>70</v>
      </c>
      <c r="I15" s="40" t="s">
        <v>71</v>
      </c>
      <c r="J15" s="40" t="s">
        <v>72</v>
      </c>
    </row>
    <row r="16" spans="1:20" s="14" customFormat="1" ht="39" customHeight="1" x14ac:dyDescent="0.3">
      <c r="B16" s="40" t="s">
        <v>61</v>
      </c>
      <c r="C16" s="48">
        <f>INDEX(ZOMATO_PL[Mar 2018],MATCH($N$4,ZOMATO_PL[[Particulars]:[Particulars]],0))/INDEX(ZOMATO_PL[Mar 2018],MATCH($M$4,ZOMATO_PL[[Particulars]:[Particulars]],0))</f>
        <v>-0.19742489270386265</v>
      </c>
      <c r="D16" s="48">
        <f>INDEX(ZOMATO_PL[Mar 2019],MATCH($N$4,ZOMATO_PL[[Particulars]:[Particulars]],0))/INDEX(ZOMATO_PL[Mar 2019],MATCH($M$4,ZOMATO_PL[[Particulars]:[Particulars]],0))</f>
        <v>-1.7083015993907082</v>
      </c>
      <c r="E16" s="48">
        <f>INDEX(ZOMATO_PL[Mar 2020],MATCH($N$4,ZOMATO_PL[[Particulars]:[Particulars]],0))/INDEX(ZOMATO_PL[Mar 2020],MATCH($M$4,ZOMATO_PL[[Particulars]:[Particulars]],0))</f>
        <v>-0.88483685220729369</v>
      </c>
      <c r="F16" s="48">
        <f>INDEX(ZOMATO_PL[Mar 2021],MATCH($N$4,ZOMATO_PL[[Particulars]:[Particulars]],0))/INDEX(ZOMATO_PL[Mar 2021],MATCH($M$4,ZOMATO_PL[[Particulars]:[Particulars]],0))</f>
        <v>-0.23420260782347041</v>
      </c>
      <c r="G16" s="48">
        <f>INDEX(ZOMATO_PL[Mar 2022],MATCH($N$4,ZOMATO_PL[[Particulars]:[Particulars]],0))/INDEX(ZOMATO_PL[Mar 2022],MATCH($M$4,ZOMATO_PL[[Particulars]:[Particulars]],0))</f>
        <v>-0.44155534351145037</v>
      </c>
      <c r="H16" s="48">
        <f>INDEX(ZOMATO_PL[Mar 2023],MATCH($N$4,ZOMATO_PL[[Particulars]:[Particulars]],0))/INDEX(ZOMATO_PL[Mar 2023],MATCH($M$4,ZOMATO_PL[[Particulars]:[Particulars]],0))</f>
        <v>-0.17106936007910722</v>
      </c>
      <c r="I16" s="48">
        <f>INDEX(ZOMATO_PL[Mar 2024],MATCH($N$4,ZOMATO_PL[[Particulars]:[Particulars]],0))/INDEX(ZOMATO_PL[Mar 2024],MATCH($M$4,ZOMATO_PL[[Particulars]:[Particulars]],0))</f>
        <v>3.549612019151395E-3</v>
      </c>
      <c r="J16" s="48">
        <f>INDEX(ZOMATO_PL[Mar 2025],MATCH($N$4,ZOMATO_PL[[Particulars]:[Particulars]],0))/INDEX(ZOMATO_PL[Mar 2025],MATCH($M$4,ZOMATO_PL[[Particulars]:[Particulars]],0))</f>
        <v>3.1467667835795091E-2</v>
      </c>
    </row>
    <row r="17" spans="2:20" s="14" customFormat="1" ht="39" customHeight="1" x14ac:dyDescent="0.3">
      <c r="B17" s="40" t="s">
        <v>62</v>
      </c>
      <c r="C17" s="48">
        <f>INDEX(Nykaa_PL[Mar 2018],MATCH($N$4,Nykaa_PL[[Particulars]:[Particulars]],0))/INDEX(ZOMATO_PL[Mar 2018],MATCH($M$4,Nykaa_PL[[Particulars]:[Particulars]],0))</f>
        <v>-5.7939914163090127E-2</v>
      </c>
      <c r="D17" s="48">
        <f>INDEX(Nykaa_PL[Mar 2019],MATCH($N$4,Nykaa_PL[[Particulars]:[Particulars]],0))/INDEX(ZOMATO_PL[Mar 2019],MATCH($M$4,Nykaa_PL[[Particulars]:[Particulars]],0))</f>
        <v>1.5993907083015995E-2</v>
      </c>
      <c r="E17" s="48">
        <f>INDEX(Nykaa_PL[Mar 2020],MATCH($N$4,Nykaa_PL[[Particulars]:[Particulars]],0))/INDEX(ZOMATO_PL[Mar 2020],MATCH($M$4,Nykaa_PL[[Particulars]:[Particulars]],0))</f>
        <v>3.1861804222648754E-2</v>
      </c>
      <c r="F17" s="48">
        <f>INDEX(Nykaa_PL[Mar 2021],MATCH($N$4,Nykaa_PL[[Particulars]:[Particulars]],0))/INDEX(ZOMATO_PL[Mar 2021],MATCH($M$4,Nykaa_PL[[Particulars]:[Particulars]],0))</f>
        <v>7.9237713139418256E-2</v>
      </c>
      <c r="G17" s="48">
        <f>INDEX(Nykaa_PL[Mar 2022],MATCH($N$4,Nykaa_PL[[Particulars]:[Particulars]],0))/INDEX(ZOMATO_PL[Mar 2022],MATCH($M$4,Nykaa_PL[[Particulars]:[Particulars]],0))</f>
        <v>3.9122137404580155E-2</v>
      </c>
      <c r="H17" s="48">
        <f>INDEX(Nykaa_PL[Mar 2023],MATCH($N$4,Nykaa_PL[[Particulars]:[Particulars]],0))/INDEX(ZOMATO_PL[Mar 2023],MATCH($M$4,Nykaa_PL[[Particulars]:[Particulars]],0))</f>
        <v>3.6304562791354709E-2</v>
      </c>
      <c r="I17" s="48">
        <f>INDEX(Nykaa_PL[Mar 2024],MATCH($N$4,Nykaa_PL[[Particulars]:[Particulars]],0))/INDEX(ZOMATO_PL[Mar 2024],MATCH($M$4,Nykaa_PL[[Particulars]:[Particulars]],0))</f>
        <v>2.8644543503384513E-2</v>
      </c>
      <c r="J17" s="48">
        <f>INDEX(Nykaa_PL[Mar 2025],MATCH($N$4,Nykaa_PL[[Particulars]:[Particulars]],0))/INDEX(ZOMATO_PL[Mar 2025],MATCH($M$4,Nykaa_PL[[Particulars]:[Particulars]],0))</f>
        <v>2.3415501654893048E-2</v>
      </c>
    </row>
    <row r="18" spans="2:20" s="14" customFormat="1" ht="39" customHeight="1" x14ac:dyDescent="0.3">
      <c r="B18" s="40" t="s">
        <v>63</v>
      </c>
      <c r="C18" s="40" t="s">
        <v>40</v>
      </c>
      <c r="D18" s="48">
        <f>INDEX(mamaearth_PL[Mar 2019],MATCH($N$4,mamaearth_PL[[Particulars]:[Particulars]],0))/INDEX(mamaearth_PL[Mar 2019],MATCH($M$4,mamaearth_PL[[Particulars]:[Particulars]],0))</f>
        <v>-0.23529411764705882</v>
      </c>
      <c r="E18" s="48">
        <f>INDEX(mamaearth_PL[Mar 2020],MATCH($N$4,mamaearth_PL[[Particulars]:[Particulars]],0))/INDEX(mamaearth_PL[Mar 2020],MATCH($M$4,mamaearth_PL[[Particulars]:[Particulars]],0))</f>
        <v>-3.9272727272727272</v>
      </c>
      <c r="F18" s="48">
        <f>INDEX(mamaearth_PL[Mar 2021],MATCH($N$4,mamaearth_PL[[Particulars]:[Particulars]],0))/INDEX(mamaearth_PL[Mar 2021],MATCH($M$4,mamaearth_PL[[Particulars]:[Particulars]],0))</f>
        <v>-2.9</v>
      </c>
      <c r="G18" s="48">
        <f>INDEX(mamaearth_PL[Mar 2022],MATCH($N$4,mamaearth_PL[[Particulars]:[Particulars]],0))/INDEX(mamaearth_PL[Mar 2022],MATCH($M$4,mamaearth_PL[[Particulars]:[Particulars]],0))</f>
        <v>1.7167381974248927E-2</v>
      </c>
      <c r="H18" s="48">
        <f>INDEX(mamaearth_PL[Mar 2023],MATCH($N$4,mamaearth_PL[[Particulars]:[Particulars]],0))/INDEX(mamaearth_PL[Mar 2023],MATCH($M$4,mamaearth_PL[[Particulars]:[Particulars]],0))</f>
        <v>3.2258064516129031E-2</v>
      </c>
      <c r="I18" s="48">
        <f>INDEX(mamaearth_PL[Mar 2024],MATCH($N$4,mamaearth_PL[[Particulars]:[Particulars]],0))/INDEX(mamaearth_PL[Mar 2024],MATCH($M$4,mamaearth_PL[[Particulars]:[Particulars]],0))</f>
        <v>7.3696145124716547E-2</v>
      </c>
      <c r="J18" s="48">
        <f>INDEX(mamaearth_PL[Mar 2025],MATCH($N$4,mamaearth_PL[[Particulars]:[Particulars]],0))/INDEX(mamaearth_PL[Mar 2025],MATCH($M$4,mamaearth_PL[[Particulars]:[Particulars]],0))</f>
        <v>2.8938906752411574E-2</v>
      </c>
      <c r="T18" s="38" t="s">
        <v>86</v>
      </c>
    </row>
    <row r="19" spans="2:20" s="14" customFormat="1" ht="39" customHeight="1" x14ac:dyDescent="0.3">
      <c r="B19" s="40" t="s">
        <v>64</v>
      </c>
      <c r="C19" s="40" t="s">
        <v>40</v>
      </c>
      <c r="D19" s="48">
        <f>INDEX(delhivery_PL[Mar 2019],MATCH($N$4,delhivery_PL[[Particulars]:[Particulars]],0))/INDEX(delhivery_PL[Mar 2019],MATCH($M$4,delhivery_PL[[Particulars]:[Particulars]],0))</f>
        <v>-0.97823458282950426</v>
      </c>
      <c r="E19" s="48">
        <f>INDEX(delhivery_PL[Mar 2020],MATCH($N$4,delhivery_PL[[Particulars]:[Particulars]],0))/INDEX(delhivery_PL[Mar 2020],MATCH($M$4,delhivery_PL[[Particulars]:[Particulars]],0))</f>
        <v>-6.1488673139158574E-2</v>
      </c>
      <c r="F19" s="48">
        <f>INDEX(delhivery_PL[Mar 2021],MATCH($N$4,delhivery_PL[[Particulars]:[Particulars]],0))/INDEX(delhivery_PL[Mar 2021],MATCH($M$4,delhivery_PL[[Particulars]:[Particulars]],0))</f>
        <v>-3.3726350425006858E-2</v>
      </c>
      <c r="G19" s="48">
        <f>INDEX(delhivery_PL[Mar 2022],MATCH($N$4,delhivery_PL[[Particulars]:[Particulars]],0))/INDEX(delhivery_PL[Mar 2022],MATCH($M$4,delhivery_PL[[Particulars]:[Particulars]],0))</f>
        <v>-6.9020633536762563E-2</v>
      </c>
      <c r="H19" s="48">
        <f>INDEX(delhivery_PL[Mar 2023],MATCH($N$4,delhivery_PL[[Particulars]:[Particulars]],0))/INDEX(delhivery_PL[Mar 2023],MATCH($M$4,delhivery_PL[[Particulars]:[Particulars]],0))</f>
        <v>-6.2560553633217997E-2</v>
      </c>
      <c r="I19" s="48">
        <f>INDEX(delhivery_PL[Mar 2024],MATCH($N$4,delhivery_PL[[Particulars]:[Particulars]],0))/INDEX(delhivery_PL[Mar 2024],MATCH($M$4,delhivery_PL[[Particulars]:[Particulars]],0))</f>
        <v>1.5598133136821421E-2</v>
      </c>
      <c r="J19" s="48">
        <f>INDEX(delhivery_PL[Mar 2025],MATCH($N$4,delhivery_PL[[Particulars]:[Particulars]],0))/INDEX(delhivery_PL[Mar 2025],MATCH($M$4,delhivery_PL[[Particulars]:[Particulars]],0))</f>
        <v>4.2095835199283477E-2</v>
      </c>
      <c r="T19" s="43" t="s">
        <v>85</v>
      </c>
    </row>
    <row r="22" spans="2:20" ht="21" x14ac:dyDescent="0.4">
      <c r="B22" s="26" t="s">
        <v>74</v>
      </c>
    </row>
    <row r="24" spans="2:20" s="14" customFormat="1" ht="41.4" customHeight="1" x14ac:dyDescent="0.3">
      <c r="B24" s="40" t="s">
        <v>44</v>
      </c>
      <c r="C24" s="40" t="s">
        <v>66</v>
      </c>
      <c r="D24" s="40" t="s">
        <v>67</v>
      </c>
      <c r="E24" s="40" t="s">
        <v>68</v>
      </c>
      <c r="F24" s="40" t="s">
        <v>69</v>
      </c>
      <c r="G24" s="40" t="s">
        <v>70</v>
      </c>
      <c r="H24" s="40" t="s">
        <v>71</v>
      </c>
      <c r="I24" s="40" t="s">
        <v>72</v>
      </c>
      <c r="J24" s="27"/>
    </row>
    <row r="25" spans="2:20" s="14" customFormat="1" ht="41.4" customHeight="1" x14ac:dyDescent="0.3">
      <c r="B25" s="40" t="s">
        <v>61</v>
      </c>
      <c r="C25" s="48">
        <f>(INDEX(ZOMATO_PL[Mar 2019],MATCH($O$4,ZOMATO_PL[[Particulars]:[Particulars]],0)) - INDEX(ZOMATO_PL[Mar 2018],MATCH($O$4,ZOMATO_PL[[Particulars]:[Particulars]],0)))/INDEX(ZOMATO_PL[Mar 2018],MATCH($O$4,ZOMATO_PL[[Particulars]:[Particulars]],0))</f>
        <v>8.3070048010214386</v>
      </c>
      <c r="D25" s="48">
        <f>(INDEX(ZOMATO_PL[Mar 2020],MATCH($O$4,ZOMATO_PL[[Particulars]:[Particulars]],0)) - INDEX(ZOMATO_PL[Mar 2019],MATCH($O$4,ZOMATO_PL[[Particulars]:[Particulars]],0)))/INDEX(ZOMATO_PL[Mar 2019],MATCH($O$4,ZOMATO_PL[[Particulars]:[Particulars]],0))</f>
        <v>1.4531426623616144</v>
      </c>
      <c r="E25" s="48">
        <f>(INDEX(ZOMATO_PL[Mar 2021],MATCH($O$4,ZOMATO_PL[[Particulars]:[Particulars]],0)) - INDEX(ZOMATO_PL[Mar 2020],MATCH($O$4,ZOMATO_PL[[Particulars]:[Particulars]],0)))/INDEX(ZOMATO_PL[Mar 2020],MATCH($O$4,ZOMATO_PL[[Particulars]:[Particulars]],0))</f>
        <v>-0.67011552924010231</v>
      </c>
      <c r="F25" s="48">
        <f>(INDEX(ZOMATO_PL[Mar 2022],MATCH($O$4,ZOMATO_PL[[Particulars]:[Particulars]],0)) - INDEX(ZOMATO_PL[Mar 2021],MATCH($O$4,ZOMATO_PL[[Particulars]:[Particulars]],0)))/INDEX(ZOMATO_PL[Mar 2021],MATCH($O$4,ZOMATO_PL[[Particulars]:[Particulars]],0))</f>
        <v>-0.99993340183430368</v>
      </c>
      <c r="G25" s="48">
        <f>(INDEX(ZOMATO_PL[Mar 2023],MATCH($O$4,ZOMATO_PL[[Particulars]:[Particulars]],0)) - INDEX(ZOMATO_PL[Mar 2022],MATCH($O$4,ZOMATO_PL[[Particulars]:[Particulars]],0)))/INDEX(ZOMATO_PL[Mar 2022],MATCH($O$4,ZOMATO_PL[[Particulars]:[Particulars]],0))</f>
        <v>-0.25974025974025983</v>
      </c>
      <c r="H25" s="48">
        <f>(INDEX(ZOMATO_PL[Mar 2024],MATCH($O$4,ZOMATO_PL[[Particulars]:[Particulars]],0)) - INDEX(ZOMATO_PL[Mar 2023],MATCH($O$4,ZOMATO_PL[[Particulars]:[Particulars]],0)))/INDEX(ZOMATO_PL[Mar 2023],MATCH($O$4,ZOMATO_PL[[Particulars]:[Particulars]],0))</f>
        <v>-1.3508771929824563</v>
      </c>
      <c r="I25" s="48">
        <f>(INDEX(ZOMATO_PL[Mar 2025],MATCH($O$4,ZOMATO_PL[[Particulars]:[Particulars]],0)) - INDEX(ZOMATO_PL[Mar 2024],MATCH($O$4,ZOMATO_PL[[Particulars]:[Particulars]],0)))/INDEX(ZOMATO_PL[Mar 2024],MATCH($O$4,ZOMATO_PL[[Particulars]:[Particulars]],0))</f>
        <v>0.37500000000000006</v>
      </c>
      <c r="J25" s="28"/>
    </row>
    <row r="26" spans="2:20" s="14" customFormat="1" ht="41.4" customHeight="1" x14ac:dyDescent="0.3">
      <c r="B26" s="40" t="s">
        <v>62</v>
      </c>
      <c r="C26" s="48">
        <f>(INDEX(Nykaa_PL[Mar 2019],MATCH($O$4,Nykaa_PL[[Particulars]:[Particulars]],0)) - INDEX(Nykaa_PL[Mar 2018],MATCH($O$4,Nykaa_PL[[Particulars]:[Particulars]],0)))/INDEX(Nykaa_PL[Mar 2018],MATCH($O$4,Nykaa_PL[[Particulars]:[Particulars]],0))</f>
        <v>-0.1729106628242075</v>
      </c>
      <c r="D26" s="48">
        <f>(INDEX(Nykaa_PL[Mar 2020],MATCH($O$4,Nykaa_PL[[Particulars]:[Particulars]],0)) - INDEX(Nykaa_PL[Mar 2019],MATCH($O$4,Nykaa_PL[[Particulars]:[Particulars]],0)))/INDEX(Nykaa_PL[Mar 2019],MATCH($O$4,Nykaa_PL[[Particulars]:[Particulars]],0))</f>
        <v>-0.33797909407665511</v>
      </c>
      <c r="E26" s="48">
        <f>(INDEX(Nykaa_PL[Mar 2021],MATCH($O$4,Nykaa_PL[[Particulars]:[Particulars]],0)) - INDEX(Nykaa_PL[Mar 2020],MATCH($O$4,Nykaa_PL[[Particulars]:[Particulars]],0)))/INDEX(Nykaa_PL[Mar 2020],MATCH($O$4,Nykaa_PL[[Particulars]:[Particulars]],0))</f>
        <v>-4.5894736842105273</v>
      </c>
      <c r="F26" s="48">
        <f>(INDEX(Nykaa_PL[Mar 2022],MATCH($O$4,Nykaa_PL[[Particulars]:[Particulars]],0)) - INDEX(Nykaa_PL[Mar 2021],MATCH($O$4,Nykaa_PL[[Particulars]:[Particulars]],0)))/INDEX(Nykaa_PL[Mar 2021],MATCH($O$4,Nykaa_PL[[Particulars]:[Particulars]],0))</f>
        <v>-0.97947214076246336</v>
      </c>
      <c r="G26" s="48">
        <f>(INDEX(Nykaa_PL[Mar 2023],MATCH($O$4,Nykaa_PL[[Particulars]:[Particulars]],0)) - INDEX(Nykaa_PL[Mar 2022],MATCH($O$4,Nykaa_PL[[Particulars]:[Particulars]],0)))/INDEX(Nykaa_PL[Mar 2022],MATCH($O$4,Nykaa_PL[[Particulars]:[Particulars]],0))</f>
        <v>-0.5</v>
      </c>
      <c r="H26" s="48">
        <f>(INDEX(Nykaa_PL[Mar 2024],MATCH($O$4,Nykaa_PL[[Particulars]:[Particulars]],0)) - INDEX(Nykaa_PL[Mar 2023],MATCH($O$4,Nykaa_PL[[Particulars]:[Particulars]],0)))/INDEX(Nykaa_PL[Mar 2023],MATCH($O$4,Nykaa_PL[[Particulars]:[Particulars]],0))</f>
        <v>0.57142857142857129</v>
      </c>
      <c r="I26" s="48">
        <f>(INDEX(Nykaa_PL[Mar 2025],MATCH($O$4,Nykaa_PL[[Particulars]:[Particulars]],0)) - INDEX(Nykaa_PL[Mar 2024],MATCH($O$4,Nykaa_PL[[Particulars]:[Particulars]],0)))/INDEX(Nykaa_PL[Mar 2024],MATCH($O$4,Nykaa_PL[[Particulars]:[Particulars]],0))</f>
        <v>1.0909090909090911</v>
      </c>
      <c r="J26" s="28"/>
    </row>
    <row r="27" spans="2:20" s="14" customFormat="1" ht="41.4" customHeight="1" x14ac:dyDescent="0.3">
      <c r="B27" s="40" t="s">
        <v>63</v>
      </c>
      <c r="C27" s="40" t="s">
        <v>40</v>
      </c>
      <c r="D27" s="48">
        <f>(INDEX(mamaearth_PL[Mar 2020],MATCH($O$4,mamaearth_PL[[Particulars]:[Particulars]],0)) - INDEX(mamaearth_PL[Mar 2019],MATCH($O$4,mamaearth_PL[[Particulars]:[Particulars]],0)))/INDEX(mamaearth_PL[Mar 2019],MATCH($O$4,mamaearth_PL[[Particulars]:[Particulars]],0))</f>
        <v>121.29437513296439</v>
      </c>
      <c r="E27" s="48">
        <f>(INDEX(mamaearth_PL[Mar 2021],MATCH($O$4,mamaearth_PL[[Particulars]:[Particulars]],0)) - INDEX(mamaearth_PL[Mar 2020],MATCH($O$4,mamaearth_PL[[Particulars]:[Particulars]],0)))/INDEX(mamaearth_PL[Mar 2020],MATCH($O$4,mamaearth_PL[[Particulars]:[Particulars]],0))</f>
        <v>2.1124454275686917</v>
      </c>
      <c r="F27" s="48">
        <f>(INDEX(mamaearth_PL[Mar 2022],MATCH($O$4,mamaearth_PL[[Particulars]:[Particulars]],0)) - INDEX(mamaearth_PL[Mar 2021],MATCH($O$4,mamaearth_PL[[Particulars]:[Particulars]],0)))/INDEX(mamaearth_PL[Mar 2021],MATCH($O$4,mamaearth_PL[[Particulars]:[Particulars]],0))</f>
        <v>-1.0147701469638528</v>
      </c>
      <c r="G27" s="48">
        <f>(INDEX(mamaearth_PL[Mar 2023],MATCH($O$4,mamaearth_PL[[Particulars]:[Particulars]],0)) - INDEX(mamaearth_PL[Mar 2022],MATCH($O$4,mamaearth_PL[[Particulars]:[Particulars]],0)))/INDEX(mamaearth_PL[Mar 2022],MATCH($O$4,mamaearth_PL[[Particulars]:[Particulars]],0))</f>
        <v>-1.0004582386013148</v>
      </c>
      <c r="H27" s="48">
        <f>(INDEX(mamaearth_PL[Mar 2024],MATCH($O$4,mamaearth_PL[[Particulars]:[Particulars]],0)) - INDEX(mamaearth_PL[Mar 2023],MATCH($O$4,mamaearth_PL[[Particulars]:[Particulars]],0)))/INDEX(mamaearth_PL[Mar 2023],MATCH($O$4,mamaearth_PL[[Particulars]:[Particulars]],0))</f>
        <v>-1.4219457013574661</v>
      </c>
      <c r="I27" s="48">
        <f>(INDEX(mamaearth_PL[Mar 2025],MATCH($O$4,mamaearth_PL[[Particulars]:[Particulars]],0)) - INDEX(mamaearth_PL[Mar 2024],MATCH($O$4,mamaearth_PL[[Particulars]:[Particulars]],0)))/INDEX(mamaearth_PL[Mar 2024],MATCH($O$4,mamaearth_PL[[Particulars]:[Particulars]],0))</f>
        <v>-0.47184986595174261</v>
      </c>
      <c r="T27" s="38" t="s">
        <v>87</v>
      </c>
    </row>
    <row r="28" spans="2:20" s="14" customFormat="1" ht="42.6" customHeight="1" x14ac:dyDescent="0.3">
      <c r="B28" s="40" t="s">
        <v>64</v>
      </c>
      <c r="C28" s="40" t="s">
        <v>40</v>
      </c>
      <c r="D28" s="48">
        <f>(INDEX(delhivery_PL[Mar 2020],MATCH($O$4,mamaearth_PL[[Particulars]:[Particulars]],0)) - INDEX(delhivery_PL[Mar 2019],MATCH($O$4,mamaearth_PL[[Particulars]:[Particulars]],0)))/INDEX(delhivery_PL[Mar 2019],MATCH($O$4,delhivery_PL[[Particulars]:[Particulars]],0))</f>
        <v>-0.85176263835481714</v>
      </c>
      <c r="E28" s="48">
        <f>(INDEX(delhivery_PL[Mar 2021],MATCH($O$4,mamaearth_PL[[Particulars]:[Particulars]],0)) - INDEX(delhivery_PL[Mar 2020],MATCH($O$4,mamaearth_PL[[Particulars]:[Particulars]],0)))/INDEX(delhivery_PL[Mar 2020],MATCH($O$4,delhivery_PL[[Particulars]:[Particulars]],0))</f>
        <v>-9.6314343100360481E-2</v>
      </c>
      <c r="F28" s="48">
        <f>(INDEX(delhivery_PL[Mar 2022],MATCH($O$4,mamaearth_PL[[Particulars]:[Particulars]],0)) - INDEX(delhivery_PL[Mar 2021],MATCH($O$4,mamaearth_PL[[Particulars]:[Particulars]],0)))/INDEX(delhivery_PL[Mar 2021],MATCH($O$4,delhivery_PL[[Particulars]:[Particulars]],0))</f>
        <v>-0.99368129663804861</v>
      </c>
      <c r="G28" s="48">
        <f>(INDEX(delhivery_PL[Mar 2023],MATCH($O$4,mamaearth_PL[[Particulars]:[Particulars]],0)) - INDEX(delhivery_PL[Mar 2022],MATCH($O$4,mamaearth_PL[[Particulars]:[Particulars]],0)))/INDEX(delhivery_PL[Mar 2022],MATCH($O$4,delhivery_PL[[Particulars]:[Particulars]],0))</f>
        <v>-0.1219047619047619</v>
      </c>
      <c r="H28" s="48">
        <f>(INDEX(delhivery_PL[Mar 2024],MATCH($O$4,mamaearth_PL[[Particulars]:[Particulars]],0)) - INDEX(delhivery_PL[Mar 2023],MATCH($O$4,mamaearth_PL[[Particulars]:[Particulars]],0)))/INDEX(delhivery_PL[Mar 2023],MATCH($O$4,delhivery_PL[[Particulars]:[Particulars]],0))</f>
        <v>-0.75560375994215467</v>
      </c>
      <c r="I28" s="48">
        <f>(INDEX(delhivery_PL[Mar 2025],MATCH($O$4,mamaearth_PL[[Particulars]:[Particulars]],0)) - INDEX(delhivery_PL[Mar 2024],MATCH($O$4,mamaearth_PL[[Particulars]:[Particulars]],0)))/INDEX(delhivery_PL[Mar 2024],MATCH($O$4,delhivery_PL[[Particulars]:[Particulars]],0))</f>
        <v>-1.6420118343195267</v>
      </c>
      <c r="T28" s="36" t="s">
        <v>88</v>
      </c>
    </row>
    <row r="31" spans="2:20" ht="42" x14ac:dyDescent="0.4">
      <c r="B31" s="25" t="s">
        <v>75</v>
      </c>
    </row>
    <row r="33" spans="2:20" s="14" customFormat="1" ht="34.200000000000003" customHeight="1" x14ac:dyDescent="0.3">
      <c r="B33" s="40" t="s">
        <v>44</v>
      </c>
      <c r="C33" s="40" t="s">
        <v>65</v>
      </c>
      <c r="D33" s="40" t="s">
        <v>66</v>
      </c>
      <c r="E33" s="40" t="s">
        <v>67</v>
      </c>
      <c r="F33" s="40" t="s">
        <v>68</v>
      </c>
      <c r="G33" s="40" t="s">
        <v>69</v>
      </c>
      <c r="H33" s="40" t="s">
        <v>70</v>
      </c>
      <c r="I33" s="40" t="s">
        <v>71</v>
      </c>
      <c r="J33" s="40" t="s">
        <v>72</v>
      </c>
    </row>
    <row r="34" spans="2:20" s="14" customFormat="1" ht="42.6" customHeight="1" x14ac:dyDescent="0.3">
      <c r="B34" s="40" t="s">
        <v>61</v>
      </c>
      <c r="C34" s="48" cm="1">
        <f t="array" ref="C34">_xlfn.XLOOKUP($L$4,ZOMATO_PL[[Particulars]:[Particulars]],ZOMATO_PL[Mar 2018])/((_xlfn.XLOOKUP($P$4,ZOMATO_BL[[Column1]:[Column1]],ZOMATO_BL[Mar 2018]))+(_xlfn.XLOOKUP($Q$4,ZOMATO_BL[[Column1]:[Column1]],ZOMATO_BL[Mar 2018])))</f>
        <v>-0.10327886258119939</v>
      </c>
      <c r="D34" s="48" cm="1">
        <f t="array" ref="D34">_xlfn.XLOOKUP($L$4,ZOMATO_PL[[Particulars]:[Particulars]],ZOMATO_PL[Mar 2019])/((_xlfn.XLOOKUP($P$4,ZOMATO_BL[[Column1]:[Column1]],ZOMATO_BL[Mar 2019]))+(_xlfn.XLOOKUP($Q$4,ZOMATO_BL[[Column1]:[Column1]],ZOMATO_BL[Mar 2019])))</f>
        <v>-0.42868724082460746</v>
      </c>
      <c r="E34" s="48" cm="1">
        <f t="array" ref="E34">_xlfn.XLOOKUP($L$4,ZOMATO_PL[[Particulars]:[Particulars]],ZOMATO_PL[Mar 2020])/((_xlfn.XLOOKUP($P$4,ZOMATO_BL[[Column1]:[Column1]],ZOMATO_BL[Mar 2020]))+(_xlfn.XLOOKUP($Q$4,ZOMATO_BL[[Column1]:[Column1]],ZOMATO_BL[Mar 2020])))</f>
        <v>-5.2206638513883119</v>
      </c>
      <c r="F34" s="48" cm="1">
        <f t="array" ref="F34">_xlfn.XLOOKUP($L$4,ZOMATO_PL[[Particulars]:[Particulars]],ZOMATO_PL[Mar 2021])/((_xlfn.XLOOKUP($P$4,ZOMATO_BL[[Column1]:[Column1]],ZOMATO_BL[Mar 2021]))+(_xlfn.XLOOKUP($Q$4,ZOMATO_BL[[Column1]:[Column1]],ZOMATO_BL[Mar 2021])))</f>
        <v>-0.10675039246467818</v>
      </c>
      <c r="G34" s="48" cm="1">
        <f t="array" ref="G34">_xlfn.XLOOKUP($L$4,ZOMATO_PL[[Particulars]:[Particulars]],ZOMATO_PL[Mar 2022])/((_xlfn.XLOOKUP($P$4,ZOMATO_BL[[Column1]:[Column1]],ZOMATO_BL[Mar 2022]))+(_xlfn.XLOOKUP($Q$4,ZOMATO_BL[[Column1]:[Column1]],ZOMATO_BL[Mar 2022])))</f>
        <v>-7.4038170251438953E-2</v>
      </c>
      <c r="H34" s="48" cm="1">
        <f t="array" ref="H34">_xlfn.XLOOKUP($L$4,ZOMATO_PL[[Particulars]:[Particulars]],ZOMATO_PL[Mar 2023])/((_xlfn.XLOOKUP($P$4,ZOMATO_BL[[Column1]:[Column1]],ZOMATO_BL[Mar 2023]))+(_xlfn.XLOOKUP($Q$4,ZOMATO_BL[[Column1]:[Column1]],ZOMATO_BL[Mar 2023])))</f>
        <v>-4.9897225077081192E-2</v>
      </c>
      <c r="I34" s="48" cm="1">
        <f t="array" ref="I34">_xlfn.XLOOKUP($L$4,ZOMATO_PL[[Particulars]:[Particulars]],ZOMATO_PL[Mar 2024])/((_xlfn.XLOOKUP($P$4,ZOMATO_BL[[Column1]:[Column1]],ZOMATO_BL[Mar 2024]))+(_xlfn.XLOOKUP($Q$4,ZOMATO_BL[[Column1]:[Column1]],ZOMATO_BL[Mar 2024])))</f>
        <v>1.719492480282173E-2</v>
      </c>
      <c r="J34" s="48" cm="1">
        <f t="array" ref="J34">_xlfn.XLOOKUP($L$4,ZOMATO_PL[[Particulars]:[Particulars]],ZOMATO_PL[Mar 2025])/((_xlfn.XLOOKUP($P$4,ZOMATO_BL[[Column1]:[Column1]],ZOMATO_BL[Mar 2025]))+(_xlfn.XLOOKUP($Q$4,ZOMATO_BL[[Column1]:[Column1]],ZOMATO_BL[Mar 2025])))</f>
        <v>1.7382986443249662E-2</v>
      </c>
    </row>
    <row r="35" spans="2:20" s="14" customFormat="1" ht="42.6" customHeight="1" x14ac:dyDescent="0.3">
      <c r="B35" s="40" t="s">
        <v>62</v>
      </c>
      <c r="C35" s="48" cm="1">
        <f t="array" ref="C35">_xlfn.XLOOKUP($L$4,Nykaa_PL[[Particulars]:[Particulars]],Nykaa_PL[Mar 2018])/((_xlfn.XLOOKUP($P$4,nykaa_BL[[Column1]:[Column1]],nykaa_BL[Mar 2018]))+(_xlfn.XLOOKUP($Q$4,nykaa_BL[[Column1]:[Column1]],nykaa_BL[Mar 2018])))</f>
        <v>-0.22950819672131148</v>
      </c>
      <c r="D35" s="48" cm="1">
        <f t="array" ref="D35">_xlfn.XLOOKUP($L$4,Nykaa_PL[[Particulars]:[Particulars]],Nykaa_PL[Mar 2019])/((_xlfn.XLOOKUP($P$4,nykaa_BL[[Column1]:[Column1]],nykaa_BL[Mar 2019]))+(_xlfn.XLOOKUP($Q$4,nykaa_BL[[Column1]:[Column1]],nykaa_BL[Mar 2019])))</f>
        <v>-0.10869565217391304</v>
      </c>
      <c r="E35" s="48" cm="1">
        <f t="array" ref="E35">_xlfn.XLOOKUP($L$4,Nykaa_PL[[Particulars]:[Particulars]],Nykaa_PL[Mar 2020])/((_xlfn.XLOOKUP($P$4,nykaa_BL[[Column1]:[Column1]],nykaa_BL[Mar 2020]))+(_xlfn.XLOOKUP($Q$4,nykaa_BL[[Column1]:[Column1]],nykaa_BL[Mar 2020])))</f>
        <v>-4.9689440993788817E-2</v>
      </c>
      <c r="F35" s="48" cm="1">
        <f t="array" ref="F35">_xlfn.XLOOKUP($L$4,Nykaa_PL[[Particulars]:[Particulars]],Nykaa_PL[Mar 2021])/((_xlfn.XLOOKUP($P$4,nykaa_BL[[Column1]:[Column1]],nykaa_BL[Mar 2021]))+(_xlfn.XLOOKUP($Q$4,nykaa_BL[[Column1]:[Column1]],nykaa_BL[Mar 2021])))</f>
        <v>0.12653061224489795</v>
      </c>
      <c r="G35" s="48" cm="1">
        <f t="array" ref="G35">_xlfn.XLOOKUP($L$4,Nykaa_PL[[Particulars]:[Particulars]],Nykaa_PL[Mar 2022])/((_xlfn.XLOOKUP($P$4,nykaa_BL[[Column1]:[Column1]],nykaa_BL[Mar 2022]))+(_xlfn.XLOOKUP($Q$4,nykaa_BL[[Column1]:[Column1]],nykaa_BL[Mar 2022])))</f>
        <v>3.0619865571321882E-2</v>
      </c>
      <c r="H35" s="48" cm="1">
        <f t="array" ref="H35">_xlfn.XLOOKUP($L$4,Nykaa_PL[[Particulars]:[Particulars]],Nykaa_PL[Mar 2023])/((_xlfn.XLOOKUP($P$4,nykaa_BL[[Column1]:[Column1]],nykaa_BL[Mar 2023]))+(_xlfn.XLOOKUP($Q$4,nykaa_BL[[Column1]:[Column1]],nykaa_BL[Mar 2023])))</f>
        <v>1.5239477503628448E-2</v>
      </c>
      <c r="I35" s="48" cm="1">
        <f t="array" ref="I35">_xlfn.XLOOKUP($L$4,Nykaa_PL[[Particulars]:[Particulars]],Nykaa_PL[Mar 2024])/((_xlfn.XLOOKUP($P$4,nykaa_BL[[Column1]:[Column1]],nykaa_BL[Mar 2024]))+(_xlfn.XLOOKUP($Q$4,nykaa_BL[[Column1]:[Column1]],nykaa_BL[Mar 2024])))</f>
        <v>3.167062549485352E-2</v>
      </c>
      <c r="J35" s="48" cm="1">
        <f t="array" ref="J35">_xlfn.XLOOKUP($L$4,Nykaa_PL[[Particulars]:[Particulars]],Nykaa_PL[Mar 2025])/((_xlfn.XLOOKUP($P$4,nykaa_BL[[Column1]:[Column1]],nykaa_BL[Mar 2025]))+(_xlfn.XLOOKUP($Q$4,nykaa_BL[[Column1]:[Column1]],nykaa_BL[Mar 2025])))</f>
        <v>5.5342044581091467E-2</v>
      </c>
    </row>
    <row r="36" spans="2:20" s="14" customFormat="1" ht="42.6" customHeight="1" x14ac:dyDescent="0.3">
      <c r="B36" s="40" t="s">
        <v>63</v>
      </c>
      <c r="C36" s="40" t="s">
        <v>40</v>
      </c>
      <c r="D36" s="48" cm="1">
        <f t="array" ref="D36">_xlfn.XLOOKUP($L$4,mamaearth_PL[[Particulars]:[Particulars]],mamaearth_PL[Mar 2019])/((_xlfn.XLOOKUP($P$4,mamaearth_BL[[Column1]:[Column1]],mamaearth_BL[Mar 2019]))+(_xlfn.XLOOKUP($Q$4,mamaearth_BL[[Column1]:[Column1]],mamaearth_BL[Mar 2019])))</f>
        <v>-0.13328890369876706</v>
      </c>
      <c r="E36" s="48" cm="1">
        <f t="array" ref="E36">_xlfn.XLOOKUP($L$4,mamaearth_PL[[Particulars]:[Particulars]],mamaearth_PL[Mar 2020])/((_xlfn.XLOOKUP($P$4,mamaearth_BL[[Column1]:[Column1]],mamaearth_BL[Mar 2020]))+(_xlfn.XLOOKUP($Q$4,mamaearth_BL[[Column1]:[Column1]],mamaearth_BL[Mar 2020])))</f>
        <v>0.97942744685233074</v>
      </c>
      <c r="F36" s="48" cm="1">
        <f t="array" ref="F36">_xlfn.XLOOKUP($L$4,mamaearth_PL[[Particulars]:[Particulars]],mamaearth_PL[Mar 2021])/((_xlfn.XLOOKUP($P$4,mamaearth_BL[[Column1]:[Column1]],mamaearth_BL[Mar 2021]))+(_xlfn.XLOOKUP($Q$4,mamaearth_BL[[Column1]:[Column1]],mamaearth_BL[Mar 2021])))</f>
        <v>0.75467849676202126</v>
      </c>
      <c r="G36" s="48" cm="1">
        <f t="array" ref="G36">_xlfn.XLOOKUP($L$4,mamaearth_PL[[Particulars]:[Particulars]],mamaearth_PL[Mar 2022])/((_xlfn.XLOOKUP($P$4,mamaearth_BL[[Column1]:[Column1]],mamaearth_BL[Mar 2022]))+(_xlfn.XLOOKUP($Q$4,mamaearth_BL[[Column1]:[Column1]],mamaearth_BL[Mar 2022])))</f>
        <v>2.8089493125096558E-2</v>
      </c>
      <c r="H36" s="48" cm="1">
        <f t="array" ref="H36">_xlfn.XLOOKUP($L$4,mamaearth_PL[[Particulars]:[Particulars]],mamaearth_PL[Mar 2023])/((_xlfn.XLOOKUP($P$4,mamaearth_BL[[Column1]:[Column1]],mamaearth_BL[Mar 2023]))+(_xlfn.XLOOKUP($Q$4,mamaearth_BL[[Column1]:[Column1]],mamaearth_BL[Mar 2023])))</f>
        <v>0.10377358490566038</v>
      </c>
      <c r="I36" s="48" cm="1">
        <f t="array" ref="I36">_xlfn.XLOOKUP($L$4,mamaearth_PL[[Particulars]:[Particulars]],mamaearth_PL[Mar 2024])/((_xlfn.XLOOKUP($P$4,mamaearth_BL[[Column1]:[Column1]],mamaearth_BL[Mar 2024]))+(_xlfn.XLOOKUP($Q$4,mamaearth_BL[[Column1]:[Column1]],mamaearth_BL[Mar 2024])))</f>
        <v>0.10765124555160142</v>
      </c>
      <c r="J36" s="48" cm="1">
        <f t="array" ref="J36">_xlfn.XLOOKUP($L$4,mamaearth_PL[[Particulars]:[Particulars]],mamaearth_PL[Mar 2025])/((_xlfn.XLOOKUP($P$4,mamaearth_BL[[Column1]:[Column1]],mamaearth_BL[Mar 2025]))+(_xlfn.XLOOKUP($Q$4,mamaearth_BL[[Column1]:[Column1]],mamaearth_BL[Mar 2025])))</f>
        <v>5.3333333333333337E-2</v>
      </c>
      <c r="T36" s="38" t="s">
        <v>89</v>
      </c>
    </row>
    <row r="37" spans="2:20" s="14" customFormat="1" ht="42.6" customHeight="1" x14ac:dyDescent="0.3">
      <c r="B37" s="40" t="s">
        <v>64</v>
      </c>
      <c r="C37" s="40" t="s">
        <v>40</v>
      </c>
      <c r="D37" s="48" cm="1">
        <f t="array" ref="D37">_xlfn.XLOOKUP($L$4,delhivery_PL[[Particulars]:[Particulars]],delhivery_PL[Mar 2019])/((_xlfn.XLOOKUP($P$4,Delhivery_BL[[Column1]:[Column1]],Delhivery_BL[Mar 2019]))+(_xlfn.XLOOKUP($Q$4,Delhivery_BL[[Column1]:[Column1]],Delhivery_BL[Mar 2019])))</f>
        <v>-0.53240408962782471</v>
      </c>
      <c r="E37" s="48" cm="1">
        <f t="array" ref="E37">_xlfn.XLOOKUP($L$4,delhivery_PL[[Particulars]:[Particulars]],delhivery_PL[Mar 2020])/((_xlfn.XLOOKUP($P$4,Delhivery_BL[[Column1]:[Column1]],Delhivery_BL[Mar 2020]))+(_xlfn.XLOOKUP($Q$4,Delhivery_BL[[Column1]:[Column1]],Delhivery_BL[Mar 2020])))</f>
        <v>-8.5915591923295578E-2</v>
      </c>
      <c r="F37" s="48" cm="1">
        <f t="array" ref="F37">_xlfn.XLOOKUP($L$4,delhivery_PL[[Particulars]:[Particulars]],delhivery_PL[Mar 2021])/((_xlfn.XLOOKUP($P$4,Delhivery_BL[[Column1]:[Column1]],Delhivery_BL[Mar 2021]))+(_xlfn.XLOOKUP($Q$4,Delhivery_BL[[Column1]:[Column1]],Delhivery_BL[Mar 2021])))</f>
        <v>-0.14846538187009278</v>
      </c>
      <c r="G37" s="48" cm="1">
        <f t="array" ref="G37">_xlfn.XLOOKUP($L$4,delhivery_PL[[Particulars]:[Particulars]],delhivery_PL[Mar 2022])/((_xlfn.XLOOKUP($P$4,Delhivery_BL[[Column1]:[Column1]],Delhivery_BL[Mar 2022]))+(_xlfn.XLOOKUP($Q$4,Delhivery_BL[[Column1]:[Column1]],Delhivery_BL[Mar 2022])))</f>
        <v>-0.16971630015108277</v>
      </c>
      <c r="H37" s="48" cm="1">
        <f t="array" ref="H37">_xlfn.XLOOKUP($L$4,delhivery_PL[[Particulars]:[Particulars]],delhivery_PL[Mar 2023])/((_xlfn.XLOOKUP($P$4,Delhivery_BL[[Column1]:[Column1]],Delhivery_BL[Mar 2023]))+(_xlfn.XLOOKUP($Q$4,Delhivery_BL[[Column1]:[Column1]],Delhivery_BL[Mar 2023])))</f>
        <v>-0.10983981693363844</v>
      </c>
      <c r="I37" s="48" cm="1">
        <f t="array" ref="I37">_xlfn.XLOOKUP($L$4,delhivery_PL[[Particulars]:[Particulars]],delhivery_PL[Mar 2024])/((_xlfn.XLOOKUP($P$4,Delhivery_BL[[Column1]:[Column1]],Delhivery_BL[Mar 2024]))+(_xlfn.XLOOKUP($Q$4,Delhivery_BL[[Column1]:[Column1]],Delhivery_BL[Mar 2024])))</f>
        <v>-2.7227993439037725E-2</v>
      </c>
      <c r="J37" s="48" cm="1">
        <f t="array" ref="J37">_xlfn.XLOOKUP($L$4,delhivery_PL[[Particulars]:[Particulars]],delhivery_PL[Mar 2025])/((_xlfn.XLOOKUP($P$4,Delhivery_BL[[Column1]:[Column1]],Delhivery_BL[Mar 2025]))+(_xlfn.XLOOKUP($Q$4,Delhivery_BL[[Column1]:[Column1]],Delhivery_BL[Mar 2025])))</f>
        <v>1.7173751722675712E-2</v>
      </c>
      <c r="T37" s="45" t="s">
        <v>90</v>
      </c>
    </row>
    <row r="40" spans="2:20" ht="42" x14ac:dyDescent="0.4">
      <c r="B40" s="25" t="s">
        <v>76</v>
      </c>
    </row>
    <row r="42" spans="2:20" s="14" customFormat="1" ht="37.799999999999997" customHeight="1" x14ac:dyDescent="0.3">
      <c r="B42" s="40" t="s">
        <v>44</v>
      </c>
      <c r="C42" s="40" t="s">
        <v>65</v>
      </c>
      <c r="D42" s="40" t="s">
        <v>66</v>
      </c>
      <c r="E42" s="40" t="s">
        <v>67</v>
      </c>
      <c r="F42" s="40" t="s">
        <v>68</v>
      </c>
      <c r="G42" s="40" t="s">
        <v>69</v>
      </c>
      <c r="H42" s="40" t="s">
        <v>70</v>
      </c>
      <c r="I42" s="40" t="s">
        <v>71</v>
      </c>
      <c r="J42" s="40" t="s">
        <v>72</v>
      </c>
    </row>
    <row r="43" spans="2:20" s="14" customFormat="1" ht="37.799999999999997" customHeight="1" x14ac:dyDescent="0.3">
      <c r="B43" s="40" t="s">
        <v>61</v>
      </c>
      <c r="C43" s="48" cm="1">
        <f t="array" ref="C43">_xlfn.XLOOKUP($R$4,ZOMATO_BL[[Column1]:[Column1]],ZOMATO_BL[Mar 2018])/((_xlfn.XLOOKUP($P$4,ZOMATO_BL[[Column1]:[Column1]],ZOMATO_BL[Mar 2018]))+(_xlfn.XLOOKUP($Q$4,ZOMATO_BL[[Column1]:[Column1]],ZOMATO_BL[Mar 2018])))</f>
        <v>0.17953148074862699</v>
      </c>
      <c r="D43" s="48" cm="1">
        <f t="array" ref="D43">_xlfn.XLOOKUP($R$4,ZOMATO_BL[[Column1]:[Column1]],ZOMATO_BL[Mar 2019])/((_xlfn.XLOOKUP($P$4,ZOMATO_BL[[Column1]:[Column1]],ZOMATO_BL[Mar 2019]))+(_xlfn.XLOOKUP($Q$4,ZOMATO_BL[[Column1]:[Column1]],ZOMATO_BL[Mar 2019])))</f>
        <v>0.14770609881877564</v>
      </c>
      <c r="E43" s="48" cm="1">
        <f t="array" ref="E43">_xlfn.XLOOKUP($R$4,ZOMATO_BL[[Column1]:[Column1]],ZOMATO_BL[Mar 2020])/((_xlfn.XLOOKUP($P$4,ZOMATO_BL[[Column1]:[Column1]],ZOMATO_BL[Mar 2020]))+(_xlfn.XLOOKUP($Q$4,ZOMATO_BL[[Column1]:[Column1]],ZOMATO_BL[Mar 2020])))</f>
        <v>0.71330109620812643</v>
      </c>
      <c r="F43" s="48" cm="1">
        <f t="array" ref="F43">_xlfn.XLOOKUP($R$4,ZOMATO_BL[[Column1]:[Column1]],ZOMATO_BL[Mar 2021])/((_xlfn.XLOOKUP($P$4,ZOMATO_BL[[Column1]:[Column1]],ZOMATO_BL[Mar 2021]))+(_xlfn.XLOOKUP($Q$4,ZOMATO_BL[[Column1]:[Column1]],ZOMATO_BL[Mar 2021])))</f>
        <v>6.894296180010466E-2</v>
      </c>
      <c r="G43" s="48" cm="1">
        <f t="array" ref="G43">_xlfn.XLOOKUP($R$4,ZOMATO_BL[[Column1]:[Column1]],ZOMATO_BL[Mar 2022])/((_xlfn.XLOOKUP($P$4,ZOMATO_BL[[Column1]:[Column1]],ZOMATO_BL[Mar 2022]))+(_xlfn.XLOOKUP($Q$4,ZOMATO_BL[[Column1]:[Column1]],ZOMATO_BL[Mar 2022])))</f>
        <v>4.2411390487730989E-3</v>
      </c>
      <c r="H43" s="48" cm="1">
        <f t="array" ref="H43">_xlfn.XLOOKUP($R$4,ZOMATO_BL[[Column1]:[Column1]],ZOMATO_BL[Mar 2023])/((_xlfn.XLOOKUP($P$4,ZOMATO_BL[[Column1]:[Column1]],ZOMATO_BL[Mar 2023]))+(_xlfn.XLOOKUP($Q$4,ZOMATO_BL[[Column1]:[Column1]],ZOMATO_BL[Mar 2023])))</f>
        <v>2.605344295991778E-2</v>
      </c>
      <c r="I43" s="48" cm="1">
        <f t="array" ref="I43">_xlfn.XLOOKUP($R$4,ZOMATO_BL[[Column1]:[Column1]],ZOMATO_BL[Mar 2024])/((_xlfn.XLOOKUP($P$4,ZOMATO_BL[[Column1]:[Column1]],ZOMATO_BL[Mar 2024]))+(_xlfn.XLOOKUP($Q$4,ZOMATO_BL[[Column1]:[Column1]],ZOMATO_BL[Mar 2024])))</f>
        <v>3.6692303923970021E-2</v>
      </c>
      <c r="J43" s="48" cm="1">
        <f t="array" ref="J43">_xlfn.XLOOKUP($R$4,ZOMATO_BL[[Column1]:[Column1]],ZOMATO_BL[Mar 2025])/((_xlfn.XLOOKUP($P$4,ZOMATO_BL[[Column1]:[Column1]],ZOMATO_BL[Mar 2025]))+(_xlfn.XLOOKUP($Q$4,ZOMATO_BL[[Column1]:[Column1]],ZOMATO_BL[Mar 2025])))</f>
        <v>6.745390375037108E-2</v>
      </c>
    </row>
    <row r="44" spans="2:20" s="14" customFormat="1" ht="37.799999999999997" customHeight="1" x14ac:dyDescent="0.3">
      <c r="B44" s="40" t="s">
        <v>62</v>
      </c>
      <c r="C44" s="48" cm="1">
        <f t="array" ref="C44">_xlfn.XLOOKUP($R$4,nykaa_BL[[Column1]:[Column1]],nykaa_BL[Mar 2018])/((_xlfn.XLOOKUP($P$4,nykaa_BL[[Column1]:[Column1]],nykaa_BL[Mar 2018]))+(_xlfn.XLOOKUP($Q$4,nykaa_BL[[Column1]:[Column1]],nykaa_BL[Mar 2018])))</f>
        <v>0.68032786885245899</v>
      </c>
      <c r="D44" s="48" cm="1">
        <f t="array" ref="D44">_xlfn.XLOOKUP($R$4,nykaa_BL[[Column1]:[Column1]],nykaa_BL[Mar 2019])/((_xlfn.XLOOKUP($P$4,nykaa_BL[[Column1]:[Column1]],nykaa_BL[Mar 2019]))+(_xlfn.XLOOKUP($Q$4,nykaa_BL[[Column1]:[Column1]],nykaa_BL[Mar 2019])))</f>
        <v>1.3478260869565217</v>
      </c>
      <c r="E44" s="48" cm="1">
        <f t="array" ref="E44">_xlfn.XLOOKUP($R$4,nykaa_BL[[Column1]:[Column1]],nykaa_BL[Mar 2020])/((_xlfn.XLOOKUP($P$4,nykaa_BL[[Column1]:[Column1]],nykaa_BL[Mar 2020]))+(_xlfn.XLOOKUP($Q$4,nykaa_BL[[Column1]:[Column1]],nykaa_BL[Mar 2020])))</f>
        <v>1.2826086956521738</v>
      </c>
      <c r="F44" s="48" cm="1">
        <f t="array" ref="F44">_xlfn.XLOOKUP($R$4,nykaa_BL[[Column1]:[Column1]],nykaa_BL[Mar 2021])/((_xlfn.XLOOKUP($P$4,nykaa_BL[[Column1]:[Column1]],nykaa_BL[Mar 2021]))+(_xlfn.XLOOKUP($Q$4,nykaa_BL[[Column1]:[Column1]],nykaa_BL[Mar 2021])))</f>
        <v>0.67959183673469392</v>
      </c>
      <c r="G44" s="48" cm="1">
        <f t="array" ref="G44">_xlfn.XLOOKUP($R$4,nykaa_BL[[Column1]:[Column1]],nykaa_BL[Mar 2022])/((_xlfn.XLOOKUP($P$4,nykaa_BL[[Column1]:[Column1]],nykaa_BL[Mar 2022]))+(_xlfn.XLOOKUP($Q$4,nykaa_BL[[Column1]:[Column1]],nykaa_BL[Mar 2022])))</f>
        <v>0.44286781179985063</v>
      </c>
      <c r="H44" s="48" cm="1">
        <f t="array" ref="H44">_xlfn.XLOOKUP($R$4,nykaa_BL[[Column1]:[Column1]],nykaa_BL[Mar 2023])/((_xlfn.XLOOKUP($P$4,nykaa_BL[[Column1]:[Column1]],nykaa_BL[Mar 2023]))+(_xlfn.XLOOKUP($Q$4,nykaa_BL[[Column1]:[Column1]],nykaa_BL[Mar 2023])))</f>
        <v>0.57910014513788099</v>
      </c>
      <c r="I44" s="48" cm="1">
        <f t="array" ref="I44">_xlfn.XLOOKUP($R$4,nykaa_BL[[Column1]:[Column1]],nykaa_BL[Mar 2024])/((_xlfn.XLOOKUP($P$4,nykaa_BL[[Column1]:[Column1]],nykaa_BL[Mar 2024]))+(_xlfn.XLOOKUP($Q$4,nykaa_BL[[Column1]:[Column1]],nykaa_BL[Mar 2024])))</f>
        <v>0.76722090261282661</v>
      </c>
      <c r="J44" s="48" cm="1">
        <f t="array" ref="J44">_xlfn.XLOOKUP($R$4,nykaa_BL[[Column1]:[Column1]],nykaa_BL[Mar 2025])/((_xlfn.XLOOKUP($P$4,nykaa_BL[[Column1]:[Column1]],nykaa_BL[Mar 2025]))+(_xlfn.XLOOKUP($Q$4,nykaa_BL[[Column1]:[Column1]],nykaa_BL[Mar 2025])))</f>
        <v>1.0153727901614142</v>
      </c>
    </row>
    <row r="45" spans="2:20" s="14" customFormat="1" ht="43.2" customHeight="1" x14ac:dyDescent="0.3">
      <c r="B45" s="40" t="s">
        <v>63</v>
      </c>
      <c r="C45" s="40" t="s">
        <v>40</v>
      </c>
      <c r="D45" s="48" cm="1">
        <f t="array" ref="D45">_xlfn.XLOOKUP($R$4,mamaearth_BL[[Column1]:[Column1]],mamaearth_BL[Mar 2019])/((_xlfn.XLOOKUP($P$4,mamaearth_BL[[Column1]:[Column1]],mamaearth_BL[Mar 2019]))+(_xlfn.XLOOKUP($Q$4,mamaearth_BL[[Column1]:[Column1]],mamaearth_BL[Mar 2019])))</f>
        <v>0</v>
      </c>
      <c r="E45" s="48" cm="1">
        <f t="array" ref="E45">_xlfn.XLOOKUP($R$4,mamaearth_BL[[Column1]:[Column1]],mamaearth_BL[Mar 2020])/((_xlfn.XLOOKUP($P$4,mamaearth_BL[[Column1]:[Column1]],mamaearth_BL[Mar 2020]))+(_xlfn.XLOOKUP($Q$4,mamaearth_BL[[Column1]:[Column1]],mamaearth_BL[Mar 2020])))</f>
        <v>-1.3570104579052151</v>
      </c>
      <c r="F45" s="48" cm="1">
        <f t="array" ref="F45">_xlfn.XLOOKUP($R$4,mamaearth_BL[[Column1]:[Column1]],mamaearth_BL[Mar 2021])/((_xlfn.XLOOKUP($P$4,mamaearth_BL[[Column1]:[Column1]],mamaearth_BL[Mar 2021]))+(_xlfn.XLOOKUP($Q$4,mamaearth_BL[[Column1]:[Column1]],mamaearth_BL[Mar 2021])))</f>
        <v>-1.1184199343905632</v>
      </c>
      <c r="G45" s="48" cm="1">
        <f t="array" ref="G45">_xlfn.XLOOKUP($R$4,mamaearth_BL[[Column1]:[Column1]],mamaearth_BL[Mar 2022])/((_xlfn.XLOOKUP($P$4,mamaearth_BL[[Column1]:[Column1]],mamaearth_BL[Mar 2022]))+(_xlfn.XLOOKUP($Q$4,mamaearth_BL[[Column1]:[Column1]],mamaearth_BL[Mar 2022])))</f>
        <v>0</v>
      </c>
      <c r="H45" s="48" cm="1">
        <f t="array" ref="H45">_xlfn.XLOOKUP($R$4,mamaearth_BL[[Column1]:[Column1]],mamaearth_BL[Mar 2023])/((_xlfn.XLOOKUP($P$4,mamaearth_BL[[Column1]:[Column1]],mamaearth_BL[Mar 2023]))+(_xlfn.XLOOKUP($Q$4,mamaearth_BL[[Column1]:[Column1]],mamaearth_BL[Mar 2023])))</f>
        <v>-1.6003430531732419</v>
      </c>
      <c r="I45" s="48" cm="1">
        <f t="array" ref="I45">_xlfn.XLOOKUP($R$4,mamaearth_BL[[Column1]:[Column1]],mamaearth_BL[Mar 2024])/((_xlfn.XLOOKUP($P$4,mamaearth_BL[[Column1]:[Column1]],mamaearth_BL[Mar 2024]))+(_xlfn.XLOOKUP($Q$4,mamaearth_BL[[Column1]:[Column1]],mamaearth_BL[Mar 2024])))</f>
        <v>9.7864768683274025E-2</v>
      </c>
      <c r="J45" s="48" cm="1">
        <f t="array" ref="J45">_xlfn.XLOOKUP($R$4,mamaearth_BL[[Column1]:[Column1]],mamaearth_BL[Mar 2025])/((_xlfn.XLOOKUP($P$4,mamaearth_BL[[Column1]:[Column1]],mamaearth_BL[Mar 2025]))+(_xlfn.XLOOKUP($Q$4,mamaearth_BL[[Column1]:[Column1]],mamaearth_BL[Mar 2025])))</f>
        <v>9.166666666666666E-2</v>
      </c>
      <c r="T45" s="46" t="s">
        <v>91</v>
      </c>
    </row>
    <row r="46" spans="2:20" s="14" customFormat="1" ht="37.799999999999997" customHeight="1" x14ac:dyDescent="0.3">
      <c r="B46" s="40" t="s">
        <v>64</v>
      </c>
      <c r="C46" s="40" t="s">
        <v>40</v>
      </c>
      <c r="D46" s="48" cm="1">
        <f t="array" ref="D46">_xlfn.XLOOKUP($R$4,Delhivery_BL[[Column1]:[Column1]],Delhivery_BL[Mar 2019])/((_xlfn.XLOOKUP($P$4,Delhivery_BL[[Column1]:[Column1]],Delhivery_BL[Mar 2019]))+(_xlfn.XLOOKUP($Q$4,Delhivery_BL[[Column1]:[Column1]],Delhivery_BL[Mar 2019])))</f>
        <v>0.13437007309731977</v>
      </c>
      <c r="E46" s="48" cm="1">
        <f t="array" ref="E46">_xlfn.XLOOKUP($R$4,Delhivery_BL[[Column1]:[Column1]],Delhivery_BL[Mar 2020])/((_xlfn.XLOOKUP($P$4,Delhivery_BL[[Column1]:[Column1]],Delhivery_BL[Mar 2020]))+(_xlfn.XLOOKUP($Q$4,Delhivery_BL[[Column1]:[Column1]],Delhivery_BL[Mar 2020])))</f>
        <v>0.2535947211416234</v>
      </c>
      <c r="F46" s="48" cm="1">
        <f t="array" ref="F46">_xlfn.XLOOKUP($R$4,Delhivery_BL[[Column1]:[Column1]],Delhivery_BL[Mar 2021])/((_xlfn.XLOOKUP($P$4,Delhivery_BL[[Column1]:[Column1]],Delhivery_BL[Mar 2021]))+(_xlfn.XLOOKUP($Q$4,Delhivery_BL[[Column1]:[Column1]],Delhivery_BL[Mar 2021])))</f>
        <v>0.41113490364025695</v>
      </c>
      <c r="G46" s="48" cm="1">
        <f t="array" ref="G46">_xlfn.XLOOKUP($R$4,Delhivery_BL[[Column1]:[Column1]],Delhivery_BL[Mar 2022])/((_xlfn.XLOOKUP($P$4,Delhivery_BL[[Column1]:[Column1]],Delhivery_BL[Mar 2022]))+(_xlfn.XLOOKUP($Q$4,Delhivery_BL[[Column1]:[Column1]],Delhivery_BL[Mar 2022])))</f>
        <v>0.18499244586201108</v>
      </c>
      <c r="H46" s="48" cm="1">
        <f t="array" ref="H46">_xlfn.XLOOKUP($R$4,Delhivery_BL[[Column1]:[Column1]],Delhivery_BL[Mar 2023])/((_xlfn.XLOOKUP($P$4,Delhivery_BL[[Column1]:[Column1]],Delhivery_BL[Mar 2023]))+(_xlfn.XLOOKUP($Q$4,Delhivery_BL[[Column1]:[Column1]],Delhivery_BL[Mar 2023])))</f>
        <v>0.10057753078348045</v>
      </c>
      <c r="I46" s="48" cm="1">
        <f t="array" ref="I46">_xlfn.XLOOKUP($R$4,Delhivery_BL[[Column1]:[Column1]],Delhivery_BL[Mar 2024])/((_xlfn.XLOOKUP($P$4,Delhivery_BL[[Column1]:[Column1]],Delhivery_BL[Mar 2024]))+(_xlfn.XLOOKUP($Q$4,Delhivery_BL[[Column1]:[Column1]],Delhivery_BL[Mar 2024])))</f>
        <v>0.12782941498086386</v>
      </c>
      <c r="J46" s="48" cm="1">
        <f t="array" ref="J46">_xlfn.XLOOKUP($R$4,Delhivery_BL[[Column1]:[Column1]],Delhivery_BL[Mar 2025])/((_xlfn.XLOOKUP($P$4,Delhivery_BL[[Column1]:[Column1]],Delhivery_BL[Mar 2025]))+(_xlfn.XLOOKUP($Q$4,Delhivery_BL[[Column1]:[Column1]],Delhivery_BL[Mar 2025])))</f>
        <v>0.15074737623237569</v>
      </c>
    </row>
    <row r="49" spans="2:20" ht="63" x14ac:dyDescent="0.4">
      <c r="B49" s="25" t="s">
        <v>77</v>
      </c>
    </row>
    <row r="51" spans="2:20" ht="39" customHeight="1" x14ac:dyDescent="0.3">
      <c r="B51" s="40" t="s">
        <v>44</v>
      </c>
      <c r="C51" s="40" t="s">
        <v>65</v>
      </c>
      <c r="D51" s="40" t="s">
        <v>66</v>
      </c>
      <c r="E51" s="40" t="s">
        <v>67</v>
      </c>
      <c r="F51" s="40" t="s">
        <v>68</v>
      </c>
      <c r="G51" s="40" t="s">
        <v>69</v>
      </c>
      <c r="H51" s="40" t="s">
        <v>70</v>
      </c>
      <c r="I51" s="40" t="s">
        <v>71</v>
      </c>
      <c r="J51" s="40" t="s">
        <v>72</v>
      </c>
    </row>
    <row r="52" spans="2:20" ht="39" customHeight="1" x14ac:dyDescent="0.3">
      <c r="B52" s="40" t="s">
        <v>61</v>
      </c>
      <c r="C52" s="48" cm="1">
        <f t="array" ref="C52">_xlfn.XLOOKUP($M$4,ZOMATO_PL[[Particulars]:[Particulars]],ZOMATO_PL[Mar 2018])/_xlfn.XLOOKUP($S$4,ZOMATO_BL[[Column1]:[Column1]],ZOMATO_BL[Mar 2018])</f>
        <v>0.33915574963609896</v>
      </c>
      <c r="D52" s="48" cm="1">
        <f t="array" ref="D52">_xlfn.XLOOKUP($M$4,ZOMATO_PL[[Particulars]:[Particulars]],ZOMATO_PL[Mar 2019])/_xlfn.XLOOKUP($S$4,ZOMATO_BL[[Column1]:[Column1]],ZOMATO_BL[Mar 2019])</f>
        <v>0.38470553765016113</v>
      </c>
      <c r="E52" s="48" cm="1">
        <f t="array" ref="E52">_xlfn.XLOOKUP($M$4,ZOMATO_PL[[Particulars]:[Particulars]],ZOMATO_PL[Mar 2020])/_xlfn.XLOOKUP($S$4,ZOMATO_BL[[Column1]:[Column1]],ZOMATO_BL[Mar 2020])</f>
        <v>0.89827586206896548</v>
      </c>
      <c r="F52" s="48" cm="1">
        <f t="array" ref="F52">_xlfn.XLOOKUP($M$4,ZOMATO_PL[[Particulars]:[Particulars]],ZOMATO_PL[Mar 2021])/_xlfn.XLOOKUP($S$4,ZOMATO_BL[[Column1]:[Column1]],ZOMATO_BL[Mar 2021])</f>
        <v>0.22909007352941177</v>
      </c>
      <c r="G52" s="48" cm="1">
        <f t="array" ref="G52">_xlfn.XLOOKUP($M$4,ZOMATO_PL[[Particulars]:[Particulars]],ZOMATO_PL[Mar 2022])/_xlfn.XLOOKUP($S$4,ZOMATO_BL[[Column1]:[Column1]],ZOMATO_BL[Mar 2022])</f>
        <v>0.24193455300975356</v>
      </c>
      <c r="H52" s="48" cm="1">
        <f t="array" ref="H52">_xlfn.XLOOKUP($M$4,ZOMATO_PL[[Particulars]:[Particulars]],ZOMATO_PL[Mar 2023])/_xlfn.XLOOKUP($S$4,ZOMATO_BL[[Column1]:[Column1]],ZOMATO_BL[Mar 2023])</f>
        <v>0.32774665493772859</v>
      </c>
      <c r="I52" s="48" cm="1">
        <f t="array" ref="I52">_xlfn.XLOOKUP($M$4,ZOMATO_PL[[Particulars]:[Particulars]],ZOMATO_PL[Mar 2024])/_xlfn.XLOOKUP($S$4,ZOMATO_BL[[Column1]:[Column1]],ZOMATO_BL[Mar 2024])</f>
        <v>0.51866758006507963</v>
      </c>
      <c r="J52" s="48" cm="1">
        <f t="array" ref="J52">_xlfn.XLOOKUP($M$4,ZOMATO_PL[[Particulars]:[Particulars]],ZOMATO_PL[Mar 2025])/_xlfn.XLOOKUP($S$4,ZOMATO_BL[[Column1]:[Column1]],ZOMATO_BL[Mar 2025])</f>
        <v>0.56825646352075909</v>
      </c>
    </row>
    <row r="53" spans="2:20" ht="39" customHeight="1" x14ac:dyDescent="0.3">
      <c r="B53" s="40" t="s">
        <v>62</v>
      </c>
      <c r="C53" s="48" cm="1">
        <f t="array" ref="C53">_xlfn.XLOOKUP($M$4,Nykaa_PL[[Particulars]:[Particulars]],Nykaa_PL[Mar 2018])/_xlfn.XLOOKUP($S$4,nykaa_BL[[Column1]:[Column1]],nykaa_BL[Mar 2018])</f>
        <v>1.6260623229461757</v>
      </c>
      <c r="D53" s="48" cm="1">
        <f t="array" ref="D53">_xlfn.XLOOKUP($M$4,Nykaa_PL[[Particulars]:[Particulars]],Nykaa_PL[Mar 2019])/_xlfn.XLOOKUP($S$4,nykaa_BL[[Column1]:[Column1]],nykaa_BL[Mar 2019])</f>
        <v>1.4317010309278351</v>
      </c>
      <c r="E53" s="48" cm="1">
        <f t="array" ref="E53">_xlfn.XLOOKUP($M$4,Nykaa_PL[[Particulars]:[Particulars]],Nykaa_PL[Mar 2020])/_xlfn.XLOOKUP($S$4,nykaa_BL[[Column1]:[Column1]],nykaa_BL[Mar 2020])</f>
        <v>1.5729537366548043</v>
      </c>
      <c r="F53" s="48" cm="1">
        <f t="array" ref="F53">_xlfn.XLOOKUP($M$4,Nykaa_PL[[Particulars]:[Particulars]],Nykaa_PL[Mar 2021])/_xlfn.XLOOKUP($S$4,nykaa_BL[[Column1]:[Column1]],nykaa_BL[Mar 2021])</f>
        <v>1.8748079877112136</v>
      </c>
      <c r="G53" s="48" cm="1">
        <f t="array" ref="G53">_xlfn.XLOOKUP($M$4,Nykaa_PL[[Particulars]:[Particulars]],Nykaa_PL[Mar 2022])/_xlfn.XLOOKUP($S$4,nykaa_BL[[Column1]:[Column1]],nykaa_BL[Mar 2022])</f>
        <v>1.4263038548752835</v>
      </c>
      <c r="H53" s="48" cm="1">
        <f t="array" ref="H53">_xlfn.XLOOKUP($M$4,Nykaa_PL[[Particulars]:[Particulars]],Nykaa_PL[Mar 2023])/_xlfn.XLOOKUP($S$4,nykaa_BL[[Column1]:[Column1]],nykaa_BL[Mar 2023])</f>
        <v>1.7437288135593221</v>
      </c>
      <c r="I53" s="48" cm="1">
        <f t="array" ref="I53">_xlfn.XLOOKUP($M$4,Nykaa_PL[[Particulars]:[Particulars]],Nykaa_PL[Mar 2024])/_xlfn.XLOOKUP($S$4,nykaa_BL[[Column1]:[Column1]],nykaa_BL[Mar 2024])</f>
        <v>1.8776830344016466</v>
      </c>
      <c r="J53" s="48" cm="1">
        <f t="array" ref="J53">_xlfn.XLOOKUP($M$4,Nykaa_PL[[Particulars]:[Particulars]],Nykaa_PL[Mar 2025])/_xlfn.XLOOKUP($S$4,nykaa_BL[[Column1]:[Column1]],nykaa_BL[Mar 2025])</f>
        <v>1.9974874371859297</v>
      </c>
    </row>
    <row r="54" spans="2:20" ht="39" customHeight="1" x14ac:dyDescent="0.3">
      <c r="B54" s="40" t="s">
        <v>63</v>
      </c>
      <c r="C54" s="40" t="s">
        <v>40</v>
      </c>
      <c r="D54" s="48" cm="1">
        <f t="array" ref="D54">_xlfn.XLOOKUP($M$4,mamaearth_PL[[Particulars]:[Particulars]],mamaearth_PL[Mar 2019])/_xlfn.XLOOKUP($S$4,mamaearth_BL[[Column1]:[Column1]],mamaearth_BL[Mar 2019])</f>
        <v>0.5</v>
      </c>
      <c r="E54" s="48" cm="1">
        <f t="array" ref="E54">_xlfn.XLOOKUP($M$4,mamaearth_PL[[Particulars]:[Particulars]],mamaearth_PL[Mar 2020])/_xlfn.XLOOKUP($S$4,mamaearth_BL[[Column1]:[Column1]],mamaearth_BL[Mar 2020])</f>
        <v>0.60773480662983426</v>
      </c>
      <c r="F54" s="48" cm="1">
        <f t="array" ref="F54">_xlfn.XLOOKUP($M$4,mamaearth_PL[[Particulars]:[Particulars]],mamaearth_PL[Mar 2021])/_xlfn.XLOOKUP($S$4,mamaearth_BL[[Column1]:[Column1]],mamaearth_BL[Mar 2021])</f>
        <v>1.5181518151815181</v>
      </c>
      <c r="G54" s="48" cm="1">
        <f t="array" ref="G54">_xlfn.XLOOKUP($M$4,mamaearth_PL[[Particulars]:[Particulars]],mamaearth_PL[Mar 2022])/_xlfn.XLOOKUP($S$4,mamaearth_BL[[Column1]:[Column1]],mamaearth_BL[Mar 2022])</f>
        <v>0.97899159663865543</v>
      </c>
      <c r="H54" s="48" cm="1">
        <f t="array" ref="H54">_xlfn.XLOOKUP($M$4,mamaearth_PL[[Particulars]:[Particulars]],mamaearth_PL[Mar 2023])/_xlfn.XLOOKUP($S$4,mamaearth_BL[[Column1]:[Column1]],mamaearth_BL[Mar 2023])</f>
        <v>1.469968387776607</v>
      </c>
      <c r="I54" s="48" cm="1">
        <f t="array" ref="I54">_xlfn.XLOOKUP($M$4,mamaearth_PL[[Particulars]:[Particulars]],mamaearth_PL[Mar 2024])/_xlfn.XLOOKUP($S$4,mamaearth_BL[[Column1]:[Column1]],mamaearth_BL[Mar 2024])</f>
        <v>1.0875462392108508</v>
      </c>
      <c r="J54" s="48" cm="1">
        <f t="array" ref="J54">_xlfn.XLOOKUP($M$4,mamaearth_PL[[Particulars]:[Particulars]],mamaearth_PL[Mar 2025])/_xlfn.XLOOKUP($S$4,mamaearth_BL[[Column1]:[Column1]],mamaearth_BL[Mar 2025])</f>
        <v>1.0699541284403671</v>
      </c>
      <c r="T54" s="46" t="s">
        <v>92</v>
      </c>
    </row>
    <row r="55" spans="2:20" ht="39" customHeight="1" x14ac:dyDescent="0.3">
      <c r="B55" s="40" t="s">
        <v>64</v>
      </c>
      <c r="C55" s="40" t="s">
        <v>40</v>
      </c>
      <c r="D55" s="48" cm="1">
        <f t="array" ref="D55">_xlfn.XLOOKUP($M$4,delhivery_PL[[Particulars]:[Particulars]],delhivery_PL[Mar 2019])/_xlfn.XLOOKUP($S$4,Delhivery_BL[[Column1]:[Column1]],Delhivery_BL[Mar 2019])</f>
        <v>0.40708835835589469</v>
      </c>
      <c r="E55" s="48" cm="1">
        <f t="array" ref="E55">_xlfn.XLOOKUP($M$4,delhivery_PL[[Particulars]:[Particulars]],delhivery_PL[Mar 2020])/_xlfn.XLOOKUP($S$4,Delhivery_BL[[Column1]:[Column1]],Delhivery_BL[Mar 2020])</f>
        <v>0.63828322240073443</v>
      </c>
      <c r="F55" s="48" cm="1">
        <f t="array" ref="F55">_xlfn.XLOOKUP($M$4,delhivery_PL[[Particulars]:[Particulars]],delhivery_PL[Mar 2021])/_xlfn.XLOOKUP($S$4,Delhivery_BL[[Column1]:[Column1]],Delhivery_BL[Mar 2021])</f>
        <v>0.79317094388864728</v>
      </c>
      <c r="G55" s="48" cm="1">
        <f t="array" ref="G55">_xlfn.XLOOKUP($M$4,delhivery_PL[[Particulars]:[Particulars]],delhivery_PL[Mar 2022])/_xlfn.XLOOKUP($S$4,Delhivery_BL[[Column1]:[Column1]],Delhivery_BL[Mar 2022])</f>
        <v>0.8340807174887892</v>
      </c>
      <c r="H55" s="48" cm="1">
        <f t="array" ref="H55">_xlfn.XLOOKUP($M$4,delhivery_PL[[Particulars]:[Particulars]],delhivery_PL[Mar 2023])/_xlfn.XLOOKUP($S$4,Delhivery_BL[[Column1]:[Column1]],Delhivery_BL[Mar 2023])</f>
        <v>0.64560807791975694</v>
      </c>
      <c r="I55" s="48" cm="1">
        <f t="array" ref="I55">_xlfn.XLOOKUP($M$4,delhivery_PL[[Particulars]:[Particulars]],delhivery_PL[Mar 2024])/_xlfn.XLOOKUP($S$4,Delhivery_BL[[Column1]:[Column1]],Delhivery_BL[Mar 2024])</f>
        <v>0.71090543962280628</v>
      </c>
      <c r="J55" s="48" cm="1">
        <f t="array" ref="J55">_xlfn.XLOOKUP($M$4,delhivery_PL[[Particulars]:[Particulars]],delhivery_PL[Mar 2025])/_xlfn.XLOOKUP($S$4,Delhivery_BL[[Column1]:[Column1]],Delhivery_BL[Mar 2025])</f>
        <v>0.74044599187598437</v>
      </c>
    </row>
  </sheetData>
  <phoneticPr fontId="15" type="noConversion"/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AD663-60E2-4DD4-93A5-2394DD4D8BCF}">
  <dimension ref="A1:T109"/>
  <sheetViews>
    <sheetView showGridLines="0" zoomScale="64" zoomScaleNormal="88" workbookViewId="0">
      <selection activeCell="Q1" sqref="Q1"/>
    </sheetView>
  </sheetViews>
  <sheetFormatPr defaultRowHeight="14.4" x14ac:dyDescent="0.3"/>
  <cols>
    <col min="1" max="1" width="9.109375" customWidth="1"/>
    <col min="3" max="3" width="17" customWidth="1"/>
    <col min="4" max="4" width="19.6640625" customWidth="1"/>
    <col min="5" max="5" width="19.88671875" customWidth="1"/>
    <col min="6" max="6" width="25.77734375" customWidth="1"/>
    <col min="7" max="7" width="7.109375" customWidth="1"/>
    <col min="10" max="10" width="8.88671875" customWidth="1"/>
    <col min="11" max="11" width="9" customWidth="1"/>
    <col min="15" max="16" width="72.44140625" customWidth="1"/>
    <col min="19" max="19" width="11.5546875" customWidth="1"/>
    <col min="20" max="20" width="11.6640625" customWidth="1"/>
  </cols>
  <sheetData>
    <row r="1" spans="1:20" s="73" customFormat="1" ht="63.6" customHeight="1" x14ac:dyDescent="0.3">
      <c r="A1" s="74" t="s">
        <v>133</v>
      </c>
    </row>
    <row r="3" spans="1:20" ht="18" x14ac:dyDescent="0.35">
      <c r="J3" s="75" t="s">
        <v>132</v>
      </c>
    </row>
    <row r="4" spans="1:20" ht="25.8" customHeight="1" x14ac:dyDescent="0.3"/>
    <row r="5" spans="1:20" ht="21.6" customHeight="1" x14ac:dyDescent="0.3">
      <c r="C5" s="17" t="s">
        <v>95</v>
      </c>
      <c r="D5" s="17" t="s">
        <v>51</v>
      </c>
      <c r="I5" s="72">
        <v>-0.1</v>
      </c>
      <c r="J5" s="72">
        <v>0</v>
      </c>
      <c r="K5" s="72">
        <v>0.1</v>
      </c>
      <c r="L5" s="72">
        <v>0.2</v>
      </c>
      <c r="S5" t="s">
        <v>95</v>
      </c>
      <c r="T5" t="s">
        <v>145</v>
      </c>
    </row>
    <row r="6" spans="1:20" ht="21.6" customHeight="1" x14ac:dyDescent="0.3">
      <c r="C6" s="40" t="s">
        <v>127</v>
      </c>
      <c r="D6" s="77">
        <v>44986</v>
      </c>
      <c r="H6" s="72">
        <v>-0.1</v>
      </c>
      <c r="I6">
        <f>$D$7*(1+H6)-$D$8*(1+$I$5)</f>
        <v>-1089.8999999999996</v>
      </c>
      <c r="J6">
        <f>$D$7*(1+H6)-$D$8*(1+$J$5)</f>
        <v>-1918.8999999999996</v>
      </c>
      <c r="K6">
        <f>$D$7*(1+H6)-$D$8*(1+$K$5)</f>
        <v>-2747.8999999999996</v>
      </c>
      <c r="L6">
        <f>$D$7*(1+H6)-$D$8*(1+$L$5)</f>
        <v>-3576.8999999999996</v>
      </c>
      <c r="S6" t="s">
        <v>51</v>
      </c>
      <c r="T6">
        <v>7079</v>
      </c>
    </row>
    <row r="7" spans="1:20" ht="21.6" customHeight="1" x14ac:dyDescent="0.3">
      <c r="C7" s="40" t="s">
        <v>128</v>
      </c>
      <c r="D7" s="40">
        <f>INDEX(ZOMATO_PL[Mar 2023],MATCH('ZOMATO ltd.'!A5,ZOMATO_PL[Particulars],0))</f>
        <v>7079</v>
      </c>
      <c r="H7" s="72">
        <v>0</v>
      </c>
      <c r="I7">
        <f>$D$7*(1+H7)-$D$8*(1+$I$5)</f>
        <v>-382</v>
      </c>
      <c r="J7">
        <f>$D$7*(1+H7)-$D$8*(1+$J$5)</f>
        <v>-1211</v>
      </c>
      <c r="K7">
        <f>$D$7*(1+H7)-$D$8*(1+$K$5)</f>
        <v>-2040</v>
      </c>
      <c r="L7">
        <f>$D$7*(1+H7)-$D$8*(1+$L$5)</f>
        <v>-2869</v>
      </c>
      <c r="S7" t="s">
        <v>42</v>
      </c>
      <c r="T7">
        <v>5144</v>
      </c>
    </row>
    <row r="8" spans="1:20" ht="21.6" customHeight="1" x14ac:dyDescent="0.3">
      <c r="C8" s="40" t="s">
        <v>129</v>
      </c>
      <c r="D8" s="40">
        <f>INDEX(ZOMATO_PL[Mar 2023],MATCH('ZOMATO ltd.'!A6,ZOMATO_PL[Particulars],0))</f>
        <v>8290</v>
      </c>
      <c r="F8" s="76" t="s">
        <v>131</v>
      </c>
      <c r="H8" s="72">
        <v>0.1</v>
      </c>
      <c r="I8">
        <f>$D$7*(1+H8)-$D$8*(1+$I$5)</f>
        <v>325.90000000000055</v>
      </c>
      <c r="J8">
        <f>$D$7*(1+H8)-$D$8*(1+$J$5)</f>
        <v>-503.09999999999945</v>
      </c>
      <c r="K8">
        <f>$D$7*(1+H8)-$D$8*(1+$K$5)</f>
        <v>-1332.0999999999995</v>
      </c>
      <c r="L8">
        <f>$D$7*(1+H8)-$D$8*(1+$L$5)</f>
        <v>-2161.0999999999995</v>
      </c>
      <c r="S8" t="s">
        <v>52</v>
      </c>
      <c r="T8">
        <v>1395</v>
      </c>
    </row>
    <row r="9" spans="1:20" ht="21.6" customHeight="1" x14ac:dyDescent="0.3">
      <c r="C9" s="40" t="s">
        <v>130</v>
      </c>
      <c r="D9" s="40">
        <f>INDEX(ZOMATO_PL[Mar 2023],MATCH('ZOMATO ltd.'!A14,ZOMATO_PL[Particulars],0))</f>
        <v>-971</v>
      </c>
      <c r="H9" s="72">
        <v>0.2</v>
      </c>
      <c r="I9">
        <f>$D$7*(1+H9)-$D$8*(1+$I$5)</f>
        <v>1033.7999999999993</v>
      </c>
      <c r="J9">
        <f>$D$7*(1+H9)-$D$8*(1+$J$5)</f>
        <v>204.79999999999927</v>
      </c>
      <c r="K9">
        <f>$D$7*(1+H9)-$D$8*(1+$K$5)</f>
        <v>-624.20000000000073</v>
      </c>
      <c r="L9">
        <f>$D$7*(1+H9)-$D$8*(1+$L$5)</f>
        <v>-1453.2000000000007</v>
      </c>
      <c r="S9" t="s">
        <v>53</v>
      </c>
      <c r="T9">
        <v>7225</v>
      </c>
    </row>
    <row r="11" spans="1:20" x14ac:dyDescent="0.3">
      <c r="C11" s="71"/>
      <c r="D11" s="71"/>
      <c r="E11" s="71"/>
      <c r="F11" s="71"/>
      <c r="G11" s="71"/>
    </row>
    <row r="12" spans="1:20" ht="18" x14ac:dyDescent="0.35">
      <c r="B12" s="71"/>
      <c r="J12" s="75"/>
    </row>
    <row r="13" spans="1:20" ht="18" x14ac:dyDescent="0.35">
      <c r="B13" s="71"/>
      <c r="J13" s="75" t="s">
        <v>132</v>
      </c>
    </row>
    <row r="14" spans="1:20" x14ac:dyDescent="0.3">
      <c r="B14" s="71"/>
    </row>
    <row r="15" spans="1:20" ht="21.6" customHeight="1" x14ac:dyDescent="0.3">
      <c r="B15" s="71"/>
      <c r="C15" s="17" t="s">
        <v>95</v>
      </c>
      <c r="D15" s="17" t="s">
        <v>42</v>
      </c>
      <c r="H15" s="72"/>
      <c r="I15" s="72">
        <v>-0.1</v>
      </c>
      <c r="J15" s="72">
        <v>0</v>
      </c>
      <c r="K15" s="72">
        <v>0.1</v>
      </c>
      <c r="L15" s="72">
        <v>0.2</v>
      </c>
    </row>
    <row r="16" spans="1:20" ht="21.6" customHeight="1" x14ac:dyDescent="0.3">
      <c r="C16" s="40" t="s">
        <v>127</v>
      </c>
      <c r="D16" s="77">
        <v>44986</v>
      </c>
      <c r="H16" s="72">
        <v>-0.1</v>
      </c>
      <c r="I16">
        <f>($D$17*(1+H16)) - ($D$18*(1+$I$15))</f>
        <v>231.30000000000018</v>
      </c>
      <c r="J16">
        <f>($D$17*(1+H16)) - ($D$18*(1+$J$15))</f>
        <v>-257.39999999999964</v>
      </c>
      <c r="K16">
        <f>($D$17*(1+H16)) - ($D$18*(1+$K$15))</f>
        <v>-746.10000000000036</v>
      </c>
      <c r="L16">
        <f>($D$17*(1+H16)) - ($D$18*(1+$L$15))</f>
        <v>-1234.7999999999993</v>
      </c>
    </row>
    <row r="17" spans="3:12" ht="21.6" customHeight="1" x14ac:dyDescent="0.3">
      <c r="C17" s="40" t="s">
        <v>128</v>
      </c>
      <c r="D17" s="40">
        <f>INDEX(Nykaa_PL[Mar 2023],MATCH('NYKAA ltd.'!A5,Nykaa_PL[Particulars],0))</f>
        <v>5144</v>
      </c>
      <c r="H17" s="72">
        <v>0</v>
      </c>
      <c r="I17">
        <f t="shared" ref="I17:I19" si="0">($D$17*(1+H17)) - ($D$18*(1+$I$15))</f>
        <v>745.69999999999982</v>
      </c>
      <c r="J17">
        <f t="shared" ref="J17:J19" si="1">($D$17*(1+H17)) - ($D$18*(1+$J$15))</f>
        <v>257</v>
      </c>
      <c r="K17">
        <f t="shared" ref="K17:K19" si="2">($D$17*(1+H17)) - ($D$18*(1+$K$15))</f>
        <v>-231.70000000000073</v>
      </c>
      <c r="L17">
        <f t="shared" ref="L17:L19" si="3">($D$17*(1+H17)) - ($D$18*(1+$L$15))</f>
        <v>-720.39999999999964</v>
      </c>
    </row>
    <row r="18" spans="3:12" ht="21.6" customHeight="1" x14ac:dyDescent="0.3">
      <c r="C18" s="40" t="s">
        <v>129</v>
      </c>
      <c r="D18" s="40">
        <f>INDEX(Nykaa_PL[Mar 2023],MATCH('NYKAA ltd.'!A6,Nykaa_PL[Particulars],0))</f>
        <v>4887</v>
      </c>
      <c r="F18" s="76" t="s">
        <v>131</v>
      </c>
      <c r="H18" s="72">
        <v>0.1</v>
      </c>
      <c r="I18">
        <f t="shared" si="0"/>
        <v>1260.1000000000004</v>
      </c>
      <c r="J18">
        <f t="shared" si="1"/>
        <v>771.40000000000055</v>
      </c>
      <c r="K18">
        <f t="shared" si="2"/>
        <v>282.69999999999982</v>
      </c>
      <c r="L18">
        <f t="shared" si="3"/>
        <v>-205.99999999999909</v>
      </c>
    </row>
    <row r="19" spans="3:12" ht="21.6" customHeight="1" x14ac:dyDescent="0.3">
      <c r="C19" s="40" t="s">
        <v>130</v>
      </c>
      <c r="D19" s="40">
        <f>INDEX(Nykaa_PL[Mar 2023],MATCH('NYKAA ltd.'!A14,Nykaa_PL[Particulars],0))</f>
        <v>21</v>
      </c>
      <c r="H19" s="72">
        <v>0.2</v>
      </c>
      <c r="I19">
        <f t="shared" si="0"/>
        <v>1774.5</v>
      </c>
      <c r="J19">
        <f t="shared" si="1"/>
        <v>1285.8000000000002</v>
      </c>
      <c r="K19">
        <f t="shared" si="2"/>
        <v>797.09999999999945</v>
      </c>
      <c r="L19">
        <f t="shared" si="3"/>
        <v>308.40000000000055</v>
      </c>
    </row>
    <row r="23" spans="3:12" ht="18" x14ac:dyDescent="0.35">
      <c r="J23" s="75" t="s">
        <v>132</v>
      </c>
    </row>
    <row r="25" spans="3:12" ht="24.6" customHeight="1" x14ac:dyDescent="0.3">
      <c r="C25" s="17" t="s">
        <v>95</v>
      </c>
      <c r="D25" s="17" t="s">
        <v>52</v>
      </c>
      <c r="I25" s="72">
        <v>-0.1</v>
      </c>
      <c r="J25" s="72">
        <v>0</v>
      </c>
      <c r="K25" s="72">
        <v>0.1</v>
      </c>
      <c r="L25" s="72">
        <v>0.2</v>
      </c>
    </row>
    <row r="26" spans="3:12" ht="24.6" customHeight="1" x14ac:dyDescent="0.3">
      <c r="C26" s="40" t="s">
        <v>127</v>
      </c>
      <c r="D26" s="77">
        <v>44986</v>
      </c>
      <c r="H26" s="72">
        <v>-0.1</v>
      </c>
      <c r="I26">
        <f>($D$27*(1+H26))-($D$28*(1+$I$25))</f>
        <v>40.5</v>
      </c>
      <c r="J26">
        <f>($D$27*(1+H26))-($D$28*(1+$J$25))</f>
        <v>-94.5</v>
      </c>
      <c r="K26">
        <f>($D$27*(1+H26))-($D$28*(1+$K$25))</f>
        <v>-229.50000000000023</v>
      </c>
      <c r="L26">
        <f>($D$27*(1+H26))-($D$28*(1+$L$25))</f>
        <v>-364.5</v>
      </c>
    </row>
    <row r="27" spans="3:12" ht="24.6" customHeight="1" x14ac:dyDescent="0.3">
      <c r="C27" s="40" t="s">
        <v>128</v>
      </c>
      <c r="D27" s="40">
        <f>INDEX(mamaearth_PL[Mar 2023],MATCH(MAMAEARTH!A5,mamaearth_PL[Particulars],0))</f>
        <v>1395</v>
      </c>
      <c r="H27" s="72">
        <v>0</v>
      </c>
      <c r="I27">
        <f t="shared" ref="I27:I29" si="4">($D$27*(1+H27))-($D$28*(1+$I$25))</f>
        <v>180</v>
      </c>
      <c r="J27">
        <f t="shared" ref="J27:J29" si="5">($D$27*(1+H27))-($D$28*(1+$J$25))</f>
        <v>45</v>
      </c>
      <c r="K27">
        <f t="shared" ref="K27:K29" si="6">($D$27*(1+H27))-($D$28*(1+$K$25))</f>
        <v>-90.000000000000227</v>
      </c>
      <c r="L27">
        <f t="shared" ref="L27:L29" si="7">($D$27*(1+H27))-($D$28*(1+$L$25))</f>
        <v>-225</v>
      </c>
    </row>
    <row r="28" spans="3:12" ht="24.6" customHeight="1" x14ac:dyDescent="0.3">
      <c r="C28" s="40" t="s">
        <v>129</v>
      </c>
      <c r="D28" s="40">
        <f>INDEX(mamaearth_PL[Mar 2023],MATCH(MAMAEARTH!A6,mamaearth_PL[Particulars],0))</f>
        <v>1350</v>
      </c>
      <c r="F28" s="76" t="s">
        <v>131</v>
      </c>
      <c r="H28" s="72">
        <v>0.1</v>
      </c>
      <c r="I28">
        <f t="shared" si="4"/>
        <v>319.50000000000023</v>
      </c>
      <c r="J28">
        <f t="shared" si="5"/>
        <v>184.50000000000023</v>
      </c>
      <c r="K28">
        <f t="shared" si="6"/>
        <v>49.5</v>
      </c>
      <c r="L28">
        <f t="shared" si="7"/>
        <v>-85.499999999999773</v>
      </c>
    </row>
    <row r="29" spans="3:12" ht="24.6" customHeight="1" x14ac:dyDescent="0.3">
      <c r="C29" s="40" t="s">
        <v>130</v>
      </c>
      <c r="D29" s="40">
        <f>INDEX(mamaearth_PL[Mar 2023],MATCH(MAMAEARTH!A14,mamaearth_PL[Particulars],0))</f>
        <v>-121</v>
      </c>
      <c r="H29" s="72">
        <v>0.2</v>
      </c>
      <c r="I29">
        <f t="shared" si="4"/>
        <v>459</v>
      </c>
      <c r="J29">
        <f t="shared" si="5"/>
        <v>324</v>
      </c>
      <c r="K29">
        <f t="shared" si="6"/>
        <v>188.99999999999977</v>
      </c>
      <c r="L29">
        <f t="shared" si="7"/>
        <v>54</v>
      </c>
    </row>
    <row r="33" spans="3:12" ht="18" x14ac:dyDescent="0.35">
      <c r="J33" s="75" t="s">
        <v>132</v>
      </c>
    </row>
    <row r="35" spans="3:12" ht="25.2" customHeight="1" x14ac:dyDescent="0.3">
      <c r="C35" s="17" t="s">
        <v>95</v>
      </c>
      <c r="D35" s="17" t="s">
        <v>53</v>
      </c>
      <c r="I35" s="72">
        <v>-0.1</v>
      </c>
      <c r="J35" s="72">
        <v>0</v>
      </c>
      <c r="K35" s="72">
        <v>0.1</v>
      </c>
      <c r="L35" s="72">
        <v>0.2</v>
      </c>
    </row>
    <row r="36" spans="3:12" ht="25.2" customHeight="1" x14ac:dyDescent="0.3">
      <c r="C36" s="40" t="s">
        <v>127</v>
      </c>
      <c r="D36" s="77">
        <v>44986</v>
      </c>
      <c r="H36" s="72">
        <v>-0.1</v>
      </c>
      <c r="I36">
        <f>($D$37*(1+H36))-($D$38*(1+$I$35))</f>
        <v>-406.80000000000018</v>
      </c>
      <c r="J36">
        <f>($D$37*(1+H36))-($D$38*(1+$J$35))</f>
        <v>-1174.5</v>
      </c>
      <c r="K36">
        <f>($D$37*(1+H36))-($D$38*(1+$K$35))</f>
        <v>-1942.2000000000007</v>
      </c>
      <c r="L36">
        <f>($D$37*(1+H36))-($D$38*(1+$L$35))</f>
        <v>-2709.8999999999996</v>
      </c>
    </row>
    <row r="37" spans="3:12" ht="25.2" customHeight="1" x14ac:dyDescent="0.3">
      <c r="C37" s="40" t="s">
        <v>128</v>
      </c>
      <c r="D37" s="40">
        <f>INDEX(delhivery_PL[Mar 2023],MATCH('DELHIVERY ltd.'!A5,delhivery_PL[Particulars],0))</f>
        <v>7225</v>
      </c>
      <c r="H37" s="72">
        <v>0</v>
      </c>
      <c r="I37">
        <f t="shared" ref="I37:I39" si="8">($D$37*(1+H37))-($D$38*(1+$I$35))</f>
        <v>315.69999999999982</v>
      </c>
      <c r="J37">
        <f t="shared" ref="J37:J39" si="9">($D$37*(1+H37))-($D$38*(1+$J$35))</f>
        <v>-452</v>
      </c>
      <c r="K37">
        <f t="shared" ref="K37:K39" si="10">($D$37*(1+H37))-($D$38*(1+$K$35))</f>
        <v>-1219.7000000000007</v>
      </c>
      <c r="L37">
        <f t="shared" ref="L37:L39" si="11">($D$37*(1+H37))-($D$38*(1+$L$35))</f>
        <v>-1987.3999999999996</v>
      </c>
    </row>
    <row r="38" spans="3:12" ht="25.2" customHeight="1" x14ac:dyDescent="0.3">
      <c r="C38" s="40" t="s">
        <v>129</v>
      </c>
      <c r="D38" s="40">
        <f>INDEX(delhivery_PL[Mar 2023],MATCH('DELHIVERY ltd.'!A6,delhivery_PL[Particulars],0))</f>
        <v>7677</v>
      </c>
      <c r="F38" s="76" t="s">
        <v>131</v>
      </c>
      <c r="H38" s="72">
        <v>0.1</v>
      </c>
      <c r="I38">
        <f t="shared" si="8"/>
        <v>1038.2000000000007</v>
      </c>
      <c r="J38">
        <f t="shared" si="9"/>
        <v>270.50000000000091</v>
      </c>
      <c r="K38">
        <f t="shared" si="10"/>
        <v>-497.19999999999982</v>
      </c>
      <c r="L38">
        <f t="shared" si="11"/>
        <v>-1264.8999999999987</v>
      </c>
    </row>
    <row r="39" spans="3:12" ht="25.2" customHeight="1" x14ac:dyDescent="0.3">
      <c r="C39" s="40" t="s">
        <v>130</v>
      </c>
      <c r="D39" s="40">
        <f>INDEX(delhivery_PL[Mar 2023],MATCH('DELHIVERY ltd.'!A14,delhivery_PL[Particulars],0))</f>
        <v>-1008</v>
      </c>
      <c r="H39" s="72">
        <v>0.2</v>
      </c>
      <c r="I39">
        <f t="shared" si="8"/>
        <v>1760.6999999999998</v>
      </c>
      <c r="J39">
        <f t="shared" si="9"/>
        <v>993</v>
      </c>
      <c r="K39">
        <f t="shared" si="10"/>
        <v>225.29999999999927</v>
      </c>
      <c r="L39">
        <f t="shared" si="11"/>
        <v>-542.39999999999964</v>
      </c>
    </row>
    <row r="43" spans="3:12" x14ac:dyDescent="0.3">
      <c r="C43" t="s">
        <v>138</v>
      </c>
    </row>
    <row r="45" spans="3:12" x14ac:dyDescent="0.3">
      <c r="C45" t="s">
        <v>95</v>
      </c>
      <c r="D45" t="s">
        <v>139</v>
      </c>
      <c r="E45" t="s">
        <v>140</v>
      </c>
      <c r="F45" t="s">
        <v>141</v>
      </c>
    </row>
    <row r="46" spans="3:12" x14ac:dyDescent="0.3">
      <c r="C46" t="s">
        <v>51</v>
      </c>
      <c r="D46" s="71">
        <v>-0.1</v>
      </c>
      <c r="E46" s="71">
        <v>-0.1</v>
      </c>
      <c r="F46" cm="1">
        <f t="array" ref="F46:F49">TRANSPOSE(I6:L6)</f>
        <v>-1089.8999999999996</v>
      </c>
    </row>
    <row r="47" spans="3:12" x14ac:dyDescent="0.3">
      <c r="C47" t="s">
        <v>51</v>
      </c>
      <c r="D47" s="71">
        <v>-0.1</v>
      </c>
      <c r="E47" s="71">
        <v>0</v>
      </c>
      <c r="F47">
        <v>-1918.8999999999996</v>
      </c>
    </row>
    <row r="48" spans="3:12" x14ac:dyDescent="0.3">
      <c r="C48" t="s">
        <v>51</v>
      </c>
      <c r="D48" s="71">
        <v>-0.1</v>
      </c>
      <c r="E48" s="71">
        <v>0.1</v>
      </c>
      <c r="F48">
        <v>-2747.8999999999996</v>
      </c>
    </row>
    <row r="49" spans="3:6" x14ac:dyDescent="0.3">
      <c r="C49" t="s">
        <v>51</v>
      </c>
      <c r="D49" s="71">
        <v>-0.1</v>
      </c>
      <c r="E49" s="71">
        <v>0.2</v>
      </c>
      <c r="F49">
        <v>-3576.8999999999996</v>
      </c>
    </row>
    <row r="50" spans="3:6" x14ac:dyDescent="0.3">
      <c r="C50" t="s">
        <v>51</v>
      </c>
      <c r="D50" s="71">
        <v>0</v>
      </c>
      <c r="E50" s="71">
        <v>-0.1</v>
      </c>
      <c r="F50" cm="1">
        <f t="array" ref="F50:F53">TRANSPOSE(I7:L7)</f>
        <v>-382</v>
      </c>
    </row>
    <row r="51" spans="3:6" x14ac:dyDescent="0.3">
      <c r="C51" t="s">
        <v>51</v>
      </c>
      <c r="D51" s="71">
        <v>0</v>
      </c>
      <c r="E51" s="71">
        <v>0</v>
      </c>
      <c r="F51">
        <v>-1211</v>
      </c>
    </row>
    <row r="52" spans="3:6" x14ac:dyDescent="0.3">
      <c r="C52" t="s">
        <v>51</v>
      </c>
      <c r="D52" s="71">
        <v>0</v>
      </c>
      <c r="E52" s="71">
        <v>0.1</v>
      </c>
      <c r="F52">
        <v>-2040</v>
      </c>
    </row>
    <row r="53" spans="3:6" x14ac:dyDescent="0.3">
      <c r="C53" t="s">
        <v>51</v>
      </c>
      <c r="D53" s="71">
        <v>0</v>
      </c>
      <c r="E53" s="71">
        <v>0.2</v>
      </c>
      <c r="F53">
        <v>-2869</v>
      </c>
    </row>
    <row r="54" spans="3:6" x14ac:dyDescent="0.3">
      <c r="C54" t="s">
        <v>51</v>
      </c>
      <c r="D54" s="71">
        <v>0.1</v>
      </c>
      <c r="E54" s="71">
        <v>-0.1</v>
      </c>
      <c r="F54" cm="1">
        <f t="array" ref="F54:F57">TRANSPOSE(I8:L8)</f>
        <v>325.90000000000055</v>
      </c>
    </row>
    <row r="55" spans="3:6" x14ac:dyDescent="0.3">
      <c r="C55" t="s">
        <v>51</v>
      </c>
      <c r="D55" s="71">
        <v>0.1</v>
      </c>
      <c r="E55" s="71">
        <v>0</v>
      </c>
      <c r="F55">
        <v>-503.09999999999945</v>
      </c>
    </row>
    <row r="56" spans="3:6" x14ac:dyDescent="0.3">
      <c r="C56" t="s">
        <v>51</v>
      </c>
      <c r="D56" s="71">
        <v>0.1</v>
      </c>
      <c r="E56" s="71">
        <v>0.1</v>
      </c>
      <c r="F56">
        <v>-1332.0999999999995</v>
      </c>
    </row>
    <row r="57" spans="3:6" x14ac:dyDescent="0.3">
      <c r="C57" t="s">
        <v>51</v>
      </c>
      <c r="D57" s="71">
        <v>0.1</v>
      </c>
      <c r="E57" s="71">
        <v>0.2</v>
      </c>
      <c r="F57">
        <v>-2161.0999999999995</v>
      </c>
    </row>
    <row r="58" spans="3:6" x14ac:dyDescent="0.3">
      <c r="C58" t="s">
        <v>51</v>
      </c>
      <c r="D58" s="71">
        <v>0.2</v>
      </c>
      <c r="E58" s="71">
        <v>-0.1</v>
      </c>
      <c r="F58" cm="1">
        <f t="array" ref="F58:F61">TRANSPOSE(I9:L9)</f>
        <v>1033.7999999999993</v>
      </c>
    </row>
    <row r="59" spans="3:6" x14ac:dyDescent="0.3">
      <c r="C59" t="s">
        <v>51</v>
      </c>
      <c r="D59" s="71">
        <v>0.2</v>
      </c>
      <c r="E59" s="71">
        <v>0</v>
      </c>
      <c r="F59">
        <v>204.79999999999927</v>
      </c>
    </row>
    <row r="60" spans="3:6" x14ac:dyDescent="0.3">
      <c r="C60" t="s">
        <v>51</v>
      </c>
      <c r="D60" s="71">
        <v>0.2</v>
      </c>
      <c r="E60" s="71">
        <v>0.1</v>
      </c>
      <c r="F60">
        <v>-624.20000000000073</v>
      </c>
    </row>
    <row r="61" spans="3:6" x14ac:dyDescent="0.3">
      <c r="C61" t="s">
        <v>51</v>
      </c>
      <c r="D61" s="71">
        <v>0.2</v>
      </c>
      <c r="E61" s="71">
        <v>0.2</v>
      </c>
      <c r="F61">
        <v>-1453.2000000000007</v>
      </c>
    </row>
    <row r="62" spans="3:6" x14ac:dyDescent="0.3">
      <c r="C62" t="s">
        <v>42</v>
      </c>
      <c r="D62" s="71">
        <v>-0.1</v>
      </c>
      <c r="E62" s="71">
        <v>-0.1</v>
      </c>
      <c r="F62" cm="1">
        <f t="array" ref="F62:F65">TRANSPOSE(I16:L16)</f>
        <v>231.30000000000018</v>
      </c>
    </row>
    <row r="63" spans="3:6" x14ac:dyDescent="0.3">
      <c r="C63" t="s">
        <v>42</v>
      </c>
      <c r="D63" s="71">
        <v>-0.1</v>
      </c>
      <c r="E63" s="71">
        <v>0</v>
      </c>
      <c r="F63">
        <v>-257.39999999999964</v>
      </c>
    </row>
    <row r="64" spans="3:6" x14ac:dyDescent="0.3">
      <c r="C64" t="s">
        <v>42</v>
      </c>
      <c r="D64" s="71">
        <v>-0.1</v>
      </c>
      <c r="E64" s="71">
        <v>0.1</v>
      </c>
      <c r="F64">
        <v>-746.10000000000036</v>
      </c>
    </row>
    <row r="65" spans="3:6" x14ac:dyDescent="0.3">
      <c r="C65" t="s">
        <v>42</v>
      </c>
      <c r="D65" s="71">
        <v>-0.1</v>
      </c>
      <c r="E65" s="71">
        <v>0.2</v>
      </c>
      <c r="F65">
        <v>-1234.7999999999993</v>
      </c>
    </row>
    <row r="66" spans="3:6" x14ac:dyDescent="0.3">
      <c r="C66" t="s">
        <v>42</v>
      </c>
      <c r="D66" s="71">
        <v>0</v>
      </c>
      <c r="E66" s="71">
        <v>-0.1</v>
      </c>
      <c r="F66" cm="1">
        <f t="array" ref="F66:F69">TRANSPOSE(I17:L17)</f>
        <v>745.69999999999982</v>
      </c>
    </row>
    <row r="67" spans="3:6" x14ac:dyDescent="0.3">
      <c r="C67" t="s">
        <v>42</v>
      </c>
      <c r="D67" s="71">
        <v>0</v>
      </c>
      <c r="E67" s="71">
        <v>0</v>
      </c>
      <c r="F67">
        <v>257</v>
      </c>
    </row>
    <row r="68" spans="3:6" x14ac:dyDescent="0.3">
      <c r="C68" t="s">
        <v>42</v>
      </c>
      <c r="D68" s="71">
        <v>0</v>
      </c>
      <c r="E68" s="71">
        <v>0.1</v>
      </c>
      <c r="F68">
        <v>-231.70000000000073</v>
      </c>
    </row>
    <row r="69" spans="3:6" x14ac:dyDescent="0.3">
      <c r="C69" t="s">
        <v>42</v>
      </c>
      <c r="D69" s="71">
        <v>0</v>
      </c>
      <c r="E69" s="71">
        <v>0.2</v>
      </c>
      <c r="F69">
        <v>-720.39999999999964</v>
      </c>
    </row>
    <row r="70" spans="3:6" x14ac:dyDescent="0.3">
      <c r="C70" t="s">
        <v>42</v>
      </c>
      <c r="D70" s="71">
        <v>0.1</v>
      </c>
      <c r="E70" s="71">
        <v>-0.1</v>
      </c>
      <c r="F70" cm="1">
        <f t="array" ref="F70:F73">TRANSPOSE(I18:L18)</f>
        <v>1260.1000000000004</v>
      </c>
    </row>
    <row r="71" spans="3:6" x14ac:dyDescent="0.3">
      <c r="C71" t="s">
        <v>42</v>
      </c>
      <c r="D71" s="71">
        <v>0.1</v>
      </c>
      <c r="E71" s="71">
        <v>0</v>
      </c>
      <c r="F71">
        <v>771.40000000000055</v>
      </c>
    </row>
    <row r="72" spans="3:6" x14ac:dyDescent="0.3">
      <c r="C72" t="s">
        <v>42</v>
      </c>
      <c r="D72" s="71">
        <v>0.1</v>
      </c>
      <c r="E72" s="71">
        <v>0.1</v>
      </c>
      <c r="F72">
        <v>282.69999999999982</v>
      </c>
    </row>
    <row r="73" spans="3:6" x14ac:dyDescent="0.3">
      <c r="C73" t="s">
        <v>42</v>
      </c>
      <c r="D73" s="71">
        <v>0.1</v>
      </c>
      <c r="E73" s="71">
        <v>0.2</v>
      </c>
      <c r="F73">
        <v>-205.99999999999909</v>
      </c>
    </row>
    <row r="74" spans="3:6" x14ac:dyDescent="0.3">
      <c r="C74" t="s">
        <v>42</v>
      </c>
      <c r="D74" s="71">
        <v>0.2</v>
      </c>
      <c r="E74" s="71">
        <v>-0.1</v>
      </c>
      <c r="F74" cm="1">
        <f t="array" ref="F74:F77">TRANSPOSE(I19:L19)</f>
        <v>1774.5</v>
      </c>
    </row>
    <row r="75" spans="3:6" x14ac:dyDescent="0.3">
      <c r="C75" t="s">
        <v>42</v>
      </c>
      <c r="D75" s="71">
        <v>0.2</v>
      </c>
      <c r="E75" s="71">
        <v>0</v>
      </c>
      <c r="F75">
        <v>1285.8000000000002</v>
      </c>
    </row>
    <row r="76" spans="3:6" x14ac:dyDescent="0.3">
      <c r="C76" t="s">
        <v>42</v>
      </c>
      <c r="D76" s="71">
        <v>0.2</v>
      </c>
      <c r="E76" s="71">
        <v>0.1</v>
      </c>
      <c r="F76">
        <v>797.09999999999945</v>
      </c>
    </row>
    <row r="77" spans="3:6" x14ac:dyDescent="0.3">
      <c r="C77" t="s">
        <v>42</v>
      </c>
      <c r="D77" s="71">
        <v>0.2</v>
      </c>
      <c r="E77" s="71">
        <v>0.2</v>
      </c>
      <c r="F77">
        <v>308.40000000000055</v>
      </c>
    </row>
    <row r="78" spans="3:6" x14ac:dyDescent="0.3">
      <c r="C78" t="s">
        <v>52</v>
      </c>
      <c r="D78" s="71">
        <v>-0.1</v>
      </c>
      <c r="E78" s="71">
        <v>-0.1</v>
      </c>
      <c r="F78" cm="1">
        <f t="array" ref="F78:F81">TRANSPOSE(I26:L26)</f>
        <v>40.5</v>
      </c>
    </row>
    <row r="79" spans="3:6" x14ac:dyDescent="0.3">
      <c r="C79" t="s">
        <v>52</v>
      </c>
      <c r="D79" s="71">
        <v>-0.1</v>
      </c>
      <c r="E79" s="71">
        <v>0</v>
      </c>
      <c r="F79">
        <v>-94.5</v>
      </c>
    </row>
    <row r="80" spans="3:6" x14ac:dyDescent="0.3">
      <c r="C80" t="s">
        <v>52</v>
      </c>
      <c r="D80" s="71">
        <v>-0.1</v>
      </c>
      <c r="E80" s="71">
        <v>0.1</v>
      </c>
      <c r="F80">
        <v>-229.50000000000023</v>
      </c>
    </row>
    <row r="81" spans="3:6" x14ac:dyDescent="0.3">
      <c r="C81" t="s">
        <v>52</v>
      </c>
      <c r="D81" s="71">
        <v>-0.1</v>
      </c>
      <c r="E81" s="71">
        <v>0.2</v>
      </c>
      <c r="F81">
        <v>-364.5</v>
      </c>
    </row>
    <row r="82" spans="3:6" x14ac:dyDescent="0.3">
      <c r="C82" t="s">
        <v>52</v>
      </c>
      <c r="D82" s="71">
        <v>0</v>
      </c>
      <c r="E82" s="71">
        <v>-0.1</v>
      </c>
      <c r="F82" cm="1">
        <f t="array" ref="F82:F85">TRANSPOSE(I27:L27)</f>
        <v>180</v>
      </c>
    </row>
    <row r="83" spans="3:6" x14ac:dyDescent="0.3">
      <c r="C83" t="s">
        <v>52</v>
      </c>
      <c r="D83" s="71">
        <v>0</v>
      </c>
      <c r="E83" s="71">
        <v>0</v>
      </c>
      <c r="F83">
        <v>45</v>
      </c>
    </row>
    <row r="84" spans="3:6" x14ac:dyDescent="0.3">
      <c r="C84" t="s">
        <v>52</v>
      </c>
      <c r="D84" s="71">
        <v>0</v>
      </c>
      <c r="E84" s="71">
        <v>0.1</v>
      </c>
      <c r="F84">
        <v>-90.000000000000227</v>
      </c>
    </row>
    <row r="85" spans="3:6" x14ac:dyDescent="0.3">
      <c r="C85" t="s">
        <v>52</v>
      </c>
      <c r="D85" s="71">
        <v>0</v>
      </c>
      <c r="E85" s="71">
        <v>0.2</v>
      </c>
      <c r="F85">
        <v>-225</v>
      </c>
    </row>
    <row r="86" spans="3:6" x14ac:dyDescent="0.3">
      <c r="C86" t="s">
        <v>52</v>
      </c>
      <c r="D86" s="71">
        <v>0.1</v>
      </c>
      <c r="E86" s="71">
        <v>-0.1</v>
      </c>
      <c r="F86" cm="1">
        <f t="array" ref="F86:F89">TRANSPOSE(I28:L28)</f>
        <v>319.50000000000023</v>
      </c>
    </row>
    <row r="87" spans="3:6" x14ac:dyDescent="0.3">
      <c r="C87" t="s">
        <v>52</v>
      </c>
      <c r="D87" s="71">
        <v>0.1</v>
      </c>
      <c r="E87" s="71">
        <v>0</v>
      </c>
      <c r="F87">
        <v>184.50000000000023</v>
      </c>
    </row>
    <row r="88" spans="3:6" x14ac:dyDescent="0.3">
      <c r="C88" t="s">
        <v>52</v>
      </c>
      <c r="D88" s="71">
        <v>0.1</v>
      </c>
      <c r="E88" s="71">
        <v>0.1</v>
      </c>
      <c r="F88">
        <v>49.5</v>
      </c>
    </row>
    <row r="89" spans="3:6" x14ac:dyDescent="0.3">
      <c r="C89" t="s">
        <v>52</v>
      </c>
      <c r="D89" s="71">
        <v>0.1</v>
      </c>
      <c r="E89" s="71">
        <v>0.2</v>
      </c>
      <c r="F89">
        <v>-85.499999999999773</v>
      </c>
    </row>
    <row r="90" spans="3:6" x14ac:dyDescent="0.3">
      <c r="C90" t="s">
        <v>52</v>
      </c>
      <c r="D90" s="71">
        <v>0.2</v>
      </c>
      <c r="E90" s="71">
        <v>-0.1</v>
      </c>
      <c r="F90" cm="1">
        <f t="array" ref="F90:F93">TRANSPOSE(I29:L29)</f>
        <v>459</v>
      </c>
    </row>
    <row r="91" spans="3:6" x14ac:dyDescent="0.3">
      <c r="C91" t="s">
        <v>52</v>
      </c>
      <c r="D91" s="71">
        <v>0.2</v>
      </c>
      <c r="E91" s="71">
        <v>0</v>
      </c>
      <c r="F91">
        <v>324</v>
      </c>
    </row>
    <row r="92" spans="3:6" x14ac:dyDescent="0.3">
      <c r="C92" t="s">
        <v>52</v>
      </c>
      <c r="D92" s="71">
        <v>0.2</v>
      </c>
      <c r="E92" s="71">
        <v>0.1</v>
      </c>
      <c r="F92">
        <v>188.99999999999977</v>
      </c>
    </row>
    <row r="93" spans="3:6" x14ac:dyDescent="0.3">
      <c r="C93" t="s">
        <v>52</v>
      </c>
      <c r="D93" s="71">
        <v>0.2</v>
      </c>
      <c r="E93" s="71">
        <v>0.2</v>
      </c>
      <c r="F93">
        <v>54</v>
      </c>
    </row>
    <row r="94" spans="3:6" x14ac:dyDescent="0.3">
      <c r="C94" t="s">
        <v>53</v>
      </c>
      <c r="D94" s="71">
        <v>-0.1</v>
      </c>
      <c r="E94" s="71">
        <v>-0.1</v>
      </c>
      <c r="F94" cm="1">
        <f t="array" ref="F94:F97">TRANSPOSE(I36:L36)</f>
        <v>-406.80000000000018</v>
      </c>
    </row>
    <row r="95" spans="3:6" x14ac:dyDescent="0.3">
      <c r="C95" t="s">
        <v>53</v>
      </c>
      <c r="D95" s="71">
        <v>-0.1</v>
      </c>
      <c r="E95" s="71">
        <v>0</v>
      </c>
      <c r="F95">
        <v>-1174.5</v>
      </c>
    </row>
    <row r="96" spans="3:6" x14ac:dyDescent="0.3">
      <c r="C96" t="s">
        <v>53</v>
      </c>
      <c r="D96" s="71">
        <v>-0.1</v>
      </c>
      <c r="E96" s="71">
        <v>0.1</v>
      </c>
      <c r="F96">
        <v>-1942.2000000000007</v>
      </c>
    </row>
    <row r="97" spans="3:6" x14ac:dyDescent="0.3">
      <c r="C97" t="s">
        <v>53</v>
      </c>
      <c r="D97" s="71">
        <v>-0.1</v>
      </c>
      <c r="E97" s="71">
        <v>0.2</v>
      </c>
      <c r="F97">
        <v>-2709.8999999999996</v>
      </c>
    </row>
    <row r="98" spans="3:6" x14ac:dyDescent="0.3">
      <c r="C98" t="s">
        <v>53</v>
      </c>
      <c r="D98" s="71">
        <v>0</v>
      </c>
      <c r="E98" s="71">
        <v>-0.1</v>
      </c>
      <c r="F98" cm="1">
        <f t="array" ref="F98:F101">TRANSPOSE(I37:L37)</f>
        <v>315.69999999999982</v>
      </c>
    </row>
    <row r="99" spans="3:6" x14ac:dyDescent="0.3">
      <c r="C99" t="s">
        <v>53</v>
      </c>
      <c r="D99" s="71">
        <v>0</v>
      </c>
      <c r="E99" s="71">
        <v>0</v>
      </c>
      <c r="F99">
        <v>-452</v>
      </c>
    </row>
    <row r="100" spans="3:6" x14ac:dyDescent="0.3">
      <c r="C100" t="s">
        <v>53</v>
      </c>
      <c r="D100" s="71">
        <v>0</v>
      </c>
      <c r="E100" s="71">
        <v>0.1</v>
      </c>
      <c r="F100">
        <v>-1219.7000000000007</v>
      </c>
    </row>
    <row r="101" spans="3:6" x14ac:dyDescent="0.3">
      <c r="C101" t="s">
        <v>53</v>
      </c>
      <c r="D101" s="71">
        <v>0</v>
      </c>
      <c r="E101" s="71">
        <v>0.2</v>
      </c>
      <c r="F101">
        <v>-1987.3999999999996</v>
      </c>
    </row>
    <row r="102" spans="3:6" x14ac:dyDescent="0.3">
      <c r="C102" t="s">
        <v>53</v>
      </c>
      <c r="D102" s="71">
        <v>0.1</v>
      </c>
      <c r="E102" s="71">
        <v>-0.1</v>
      </c>
      <c r="F102" cm="1">
        <f t="array" ref="F102:F105">TRANSPOSE(I38:L38)</f>
        <v>1038.2000000000007</v>
      </c>
    </row>
    <row r="103" spans="3:6" x14ac:dyDescent="0.3">
      <c r="C103" t="s">
        <v>53</v>
      </c>
      <c r="D103" s="71">
        <v>0.1</v>
      </c>
      <c r="E103" s="71">
        <v>0</v>
      </c>
      <c r="F103">
        <v>270.50000000000091</v>
      </c>
    </row>
    <row r="104" spans="3:6" x14ac:dyDescent="0.3">
      <c r="C104" t="s">
        <v>53</v>
      </c>
      <c r="D104" s="71">
        <v>0.1</v>
      </c>
      <c r="E104" s="71">
        <v>0.1</v>
      </c>
      <c r="F104">
        <v>-497.19999999999982</v>
      </c>
    </row>
    <row r="105" spans="3:6" x14ac:dyDescent="0.3">
      <c r="C105" t="s">
        <v>53</v>
      </c>
      <c r="D105" s="71">
        <v>0.1</v>
      </c>
      <c r="E105" s="71">
        <v>0.2</v>
      </c>
      <c r="F105">
        <v>-1264.8999999999987</v>
      </c>
    </row>
    <row r="106" spans="3:6" x14ac:dyDescent="0.3">
      <c r="C106" t="s">
        <v>53</v>
      </c>
      <c r="D106" s="71">
        <v>0.2</v>
      </c>
      <c r="E106" s="71">
        <v>-0.1</v>
      </c>
      <c r="F106" cm="1">
        <f t="array" ref="F106:F109">TRANSPOSE(I39:L39)</f>
        <v>1760.6999999999998</v>
      </c>
    </row>
    <row r="107" spans="3:6" x14ac:dyDescent="0.3">
      <c r="C107" t="s">
        <v>53</v>
      </c>
      <c r="D107" s="71">
        <v>0.2</v>
      </c>
      <c r="E107" s="71">
        <v>0</v>
      </c>
      <c r="F107">
        <v>993</v>
      </c>
    </row>
    <row r="108" spans="3:6" x14ac:dyDescent="0.3">
      <c r="C108" t="s">
        <v>53</v>
      </c>
      <c r="D108" s="71">
        <v>0.2</v>
      </c>
      <c r="E108" s="71">
        <v>0.1</v>
      </c>
      <c r="F108">
        <v>225.29999999999927</v>
      </c>
    </row>
    <row r="109" spans="3:6" x14ac:dyDescent="0.3">
      <c r="C109" t="s">
        <v>53</v>
      </c>
      <c r="D109" s="71">
        <v>0.2</v>
      </c>
      <c r="E109" s="71">
        <v>0.2</v>
      </c>
      <c r="F109">
        <v>-542.39999999999964</v>
      </c>
    </row>
  </sheetData>
  <conditionalFormatting sqref="I6:L9">
    <cfRule type="colorScale" priority="4">
      <colorScale>
        <cfvo type="min"/>
        <cfvo type="max"/>
        <color rgb="FFFFEF9C"/>
        <color rgb="FF63BE7B"/>
      </colorScale>
    </cfRule>
  </conditionalFormatting>
  <conditionalFormatting sqref="I16:L19">
    <cfRule type="colorScale" priority="3">
      <colorScale>
        <cfvo type="min"/>
        <cfvo type="max"/>
        <color rgb="FFFFEF9C"/>
        <color rgb="FF63BE7B"/>
      </colorScale>
    </cfRule>
  </conditionalFormatting>
  <conditionalFormatting sqref="I26:L29">
    <cfRule type="colorScale" priority="2">
      <colorScale>
        <cfvo type="min"/>
        <cfvo type="max"/>
        <color rgb="FFFFEF9C"/>
        <color rgb="FF63BE7B"/>
      </colorScale>
    </cfRule>
  </conditionalFormatting>
  <conditionalFormatting sqref="I36:L39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FDF4B-3CA7-490E-947C-FF00FFC9F094}">
  <dimension ref="B1:D45"/>
  <sheetViews>
    <sheetView topLeftCell="A3" zoomScale="59" zoomScaleNormal="71" workbookViewId="0">
      <selection activeCell="C8" sqref="C8"/>
    </sheetView>
  </sheetViews>
  <sheetFormatPr defaultRowHeight="14.4" x14ac:dyDescent="0.3"/>
  <cols>
    <col min="1" max="1" width="2" customWidth="1"/>
    <col min="2" max="2" width="30.44140625" customWidth="1"/>
    <col min="3" max="3" width="19.77734375" customWidth="1"/>
  </cols>
  <sheetData>
    <row r="1" spans="2:4" s="82" customFormat="1" ht="28.8" x14ac:dyDescent="0.55000000000000004">
      <c r="B1" s="83" t="s">
        <v>143</v>
      </c>
      <c r="D1" s="84" t="s">
        <v>144</v>
      </c>
    </row>
    <row r="2" spans="2:4" s="82" customFormat="1" ht="25.8" x14ac:dyDescent="0.5">
      <c r="B2" s="85"/>
      <c r="C2" s="86" t="s">
        <v>142</v>
      </c>
      <c r="D2" s="87"/>
    </row>
    <row r="3" spans="2:4" s="78" customFormat="1" ht="25.8" x14ac:dyDescent="0.5">
      <c r="B3" s="80"/>
      <c r="C3" s="79"/>
    </row>
    <row r="4" spans="2:4" s="78" customFormat="1" ht="25.8" x14ac:dyDescent="0.5">
      <c r="B4" s="80"/>
      <c r="C4" s="79"/>
    </row>
    <row r="5" spans="2:4" s="82" customFormat="1" ht="81.599999999999994" customHeight="1" x14ac:dyDescent="1.1000000000000001">
      <c r="B5" s="81" t="s">
        <v>147</v>
      </c>
    </row>
    <row r="6" spans="2:4" s="78" customFormat="1" ht="81" customHeight="1" x14ac:dyDescent="1.1000000000000001">
      <c r="B6" s="94"/>
    </row>
    <row r="7" spans="2:4" s="78" customFormat="1" x14ac:dyDescent="0.3"/>
    <row r="8" spans="2:4" s="78" customFormat="1" x14ac:dyDescent="0.3"/>
    <row r="9" spans="2:4" s="78" customFormat="1" x14ac:dyDescent="0.3"/>
    <row r="10" spans="2:4" s="78" customFormat="1" x14ac:dyDescent="0.3"/>
    <row r="11" spans="2:4" s="78" customFormat="1" x14ac:dyDescent="0.3"/>
    <row r="12" spans="2:4" s="78" customFormat="1" x14ac:dyDescent="0.3"/>
    <row r="13" spans="2:4" s="78" customFormat="1" x14ac:dyDescent="0.3"/>
    <row r="14" spans="2:4" s="78" customFormat="1" x14ac:dyDescent="0.3"/>
    <row r="15" spans="2:4" s="78" customFormat="1" x14ac:dyDescent="0.3"/>
    <row r="16" spans="2:4" s="78" customFormat="1" x14ac:dyDescent="0.3">
      <c r="B16" s="22" t="s">
        <v>137</v>
      </c>
      <c r="C16" s="22" t="s">
        <v>64</v>
      </c>
    </row>
    <row r="17" spans="2:3" s="78" customFormat="1" x14ac:dyDescent="0.3">
      <c r="B17" s="22"/>
      <c r="C17" s="22"/>
    </row>
    <row r="18" spans="2:3" s="78" customFormat="1" x14ac:dyDescent="0.3">
      <c r="B18" s="27" t="s">
        <v>60</v>
      </c>
      <c r="C18" s="88">
        <f>_xlfn.XLOOKUP($C$16,Table24[Company],Table24[FY 2023])</f>
        <v>-0.13951557093425607</v>
      </c>
    </row>
    <row r="19" spans="2:3" s="78" customFormat="1" x14ac:dyDescent="0.3">
      <c r="B19" s="27" t="s">
        <v>73</v>
      </c>
      <c r="C19" s="88">
        <f>_xlfn.XLOOKUP($C$16,Table25[Company],Table25[FY 2023])</f>
        <v>-6.2560553633217997E-2</v>
      </c>
    </row>
    <row r="20" spans="2:3" s="78" customFormat="1" x14ac:dyDescent="0.3">
      <c r="B20" s="27" t="s">
        <v>134</v>
      </c>
      <c r="C20" s="88">
        <f>_xlfn.XLOOKUP($C$16,Table26[Company],Table26[FY 2023])</f>
        <v>-0.1219047619047619</v>
      </c>
    </row>
    <row r="21" spans="2:3" s="78" customFormat="1" x14ac:dyDescent="0.3">
      <c r="B21" s="27" t="s">
        <v>135</v>
      </c>
      <c r="C21" s="88">
        <f>_xlfn.XLOOKUP($C$16,Table27[Company],Table27[FY 2023])</f>
        <v>-0.10983981693363844</v>
      </c>
    </row>
    <row r="22" spans="2:3" s="78" customFormat="1" x14ac:dyDescent="0.3">
      <c r="B22" s="27" t="s">
        <v>136</v>
      </c>
      <c r="C22" s="88">
        <f>_xlfn.XLOOKUP($C$16,Table28[Company],Table28[FY 2023])</f>
        <v>0.10057753078348045</v>
      </c>
    </row>
    <row r="23" spans="2:3" s="78" customFormat="1" ht="24" customHeight="1" x14ac:dyDescent="0.3">
      <c r="B23" s="27" t="s">
        <v>77</v>
      </c>
      <c r="C23" s="88">
        <f>_xlfn.XLOOKUP($C$16,Table29[Company],Table29[FY 2023])</f>
        <v>0.64560807791975694</v>
      </c>
    </row>
    <row r="24" spans="2:3" s="78" customFormat="1" x14ac:dyDescent="0.3"/>
    <row r="25" spans="2:3" s="78" customFormat="1" x14ac:dyDescent="0.3"/>
    <row r="26" spans="2:3" s="78" customFormat="1" x14ac:dyDescent="0.3"/>
    <row r="27" spans="2:3" s="78" customFormat="1" x14ac:dyDescent="0.3"/>
    <row r="28" spans="2:3" s="78" customFormat="1" x14ac:dyDescent="0.3"/>
    <row r="29" spans="2:3" s="78" customFormat="1" x14ac:dyDescent="0.3"/>
    <row r="30" spans="2:3" s="78" customFormat="1" x14ac:dyDescent="0.3"/>
    <row r="31" spans="2:3" s="78" customFormat="1" x14ac:dyDescent="0.3"/>
    <row r="32" spans="2:3" s="78" customFormat="1" x14ac:dyDescent="0.3"/>
    <row r="33" s="78" customFormat="1" x14ac:dyDescent="0.3"/>
    <row r="34" s="78" customFormat="1" x14ac:dyDescent="0.3"/>
    <row r="35" s="78" customFormat="1" x14ac:dyDescent="0.3"/>
    <row r="36" s="78" customFormat="1" x14ac:dyDescent="0.3"/>
    <row r="37" s="78" customFormat="1" x14ac:dyDescent="0.3"/>
    <row r="38" s="78" customFormat="1" x14ac:dyDescent="0.3"/>
    <row r="39" s="78" customFormat="1" x14ac:dyDescent="0.3"/>
    <row r="40" s="78" customFormat="1" x14ac:dyDescent="0.3"/>
    <row r="41" s="78" customFormat="1" x14ac:dyDescent="0.3"/>
    <row r="42" s="78" customFormat="1" x14ac:dyDescent="0.3"/>
    <row r="43" s="78" customFormat="1" x14ac:dyDescent="0.3"/>
    <row r="44" s="78" customFormat="1" x14ac:dyDescent="0.3"/>
    <row r="45" s="78" customFormat="1" x14ac:dyDescent="0.3"/>
  </sheetData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82E78CE-561B-486A-BD0D-F0F0FA366458}">
          <x14:formula1>
            <xm:f>'Financial Ratios'!$B$43:$B$46</xm:f>
          </x14:formula1>
          <xm:sqref>C16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CACF7-E4E4-4039-A86D-B25F2BC7EC04}">
  <sheetPr codeName="Sheet10"/>
  <dimension ref="B1:W57"/>
  <sheetViews>
    <sheetView showGridLines="0" zoomScale="63" zoomScaleNormal="132" workbookViewId="0">
      <selection activeCell="AB1" sqref="AB1"/>
    </sheetView>
  </sheetViews>
  <sheetFormatPr defaultRowHeight="14.4" x14ac:dyDescent="0.3"/>
  <cols>
    <col min="2" max="2" width="24.44140625" customWidth="1"/>
    <col min="3" max="3" width="13.6640625" customWidth="1"/>
    <col min="4" max="5" width="13.33203125" customWidth="1"/>
    <col min="6" max="6" width="10.5546875" customWidth="1"/>
    <col min="7" max="7" width="8.88671875" customWidth="1"/>
    <col min="8" max="8" width="9.77734375" customWidth="1"/>
    <col min="10" max="10" width="14.44140625" customWidth="1"/>
    <col min="11" max="11" width="15.44140625" customWidth="1"/>
    <col min="12" max="12" width="9.77734375" customWidth="1"/>
    <col min="13" max="13" width="12.109375" customWidth="1"/>
    <col min="14" max="14" width="13.109375" customWidth="1"/>
    <col min="19" max="19" width="23.109375" customWidth="1"/>
    <col min="20" max="23" width="12.77734375" customWidth="1"/>
  </cols>
  <sheetData>
    <row r="1" spans="2:14" s="65" customFormat="1" ht="43.8" customHeight="1" x14ac:dyDescent="0.3">
      <c r="B1" s="66" t="s">
        <v>117</v>
      </c>
    </row>
    <row r="3" spans="2:14" ht="60" customHeight="1" x14ac:dyDescent="1.1000000000000001">
      <c r="B3" s="59">
        <v>2021</v>
      </c>
      <c r="C3" s="60"/>
      <c r="D3" s="69" t="s">
        <v>125</v>
      </c>
      <c r="E3" s="69" t="s">
        <v>118</v>
      </c>
      <c r="F3" s="22"/>
      <c r="G3" s="69" t="s">
        <v>119</v>
      </c>
      <c r="H3" s="69" t="s">
        <v>120</v>
      </c>
      <c r="I3" s="22"/>
      <c r="J3" s="69" t="s">
        <v>121</v>
      </c>
      <c r="K3" s="69" t="s">
        <v>122</v>
      </c>
      <c r="L3" s="22"/>
      <c r="M3" s="69" t="s">
        <v>123</v>
      </c>
      <c r="N3" s="69" t="s">
        <v>124</v>
      </c>
    </row>
    <row r="4" spans="2:14" ht="15.6" x14ac:dyDescent="0.3">
      <c r="B4" s="62" t="s">
        <v>22</v>
      </c>
      <c r="C4" s="58"/>
      <c r="D4" s="57">
        <f>_xlfn.XLOOKUP(B4,ZOMATO_PL[Particulars],ZOMATO_PL[Mar 2021])</f>
        <v>1994</v>
      </c>
      <c r="E4" s="67">
        <f>D4/$D$4</f>
        <v>1</v>
      </c>
      <c r="F4" s="56"/>
      <c r="G4" s="22">
        <f>_xlfn.XLOOKUP('Common p&amp;l'!B4,Nykaa_PL[Particulars],Nykaa_PL[Mar 2021])</f>
        <v>2441</v>
      </c>
      <c r="H4" s="56">
        <f>G4/$G$4</f>
        <v>1</v>
      </c>
      <c r="I4" s="56"/>
      <c r="J4" s="57">
        <f>_xlfn.XLOOKUP(B4,mamaearth_PL[Particulars],mamaearth_PL[Mar 2021])</f>
        <v>460</v>
      </c>
      <c r="K4" s="56">
        <f>J4/$J$4</f>
        <v>1</v>
      </c>
      <c r="L4" s="56"/>
      <c r="M4" s="22">
        <f>_xlfn.XLOOKUP(B4,delhivery_PL[Particulars],delhivery_PL[Mar 2021])</f>
        <v>3647</v>
      </c>
      <c r="N4" s="56">
        <f>M4/$M$4</f>
        <v>1</v>
      </c>
    </row>
    <row r="5" spans="2:14" ht="15.6" x14ac:dyDescent="0.3">
      <c r="B5" s="63" t="s">
        <v>23</v>
      </c>
      <c r="C5" s="58"/>
      <c r="D5" s="57">
        <f>_xlfn.XLOOKUP(B5,ZOMATO_PL[Particulars],ZOMATO_PL[Mar 2021])</f>
        <v>2461</v>
      </c>
      <c r="E5" s="67">
        <f t="shared" ref="E5:E15" si="0">D5/$D$4</f>
        <v>1.2342026078234705</v>
      </c>
      <c r="F5" s="56"/>
      <c r="G5" s="22">
        <f>_xlfn.XLOOKUP('Common p&amp;l'!B5,Nykaa_PL[Particulars],Nykaa_PL[Mar 2021])</f>
        <v>2283</v>
      </c>
      <c r="H5" s="56">
        <f t="shared" ref="H5:H15" si="1">G5/$G$4</f>
        <v>0.93527242933224086</v>
      </c>
      <c r="I5" s="56"/>
      <c r="J5" s="57">
        <f>_xlfn.XLOOKUP(B5,mamaearth_PL[Particulars],mamaearth_PL[Mar 2021])</f>
        <v>1794</v>
      </c>
      <c r="K5" s="56">
        <f t="shared" ref="K5:K15" si="2">J5/$J$4</f>
        <v>3.9</v>
      </c>
      <c r="L5" s="56"/>
      <c r="M5" s="22">
        <f>_xlfn.XLOOKUP(B5,delhivery_PL[Particulars],delhivery_PL[Mar 2021])</f>
        <v>3769</v>
      </c>
      <c r="N5" s="56">
        <f t="shared" ref="N5:N13" si="3">M5/$M$4</f>
        <v>1.0334521524540718</v>
      </c>
    </row>
    <row r="6" spans="2:14" ht="15.6" x14ac:dyDescent="0.3">
      <c r="B6" s="62" t="s">
        <v>24</v>
      </c>
      <c r="C6" s="58"/>
      <c r="D6" s="57">
        <f>_xlfn.XLOOKUP(B6,ZOMATO_PL[Particulars],ZOMATO_PL[Mar 2021])</f>
        <v>-467</v>
      </c>
      <c r="E6" s="67">
        <f t="shared" si="0"/>
        <v>-0.23420260782347041</v>
      </c>
      <c r="F6" s="56"/>
      <c r="G6" s="22">
        <f>_xlfn.XLOOKUP('Common p&amp;l'!B6,Nykaa_PL[Particulars],Nykaa_PL[Mar 2021])</f>
        <v>158</v>
      </c>
      <c r="H6" s="56">
        <f t="shared" si="1"/>
        <v>6.472757066775911E-2</v>
      </c>
      <c r="I6" s="56"/>
      <c r="J6" s="57">
        <f>_xlfn.XLOOKUP(B6,mamaearth_PL[Particulars],mamaearth_PL[Mar 2021])</f>
        <v>-1334</v>
      </c>
      <c r="K6" s="56">
        <f t="shared" si="2"/>
        <v>-2.9</v>
      </c>
      <c r="L6" s="56"/>
      <c r="M6" s="22">
        <f>_xlfn.XLOOKUP(B6,delhivery_PL[Particulars],delhivery_PL[Mar 2021])</f>
        <v>-123</v>
      </c>
      <c r="N6" s="56">
        <f t="shared" si="3"/>
        <v>-3.3726350425006858E-2</v>
      </c>
    </row>
    <row r="7" spans="2:14" ht="15.6" x14ac:dyDescent="0.3">
      <c r="B7" s="63" t="s">
        <v>25</v>
      </c>
      <c r="C7" s="58"/>
      <c r="D7" s="57">
        <f>_xlfn.XLOOKUP(B7,ZOMATO_PL[Particulars],ZOMATO_PL[Mar 2021])</f>
        <v>-0.23</v>
      </c>
      <c r="E7" s="67">
        <f t="shared" si="0"/>
        <v>-1.1534603811434304E-4</v>
      </c>
      <c r="F7" s="56"/>
      <c r="G7" s="22">
        <f>_xlfn.XLOOKUP('Common p&amp;l'!B7,Nykaa_PL[Particulars],Nykaa_PL[Mar 2021])</f>
        <v>0.06</v>
      </c>
      <c r="H7" s="56">
        <f t="shared" si="1"/>
        <v>2.4580090126997132E-5</v>
      </c>
      <c r="I7" s="56"/>
      <c r="J7" s="57">
        <f>_xlfn.XLOOKUP(B7,mamaearth_PL[Particulars],mamaearth_PL[Mar 2021])</f>
        <v>-2.9</v>
      </c>
      <c r="K7" s="56">
        <f t="shared" si="2"/>
        <v>-6.3043478260869567E-3</v>
      </c>
      <c r="L7" s="56"/>
      <c r="M7" s="22">
        <f>_xlfn.XLOOKUP(B7,delhivery_PL[Particulars],delhivery_PL[Mar 2021])</f>
        <v>-0.03</v>
      </c>
      <c r="N7" s="56">
        <f t="shared" si="3"/>
        <v>-8.2259391280504518E-6</v>
      </c>
    </row>
    <row r="8" spans="2:14" ht="15.6" x14ac:dyDescent="0.3">
      <c r="B8" s="62" t="s">
        <v>26</v>
      </c>
      <c r="C8" s="58"/>
      <c r="D8" s="57">
        <f>_xlfn.XLOOKUP(B8,ZOMATO_PL[Particulars],ZOMATO_PL[Mar 2021])</f>
        <v>-200</v>
      </c>
      <c r="E8" s="67">
        <f t="shared" si="0"/>
        <v>-0.10030090270812438</v>
      </c>
      <c r="F8" s="56"/>
      <c r="G8" s="22">
        <f>_xlfn.XLOOKUP('Common p&amp;l'!B8,Nykaa_PL[Particulars],Nykaa_PL[Mar 2021])</f>
        <v>12</v>
      </c>
      <c r="H8" s="56">
        <f t="shared" si="1"/>
        <v>4.9160180253994268E-3</v>
      </c>
      <c r="I8" s="56"/>
      <c r="J8" s="57">
        <f>_xlfn.XLOOKUP(B8,mamaearth_PL[Particulars],mamaearth_PL[Mar 2021])</f>
        <v>12</v>
      </c>
      <c r="K8" s="56">
        <f t="shared" si="2"/>
        <v>2.6086956521739129E-2</v>
      </c>
      <c r="L8" s="56"/>
      <c r="M8" s="22">
        <f>_xlfn.XLOOKUP(B8,delhivery_PL[Particulars],delhivery_PL[Mar 2021])</f>
        <v>150</v>
      </c>
      <c r="N8" s="56">
        <f t="shared" si="3"/>
        <v>4.1129695640252262E-2</v>
      </c>
    </row>
    <row r="9" spans="2:14" ht="15.6" x14ac:dyDescent="0.3">
      <c r="B9" s="63" t="s">
        <v>27</v>
      </c>
      <c r="C9" s="58"/>
      <c r="D9" s="57">
        <f>_xlfn.XLOOKUP(B9,ZOMATO_PL[Particulars],ZOMATO_PL[Mar 2021])</f>
        <v>10</v>
      </c>
      <c r="E9" s="67">
        <f t="shared" si="0"/>
        <v>5.0150451354062184E-3</v>
      </c>
      <c r="F9" s="56"/>
      <c r="G9" s="22">
        <f>_xlfn.XLOOKUP('Common p&amp;l'!B9,Nykaa_PL[Particulars],Nykaa_PL[Mar 2021])</f>
        <v>32</v>
      </c>
      <c r="H9" s="56">
        <f t="shared" si="1"/>
        <v>1.3109381401065138E-2</v>
      </c>
      <c r="I9" s="56"/>
      <c r="J9" s="57">
        <f>_xlfn.XLOOKUP(B9,mamaearth_PL[Particulars],mamaearth_PL[Mar 2021])</f>
        <v>1</v>
      </c>
      <c r="K9" s="56">
        <f t="shared" si="2"/>
        <v>2.1739130434782609E-3</v>
      </c>
      <c r="L9" s="56"/>
      <c r="M9" s="22">
        <f>_xlfn.XLOOKUP(B9,delhivery_PL[Particulars],delhivery_PL[Mar 2021])</f>
        <v>89</v>
      </c>
      <c r="N9" s="56">
        <f t="shared" si="3"/>
        <v>2.4403619413216341E-2</v>
      </c>
    </row>
    <row r="10" spans="2:14" ht="15.6" x14ac:dyDescent="0.3">
      <c r="B10" s="62" t="s">
        <v>28</v>
      </c>
      <c r="C10" s="58"/>
      <c r="D10" s="57">
        <f>_xlfn.XLOOKUP(B10,ZOMATO_PL[Particulars],ZOMATO_PL[Mar 2021])</f>
        <v>138</v>
      </c>
      <c r="E10" s="67">
        <f t="shared" si="0"/>
        <v>6.9207622868605823E-2</v>
      </c>
      <c r="F10" s="56"/>
      <c r="G10" s="22">
        <f>_xlfn.XLOOKUP('Common p&amp;l'!B10,Nykaa_PL[Particulars],Nykaa_PL[Mar 2021])</f>
        <v>72</v>
      </c>
      <c r="H10" s="56">
        <f t="shared" si="1"/>
        <v>2.9496108152396557E-2</v>
      </c>
      <c r="I10" s="56"/>
      <c r="J10" s="57">
        <f>_xlfn.XLOOKUP(B10,mamaearth_PL[Particulars],mamaearth_PL[Mar 2021])</f>
        <v>2</v>
      </c>
      <c r="K10" s="56">
        <f t="shared" si="2"/>
        <v>4.3478260869565218E-3</v>
      </c>
      <c r="L10" s="56"/>
      <c r="M10" s="22">
        <f>_xlfn.XLOOKUP(B10,delhivery_PL[Particulars],delhivery_PL[Mar 2021])</f>
        <v>355</v>
      </c>
      <c r="N10" s="56">
        <f t="shared" si="3"/>
        <v>9.7340279681930347E-2</v>
      </c>
    </row>
    <row r="11" spans="2:14" ht="15.6" x14ac:dyDescent="0.3">
      <c r="B11" s="63" t="s">
        <v>29</v>
      </c>
      <c r="C11" s="58"/>
      <c r="D11" s="57">
        <f>_xlfn.XLOOKUP(B11,ZOMATO_PL[Particulars],ZOMATO_PL[Mar 2021])</f>
        <v>-815</v>
      </c>
      <c r="E11" s="67">
        <f t="shared" si="0"/>
        <v>-0.40872617853560683</v>
      </c>
      <c r="F11" s="56"/>
      <c r="G11" s="22">
        <f>_xlfn.XLOOKUP('Common p&amp;l'!B11,Nykaa_PL[Particulars],Nykaa_PL[Mar 2021])</f>
        <v>66</v>
      </c>
      <c r="H11" s="56">
        <f t="shared" si="1"/>
        <v>2.7038099139696844E-2</v>
      </c>
      <c r="I11" s="56"/>
      <c r="J11" s="57">
        <f>_xlfn.XLOOKUP(B11,mamaearth_PL[Particulars],mamaearth_PL[Mar 2021])</f>
        <v>-1325</v>
      </c>
      <c r="K11" s="56">
        <f t="shared" si="2"/>
        <v>-2.8804347826086958</v>
      </c>
      <c r="L11" s="56"/>
      <c r="M11" s="22">
        <f>_xlfn.XLOOKUP(B11,delhivery_PL[Particulars],delhivery_PL[Mar 2021])</f>
        <v>-416</v>
      </c>
      <c r="N11" s="56">
        <f t="shared" si="3"/>
        <v>-0.11406635590896627</v>
      </c>
    </row>
    <row r="12" spans="2:14" ht="15.6" x14ac:dyDescent="0.3">
      <c r="B12" s="62" t="s">
        <v>30</v>
      </c>
      <c r="C12" s="58"/>
      <c r="D12" s="57">
        <f>_xlfn.XLOOKUP(B12,ZOMATO_PL[Particulars],ZOMATO_PL[Mar 2021])</f>
        <v>0</v>
      </c>
      <c r="E12" s="67">
        <f t="shared" si="0"/>
        <v>0</v>
      </c>
      <c r="F12" s="56"/>
      <c r="G12" s="22">
        <f>_xlfn.XLOOKUP('Common p&amp;l'!B12,Nykaa_PL[Particulars],Nykaa_PL[Mar 2021])</f>
        <v>7.0000000000000007E-2</v>
      </c>
      <c r="H12" s="56">
        <f t="shared" si="1"/>
        <v>2.8676771814829992E-5</v>
      </c>
      <c r="I12" s="56"/>
      <c r="J12" s="57">
        <f>_xlfn.XLOOKUP(B12,mamaearth_PL[Particulars],mamaearth_PL[Mar 2021])</f>
        <v>0.01</v>
      </c>
      <c r="K12" s="56">
        <f t="shared" si="2"/>
        <v>2.173913043478261E-5</v>
      </c>
      <c r="L12" s="56"/>
      <c r="M12" s="22">
        <f>_xlfn.XLOOKUP(B12,delhivery_PL[Particulars],delhivery_PL[Mar 2021])</f>
        <v>0</v>
      </c>
      <c r="N12" s="56">
        <f t="shared" si="3"/>
        <v>0</v>
      </c>
    </row>
    <row r="13" spans="2:14" ht="15.6" x14ac:dyDescent="0.3">
      <c r="B13" s="63" t="s">
        <v>31</v>
      </c>
      <c r="C13" s="58"/>
      <c r="D13" s="57">
        <f>_xlfn.XLOOKUP(B13,ZOMATO_PL[Particulars],ZOMATO_PL[Mar 2021])</f>
        <v>-816</v>
      </c>
      <c r="E13" s="67">
        <f t="shared" si="0"/>
        <v>-0.40922768304914742</v>
      </c>
      <c r="F13" s="56"/>
      <c r="G13" s="22">
        <f>_xlfn.XLOOKUP('Common p&amp;l'!B13,Nykaa_PL[Particulars],Nykaa_PL[Mar 2021])</f>
        <v>62</v>
      </c>
      <c r="H13" s="56">
        <f t="shared" si="1"/>
        <v>2.5399426464563703E-2</v>
      </c>
      <c r="I13" s="56"/>
      <c r="J13" s="57">
        <f>_xlfn.XLOOKUP(B13,mamaearth_PL[Particulars],mamaearth_PL[Mar 2021])</f>
        <v>-1332</v>
      </c>
      <c r="K13" s="56">
        <f t="shared" si="2"/>
        <v>-2.8956521739130436</v>
      </c>
      <c r="L13" s="56"/>
      <c r="M13" s="22">
        <f>_xlfn.XLOOKUP(B13,delhivery_PL[Particulars],delhivery_PL[Mar 2021])</f>
        <v>-416</v>
      </c>
      <c r="N13" s="56">
        <f t="shared" si="3"/>
        <v>-0.11406635590896627</v>
      </c>
    </row>
    <row r="14" spans="2:14" ht="15.6" x14ac:dyDescent="0.3">
      <c r="B14" s="62" t="s">
        <v>32</v>
      </c>
      <c r="C14" s="58"/>
      <c r="D14" s="57">
        <f>_xlfn.XLOOKUP(B14,ZOMATO_PL[Particulars],ZOMATO_PL[Mar 2021])</f>
        <v>-23123.759999999998</v>
      </c>
      <c r="E14" s="68"/>
      <c r="F14" s="56"/>
      <c r="G14" s="22">
        <f>_xlfn.XLOOKUP('Common p&amp;l'!B14,Nykaa_PL[Particulars],Nykaa_PL[Mar 2021])</f>
        <v>6.82</v>
      </c>
      <c r="H14" s="56"/>
      <c r="I14" s="56"/>
      <c r="J14" s="57">
        <f>_xlfn.XLOOKUP(B14,mamaearth_PL[Particulars],mamaearth_PL[Mar 2021])</f>
        <v>-1306098.04</v>
      </c>
      <c r="K14" s="56"/>
      <c r="L14" s="56"/>
      <c r="M14" s="22">
        <f>_xlfn.XLOOKUP(B14,delhivery_PL[Particulars],delhivery_PL[Mar 2021])</f>
        <v>-2492.6</v>
      </c>
      <c r="N14" s="56"/>
    </row>
    <row r="15" spans="2:14" ht="15.6" x14ac:dyDescent="0.3">
      <c r="B15" s="63" t="s">
        <v>33</v>
      </c>
      <c r="C15" s="58"/>
      <c r="D15" s="57">
        <f>_xlfn.XLOOKUP(B15,ZOMATO_PL[Particulars],ZOMATO_PL[Mar 2021])</f>
        <v>0</v>
      </c>
      <c r="E15" s="67">
        <f t="shared" si="0"/>
        <v>0</v>
      </c>
      <c r="F15" s="56"/>
      <c r="G15" s="22">
        <f>_xlfn.XLOOKUP('Common p&amp;l'!B15,Nykaa_PL[Particulars],Nykaa_PL[Mar 2021])</f>
        <v>0</v>
      </c>
      <c r="H15" s="56">
        <f t="shared" si="1"/>
        <v>0</v>
      </c>
      <c r="I15" s="56"/>
      <c r="J15" s="57">
        <f>_xlfn.XLOOKUP(B15,mamaearth_PL[Particulars],mamaearth_PL[Mar 2021])</f>
        <v>0</v>
      </c>
      <c r="K15" s="56">
        <f t="shared" si="2"/>
        <v>0</v>
      </c>
      <c r="L15" s="56"/>
      <c r="M15" s="22">
        <f>_xlfn.XLOOKUP(B15,delhivery_PL[Particulars],delhivery_PL[Mar 2021])</f>
        <v>0</v>
      </c>
      <c r="N15" s="56">
        <f>M15/$M$4</f>
        <v>0</v>
      </c>
    </row>
    <row r="16" spans="2:14" x14ac:dyDescent="0.3">
      <c r="B16" s="22"/>
      <c r="C16" s="22"/>
      <c r="D16" s="57"/>
      <c r="E16" s="56"/>
      <c r="F16" s="56"/>
      <c r="G16" s="22"/>
      <c r="H16" s="56"/>
      <c r="I16" s="56"/>
      <c r="J16" s="57"/>
      <c r="K16" s="56"/>
      <c r="L16" s="56"/>
      <c r="M16" s="22"/>
      <c r="N16" s="56"/>
    </row>
    <row r="17" spans="2:14" x14ac:dyDescent="0.3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</row>
    <row r="18" spans="2:14" ht="51" customHeight="1" x14ac:dyDescent="1.1000000000000001">
      <c r="B18" s="59">
        <v>2022</v>
      </c>
      <c r="C18" s="60"/>
      <c r="D18" s="69" t="s">
        <v>125</v>
      </c>
      <c r="E18" s="69" t="s">
        <v>118</v>
      </c>
      <c r="F18" s="22"/>
      <c r="G18" s="69" t="s">
        <v>119</v>
      </c>
      <c r="H18" s="69" t="s">
        <v>120</v>
      </c>
      <c r="I18" s="22"/>
      <c r="J18" s="69" t="s">
        <v>121</v>
      </c>
      <c r="K18" s="69" t="s">
        <v>122</v>
      </c>
      <c r="L18" s="22"/>
      <c r="M18" s="69" t="s">
        <v>123</v>
      </c>
      <c r="N18" s="69" t="s">
        <v>124</v>
      </c>
    </row>
    <row r="19" spans="2:14" x14ac:dyDescent="0.3">
      <c r="B19" s="27" t="s">
        <v>22</v>
      </c>
      <c r="C19" s="27"/>
      <c r="D19" s="22">
        <f>_xlfn.XLOOKUP(B19,ZOMATO_PL[Particulars],ZOMATO_PL[Mar 2022])</f>
        <v>4192</v>
      </c>
      <c r="E19" s="56">
        <f>D19/$D$19</f>
        <v>1</v>
      </c>
      <c r="F19" s="56"/>
      <c r="G19" s="22">
        <f>_xlfn.XLOOKUP(B19,Nykaa_PL[Particulars],Nykaa_PL[Mar 2022])</f>
        <v>3774</v>
      </c>
      <c r="H19" s="56">
        <f>G19/$G$19</f>
        <v>1</v>
      </c>
      <c r="I19" s="56"/>
      <c r="J19" s="22">
        <f>_xlfn.XLOOKUP(B19,mamaearth_PL[Particulars],mamaearth_PL[Mar 2022])</f>
        <v>932</v>
      </c>
      <c r="K19" s="56">
        <f>J19/$J$19</f>
        <v>1</v>
      </c>
      <c r="L19" s="56"/>
      <c r="M19" s="22">
        <f>_xlfn.XLOOKUP('Common p&amp;l'!B19,delhivery_PL[Particulars],delhivery_PL[Mar 2022])</f>
        <v>6882</v>
      </c>
      <c r="N19" s="56">
        <f>M19/$M$19</f>
        <v>1</v>
      </c>
    </row>
    <row r="20" spans="2:14" x14ac:dyDescent="0.3">
      <c r="B20" s="64" t="s">
        <v>23</v>
      </c>
      <c r="C20" s="27"/>
      <c r="D20" s="22">
        <f>_xlfn.XLOOKUP(B20,ZOMATO_PL[Particulars],ZOMATO_PL[Mar 2022])</f>
        <v>6043</v>
      </c>
      <c r="E20" s="56">
        <f t="shared" ref="E20:E30" si="4">D20/$D$19</f>
        <v>1.4415553435114503</v>
      </c>
      <c r="F20" s="56"/>
      <c r="G20" s="22">
        <f>_xlfn.XLOOKUP(B20,Nykaa_PL[Particulars],Nykaa_PL[Mar 2022])</f>
        <v>3610</v>
      </c>
      <c r="H20" s="56">
        <f t="shared" ref="H20:H30" si="5">G20/$G$19</f>
        <v>0.95654478007419186</v>
      </c>
      <c r="I20" s="56"/>
      <c r="J20" s="22">
        <f>_xlfn.XLOOKUP(B20,mamaearth_PL[Particulars],mamaearth_PL[Mar 2022])</f>
        <v>916</v>
      </c>
      <c r="K20" s="56">
        <f t="shared" ref="K20:K30" si="6">J20/$J$19</f>
        <v>0.98283261802575106</v>
      </c>
      <c r="L20" s="56"/>
      <c r="M20" s="22">
        <f>_xlfn.XLOOKUP('Common p&amp;l'!B20,delhivery_PL[Particulars],delhivery_PL[Mar 2022])</f>
        <v>7357</v>
      </c>
      <c r="N20" s="56">
        <f t="shared" ref="N20:N30" si="7">M20/$M$19</f>
        <v>1.0690206335367625</v>
      </c>
    </row>
    <row r="21" spans="2:14" x14ac:dyDescent="0.3">
      <c r="B21" s="27" t="s">
        <v>24</v>
      </c>
      <c r="C21" s="27"/>
      <c r="D21" s="22">
        <f>_xlfn.XLOOKUP(B21,ZOMATO_PL[Particulars],ZOMATO_PL[Mar 2022])</f>
        <v>-1851</v>
      </c>
      <c r="E21" s="56">
        <f t="shared" si="4"/>
        <v>-0.44155534351145037</v>
      </c>
      <c r="F21" s="56"/>
      <c r="G21" s="22">
        <f>_xlfn.XLOOKUP(B21,Nykaa_PL[Particulars],Nykaa_PL[Mar 2022])</f>
        <v>164</v>
      </c>
      <c r="H21" s="56">
        <f t="shared" si="5"/>
        <v>4.3455219925808163E-2</v>
      </c>
      <c r="I21" s="56"/>
      <c r="J21" s="22">
        <f>_xlfn.XLOOKUP(B21,mamaearth_PL[Particulars],mamaearth_PL[Mar 2022])</f>
        <v>16</v>
      </c>
      <c r="K21" s="56">
        <f t="shared" si="6"/>
        <v>1.7167381974248927E-2</v>
      </c>
      <c r="L21" s="56"/>
      <c r="M21" s="22">
        <f>_xlfn.XLOOKUP('Common p&amp;l'!B21,delhivery_PL[Particulars],delhivery_PL[Mar 2022])</f>
        <v>-475</v>
      </c>
      <c r="N21" s="56">
        <f t="shared" si="7"/>
        <v>-6.9020633536762563E-2</v>
      </c>
    </row>
    <row r="22" spans="2:14" x14ac:dyDescent="0.3">
      <c r="B22" s="64" t="s">
        <v>25</v>
      </c>
      <c r="C22" s="27"/>
      <c r="D22" s="22">
        <f>_xlfn.XLOOKUP(B22,ZOMATO_PL[Particulars],ZOMATO_PL[Mar 2022])</f>
        <v>-0.44</v>
      </c>
      <c r="E22" s="56">
        <f t="shared" si="4"/>
        <v>-1.049618320610687E-4</v>
      </c>
      <c r="F22" s="56"/>
      <c r="G22" s="22">
        <f>_xlfn.XLOOKUP(B22,Nykaa_PL[Particulars],Nykaa_PL[Mar 2022])</f>
        <v>0.04</v>
      </c>
      <c r="H22" s="56">
        <f t="shared" si="5"/>
        <v>1.0598834128245893E-5</v>
      </c>
      <c r="I22" s="56"/>
      <c r="J22" s="22">
        <f>_xlfn.XLOOKUP(B22,mamaearth_PL[Particulars],mamaearth_PL[Mar 2022])</f>
        <v>0.02</v>
      </c>
      <c r="K22" s="56">
        <f t="shared" si="6"/>
        <v>2.145922746781116E-5</v>
      </c>
      <c r="L22" s="56"/>
      <c r="M22" s="22">
        <f>_xlfn.XLOOKUP('Common p&amp;l'!B22,delhivery_PL[Particulars],delhivery_PL[Mar 2022])</f>
        <v>-7.0000000000000007E-2</v>
      </c>
      <c r="N22" s="56">
        <f t="shared" si="7"/>
        <v>-1.017146178436501E-5</v>
      </c>
    </row>
    <row r="23" spans="2:14" x14ac:dyDescent="0.3">
      <c r="B23" s="27" t="s">
        <v>26</v>
      </c>
      <c r="C23" s="27"/>
      <c r="D23" s="22">
        <f>_xlfn.XLOOKUP(B23,ZOMATO_PL[Particulars],ZOMATO_PL[Mar 2022])</f>
        <v>793</v>
      </c>
      <c r="E23" s="56">
        <f t="shared" si="4"/>
        <v>0.18916984732824427</v>
      </c>
      <c r="F23" s="56"/>
      <c r="G23" s="22">
        <f>_xlfn.XLOOKUP(B23,Nykaa_PL[Particulars],Nykaa_PL[Mar 2022])</f>
        <v>27</v>
      </c>
      <c r="H23" s="56">
        <f t="shared" si="5"/>
        <v>7.1542130365659781E-3</v>
      </c>
      <c r="I23" s="56"/>
      <c r="J23" s="22">
        <f>_xlfn.XLOOKUP(B23,mamaearth_PL[Particulars],mamaearth_PL[Mar 2022])</f>
        <v>21</v>
      </c>
      <c r="K23" s="56">
        <f t="shared" si="6"/>
        <v>2.2532188841201718E-2</v>
      </c>
      <c r="L23" s="56"/>
      <c r="M23" s="22">
        <f>_xlfn.XLOOKUP('Common p&amp;l'!B23,delhivery_PL[Particulars],delhivery_PL[Mar 2022])</f>
        <v>156</v>
      </c>
      <c r="N23" s="56">
        <f t="shared" si="7"/>
        <v>2.2667829119442023E-2</v>
      </c>
    </row>
    <row r="24" spans="2:14" x14ac:dyDescent="0.3">
      <c r="B24" s="64" t="s">
        <v>27</v>
      </c>
      <c r="C24" s="27"/>
      <c r="D24" s="22">
        <f>_xlfn.XLOOKUP(B24,ZOMATO_PL[Particulars],ZOMATO_PL[Mar 2022])</f>
        <v>12</v>
      </c>
      <c r="E24" s="56">
        <f t="shared" si="4"/>
        <v>2.8625954198473282E-3</v>
      </c>
      <c r="F24" s="56"/>
      <c r="G24" s="22">
        <f>_xlfn.XLOOKUP(B24,Nykaa_PL[Particulars],Nykaa_PL[Mar 2022])</f>
        <v>47</v>
      </c>
      <c r="H24" s="56">
        <f t="shared" si="5"/>
        <v>1.2453630100688924E-2</v>
      </c>
      <c r="I24" s="56"/>
      <c r="J24" s="22">
        <f>_xlfn.XLOOKUP(B24,mamaearth_PL[Particulars],mamaearth_PL[Mar 2022])</f>
        <v>3</v>
      </c>
      <c r="K24" s="56">
        <f t="shared" si="6"/>
        <v>3.2188841201716738E-3</v>
      </c>
      <c r="L24" s="56"/>
      <c r="M24" s="22">
        <f>_xlfn.XLOOKUP('Common p&amp;l'!B24,delhivery_PL[Particulars],delhivery_PL[Mar 2022])</f>
        <v>100</v>
      </c>
      <c r="N24" s="56">
        <f t="shared" si="7"/>
        <v>1.4530659691950014E-2</v>
      </c>
    </row>
    <row r="25" spans="2:14" x14ac:dyDescent="0.3">
      <c r="B25" s="27" t="s">
        <v>28</v>
      </c>
      <c r="C25" s="27"/>
      <c r="D25" s="22">
        <f>_xlfn.XLOOKUP(B25,ZOMATO_PL[Particulars],ZOMATO_PL[Mar 2022])</f>
        <v>150</v>
      </c>
      <c r="E25" s="56">
        <f t="shared" si="4"/>
        <v>3.57824427480916E-2</v>
      </c>
      <c r="F25" s="56"/>
      <c r="G25" s="22">
        <f>_xlfn.XLOOKUP(B25,Nykaa_PL[Particulars],Nykaa_PL[Mar 2022])</f>
        <v>96</v>
      </c>
      <c r="H25" s="56">
        <f t="shared" si="5"/>
        <v>2.5437201907790145E-2</v>
      </c>
      <c r="I25" s="56"/>
      <c r="J25" s="22">
        <f>_xlfn.XLOOKUP(B25,mamaearth_PL[Particulars],mamaearth_PL[Mar 2022])</f>
        <v>6</v>
      </c>
      <c r="K25" s="56">
        <f t="shared" si="6"/>
        <v>6.4377682403433476E-3</v>
      </c>
      <c r="L25" s="56"/>
      <c r="M25" s="22">
        <f>_xlfn.XLOOKUP('Common p&amp;l'!B25,delhivery_PL[Particulars],delhivery_PL[Mar 2022])</f>
        <v>611</v>
      </c>
      <c r="N25" s="56">
        <f t="shared" si="7"/>
        <v>8.8782330717814592E-2</v>
      </c>
    </row>
    <row r="26" spans="2:14" x14ac:dyDescent="0.3">
      <c r="B26" s="64" t="s">
        <v>29</v>
      </c>
      <c r="C26" s="27"/>
      <c r="D26" s="22">
        <f>_xlfn.XLOOKUP(B26,ZOMATO_PL[Particulars],ZOMATO_PL[Mar 2022])</f>
        <v>-1220</v>
      </c>
      <c r="E26" s="56">
        <f t="shared" si="4"/>
        <v>-0.29103053435114506</v>
      </c>
      <c r="F26" s="56"/>
      <c r="G26" s="22">
        <f>_xlfn.XLOOKUP(B26,Nykaa_PL[Particulars],Nykaa_PL[Mar 2022])</f>
        <v>47</v>
      </c>
      <c r="H26" s="56">
        <f t="shared" si="5"/>
        <v>1.2453630100688924E-2</v>
      </c>
      <c r="I26" s="56"/>
      <c r="J26" s="22">
        <f>_xlfn.XLOOKUP(B26,mamaearth_PL[Particulars],mamaearth_PL[Mar 2022])</f>
        <v>28</v>
      </c>
      <c r="K26" s="56">
        <f t="shared" si="6"/>
        <v>3.0042918454935622E-2</v>
      </c>
      <c r="L26" s="56"/>
      <c r="M26" s="22">
        <f>_xlfn.XLOOKUP('Common p&amp;l'!B26,delhivery_PL[Particulars],delhivery_PL[Mar 2022])</f>
        <v>-1029</v>
      </c>
      <c r="N26" s="56">
        <f t="shared" si="7"/>
        <v>-0.14952048823016564</v>
      </c>
    </row>
    <row r="27" spans="2:14" x14ac:dyDescent="0.3">
      <c r="B27" s="27" t="s">
        <v>30</v>
      </c>
      <c r="C27" s="27"/>
      <c r="D27" s="22">
        <f>_xlfn.XLOOKUP(B27,ZOMATO_PL[Particulars],ZOMATO_PL[Mar 2022])</f>
        <v>0</v>
      </c>
      <c r="E27" s="56">
        <f t="shared" si="4"/>
        <v>0</v>
      </c>
      <c r="F27" s="56"/>
      <c r="G27" s="22">
        <f>_xlfn.XLOOKUP(B27,Nykaa_PL[Particulars],Nykaa_PL[Mar 2022])</f>
        <v>0.13</v>
      </c>
      <c r="H27" s="56">
        <f t="shared" si="5"/>
        <v>3.4446210916799151E-5</v>
      </c>
      <c r="I27" s="56"/>
      <c r="J27" s="22">
        <f>_xlfn.XLOOKUP(B27,mamaearth_PL[Particulars],mamaearth_PL[Mar 2022])</f>
        <v>0.28999999999999998</v>
      </c>
      <c r="K27" s="56">
        <f t="shared" si="6"/>
        <v>3.1115879828326178E-4</v>
      </c>
      <c r="L27" s="56"/>
      <c r="M27" s="22">
        <f>_xlfn.XLOOKUP('Common p&amp;l'!B27,delhivery_PL[Particulars],delhivery_PL[Mar 2022])</f>
        <v>-0.02</v>
      </c>
      <c r="N27" s="56">
        <f t="shared" si="7"/>
        <v>-2.9061319383900028E-6</v>
      </c>
    </row>
    <row r="28" spans="2:14" x14ac:dyDescent="0.3">
      <c r="B28" s="64" t="s">
        <v>31</v>
      </c>
      <c r="C28" s="27"/>
      <c r="D28" s="22">
        <f>_xlfn.XLOOKUP(B28,ZOMATO_PL[Particulars],ZOMATO_PL[Mar 2022])</f>
        <v>-1222</v>
      </c>
      <c r="E28" s="56">
        <f t="shared" si="4"/>
        <v>-0.29150763358778625</v>
      </c>
      <c r="F28" s="56"/>
      <c r="G28" s="22">
        <f>_xlfn.XLOOKUP(B28,Nykaa_PL[Particulars],Nykaa_PL[Mar 2022])</f>
        <v>41</v>
      </c>
      <c r="H28" s="56">
        <f t="shared" si="5"/>
        <v>1.0863804981452041E-2</v>
      </c>
      <c r="I28" s="56"/>
      <c r="J28" s="22">
        <f>_xlfn.XLOOKUP(B28,mamaearth_PL[Particulars],mamaearth_PL[Mar 2022])</f>
        <v>20</v>
      </c>
      <c r="K28" s="56">
        <f t="shared" si="6"/>
        <v>2.1459227467811159E-2</v>
      </c>
      <c r="L28" s="56"/>
      <c r="M28" s="22">
        <f>_xlfn.XLOOKUP('Common p&amp;l'!B28,delhivery_PL[Particulars],delhivery_PL[Mar 2022])</f>
        <v>-1011</v>
      </c>
      <c r="N28" s="56">
        <f t="shared" si="7"/>
        <v>-0.14690496948561466</v>
      </c>
    </row>
    <row r="29" spans="2:14" x14ac:dyDescent="0.3">
      <c r="B29" s="27" t="s">
        <v>32</v>
      </c>
      <c r="C29" s="27"/>
      <c r="D29" s="22">
        <f>_xlfn.XLOOKUP(B29,ZOMATO_PL[Particulars],ZOMATO_PL[Mar 2022])</f>
        <v>-1.54</v>
      </c>
      <c r="E29" s="56"/>
      <c r="F29" s="56"/>
      <c r="G29" s="22">
        <f>_xlfn.XLOOKUP(B29,Nykaa_PL[Particulars],Nykaa_PL[Mar 2022])</f>
        <v>0.14000000000000001</v>
      </c>
      <c r="H29" s="56"/>
      <c r="I29" s="56"/>
      <c r="J29" s="22">
        <f>_xlfn.XLOOKUP(B29,mamaearth_PL[Particulars],mamaearth_PL[Mar 2022])</f>
        <v>19291.259999999998</v>
      </c>
      <c r="K29" s="56"/>
      <c r="L29" s="56"/>
      <c r="M29" s="22">
        <f>_xlfn.XLOOKUP('Common p&amp;l'!B29,delhivery_PL[Particulars],delhivery_PL[Mar 2022])</f>
        <v>-15.75</v>
      </c>
      <c r="N29" s="56"/>
    </row>
    <row r="30" spans="2:14" x14ac:dyDescent="0.3">
      <c r="B30" s="64" t="s">
        <v>33</v>
      </c>
      <c r="C30" s="27"/>
      <c r="D30" s="22">
        <f>_xlfn.XLOOKUP(B30,ZOMATO_PL[Particulars],ZOMATO_PL[Mar 2022])</f>
        <v>0</v>
      </c>
      <c r="E30" s="56">
        <f t="shared" si="4"/>
        <v>0</v>
      </c>
      <c r="F30" s="56"/>
      <c r="G30" s="22">
        <f>_xlfn.XLOOKUP(B30,Nykaa_PL[Particulars],Nykaa_PL[Mar 2022])</f>
        <v>0</v>
      </c>
      <c r="H30" s="56">
        <f t="shared" si="5"/>
        <v>0</v>
      </c>
      <c r="I30" s="56"/>
      <c r="J30" s="22">
        <f>_xlfn.XLOOKUP(B30,mamaearth_PL[Particulars],mamaearth_PL[Mar 2022])</f>
        <v>0</v>
      </c>
      <c r="K30" s="56">
        <f t="shared" si="6"/>
        <v>0</v>
      </c>
      <c r="L30" s="56"/>
      <c r="M30" s="22">
        <f>_xlfn.XLOOKUP('Common p&amp;l'!B30,delhivery_PL[Particulars],delhivery_PL[Mar 2022])</f>
        <v>0</v>
      </c>
      <c r="N30" s="56">
        <f t="shared" si="7"/>
        <v>0</v>
      </c>
    </row>
    <row r="31" spans="2:14" x14ac:dyDescent="0.3"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</row>
    <row r="32" spans="2:14" x14ac:dyDescent="0.3"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</row>
    <row r="33" spans="2:23" ht="49.2" customHeight="1" x14ac:dyDescent="1.1000000000000001">
      <c r="B33" s="59">
        <v>2023</v>
      </c>
      <c r="C33" s="60"/>
      <c r="D33" s="69" t="s">
        <v>125</v>
      </c>
      <c r="E33" s="69" t="s">
        <v>118</v>
      </c>
      <c r="F33" s="22"/>
      <c r="G33" s="69" t="s">
        <v>119</v>
      </c>
      <c r="H33" s="69" t="s">
        <v>120</v>
      </c>
      <c r="I33" s="22"/>
      <c r="J33" s="69" t="s">
        <v>121</v>
      </c>
      <c r="K33" s="69" t="s">
        <v>122</v>
      </c>
      <c r="L33" s="22"/>
      <c r="M33" s="69" t="s">
        <v>123</v>
      </c>
      <c r="N33" s="69" t="s">
        <v>124</v>
      </c>
    </row>
    <row r="34" spans="2:23" ht="16.8" customHeight="1" x14ac:dyDescent="0.3">
      <c r="B34" s="58" t="s">
        <v>22</v>
      </c>
      <c r="C34" s="27"/>
      <c r="D34" s="22">
        <f>_xlfn.XLOOKUP(B34,ZOMATO_PL[Particulars],ZOMATO_PL[Mar 2023])</f>
        <v>7079</v>
      </c>
      <c r="E34" s="56">
        <f t="shared" ref="E34:E43" si="8">D34/$D$34</f>
        <v>1</v>
      </c>
      <c r="F34" s="22"/>
      <c r="G34" s="22">
        <f>_xlfn.XLOOKUP(B34,Nykaa_PL[Particulars],Nykaa_PL[Mar 2023])</f>
        <v>5144</v>
      </c>
      <c r="H34" s="56">
        <f t="shared" ref="H34:H43" si="9">G34/$G$34</f>
        <v>1</v>
      </c>
      <c r="I34" s="22"/>
      <c r="J34" s="22">
        <f>_xlfn.XLOOKUP(B34,mamaearth_PL[Particulars],mamaearth_PL[Mar 2023])</f>
        <v>1395</v>
      </c>
      <c r="K34" s="56">
        <f t="shared" ref="K34:K43" si="10">J34/$J$34</f>
        <v>1</v>
      </c>
      <c r="L34" s="22"/>
      <c r="M34" s="22">
        <f>_xlfn.XLOOKUP('Common p&amp;l'!B34,delhivery_PL[Particulars],delhivery_PL[Mar 2023])</f>
        <v>7225</v>
      </c>
      <c r="N34" s="56">
        <f t="shared" ref="N34:N43" si="11">M34/$M$34</f>
        <v>1</v>
      </c>
      <c r="S34" s="89"/>
    </row>
    <row r="35" spans="2:23" ht="16.8" customHeight="1" x14ac:dyDescent="0.3">
      <c r="B35" s="61" t="s">
        <v>23</v>
      </c>
      <c r="C35" s="27"/>
      <c r="D35" s="22">
        <f>_xlfn.XLOOKUP(B35,ZOMATO_PL[Particulars],ZOMATO_PL[Mar 2023])</f>
        <v>8290</v>
      </c>
      <c r="E35" s="56">
        <f t="shared" si="8"/>
        <v>1.1710693600791071</v>
      </c>
      <c r="F35" s="22"/>
      <c r="G35" s="22">
        <f>_xlfn.XLOOKUP(B35,Nykaa_PL[Particulars],Nykaa_PL[Mar 2023])</f>
        <v>4887</v>
      </c>
      <c r="H35" s="56">
        <f t="shared" si="9"/>
        <v>0.95003888024883354</v>
      </c>
      <c r="I35" s="22"/>
      <c r="J35" s="22">
        <f>_xlfn.XLOOKUP(B35,mamaearth_PL[Particulars],mamaearth_PL[Mar 2023])</f>
        <v>1350</v>
      </c>
      <c r="K35" s="56">
        <f t="shared" si="10"/>
        <v>0.967741935483871</v>
      </c>
      <c r="L35" s="22"/>
      <c r="M35" s="22">
        <f>_xlfn.XLOOKUP('Common p&amp;l'!B35,delhivery_PL[Particulars],delhivery_PL[Mar 2023])</f>
        <v>7677</v>
      </c>
      <c r="N35" s="56">
        <f t="shared" si="11"/>
        <v>1.0625605536332179</v>
      </c>
      <c r="S35" s="89"/>
    </row>
    <row r="36" spans="2:23" ht="16.8" customHeight="1" x14ac:dyDescent="0.3">
      <c r="B36" s="58" t="s">
        <v>24</v>
      </c>
      <c r="C36" s="27"/>
      <c r="D36" s="22">
        <f>_xlfn.XLOOKUP(B36,ZOMATO_PL[Particulars],ZOMATO_PL[Mar 2023])</f>
        <v>-1211</v>
      </c>
      <c r="E36" s="56">
        <f t="shared" si="8"/>
        <v>-0.17106936007910722</v>
      </c>
      <c r="F36" s="22"/>
      <c r="G36" s="22">
        <f>_xlfn.XLOOKUP(B36,Nykaa_PL[Particulars],Nykaa_PL[Mar 2023])</f>
        <v>257</v>
      </c>
      <c r="H36" s="56">
        <f t="shared" si="9"/>
        <v>4.9961119751166405E-2</v>
      </c>
      <c r="I36" s="22"/>
      <c r="J36" s="22">
        <f>_xlfn.XLOOKUP(B36,mamaearth_PL[Particulars],mamaearth_PL[Mar 2023])</f>
        <v>45</v>
      </c>
      <c r="K36" s="56">
        <f t="shared" si="10"/>
        <v>3.2258064516129031E-2</v>
      </c>
      <c r="L36" s="22"/>
      <c r="M36" s="22">
        <f>_xlfn.XLOOKUP('Common p&amp;l'!B36,delhivery_PL[Particulars],delhivery_PL[Mar 2023])</f>
        <v>-452</v>
      </c>
      <c r="N36" s="56">
        <f t="shared" si="11"/>
        <v>-6.2560553633217997E-2</v>
      </c>
      <c r="S36" s="89"/>
    </row>
    <row r="37" spans="2:23" ht="16.8" customHeight="1" x14ac:dyDescent="0.3">
      <c r="B37" s="61" t="s">
        <v>25</v>
      </c>
      <c r="C37" s="27"/>
      <c r="D37" s="22">
        <f>_xlfn.XLOOKUP(B37,ZOMATO_PL[Particulars],ZOMATO_PL[Mar 2023])</f>
        <v>-0.17</v>
      </c>
      <c r="E37" s="56">
        <f t="shared" si="8"/>
        <v>-2.4014691340584831E-5</v>
      </c>
      <c r="F37" s="22"/>
      <c r="G37" s="22">
        <f>_xlfn.XLOOKUP(B37,Nykaa_PL[Particulars],Nykaa_PL[Mar 2023])</f>
        <v>0.05</v>
      </c>
      <c r="H37" s="56">
        <f t="shared" si="9"/>
        <v>9.7200622083981347E-6</v>
      </c>
      <c r="I37" s="22"/>
      <c r="J37" s="22">
        <f>_xlfn.XLOOKUP(B37,mamaearth_PL[Particulars],mamaearth_PL[Mar 2023])</f>
        <v>0.03</v>
      </c>
      <c r="K37" s="56">
        <f t="shared" si="10"/>
        <v>2.150537634408602E-5</v>
      </c>
      <c r="L37" s="22"/>
      <c r="M37" s="22">
        <f>_xlfn.XLOOKUP('Common p&amp;l'!B37,delhivery_PL[Particulars],delhivery_PL[Mar 2023])</f>
        <v>-0.06</v>
      </c>
      <c r="N37" s="56">
        <f t="shared" si="11"/>
        <v>-8.3044982698961941E-6</v>
      </c>
      <c r="S37" s="89"/>
    </row>
    <row r="38" spans="2:23" ht="16.8" customHeight="1" x14ac:dyDescent="0.3">
      <c r="B38" s="58" t="s">
        <v>26</v>
      </c>
      <c r="C38" s="27"/>
      <c r="D38" s="22">
        <f>_xlfn.XLOOKUP(B38,ZOMATO_PL[Particulars],ZOMATO_PL[Mar 2023])</f>
        <v>682</v>
      </c>
      <c r="E38" s="56">
        <f t="shared" si="8"/>
        <v>9.6341291142816782E-2</v>
      </c>
      <c r="F38" s="22"/>
      <c r="G38" s="22">
        <f>_xlfn.XLOOKUP(B38,Nykaa_PL[Particulars],Nykaa_PL[Mar 2023])</f>
        <v>30</v>
      </c>
      <c r="H38" s="56">
        <f t="shared" si="9"/>
        <v>5.8320373250388803E-3</v>
      </c>
      <c r="I38" s="22"/>
      <c r="J38" s="22">
        <f>_xlfn.XLOOKUP(B38,mamaearth_PL[Particulars],mamaearth_PL[Mar 2023])</f>
        <v>-132</v>
      </c>
      <c r="K38" s="56">
        <f t="shared" si="10"/>
        <v>-9.4623655913978491E-2</v>
      </c>
      <c r="L38" s="22"/>
      <c r="M38" s="22">
        <f>_xlfn.XLOOKUP('Common p&amp;l'!B38,delhivery_PL[Particulars],delhivery_PL[Mar 2023])</f>
        <v>319</v>
      </c>
      <c r="N38" s="56">
        <f t="shared" si="11"/>
        <v>4.4152249134948099E-2</v>
      </c>
      <c r="S38" s="89"/>
    </row>
    <row r="39" spans="2:23" ht="16.8" customHeight="1" x14ac:dyDescent="0.3">
      <c r="B39" s="61" t="s">
        <v>27</v>
      </c>
      <c r="C39" s="27"/>
      <c r="D39" s="22">
        <f>_xlfn.XLOOKUP(B39,ZOMATO_PL[Particulars],ZOMATO_PL[Mar 2023])</f>
        <v>49</v>
      </c>
      <c r="E39" s="56">
        <f t="shared" si="8"/>
        <v>6.9218816216979799E-3</v>
      </c>
      <c r="F39" s="22"/>
      <c r="G39" s="22">
        <f>_xlfn.XLOOKUP(B39,Nykaa_PL[Particulars],Nykaa_PL[Mar 2023])</f>
        <v>76</v>
      </c>
      <c r="H39" s="56">
        <f t="shared" si="9"/>
        <v>1.4774494556765163E-2</v>
      </c>
      <c r="I39" s="22"/>
      <c r="J39" s="22">
        <f>_xlfn.XLOOKUP(B39,mamaearth_PL[Particulars],mamaearth_PL[Mar 2023])</f>
        <v>5</v>
      </c>
      <c r="K39" s="56">
        <f t="shared" si="10"/>
        <v>3.5842293906810036E-3</v>
      </c>
      <c r="L39" s="22"/>
      <c r="M39" s="22">
        <f>_xlfn.XLOOKUP('Common p&amp;l'!B39,delhivery_PL[Particulars],delhivery_PL[Mar 2023])</f>
        <v>89</v>
      </c>
      <c r="N39" s="56">
        <f t="shared" si="11"/>
        <v>1.2318339100346021E-2</v>
      </c>
      <c r="S39" s="89"/>
    </row>
    <row r="40" spans="2:23" ht="16.8" customHeight="1" x14ac:dyDescent="0.3">
      <c r="B40" s="58" t="s">
        <v>28</v>
      </c>
      <c r="C40" s="27"/>
      <c r="D40" s="22">
        <f>_xlfn.XLOOKUP(B40,ZOMATO_PL[Particulars],ZOMATO_PL[Mar 2023])</f>
        <v>437</v>
      </c>
      <c r="E40" s="56">
        <f t="shared" si="8"/>
        <v>6.1731883034326883E-2</v>
      </c>
      <c r="F40" s="22"/>
      <c r="G40" s="22">
        <f>_xlfn.XLOOKUP(B40,Nykaa_PL[Particulars],Nykaa_PL[Mar 2023])</f>
        <v>173</v>
      </c>
      <c r="H40" s="56">
        <f t="shared" si="9"/>
        <v>3.363141524105754E-2</v>
      </c>
      <c r="I40" s="22"/>
      <c r="J40" s="22">
        <f>_xlfn.XLOOKUP(B40,mamaearth_PL[Particulars],mamaearth_PL[Mar 2023])</f>
        <v>15</v>
      </c>
      <c r="K40" s="56">
        <f t="shared" si="10"/>
        <v>1.0752688172043012E-2</v>
      </c>
      <c r="L40" s="22"/>
      <c r="M40" s="22">
        <f>_xlfn.XLOOKUP('Common p&amp;l'!B40,delhivery_PL[Particulars],delhivery_PL[Mar 2023])</f>
        <v>831</v>
      </c>
      <c r="N40" s="56">
        <f t="shared" si="11"/>
        <v>0.11501730103806228</v>
      </c>
      <c r="S40" s="89"/>
    </row>
    <row r="41" spans="2:23" ht="16.8" customHeight="1" x14ac:dyDescent="0.3">
      <c r="B41" s="61" t="s">
        <v>29</v>
      </c>
      <c r="C41" s="27"/>
      <c r="D41" s="22">
        <f>_xlfn.XLOOKUP(B41,ZOMATO_PL[Particulars],ZOMATO_PL[Mar 2023])</f>
        <v>-1015</v>
      </c>
      <c r="E41" s="56">
        <f t="shared" si="8"/>
        <v>-0.14338183359231529</v>
      </c>
      <c r="F41" s="22"/>
      <c r="G41" s="22">
        <f>_xlfn.XLOOKUP(B41,Nykaa_PL[Particulars],Nykaa_PL[Mar 2023])</f>
        <v>38</v>
      </c>
      <c r="H41" s="56">
        <f t="shared" si="9"/>
        <v>7.3872472783825813E-3</v>
      </c>
      <c r="I41" s="22"/>
      <c r="J41" s="22">
        <f>_xlfn.XLOOKUP(B41,mamaearth_PL[Particulars],mamaearth_PL[Mar 2023])</f>
        <v>-107</v>
      </c>
      <c r="K41" s="56">
        <f t="shared" si="10"/>
        <v>-7.6702508960573471E-2</v>
      </c>
      <c r="L41" s="22"/>
      <c r="M41" s="22">
        <f>_xlfn.XLOOKUP('Common p&amp;l'!B41,delhivery_PL[Particulars],delhivery_PL[Mar 2023])</f>
        <v>-1053</v>
      </c>
      <c r="N41" s="56">
        <f t="shared" si="11"/>
        <v>-0.1457439446366782</v>
      </c>
      <c r="S41" s="89"/>
    </row>
    <row r="42" spans="2:23" ht="16.8" customHeight="1" x14ac:dyDescent="0.3">
      <c r="B42" s="58" t="s">
        <v>30</v>
      </c>
      <c r="C42" s="27"/>
      <c r="D42" s="22">
        <f>_xlfn.XLOOKUP(B42,ZOMATO_PL[Particulars],ZOMATO_PL[Mar 2023])</f>
        <v>-0.04</v>
      </c>
      <c r="E42" s="56">
        <f t="shared" si="8"/>
        <v>-5.6505156095493717E-6</v>
      </c>
      <c r="F42" s="22"/>
      <c r="G42" s="22">
        <f>_xlfn.XLOOKUP(B42,Nykaa_PL[Particulars],Nykaa_PL[Mar 2023])</f>
        <v>0.35</v>
      </c>
      <c r="H42" s="56">
        <f t="shared" si="9"/>
        <v>6.8040435458786928E-5</v>
      </c>
      <c r="I42" s="22"/>
      <c r="J42" s="22">
        <f>_xlfn.XLOOKUP(B42,mamaearth_PL[Particulars],mamaearth_PL[Mar 2023])</f>
        <v>0.12</v>
      </c>
      <c r="K42" s="56">
        <f t="shared" si="10"/>
        <v>8.6021505376344081E-5</v>
      </c>
      <c r="L42" s="22"/>
      <c r="M42" s="22">
        <f>_xlfn.XLOOKUP('Common p&amp;l'!B42,delhivery_PL[Particulars],delhivery_PL[Mar 2023])</f>
        <v>-0.04</v>
      </c>
      <c r="N42" s="56">
        <f t="shared" si="11"/>
        <v>-5.5363321799307958E-6</v>
      </c>
      <c r="S42" s="89"/>
    </row>
    <row r="43" spans="2:23" ht="16.8" customHeight="1" x14ac:dyDescent="0.3">
      <c r="B43" s="61" t="s">
        <v>31</v>
      </c>
      <c r="C43" s="27"/>
      <c r="D43" s="22">
        <f>_xlfn.XLOOKUP(B43,ZOMATO_PL[Particulars],ZOMATO_PL[Mar 2023])</f>
        <v>-971</v>
      </c>
      <c r="E43" s="56">
        <f t="shared" si="8"/>
        <v>-0.13716626642181098</v>
      </c>
      <c r="F43" s="22"/>
      <c r="G43" s="22">
        <f>_xlfn.XLOOKUP(B43,Nykaa_PL[Particulars],Nykaa_PL[Mar 2023])</f>
        <v>21</v>
      </c>
      <c r="H43" s="56">
        <f t="shared" si="9"/>
        <v>4.0824261275272163E-3</v>
      </c>
      <c r="I43" s="22"/>
      <c r="J43" s="22">
        <f>_xlfn.XLOOKUP(B43,mamaearth_PL[Particulars],mamaearth_PL[Mar 2023])</f>
        <v>-121</v>
      </c>
      <c r="K43" s="56">
        <f t="shared" si="10"/>
        <v>-8.6738351254480289E-2</v>
      </c>
      <c r="L43" s="22"/>
      <c r="M43" s="22">
        <f>_xlfn.XLOOKUP('Common p&amp;l'!B43,delhivery_PL[Particulars],delhivery_PL[Mar 2023])</f>
        <v>-1008</v>
      </c>
      <c r="N43" s="56">
        <f t="shared" si="11"/>
        <v>-0.13951557093425607</v>
      </c>
      <c r="S43" s="89"/>
    </row>
    <row r="44" spans="2:23" ht="16.8" customHeight="1" x14ac:dyDescent="0.3">
      <c r="B44" s="58" t="s">
        <v>32</v>
      </c>
      <c r="C44" s="27"/>
      <c r="D44" s="22">
        <f>_xlfn.XLOOKUP(B44,ZOMATO_PL[Particulars],ZOMATO_PL[Mar 2023])</f>
        <v>-1.1399999999999999</v>
      </c>
      <c r="E44" s="56"/>
      <c r="F44" s="22"/>
      <c r="G44" s="22">
        <f>_xlfn.XLOOKUP(B44,Nykaa_PL[Particulars],Nykaa_PL[Mar 2023])</f>
        <v>7.0000000000000007E-2</v>
      </c>
      <c r="H44" s="56"/>
      <c r="I44" s="22"/>
      <c r="J44" s="22">
        <f>_xlfn.XLOOKUP(B44,mamaearth_PL[Particulars],mamaearth_PL[Mar 2023])</f>
        <v>-8.84</v>
      </c>
      <c r="K44" s="56"/>
      <c r="L44" s="22"/>
      <c r="M44" s="22">
        <f>_xlfn.XLOOKUP('Common p&amp;l'!B44,delhivery_PL[Particulars],delhivery_PL[Mar 2023])</f>
        <v>-13.83</v>
      </c>
      <c r="N44" s="56"/>
      <c r="S44" s="89"/>
    </row>
    <row r="45" spans="2:23" ht="16.8" customHeight="1" x14ac:dyDescent="0.3">
      <c r="B45" s="61" t="s">
        <v>33</v>
      </c>
      <c r="C45" s="27"/>
      <c r="D45" s="22">
        <f>_xlfn.XLOOKUP(B45,ZOMATO_PL[Particulars],ZOMATO_PL[Mar 2023])</f>
        <v>0</v>
      </c>
      <c r="E45" s="56">
        <f>D45/$D$34</f>
        <v>0</v>
      </c>
      <c r="F45" s="22"/>
      <c r="G45" s="22">
        <f>_xlfn.XLOOKUP(B45,Nykaa_PL[Particulars],Nykaa_PL[Mar 2023])</f>
        <v>0</v>
      </c>
      <c r="H45" s="56">
        <f>G45/$G$34</f>
        <v>0</v>
      </c>
      <c r="I45" s="22"/>
      <c r="J45" s="22">
        <f>_xlfn.XLOOKUP(B45,mamaearth_PL[Particulars],mamaearth_PL[Mar 2023])</f>
        <v>0</v>
      </c>
      <c r="K45" s="56">
        <f>J45/$J$34</f>
        <v>0</v>
      </c>
      <c r="L45" s="22"/>
      <c r="M45" s="22">
        <f>_xlfn.XLOOKUP('Common p&amp;l'!B45,delhivery_PL[Particulars],delhivery_PL[Mar 2023])</f>
        <v>0</v>
      </c>
      <c r="N45" s="56">
        <f>M45/$M$34</f>
        <v>0</v>
      </c>
      <c r="S45" s="89"/>
    </row>
    <row r="46" spans="2:23" x14ac:dyDescent="0.3">
      <c r="N46" s="22"/>
    </row>
    <row r="48" spans="2:23" x14ac:dyDescent="0.3">
      <c r="T48" t="s">
        <v>51</v>
      </c>
      <c r="U48" t="s">
        <v>42</v>
      </c>
      <c r="V48" t="s">
        <v>52</v>
      </c>
      <c r="W48" t="s">
        <v>53</v>
      </c>
    </row>
    <row r="49" spans="19:23" ht="15.6" x14ac:dyDescent="0.3">
      <c r="S49" s="58" t="s">
        <v>22</v>
      </c>
      <c r="T49" s="91">
        <v>1</v>
      </c>
      <c r="U49" s="91">
        <v>1</v>
      </c>
      <c r="V49" s="91">
        <v>1</v>
      </c>
      <c r="W49" s="91">
        <v>1</v>
      </c>
    </row>
    <row r="50" spans="19:23" ht="15.6" x14ac:dyDescent="0.3">
      <c r="S50" s="61" t="s">
        <v>23</v>
      </c>
      <c r="T50" s="92">
        <v>1.1710693600791071</v>
      </c>
      <c r="U50" s="92">
        <v>0.95003888024883354</v>
      </c>
      <c r="V50" s="92">
        <v>0.967741935483871</v>
      </c>
      <c r="W50" s="92">
        <v>1.0625605536332179</v>
      </c>
    </row>
    <row r="51" spans="19:23" ht="15.6" x14ac:dyDescent="0.3">
      <c r="S51" s="58" t="s">
        <v>24</v>
      </c>
      <c r="T51" s="91">
        <v>-0.17106936007910722</v>
      </c>
      <c r="U51" s="91">
        <v>4.9961119751166405E-2</v>
      </c>
      <c r="V51" s="91">
        <v>3.2258064516129031E-2</v>
      </c>
      <c r="W51" s="91">
        <v>-6.2560553633217997E-2</v>
      </c>
    </row>
    <row r="52" spans="19:23" ht="15.6" x14ac:dyDescent="0.3">
      <c r="S52" s="58" t="s">
        <v>26</v>
      </c>
      <c r="T52" s="91">
        <v>9.6341291142816782E-2</v>
      </c>
      <c r="U52" s="91">
        <v>5.8320373250388803E-3</v>
      </c>
      <c r="V52" s="91">
        <v>-9.4623655913978491E-2</v>
      </c>
      <c r="W52" s="91">
        <v>4.4152249134948099E-2</v>
      </c>
    </row>
    <row r="53" spans="19:23" ht="15.6" x14ac:dyDescent="0.3">
      <c r="S53" s="61" t="s">
        <v>27</v>
      </c>
      <c r="T53" s="92">
        <v>6.9218816216979799E-3</v>
      </c>
      <c r="U53" s="92">
        <v>1.4774494556765163E-2</v>
      </c>
      <c r="V53" s="92">
        <v>3.5842293906810036E-3</v>
      </c>
      <c r="W53" s="92">
        <v>1.2318339100346021E-2</v>
      </c>
    </row>
    <row r="54" spans="19:23" ht="15.6" x14ac:dyDescent="0.3">
      <c r="S54" s="58" t="s">
        <v>28</v>
      </c>
      <c r="T54" s="91">
        <v>6.1731883034326883E-2</v>
      </c>
      <c r="U54" s="91">
        <v>3.363141524105754E-2</v>
      </c>
      <c r="V54" s="91">
        <v>1.0752688172043012E-2</v>
      </c>
      <c r="W54" s="91">
        <v>0.11501730103806228</v>
      </c>
    </row>
    <row r="55" spans="19:23" ht="15.6" x14ac:dyDescent="0.3">
      <c r="S55" s="61" t="s">
        <v>29</v>
      </c>
      <c r="T55" s="92">
        <v>-0.14338183359231529</v>
      </c>
      <c r="U55" s="92">
        <v>7.3872472783825813E-3</v>
      </c>
      <c r="V55" s="92">
        <v>-7.6702508960573471E-2</v>
      </c>
      <c r="W55" s="92">
        <v>-0.1457439446366782</v>
      </c>
    </row>
    <row r="56" spans="19:23" ht="15.6" x14ac:dyDescent="0.3">
      <c r="S56" s="58" t="s">
        <v>30</v>
      </c>
      <c r="T56" s="91">
        <v>-5.6505156095493717E-6</v>
      </c>
      <c r="U56" s="91">
        <v>6.8040435458786928E-5</v>
      </c>
      <c r="V56" s="91">
        <v>8.6021505376344081E-5</v>
      </c>
      <c r="W56" s="91">
        <v>-5.5363321799307958E-6</v>
      </c>
    </row>
    <row r="57" spans="19:23" ht="15.6" x14ac:dyDescent="0.3">
      <c r="S57" s="61" t="s">
        <v>31</v>
      </c>
      <c r="T57" s="92">
        <v>-0.13716626642181098</v>
      </c>
      <c r="U57" s="92">
        <v>4.0824261275272163E-3</v>
      </c>
      <c r="V57" s="92">
        <v>-8.6738351254480289E-2</v>
      </c>
      <c r="W57" s="92">
        <v>-0.13951557093425607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68307B-682A-49D1-A4B0-FB4AA9B9B8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MAMAEARTH</vt:lpstr>
      <vt:lpstr>NYKAA ltd.</vt:lpstr>
      <vt:lpstr>DELHIVERY ltd.</vt:lpstr>
      <vt:lpstr>ZOMATO ltd.</vt:lpstr>
      <vt:lpstr>Cash Flow Analysis</vt:lpstr>
      <vt:lpstr>Revenue and profit growth</vt:lpstr>
      <vt:lpstr>Common size BL.</vt:lpstr>
      <vt:lpstr>Financial Ratios</vt:lpstr>
      <vt:lpstr>What if analysis</vt:lpstr>
      <vt:lpstr>Dashboard</vt:lpstr>
      <vt:lpstr>Common p&amp;l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gracy triyar</dc:creator>
  <cp:lastModifiedBy>gracy triyar</cp:lastModifiedBy>
  <dcterms:created xsi:type="dcterms:W3CDTF">2025-07-18T18:48:09Z</dcterms:created>
  <dcterms:modified xsi:type="dcterms:W3CDTF">2025-07-22T19:21:33Z</dcterms:modified>
</cp:coreProperties>
</file>