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raev\OneDrive\Рабочий стол\ITMO\2COURSE\2SEM\Physics\lab_3_05\"/>
    </mc:Choice>
  </mc:AlternateContent>
  <xr:revisionPtr revIDLastSave="0" documentId="13_ncr:1_{F9C4CEF7-7F99-4F6B-93A3-B6DC867D8212}" xr6:coauthVersionLast="47" xr6:coauthVersionMax="47" xr10:uidLastSave="{00000000-0000-0000-0000-000000000000}"/>
  <bookViews>
    <workbookView xWindow="-16320" yWindow="-4275" windowWidth="16440" windowHeight="283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1" l="1"/>
  <c r="D18" i="1" l="1"/>
  <c r="A18" i="1" l="1"/>
  <c r="D31" i="1"/>
  <c r="D30" i="1"/>
  <c r="D29" i="1"/>
  <c r="A29" i="1"/>
  <c r="B29" i="1" s="1"/>
  <c r="D28" i="1"/>
  <c r="A28" i="1"/>
  <c r="B28" i="1" s="1"/>
  <c r="D27" i="1"/>
  <c r="A27" i="1"/>
  <c r="B27" i="1" s="1"/>
  <c r="D26" i="1"/>
  <c r="A26" i="1"/>
  <c r="B26" i="1" s="1"/>
  <c r="A25" i="1"/>
  <c r="B25" i="1" s="1"/>
  <c r="A24" i="1"/>
  <c r="B24" i="1" s="1"/>
  <c r="D23" i="1"/>
  <c r="A23" i="1"/>
  <c r="B23" i="1" s="1"/>
  <c r="D22" i="1"/>
  <c r="A22" i="1"/>
  <c r="B22" i="1" s="1"/>
  <c r="D21" i="1"/>
  <c r="A21" i="1"/>
  <c r="B21" i="1" s="1"/>
  <c r="D20" i="1"/>
  <c r="A20" i="1"/>
  <c r="B20" i="1" s="1"/>
  <c r="D19" i="1"/>
  <c r="A19" i="1"/>
  <c r="B19" i="1" s="1"/>
  <c r="B18" i="1"/>
  <c r="E28" i="1" l="1"/>
  <c r="F28" i="1" s="1"/>
  <c r="E20" i="1"/>
  <c r="E21" i="1"/>
  <c r="E29" i="1"/>
  <c r="F29" i="1" s="1"/>
  <c r="E30" i="1"/>
  <c r="F30" i="1" s="1"/>
  <c r="E22" i="1"/>
  <c r="E31" i="1"/>
  <c r="F31" i="1" s="1"/>
  <c r="E23" i="1"/>
  <c r="E26" i="1"/>
  <c r="F26" i="1" s="1"/>
  <c r="E18" i="1"/>
  <c r="E27" i="1"/>
  <c r="F27" i="1" s="1"/>
  <c r="E19" i="1"/>
  <c r="M29" i="1" l="1"/>
  <c r="O14" i="1" s="1"/>
  <c r="M28" i="1"/>
  <c r="N28" i="1" s="1"/>
  <c r="M27" i="1"/>
  <c r="P12" i="1" s="1"/>
  <c r="M26" i="1"/>
  <c r="N26" i="1" s="1"/>
  <c r="M25" i="1"/>
  <c r="N25" i="1" s="1"/>
  <c r="M24" i="1"/>
  <c r="N24" i="1" s="1"/>
  <c r="O8" i="1"/>
  <c r="M22" i="1"/>
  <c r="M21" i="1"/>
  <c r="M20" i="1"/>
  <c r="N20" i="1" s="1"/>
  <c r="M19" i="1"/>
  <c r="P4" i="1" s="1"/>
  <c r="M18" i="1"/>
  <c r="Q14" i="1"/>
  <c r="F14" i="1"/>
  <c r="G14" i="1" s="1"/>
  <c r="Q13" i="1"/>
  <c r="P13" i="1"/>
  <c r="O13" i="1"/>
  <c r="F13" i="1"/>
  <c r="G13" i="1" s="1"/>
  <c r="Q12" i="1"/>
  <c r="G12" i="1"/>
  <c r="F12" i="1"/>
  <c r="P11" i="1"/>
  <c r="O11" i="1"/>
  <c r="F11" i="1"/>
  <c r="G11" i="1" s="1"/>
  <c r="P10" i="1"/>
  <c r="O10" i="1"/>
  <c r="F10" i="1"/>
  <c r="G10" i="1" s="1"/>
  <c r="F9" i="1"/>
  <c r="G9" i="1" s="1"/>
  <c r="P8" i="1"/>
  <c r="F8" i="1"/>
  <c r="G8" i="1" s="1"/>
  <c r="P7" i="1"/>
  <c r="O7" i="1"/>
  <c r="F7" i="1"/>
  <c r="C7" i="1"/>
  <c r="C8" i="1" s="1"/>
  <c r="P6" i="1"/>
  <c r="O6" i="1"/>
  <c r="F6" i="1"/>
  <c r="G6" i="1" s="1"/>
  <c r="C6" i="1"/>
  <c r="H6" i="1" s="1"/>
  <c r="L5" i="1"/>
  <c r="L6" i="1" s="1"/>
  <c r="H5" i="1"/>
  <c r="G5" i="1"/>
  <c r="F5" i="1"/>
  <c r="C5" i="1"/>
  <c r="L4" i="1"/>
  <c r="R4" i="1" s="1"/>
  <c r="H4" i="1"/>
  <c r="F4" i="1"/>
  <c r="R3" i="1"/>
  <c r="P3" i="1"/>
  <c r="O3" i="1"/>
  <c r="H3" i="1"/>
  <c r="F3" i="1"/>
  <c r="G3" i="1" s="1"/>
  <c r="R6" i="1" l="1"/>
  <c r="L7" i="1"/>
  <c r="Q11" i="1"/>
  <c r="H8" i="1"/>
  <c r="C9" i="1"/>
  <c r="G7" i="1"/>
  <c r="H7" i="1"/>
  <c r="R5" i="1"/>
  <c r="N29" i="1"/>
  <c r="G4" i="1"/>
  <c r="N18" i="1"/>
  <c r="N23" i="1"/>
  <c r="O4" i="1"/>
  <c r="O9" i="1"/>
  <c r="O5" i="1"/>
  <c r="P5" i="1"/>
  <c r="N19" i="1"/>
  <c r="N27" i="1"/>
  <c r="P9" i="1"/>
  <c r="N22" i="1"/>
  <c r="P14" i="1"/>
  <c r="N21" i="1"/>
  <c r="O12" i="1"/>
  <c r="C10" i="1" l="1"/>
  <c r="H9" i="1"/>
  <c r="L8" i="1"/>
  <c r="Q10" i="1"/>
  <c r="R7" i="1"/>
  <c r="Q9" i="1" l="1"/>
  <c r="L9" i="1"/>
  <c r="R8" i="1"/>
  <c r="H10" i="1"/>
  <c r="C11" i="1"/>
  <c r="L10" i="1" l="1"/>
  <c r="Q8" i="1"/>
  <c r="R9" i="1"/>
  <c r="C12" i="1"/>
  <c r="H11" i="1"/>
  <c r="H12" i="1" l="1"/>
  <c r="C13" i="1"/>
  <c r="Q18" i="1"/>
  <c r="P18" i="1"/>
  <c r="R10" i="1"/>
  <c r="Q7" i="1"/>
  <c r="L11" i="1"/>
  <c r="L12" i="1" l="1"/>
  <c r="Q6" i="1"/>
  <c r="R11" i="1"/>
  <c r="Q19" i="1"/>
  <c r="P19" i="1"/>
  <c r="S19" i="1" s="1"/>
  <c r="S18" i="1"/>
  <c r="H13" i="1"/>
  <c r="C14" i="1"/>
  <c r="H14" i="1" l="1"/>
  <c r="K21" i="1"/>
  <c r="Q20" i="1"/>
  <c r="P20" i="1"/>
  <c r="R12" i="1"/>
  <c r="Q5" i="1"/>
  <c r="L13" i="1"/>
  <c r="K18" i="1"/>
  <c r="T3" i="1" l="1"/>
  <c r="T4" i="1"/>
  <c r="T5" i="1"/>
  <c r="T6" i="1"/>
  <c r="L14" i="1"/>
  <c r="Q4" i="1"/>
  <c r="R13" i="1"/>
  <c r="Q21" i="1"/>
  <c r="P21" i="1"/>
  <c r="S20" i="1"/>
  <c r="T8" i="1"/>
  <c r="U8" i="1"/>
  <c r="U3" i="1"/>
  <c r="U4" i="1"/>
  <c r="U5" i="1"/>
  <c r="U6" i="1"/>
  <c r="U7" i="1"/>
  <c r="T7" i="1"/>
  <c r="G26" i="1" l="1"/>
  <c r="F18" i="1"/>
  <c r="S21" i="1"/>
  <c r="Q22" i="1"/>
  <c r="P22" i="1"/>
  <c r="R14" i="1"/>
  <c r="Q3" i="1"/>
  <c r="G18" i="1" l="1"/>
  <c r="H18" i="1" s="1"/>
  <c r="F19" i="1"/>
  <c r="G27" i="1"/>
  <c r="H26" i="1"/>
  <c r="I26" i="1" s="1"/>
  <c r="Q23" i="1"/>
  <c r="P23" i="1"/>
  <c r="S23" i="1" s="1"/>
  <c r="S22" i="1"/>
  <c r="S26" i="1"/>
  <c r="G28" i="1" l="1"/>
  <c r="H27" i="1"/>
  <c r="I27" i="1" s="1"/>
  <c r="F20" i="1"/>
  <c r="G19" i="1"/>
  <c r="H19" i="1" s="1"/>
  <c r="S6" i="1"/>
  <c r="S4" i="1"/>
  <c r="S8" i="1"/>
  <c r="S7" i="1"/>
  <c r="S5" i="1"/>
  <c r="S3" i="1"/>
  <c r="R18" i="1" s="1"/>
  <c r="F21" i="1" l="1"/>
  <c r="G20" i="1"/>
  <c r="H20" i="1" s="1"/>
  <c r="H28" i="1"/>
  <c r="I28" i="1" s="1"/>
  <c r="G29" i="1"/>
  <c r="T22" i="1"/>
  <c r="T23" i="1"/>
  <c r="T18" i="1"/>
  <c r="T19" i="1"/>
  <c r="R19" i="1"/>
  <c r="R20" i="1" s="1"/>
  <c r="R21" i="1" s="1"/>
  <c r="R22" i="1" s="1"/>
  <c r="R23" i="1" s="1"/>
  <c r="T20" i="1"/>
  <c r="T21" i="1"/>
  <c r="G30" i="1" l="1"/>
  <c r="H29" i="1"/>
  <c r="I29" i="1" s="1"/>
  <c r="G21" i="1"/>
  <c r="H21" i="1" s="1"/>
  <c r="F22" i="1"/>
  <c r="U22" i="1"/>
  <c r="U23" i="1"/>
  <c r="U18" i="1"/>
  <c r="U21" i="1"/>
  <c r="U19" i="1"/>
  <c r="U20" i="1"/>
  <c r="F23" i="1" l="1"/>
  <c r="G23" i="1" s="1"/>
  <c r="H23" i="1" s="1"/>
  <c r="G22" i="1"/>
  <c r="H22" i="1" s="1"/>
  <c r="G31" i="1"/>
  <c r="H31" i="1" s="1"/>
  <c r="I31" i="1" s="1"/>
  <c r="H30" i="1"/>
  <c r="I30" i="1" s="1"/>
  <c r="K19" i="1"/>
  <c r="K20" i="1" s="1"/>
  <c r="S27" i="1"/>
  <c r="S28" i="1" s="1"/>
  <c r="K22" i="1" l="1"/>
  <c r="K23" i="1" s="1"/>
  <c r="K25" i="1" s="1"/>
</calcChain>
</file>

<file path=xl/sharedStrings.xml><?xml version="1.0" encoding="utf-8"?>
<sst xmlns="http://schemas.openxmlformats.org/spreadsheetml/2006/main" count="47" uniqueCount="34">
  <si>
    <t>Таблица 1.</t>
  </si>
  <si>
    <t>Таблица 2.</t>
  </si>
  <si>
    <t>№</t>
  </si>
  <si>
    <t>T, К</t>
  </si>
  <si>
    <t>I, мкА</t>
  </si>
  <si>
    <t>U, В</t>
  </si>
  <si>
    <t>R, Ом</t>
  </si>
  <si>
    <t>lnR</t>
  </si>
  <si>
    <t>10^3/T, 1/K</t>
  </si>
  <si>
    <r>
      <t xml:space="preserve">t, </t>
    </r>
    <r>
      <rPr>
        <sz val="11"/>
        <color theme="1"/>
        <rFont val="Courier New"/>
      </rPr>
      <t>º</t>
    </r>
    <r>
      <rPr>
        <sz val="11"/>
        <color theme="1"/>
        <rFont val="Calibri"/>
      </rPr>
      <t>C</t>
    </r>
  </si>
  <si>
    <t>ΔR</t>
  </si>
  <si>
    <t>E, Дж</t>
  </si>
  <si>
    <t>ΔE и</t>
  </si>
  <si>
    <t xml:space="preserve">S E </t>
  </si>
  <si>
    <t>ΔE сл</t>
  </si>
  <si>
    <t>ΔE</t>
  </si>
  <si>
    <t>α</t>
  </si>
  <si>
    <t>εα</t>
  </si>
  <si>
    <r>
      <t xml:space="preserve">S </t>
    </r>
    <r>
      <rPr>
        <sz val="11"/>
        <color theme="1"/>
        <rFont val="Calibri"/>
      </rPr>
      <t>α</t>
    </r>
  </si>
  <si>
    <t>Δα и</t>
  </si>
  <si>
    <t>Δα сл.</t>
  </si>
  <si>
    <t>Δα</t>
  </si>
  <si>
    <t>E cp., Дж</t>
  </si>
  <si>
    <t>ΔE cp.</t>
  </si>
  <si>
    <t>E cp., эВ</t>
  </si>
  <si>
    <r>
      <rPr>
        <sz val="11"/>
        <color theme="1"/>
        <rFont val="Calibri"/>
      </rPr>
      <t>Δ</t>
    </r>
    <r>
      <rPr>
        <sz val="11"/>
        <color theme="1"/>
        <rFont val="Calibri"/>
        <scheme val="minor"/>
      </rPr>
      <t>E cp., эВ</t>
    </r>
  </si>
  <si>
    <t>Е, эВ</t>
  </si>
  <si>
    <t>ε E</t>
  </si>
  <si>
    <t>ΔE инст.</t>
  </si>
  <si>
    <r>
      <rPr>
        <sz val="11"/>
        <color theme="1"/>
        <rFont val="Calibri"/>
      </rPr>
      <t>α</t>
    </r>
    <r>
      <rPr>
        <sz val="11"/>
        <color theme="1"/>
        <rFont val="Calibri"/>
        <scheme val="minor"/>
      </rPr>
      <t xml:space="preserve"> ср.</t>
    </r>
  </si>
  <si>
    <t>Δα cp.</t>
  </si>
  <si>
    <t>inv</t>
  </si>
  <si>
    <t>1 граф</t>
  </si>
  <si>
    <t>2 граф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</si>
</sst>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000000000000000"/>
    <numFmt numFmtId="167" formatCode="0.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scheme val="minor"/>
    </font>
    <font>
      <sz val="11"/>
      <name val="Calibri"/>
      <scheme val="minor"/>
    </font>
    <font>
      <sz val="11"/>
      <color theme="1"/>
      <name val="Calibri"/>
    </font>
    <font>
      <sz val="11"/>
      <color theme="1"/>
      <name val="Courier New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1" xfId="0" applyNumberFormat="1" applyBorder="1"/>
    <xf numFmtId="165" fontId="0" fillId="0" borderId="1" xfId="0" applyNumberFormat="1" applyBorder="1"/>
    <xf numFmtId="0" fontId="4" fillId="0" borderId="0" xfId="0" applyFont="1"/>
    <xf numFmtId="165" fontId="0" fillId="0" borderId="0" xfId="0" applyNumberFormat="1"/>
    <xf numFmtId="167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2" fontId="3" fillId="0" borderId="1" xfId="0" applyNumberFormat="1" applyFont="1" applyBorder="1"/>
    <xf numFmtId="0" fontId="6" fillId="0" borderId="0" xfId="0" applyFont="1"/>
    <xf numFmtId="166" fontId="0" fillId="0" borderId="0" xfId="0" applyNumberFormat="1"/>
    <xf numFmtId="0" fontId="1" fillId="0" borderId="0" xfId="0" applyFont="1"/>
    <xf numFmtId="0" fontId="0" fillId="0" borderId="0" xfId="0" applyFill="1"/>
    <xf numFmtId="165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67" fontId="0" fillId="0" borderId="0" xfId="0" applyNumberFormat="1" applyFill="1"/>
    <xf numFmtId="0" fontId="4" fillId="0" borderId="0" xfId="0" applyFont="1" applyFill="1"/>
    <xf numFmtId="165" fontId="0" fillId="2" borderId="1" xfId="0" applyNumberFormat="1" applyFill="1" applyBorder="1"/>
    <xf numFmtId="165" fontId="0" fillId="2" borderId="0" xfId="0" applyNumberFormat="1" applyFill="1"/>
    <xf numFmtId="0" fontId="0" fillId="2" borderId="1" xfId="0" applyFill="1" applyBorder="1"/>
    <xf numFmtId="164" fontId="0" fillId="2" borderId="1" xfId="0" applyNumberFormat="1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770378175662745E-2"/>
          <c:y val="1.6489685489174642E-2"/>
          <c:w val="0.84931590634551446"/>
          <c:h val="0.90230741129469627"/>
        </c:manualLayout>
      </c:layout>
      <c:scatterChart>
        <c:scatterStyle val="smoothMarker"/>
        <c:varyColors val="0"/>
        <c:ser>
          <c:idx val="0"/>
          <c:order val="0"/>
          <c:trendline>
            <c:spPr>
              <a:ln>
                <a:noFill/>
              </a:ln>
            </c:spPr>
            <c:trendlineType val="log"/>
            <c:dispRSqr val="0"/>
            <c:dispEq val="0"/>
          </c:trendline>
          <c:xVal>
            <c:numRef>
              <c:f>Лист1!$H$3:$H$14</c:f>
              <c:numCache>
                <c:formatCode>0.00</c:formatCode>
                <c:ptCount val="12"/>
                <c:pt idx="0">
                  <c:v>3.4482758620689653</c:v>
                </c:pt>
                <c:pt idx="1">
                  <c:v>3.3898305084745761</c:v>
                </c:pt>
                <c:pt idx="2">
                  <c:v>3.3333333333333335</c:v>
                </c:pt>
                <c:pt idx="3">
                  <c:v>3.278688524590164</c:v>
                </c:pt>
                <c:pt idx="4">
                  <c:v>3.225806451612903</c:v>
                </c:pt>
                <c:pt idx="5">
                  <c:v>3.1746031746031744</c:v>
                </c:pt>
                <c:pt idx="6">
                  <c:v>3.125</c:v>
                </c:pt>
                <c:pt idx="7">
                  <c:v>3.0769230769230771</c:v>
                </c:pt>
                <c:pt idx="8">
                  <c:v>3.0303030303030303</c:v>
                </c:pt>
                <c:pt idx="9">
                  <c:v>2.9850746268656718</c:v>
                </c:pt>
                <c:pt idx="10">
                  <c:v>2.9411764705882355</c:v>
                </c:pt>
                <c:pt idx="11">
                  <c:v>2.8985507246376812</c:v>
                </c:pt>
              </c:numCache>
            </c:numRef>
          </c:xVal>
          <c:yVal>
            <c:numRef>
              <c:f>Лист1!$G$3:$G$14</c:f>
              <c:numCache>
                <c:formatCode>0.00</c:formatCode>
                <c:ptCount val="12"/>
                <c:pt idx="0">
                  <c:v>5.7449754578655563</c:v>
                </c:pt>
                <c:pt idx="1">
                  <c:v>5.534944268199534</c:v>
                </c:pt>
                <c:pt idx="2">
                  <c:v>5.2452075412340884</c:v>
                </c:pt>
                <c:pt idx="3">
                  <c:v>5.0560976681730132</c:v>
                </c:pt>
                <c:pt idx="4">
                  <c:v>4.8738117804415007</c:v>
                </c:pt>
                <c:pt idx="5">
                  <c:v>4.5909855509961348</c:v>
                </c:pt>
                <c:pt idx="6">
                  <c:v>4.3869913193032835</c:v>
                </c:pt>
                <c:pt idx="7">
                  <c:v>4.192910034747098</c:v>
                </c:pt>
                <c:pt idx="8">
                  <c:v>4.0076710801503674</c:v>
                </c:pt>
                <c:pt idx="9">
                  <c:v>3.8203852498760851</c:v>
                </c:pt>
                <c:pt idx="10">
                  <c:v>3.6554811737120882</c:v>
                </c:pt>
                <c:pt idx="11">
                  <c:v>3.4845789906012063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3A-43E1-858C-85BD1B38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5232"/>
        <c:axId val="42893696"/>
      </c:scatterChart>
      <c:valAx>
        <c:axId val="4289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10^3/T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2893696"/>
        <c:crosses val="autoZero"/>
        <c:crossBetween val="midCat"/>
      </c:valAx>
      <c:valAx>
        <c:axId val="4289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ln(R)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289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770378175662745E-2"/>
          <c:y val="1.6489685489174642E-2"/>
          <c:w val="0.84931590634551446"/>
          <c:h val="0.90230741129469627"/>
        </c:manualLayout>
      </c:layout>
      <c:scatterChart>
        <c:scatterStyle val="smoothMarker"/>
        <c:varyColors val="0"/>
        <c:ser>
          <c:idx val="0"/>
          <c:order val="0"/>
          <c:trendline>
            <c:spPr>
              <a:ln>
                <a:noFill/>
              </a:ln>
            </c:spPr>
            <c:trendlineType val="log"/>
            <c:dispRSqr val="0"/>
            <c:dispEq val="0"/>
          </c:trendline>
          <c:xVal>
            <c:numRef>
              <c:f>Лист1!$R$3:$R$14</c:f>
              <c:numCache>
                <c:formatCode>General</c:formatCode>
                <c:ptCount val="12"/>
                <c:pt idx="0">
                  <c:v>77</c:v>
                </c:pt>
                <c:pt idx="1">
                  <c:v>72</c:v>
                </c:pt>
                <c:pt idx="2">
                  <c:v>67</c:v>
                </c:pt>
                <c:pt idx="3">
                  <c:v>62</c:v>
                </c:pt>
                <c:pt idx="4">
                  <c:v>57</c:v>
                </c:pt>
                <c:pt idx="5">
                  <c:v>52</c:v>
                </c:pt>
                <c:pt idx="6">
                  <c:v>47</c:v>
                </c:pt>
                <c:pt idx="7">
                  <c:v>42</c:v>
                </c:pt>
                <c:pt idx="8">
                  <c:v>37</c:v>
                </c:pt>
                <c:pt idx="9">
                  <c:v>32</c:v>
                </c:pt>
                <c:pt idx="10">
                  <c:v>27</c:v>
                </c:pt>
                <c:pt idx="11">
                  <c:v>22</c:v>
                </c:pt>
              </c:numCache>
            </c:numRef>
          </c:xVal>
          <c:yVal>
            <c:numRef>
              <c:f>Лист1!$O$3:$O$14</c:f>
              <c:numCache>
                <c:formatCode>0.0</c:formatCode>
                <c:ptCount val="12"/>
                <c:pt idx="0">
                  <c:v>1557.6923076923078</c:v>
                </c:pt>
                <c:pt idx="1">
                  <c:v>1529.0753098188752</c:v>
                </c:pt>
                <c:pt idx="2">
                  <c:v>1511.3421550094517</c:v>
                </c:pt>
                <c:pt idx="3">
                  <c:v>1476.7225325884544</c:v>
                </c:pt>
                <c:pt idx="4">
                  <c:v>1446.6911764705883</c:v>
                </c:pt>
                <c:pt idx="5">
                  <c:v>1420.5267938237967</c:v>
                </c:pt>
                <c:pt idx="6">
                  <c:v>1391.0313901345291</c:v>
                </c:pt>
                <c:pt idx="7">
                  <c:v>1361.9469026548672</c:v>
                </c:pt>
                <c:pt idx="8">
                  <c:v>1343.8596491228072</c:v>
                </c:pt>
                <c:pt idx="9">
                  <c:v>1315.151515151515</c:v>
                </c:pt>
                <c:pt idx="10">
                  <c:v>1288.8888888888889</c:v>
                </c:pt>
                <c:pt idx="11">
                  <c:v>1262.668918918919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FF-48CB-8C40-F529BD1E4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5232"/>
        <c:axId val="42893696"/>
      </c:scatterChart>
      <c:valAx>
        <c:axId val="4289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C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93696"/>
        <c:crosses val="autoZero"/>
        <c:crossBetween val="midCat"/>
      </c:valAx>
      <c:valAx>
        <c:axId val="4289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R, </a:t>
                </a:r>
                <a:r>
                  <a:rPr lang="ru-RU"/>
                  <a:t>Ом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289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468630</xdr:colOff>
      <xdr:row>41</xdr:row>
      <xdr:rowOff>152400</xdr:rowOff>
    </xdr:from>
    <xdr:to>
      <xdr:col>8</xdr:col>
      <xdr:colOff>15240</xdr:colOff>
      <xdr:row>62</xdr:row>
      <xdr:rowOff>28969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77EBEB5-8B87-4EB2-90C1-85198B2A1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22</xdr:col>
      <xdr:colOff>72390</xdr:colOff>
      <xdr:row>62</xdr:row>
      <xdr:rowOff>53734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45C0083-FB28-4760-8AA6-40D86AAF7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topLeftCell="I1" workbookViewId="0">
      <selection activeCell="M8" sqref="M8"/>
    </sheetView>
  </sheetViews>
  <sheetFormatPr defaultRowHeight="14.4" x14ac:dyDescent="0.3"/>
  <cols>
    <col min="1" max="1" width="11.109375" customWidth="1"/>
    <col min="2" max="2" width="8.88671875" customWidth="1"/>
    <col min="4" max="4" width="27.33203125" customWidth="1"/>
    <col min="8" max="8" width="23.33203125" customWidth="1"/>
    <col min="9" max="9" width="8.88671875" customWidth="1"/>
    <col min="10" max="10" width="11.109375" customWidth="1"/>
    <col min="11" max="11" width="12.44140625" bestFit="1" customWidth="1"/>
    <col min="15" max="16" width="8.88671875" customWidth="1"/>
    <col min="17" max="17" width="11.109375" customWidth="1"/>
    <col min="19" max="19" width="12.44140625" bestFit="1" customWidth="1"/>
    <col min="20" max="20" width="12" bestFit="1" customWidth="1"/>
    <col min="21" max="21" width="12.44140625" bestFit="1" customWidth="1"/>
    <col min="22" max="23" width="12.6640625" bestFit="1" customWidth="1"/>
  </cols>
  <sheetData>
    <row r="1" spans="1:21" x14ac:dyDescent="0.3">
      <c r="A1" t="s">
        <v>0</v>
      </c>
      <c r="J1" t="s">
        <v>1</v>
      </c>
    </row>
    <row r="2" spans="1:21" x14ac:dyDescent="0.3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7" t="s">
        <v>31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2" t="s">
        <v>9</v>
      </c>
    </row>
    <row r="3" spans="1:21" x14ac:dyDescent="0.3">
      <c r="B3" s="1">
        <v>1</v>
      </c>
      <c r="C3" s="1">
        <v>290</v>
      </c>
      <c r="D3" s="1">
        <v>1078</v>
      </c>
      <c r="E3" s="3">
        <v>0.33700000000000002</v>
      </c>
      <c r="F3" s="4">
        <f t="shared" ref="F3:F14" si="0">E3/D3*10^6</f>
        <v>312.61595547309832</v>
      </c>
      <c r="G3" s="9">
        <f t="shared" ref="G3:G14" si="1">LN(F3)</f>
        <v>5.7449754578655563</v>
      </c>
      <c r="H3" s="9">
        <f t="shared" ref="H3:H14" si="2">10^3/C3</f>
        <v>3.4482758620689653</v>
      </c>
      <c r="I3">
        <v>2.9</v>
      </c>
      <c r="K3" s="1">
        <v>1</v>
      </c>
      <c r="L3" s="1">
        <v>350</v>
      </c>
      <c r="M3" s="1">
        <v>1040</v>
      </c>
      <c r="N3" s="3">
        <v>1.62</v>
      </c>
      <c r="O3" s="4">
        <f t="shared" ref="O3:O14" si="3">M18</f>
        <v>1557.6923076923078</v>
      </c>
      <c r="P3" s="1">
        <f t="shared" ref="P3:P14" si="4">LN(M18)</f>
        <v>7.3509607150731489</v>
      </c>
      <c r="Q3" s="3">
        <f>10^3/L14</f>
        <v>3.3898305084745761</v>
      </c>
      <c r="R3">
        <f t="shared" ref="R3:R14" si="5">L3-273</f>
        <v>77</v>
      </c>
      <c r="S3">
        <f t="shared" ref="S3:S8" si="6">$S$26-P18</f>
        <v>-1.4133167532560421E-4</v>
      </c>
      <c r="T3">
        <f t="shared" ref="T3:T8" si="7">D18-$K$18</f>
        <v>6.1506650196215928E-22</v>
      </c>
      <c r="U3">
        <f t="shared" ref="U3:U8" si="8">D26-$K$21</f>
        <v>3.841937135444673E-3</v>
      </c>
    </row>
    <row r="4" spans="1:21" x14ac:dyDescent="0.3">
      <c r="B4" s="1">
        <v>2</v>
      </c>
      <c r="C4" s="1">
        <v>295</v>
      </c>
      <c r="D4" s="1">
        <v>1105</v>
      </c>
      <c r="E4" s="3">
        <v>0.28000000000000003</v>
      </c>
      <c r="F4" s="4">
        <f t="shared" si="0"/>
        <v>253.39366515837108</v>
      </c>
      <c r="G4" s="9">
        <f t="shared" si="1"/>
        <v>5.534944268199534</v>
      </c>
      <c r="H4" s="9">
        <f t="shared" si="2"/>
        <v>3.3898305084745761</v>
      </c>
      <c r="I4">
        <v>2.94</v>
      </c>
      <c r="K4" s="1">
        <v>2</v>
      </c>
      <c r="L4" s="1">
        <f t="shared" ref="L4:L14" si="9">L3-5</f>
        <v>345</v>
      </c>
      <c r="M4" s="1">
        <v>1049</v>
      </c>
      <c r="N4" s="3">
        <v>1.6040000000000001</v>
      </c>
      <c r="O4" s="4">
        <f t="shared" si="3"/>
        <v>1529.0753098188752</v>
      </c>
      <c r="P4" s="1">
        <f t="shared" si="4"/>
        <v>7.3324184590122998</v>
      </c>
      <c r="Q4" s="3">
        <f>10^3/L13</f>
        <v>3.3333333333333335</v>
      </c>
      <c r="R4">
        <f t="shared" si="5"/>
        <v>72</v>
      </c>
      <c r="S4">
        <f t="shared" si="6"/>
        <v>-1.6369937438649902E-4</v>
      </c>
      <c r="T4">
        <f t="shared" si="7"/>
        <v>3.0499422497416569E-21</v>
      </c>
      <c r="U4">
        <f t="shared" si="8"/>
        <v>1.905108854548776E-2</v>
      </c>
    </row>
    <row r="5" spans="1:21" x14ac:dyDescent="0.3">
      <c r="A5" s="10"/>
      <c r="B5" s="11">
        <v>3</v>
      </c>
      <c r="C5" s="11">
        <f t="shared" ref="C5:C14" si="10">C4+5</f>
        <v>300</v>
      </c>
      <c r="D5" s="11">
        <v>1160</v>
      </c>
      <c r="E5" s="12">
        <v>0.22</v>
      </c>
      <c r="F5" s="13">
        <f t="shared" si="0"/>
        <v>189.65517241379308</v>
      </c>
      <c r="G5" s="14">
        <f t="shared" si="1"/>
        <v>5.2452075412340884</v>
      </c>
      <c r="H5" s="14">
        <f t="shared" si="2"/>
        <v>3.3333333333333335</v>
      </c>
      <c r="I5">
        <v>2.99</v>
      </c>
      <c r="K5" s="1">
        <v>3</v>
      </c>
      <c r="L5" s="1">
        <f t="shared" si="9"/>
        <v>340</v>
      </c>
      <c r="M5" s="1">
        <v>1058</v>
      </c>
      <c r="N5" s="3">
        <v>1.599</v>
      </c>
      <c r="O5" s="4">
        <f t="shared" si="3"/>
        <v>1511.3421550094517</v>
      </c>
      <c r="P5" s="1">
        <f t="shared" si="4"/>
        <v>7.3207533793978463</v>
      </c>
      <c r="Q5" s="3">
        <f>10^3/L12</f>
        <v>3.278688524590164</v>
      </c>
      <c r="R5">
        <f t="shared" si="5"/>
        <v>67</v>
      </c>
      <c r="S5">
        <f t="shared" si="6"/>
        <v>-1.33557188477006E-4</v>
      </c>
      <c r="T5">
        <f t="shared" si="7"/>
        <v>-2.6093664364251212E-21</v>
      </c>
      <c r="U5">
        <f t="shared" si="8"/>
        <v>-1.6299086001438146E-2</v>
      </c>
    </row>
    <row r="6" spans="1:21" x14ac:dyDescent="0.3">
      <c r="A6" s="10"/>
      <c r="B6" s="11">
        <v>4</v>
      </c>
      <c r="C6" s="11">
        <f t="shared" si="10"/>
        <v>305</v>
      </c>
      <c r="D6" s="11">
        <v>1204</v>
      </c>
      <c r="E6" s="12">
        <v>0.189</v>
      </c>
      <c r="F6" s="13">
        <f t="shared" si="0"/>
        <v>156.97674418604652</v>
      </c>
      <c r="G6" s="14">
        <f t="shared" si="1"/>
        <v>5.0560976681730132</v>
      </c>
      <c r="H6" s="14">
        <f t="shared" si="2"/>
        <v>3.278688524590164</v>
      </c>
      <c r="I6">
        <v>3.03</v>
      </c>
      <c r="K6" s="1">
        <v>4</v>
      </c>
      <c r="L6" s="1">
        <f t="shared" si="9"/>
        <v>335</v>
      </c>
      <c r="M6" s="1">
        <v>1074</v>
      </c>
      <c r="N6" s="3">
        <v>1.5860000000000001</v>
      </c>
      <c r="O6" s="4">
        <f t="shared" si="3"/>
        <v>1476.7225325884544</v>
      </c>
      <c r="P6" s="1">
        <f t="shared" si="4"/>
        <v>7.2975804061081204</v>
      </c>
      <c r="Q6" s="3">
        <f>10^3/L11</f>
        <v>3.225806451612903</v>
      </c>
      <c r="R6">
        <f t="shared" si="5"/>
        <v>62</v>
      </c>
      <c r="S6">
        <f t="shared" si="6"/>
        <v>6.2541120065183649E-5</v>
      </c>
      <c r="T6">
        <f t="shared" si="7"/>
        <v>8.340157203991177E-22</v>
      </c>
      <c r="U6">
        <f t="shared" si="8"/>
        <v>5.2095764564060731E-3</v>
      </c>
    </row>
    <row r="7" spans="1:21" x14ac:dyDescent="0.3">
      <c r="A7" s="10"/>
      <c r="B7" s="11">
        <v>5</v>
      </c>
      <c r="C7" s="11">
        <f t="shared" si="10"/>
        <v>310</v>
      </c>
      <c r="D7" s="11">
        <v>1246</v>
      </c>
      <c r="E7" s="12">
        <v>0.16300000000000001</v>
      </c>
      <c r="F7" s="13">
        <f t="shared" si="0"/>
        <v>130.81861958266452</v>
      </c>
      <c r="G7" s="14">
        <f t="shared" si="1"/>
        <v>4.8738117804415007</v>
      </c>
      <c r="H7" s="14">
        <f t="shared" si="2"/>
        <v>3.225806451612903</v>
      </c>
      <c r="I7">
        <v>3.08</v>
      </c>
      <c r="K7" s="1">
        <v>5</v>
      </c>
      <c r="L7" s="1">
        <f t="shared" si="9"/>
        <v>330</v>
      </c>
      <c r="M7" s="1">
        <v>1088</v>
      </c>
      <c r="N7" s="3">
        <v>1.5740000000000001</v>
      </c>
      <c r="O7" s="4">
        <f t="shared" si="3"/>
        <v>1446.6911764705883</v>
      </c>
      <c r="P7" s="1">
        <f t="shared" si="4"/>
        <v>7.2770342805435977</v>
      </c>
      <c r="Q7" s="3">
        <f>10^3/L10</f>
        <v>3.1746031746031744</v>
      </c>
      <c r="R7">
        <f t="shared" si="5"/>
        <v>57</v>
      </c>
      <c r="S7">
        <f t="shared" si="6"/>
        <v>1.8875207077892475E-4</v>
      </c>
      <c r="T7">
        <f t="shared" si="7"/>
        <v>2.8148949614072733E-21</v>
      </c>
      <c r="U7">
        <f t="shared" si="8"/>
        <v>1.7582894614007527E-2</v>
      </c>
    </row>
    <row r="8" spans="1:21" x14ac:dyDescent="0.3">
      <c r="A8" s="10"/>
      <c r="B8" s="11">
        <v>6</v>
      </c>
      <c r="C8" s="11">
        <f t="shared" si="10"/>
        <v>315</v>
      </c>
      <c r="D8" s="11">
        <v>1278</v>
      </c>
      <c r="E8" s="12">
        <v>0.126</v>
      </c>
      <c r="F8" s="13">
        <f t="shared" si="0"/>
        <v>98.591549295774641</v>
      </c>
      <c r="G8" s="14">
        <f t="shared" si="1"/>
        <v>4.5909855509961348</v>
      </c>
      <c r="H8" s="14">
        <f t="shared" si="2"/>
        <v>3.1746031746031744</v>
      </c>
      <c r="I8">
        <v>3.13</v>
      </c>
      <c r="K8" s="26">
        <v>6</v>
      </c>
      <c r="L8" s="26">
        <f t="shared" si="9"/>
        <v>325</v>
      </c>
      <c r="M8" s="26">
        <v>1101</v>
      </c>
      <c r="N8" s="27">
        <v>1.5640000000000001</v>
      </c>
      <c r="O8" s="24">
        <f t="shared" si="3"/>
        <v>1420.5267938237967</v>
      </c>
      <c r="P8" s="26">
        <f t="shared" si="4"/>
        <v>7.2587830633647137</v>
      </c>
      <c r="Q8" s="27">
        <f>10^3/L9</f>
        <v>3.125</v>
      </c>
      <c r="R8" s="28">
        <f t="shared" si="5"/>
        <v>52</v>
      </c>
      <c r="S8">
        <f t="shared" si="6"/>
        <v>1.872950473450069E-4</v>
      </c>
      <c r="T8">
        <f t="shared" si="7"/>
        <v>-4.7045529970850619E-21</v>
      </c>
      <c r="U8">
        <f t="shared" si="8"/>
        <v>-2.9386410749908221E-2</v>
      </c>
    </row>
    <row r="9" spans="1:21" x14ac:dyDescent="0.3">
      <c r="A9" s="10"/>
      <c r="B9" s="11">
        <v>7</v>
      </c>
      <c r="C9" s="11">
        <f t="shared" si="10"/>
        <v>320</v>
      </c>
      <c r="D9" s="11">
        <v>1306</v>
      </c>
      <c r="E9" s="12">
        <v>0.105</v>
      </c>
      <c r="F9" s="13">
        <f t="shared" si="0"/>
        <v>80.398162327718211</v>
      </c>
      <c r="G9" s="14">
        <f t="shared" si="1"/>
        <v>4.3869913193032835</v>
      </c>
      <c r="H9" s="14">
        <f t="shared" si="2"/>
        <v>3.125</v>
      </c>
      <c r="I9">
        <v>3.17</v>
      </c>
      <c r="K9" s="1">
        <v>7</v>
      </c>
      <c r="L9" s="1">
        <f t="shared" si="9"/>
        <v>320</v>
      </c>
      <c r="M9" s="1">
        <v>1115</v>
      </c>
      <c r="N9" s="3">
        <v>1.5509999999999999</v>
      </c>
      <c r="O9" s="4">
        <f t="shared" si="3"/>
        <v>1391.0313901345291</v>
      </c>
      <c r="P9" s="1">
        <f t="shared" si="4"/>
        <v>7.2378007582644566</v>
      </c>
      <c r="Q9" s="3">
        <f>10^3/L8</f>
        <v>3.0769230769230771</v>
      </c>
      <c r="R9">
        <f t="shared" si="5"/>
        <v>47</v>
      </c>
    </row>
    <row r="10" spans="1:21" x14ac:dyDescent="0.3">
      <c r="A10" s="10"/>
      <c r="B10" s="11">
        <v>8</v>
      </c>
      <c r="C10" s="11">
        <f t="shared" si="10"/>
        <v>325</v>
      </c>
      <c r="D10" s="11">
        <v>1329</v>
      </c>
      <c r="E10" s="12">
        <v>8.7999999999999995E-2</v>
      </c>
      <c r="F10" s="13">
        <f t="shared" si="0"/>
        <v>66.215199398043637</v>
      </c>
      <c r="G10" s="14">
        <f t="shared" si="1"/>
        <v>4.192910034747098</v>
      </c>
      <c r="H10" s="14">
        <f t="shared" si="2"/>
        <v>3.0769230769230771</v>
      </c>
      <c r="I10">
        <v>3.23</v>
      </c>
      <c r="K10" s="1">
        <v>8</v>
      </c>
      <c r="L10" s="1">
        <f t="shared" si="9"/>
        <v>315</v>
      </c>
      <c r="M10" s="1">
        <v>1130</v>
      </c>
      <c r="N10" s="3">
        <v>1.5389999999999999</v>
      </c>
      <c r="O10" s="4">
        <f t="shared" si="3"/>
        <v>1361.9469026548672</v>
      </c>
      <c r="P10" s="1">
        <f t="shared" si="4"/>
        <v>7.2166705011146304</v>
      </c>
      <c r="Q10" s="3">
        <f>10^3/L7</f>
        <v>3.0303030303030303</v>
      </c>
      <c r="R10">
        <f t="shared" si="5"/>
        <v>42</v>
      </c>
    </row>
    <row r="11" spans="1:21" x14ac:dyDescent="0.3">
      <c r="A11" s="10"/>
      <c r="B11" s="11">
        <v>9</v>
      </c>
      <c r="C11" s="11">
        <f t="shared" si="10"/>
        <v>330</v>
      </c>
      <c r="D11" s="11">
        <v>1345</v>
      </c>
      <c r="E11" s="12">
        <v>7.3999999999999996E-2</v>
      </c>
      <c r="F11" s="13">
        <f t="shared" si="0"/>
        <v>55.018587360594793</v>
      </c>
      <c r="G11" s="14">
        <f t="shared" si="1"/>
        <v>4.0076710801503674</v>
      </c>
      <c r="H11" s="14">
        <f t="shared" si="2"/>
        <v>3.0303030303030303</v>
      </c>
      <c r="I11">
        <v>3.28</v>
      </c>
      <c r="K11" s="1">
        <v>9</v>
      </c>
      <c r="L11" s="1">
        <f t="shared" si="9"/>
        <v>310</v>
      </c>
      <c r="M11" s="1">
        <v>1140</v>
      </c>
      <c r="N11" s="3">
        <v>1.532</v>
      </c>
      <c r="O11" s="4">
        <f t="shared" si="3"/>
        <v>1343.8596491228072</v>
      </c>
      <c r="P11" s="1">
        <f t="shared" si="4"/>
        <v>7.2033010878941326</v>
      </c>
      <c r="Q11" s="3">
        <f>10^3/L6</f>
        <v>2.9850746268656718</v>
      </c>
      <c r="R11">
        <f t="shared" si="5"/>
        <v>37</v>
      </c>
    </row>
    <row r="12" spans="1:21" x14ac:dyDescent="0.3">
      <c r="A12" s="10"/>
      <c r="B12" s="11">
        <v>10</v>
      </c>
      <c r="C12" s="11">
        <f t="shared" si="10"/>
        <v>335</v>
      </c>
      <c r="D12" s="11">
        <v>1359</v>
      </c>
      <c r="E12" s="12">
        <v>6.2E-2</v>
      </c>
      <c r="F12" s="13">
        <f t="shared" si="0"/>
        <v>45.621780721118469</v>
      </c>
      <c r="G12" s="14">
        <f t="shared" si="1"/>
        <v>3.8203852498760851</v>
      </c>
      <c r="H12" s="14">
        <f t="shared" si="2"/>
        <v>2.9850746268656718</v>
      </c>
      <c r="I12">
        <v>3.33</v>
      </c>
      <c r="K12" s="1">
        <v>10</v>
      </c>
      <c r="L12" s="1">
        <f t="shared" si="9"/>
        <v>305</v>
      </c>
      <c r="M12" s="1">
        <v>1155</v>
      </c>
      <c r="N12" s="3">
        <v>1.5189999999999999</v>
      </c>
      <c r="O12" s="4">
        <f t="shared" si="3"/>
        <v>1315.151515151515</v>
      </c>
      <c r="P12" s="1">
        <f t="shared" si="4"/>
        <v>7.1817071586220163</v>
      </c>
      <c r="Q12" s="3">
        <f>10^3/L5</f>
        <v>2.9411764705882355</v>
      </c>
      <c r="R12">
        <f t="shared" si="5"/>
        <v>32</v>
      </c>
    </row>
    <row r="13" spans="1:21" x14ac:dyDescent="0.3">
      <c r="A13" s="10"/>
      <c r="B13" s="11">
        <v>11</v>
      </c>
      <c r="C13" s="11">
        <f t="shared" si="10"/>
        <v>340</v>
      </c>
      <c r="D13" s="11">
        <v>1370</v>
      </c>
      <c r="E13" s="12">
        <v>5.2999999999999999E-2</v>
      </c>
      <c r="F13" s="13">
        <f t="shared" si="0"/>
        <v>38.686131386861312</v>
      </c>
      <c r="G13" s="14">
        <f t="shared" si="1"/>
        <v>3.6554811737120882</v>
      </c>
      <c r="H13" s="14">
        <f t="shared" si="2"/>
        <v>2.9411764705882355</v>
      </c>
      <c r="I13">
        <v>3.39</v>
      </c>
      <c r="K13" s="1">
        <v>11</v>
      </c>
      <c r="L13" s="1">
        <f t="shared" si="9"/>
        <v>300</v>
      </c>
      <c r="M13" s="1">
        <v>1170</v>
      </c>
      <c r="N13" s="3">
        <v>1.508</v>
      </c>
      <c r="O13" s="4">
        <f t="shared" si="3"/>
        <v>1288.8888888888889</v>
      </c>
      <c r="P13" s="1">
        <f t="shared" si="4"/>
        <v>7.1615357997582363</v>
      </c>
      <c r="Q13" s="3">
        <f>10^3/L4</f>
        <v>2.8985507246376812</v>
      </c>
      <c r="R13">
        <f t="shared" si="5"/>
        <v>27</v>
      </c>
    </row>
    <row r="14" spans="1:21" x14ac:dyDescent="0.3">
      <c r="A14" s="10"/>
      <c r="B14" s="11">
        <v>12</v>
      </c>
      <c r="C14" s="11">
        <f t="shared" si="10"/>
        <v>345</v>
      </c>
      <c r="D14" s="11">
        <v>1380</v>
      </c>
      <c r="E14" s="12">
        <v>4.4999999999999998E-2</v>
      </c>
      <c r="F14" s="13">
        <f t="shared" si="0"/>
        <v>32.608695652173907</v>
      </c>
      <c r="G14" s="14">
        <f t="shared" si="1"/>
        <v>3.4845789906012063</v>
      </c>
      <c r="H14" s="14">
        <f t="shared" si="2"/>
        <v>2.8985507246376812</v>
      </c>
      <c r="I14">
        <v>3.45</v>
      </c>
      <c r="K14" s="1">
        <v>12</v>
      </c>
      <c r="L14" s="1">
        <f t="shared" si="9"/>
        <v>295</v>
      </c>
      <c r="M14" s="1">
        <v>1184</v>
      </c>
      <c r="N14" s="3">
        <v>1.4950000000000001</v>
      </c>
      <c r="O14" s="4">
        <f t="shared" si="3"/>
        <v>1262.668918918919</v>
      </c>
      <c r="P14" s="1">
        <f t="shared" si="4"/>
        <v>7.1409829493629733</v>
      </c>
      <c r="Q14" s="3">
        <f>10^3/L3</f>
        <v>2.8571428571428572</v>
      </c>
      <c r="R14">
        <f t="shared" si="5"/>
        <v>22</v>
      </c>
    </row>
    <row r="15" spans="1:21" x14ac:dyDescent="0.3">
      <c r="A15" s="10"/>
      <c r="B15" s="10"/>
      <c r="C15" s="10"/>
      <c r="D15" s="10"/>
      <c r="E15" s="10"/>
      <c r="F15" s="10"/>
      <c r="G15" s="10"/>
      <c r="H15" s="10"/>
    </row>
    <row r="16" spans="1:21" x14ac:dyDescent="0.3">
      <c r="A16" s="10"/>
      <c r="B16" s="10"/>
      <c r="C16" s="10"/>
      <c r="D16" s="10"/>
      <c r="E16" s="10"/>
      <c r="F16" s="10"/>
      <c r="G16" s="10"/>
      <c r="H16" s="10"/>
    </row>
    <row r="17" spans="1:21" x14ac:dyDescent="0.3">
      <c r="A17" s="1" t="s">
        <v>6</v>
      </c>
      <c r="B17" t="s">
        <v>10</v>
      </c>
      <c r="D17" t="s">
        <v>11</v>
      </c>
      <c r="E17" s="15" t="s">
        <v>12</v>
      </c>
      <c r="F17" s="15" t="s">
        <v>13</v>
      </c>
      <c r="G17" s="15" t="s">
        <v>14</v>
      </c>
      <c r="H17" s="15" t="s">
        <v>15</v>
      </c>
      <c r="M17" s="1" t="s">
        <v>6</v>
      </c>
      <c r="N17" s="5" t="s">
        <v>10</v>
      </c>
      <c r="P17" s="5" t="s">
        <v>16</v>
      </c>
      <c r="Q17" s="5" t="s">
        <v>17</v>
      </c>
      <c r="R17" t="s">
        <v>18</v>
      </c>
      <c r="S17" s="5" t="s">
        <v>19</v>
      </c>
      <c r="T17" s="5" t="s">
        <v>20</v>
      </c>
      <c r="U17" s="5" t="s">
        <v>21</v>
      </c>
    </row>
    <row r="18" spans="1:21" x14ac:dyDescent="0.3">
      <c r="A18" s="4">
        <f>E3/D3*10^6</f>
        <v>312.61595547309832</v>
      </c>
      <c r="B18" s="6">
        <f t="shared" ref="B18:B29" si="11">((1/D3)^2+(0.001/E3)^2)^(1/2)*A18</f>
        <v>0.97191605366761036</v>
      </c>
      <c r="D18" s="16">
        <f>2*1.38*10^-23*(C3*C9/(C9-C3))*LN(F3/F9)</f>
        <v>1.1593925381389258E-19</v>
      </c>
      <c r="E18">
        <f t="shared" ref="E18:E23" si="12">((2*1.38*10^-23*LN(F3/F9)*C3*C3/(C9-C3)^2)^2+(2*1.38*10^-23*LN(F3/F9)*C9*C9/(C9-C3)^2)^2+(2*1.38*10^-23*(C9*C3/(C9-C3))/F3*B18)^2+(2*1.38*10^-23*(C9*C3/(C9-C3))/F9*B24)^2)^(1/2)</f>
        <v>5.5845838631423983E-21</v>
      </c>
      <c r="F18">
        <f>((T3^2+T4^2+T5^2+T6^2+T7^2+T8^2)/30)^(1/2)</f>
        <v>1.2548742632384603E-21</v>
      </c>
      <c r="G18">
        <f t="shared" ref="G18:G23" si="13">2.57*F18</f>
        <v>3.2250268565228426E-21</v>
      </c>
      <c r="H18" s="16">
        <f>(G18^2+(2/3*E18)^2)^(1/2)</f>
        <v>4.9256414328550414E-21</v>
      </c>
      <c r="I18" s="18"/>
      <c r="J18" s="18" t="s">
        <v>22</v>
      </c>
      <c r="K18" s="18">
        <f>AVERAGE(D18:D23)</f>
        <v>1.1532418731193043E-19</v>
      </c>
      <c r="M18" s="4">
        <f t="shared" ref="M18:M29" si="14">N3/M3*10^6</f>
        <v>1557.6923076923078</v>
      </c>
      <c r="N18" s="6">
        <f t="shared" ref="N18:N29" si="15">((1/M3)^2+(0.001/N3)^2)^(1/2)*M18</f>
        <v>1.7798607619575653</v>
      </c>
      <c r="P18" s="7">
        <f t="shared" ref="P18:P23" si="16">-(M18-M24)/(M18*R9-M24*R3)</f>
        <v>4.916558927729184E-3</v>
      </c>
      <c r="Q18">
        <f t="shared" ref="Q18:Q23" si="17">(((R9*M24-R3*M24)/(R9*M18^2-R3*M18*M24-R9*M18*M24+R3*M24^2)*N18)^2+((R9*M24-R3*M24)/(R3*M18^2-R3*M18*M24-R9*M18*M24+R9*M24^2)*N18)^2)^(1/2)*100</f>
        <v>1.5477909417472349</v>
      </c>
      <c r="R18">
        <f>((S3^2+S4^2+S5^2+S6^2+S7^2+S8^2)/30)^(1/2)</f>
        <v>6.8124352205131461E-5</v>
      </c>
      <c r="S18">
        <f t="shared" ref="S18:S23" si="18">P18*Q18/100</f>
        <v>7.6098053729057284E-5</v>
      </c>
      <c r="T18">
        <f t="shared" ref="T18:T23" si="19">2.57*$R$18</f>
        <v>1.7507958516718784E-4</v>
      </c>
      <c r="U18" s="7">
        <f t="shared" ref="U18:U23" si="20">($T$18^2+(2/3*S18)^2)^(1/2)</f>
        <v>1.8228165184870521E-4</v>
      </c>
    </row>
    <row r="19" spans="1:21" x14ac:dyDescent="0.3">
      <c r="A19" s="4">
        <f t="shared" ref="A19:A29" si="21">E4/D4*10^6</f>
        <v>253.39366515837108</v>
      </c>
      <c r="B19" s="6">
        <f t="shared" si="11"/>
        <v>0.93357895459141782</v>
      </c>
      <c r="D19" s="16">
        <f t="shared" ref="D19:D23" si="22">2*1.38*10^-23*(C4*C10/(C10-C4))*LN(F4/F10)</f>
        <v>1.1837412956167208E-19</v>
      </c>
      <c r="E19">
        <f t="shared" si="12"/>
        <v>5.7305676453059744E-21</v>
      </c>
      <c r="F19">
        <f>F18</f>
        <v>1.2548742632384603E-21</v>
      </c>
      <c r="G19">
        <f t="shared" si="13"/>
        <v>3.2250268565228426E-21</v>
      </c>
      <c r="H19" s="16">
        <f t="shared" ref="H19:H23" si="23">(G19^2+(2/3*E19)^2)^(1/2)</f>
        <v>4.9996089422335275E-21</v>
      </c>
      <c r="I19" s="18"/>
      <c r="J19" s="18" t="s">
        <v>23</v>
      </c>
      <c r="K19" s="18">
        <f>AVERAGE(H18:H23)</f>
        <v>4.9916068407913125E-21</v>
      </c>
      <c r="M19" s="4">
        <f t="shared" si="14"/>
        <v>1529.0753098188752</v>
      </c>
      <c r="N19" s="6">
        <f t="shared" si="15"/>
        <v>1.7416958475272797</v>
      </c>
      <c r="P19" s="7">
        <f t="shared" si="16"/>
        <v>4.9389266267900788E-3</v>
      </c>
      <c r="Q19">
        <f t="shared" si="17"/>
        <v>1.4937926372372257</v>
      </c>
      <c r="R19">
        <f t="shared" ref="R19:R23" si="24">R18</f>
        <v>6.8124352205131461E-5</v>
      </c>
      <c r="S19">
        <f t="shared" si="18"/>
        <v>7.3777322309539066E-5</v>
      </c>
      <c r="T19">
        <f t="shared" si="19"/>
        <v>1.7507958516718784E-4</v>
      </c>
      <c r="U19" s="7">
        <f t="shared" si="20"/>
        <v>1.8185712445320415E-4</v>
      </c>
    </row>
    <row r="20" spans="1:21" x14ac:dyDescent="0.3">
      <c r="A20" s="4">
        <f t="shared" si="21"/>
        <v>189.65517241379308</v>
      </c>
      <c r="B20" s="6">
        <f t="shared" si="11"/>
        <v>0.87743591814182154</v>
      </c>
      <c r="D20" s="16">
        <f t="shared" si="22"/>
        <v>1.127148208755053E-19</v>
      </c>
      <c r="E20">
        <f t="shared" si="12"/>
        <v>5.5176117935990537E-21</v>
      </c>
      <c r="F20">
        <f t="shared" ref="F20:F23" si="25">F19</f>
        <v>1.2548742632384603E-21</v>
      </c>
      <c r="G20">
        <f t="shared" si="13"/>
        <v>3.2250268565228426E-21</v>
      </c>
      <c r="H20" s="16">
        <f t="shared" si="23"/>
        <v>4.891981462296756E-21</v>
      </c>
      <c r="I20" s="18"/>
      <c r="J20" s="18"/>
      <c r="K20" s="19">
        <f>K19/K18*100</f>
        <v>4.328326049495538</v>
      </c>
      <c r="M20" s="4">
        <f t="shared" si="14"/>
        <v>1511.3421550094517</v>
      </c>
      <c r="N20" s="6">
        <f t="shared" si="15"/>
        <v>1.7128769397623171</v>
      </c>
      <c r="P20" s="7">
        <f t="shared" si="16"/>
        <v>4.9087844408805857E-3</v>
      </c>
      <c r="Q20">
        <f t="shared" si="17"/>
        <v>1.4492989326860903</v>
      </c>
      <c r="R20">
        <f t="shared" si="24"/>
        <v>6.8124352205131461E-5</v>
      </c>
      <c r="S20">
        <f t="shared" si="18"/>
        <v>7.1142960509543203E-5</v>
      </c>
      <c r="T20">
        <f t="shared" si="19"/>
        <v>1.7507958516718784E-4</v>
      </c>
      <c r="U20" s="7">
        <f t="shared" si="20"/>
        <v>1.8139001369090518E-4</v>
      </c>
    </row>
    <row r="21" spans="1:21" x14ac:dyDescent="0.3">
      <c r="A21" s="4">
        <f t="shared" si="21"/>
        <v>156.97674418604652</v>
      </c>
      <c r="B21" s="6">
        <f t="shared" si="11"/>
        <v>0.8407357711465534</v>
      </c>
      <c r="D21" s="16">
        <f t="shared" si="22"/>
        <v>1.1615820303232954E-19</v>
      </c>
      <c r="E21">
        <f t="shared" si="12"/>
        <v>5.7506666267643005E-21</v>
      </c>
      <c r="F21">
        <f t="shared" si="25"/>
        <v>1.2548742632384603E-21</v>
      </c>
      <c r="G21">
        <f t="shared" si="13"/>
        <v>3.2250268565228426E-21</v>
      </c>
      <c r="H21" s="16">
        <f t="shared" si="23"/>
        <v>5.0098552943879775E-21</v>
      </c>
      <c r="I21" s="18"/>
      <c r="J21" s="18" t="s">
        <v>24</v>
      </c>
      <c r="K21" s="20">
        <f>AVERAGE(D26:D31)</f>
        <v>0.72035832944118861</v>
      </c>
      <c r="M21" s="4">
        <f t="shared" si="14"/>
        <v>1476.7225325884544</v>
      </c>
      <c r="N21" s="6">
        <f t="shared" si="15"/>
        <v>1.6605720256319807</v>
      </c>
      <c r="P21" s="7">
        <f t="shared" si="16"/>
        <v>4.7126861323383961E-3</v>
      </c>
      <c r="Q21">
        <f t="shared" si="17"/>
        <v>1.4390126787360384</v>
      </c>
      <c r="R21">
        <f t="shared" si="24"/>
        <v>6.8124352205131461E-5</v>
      </c>
      <c r="S21">
        <f t="shared" si="18"/>
        <v>6.781615095338456E-5</v>
      </c>
      <c r="T21">
        <f t="shared" si="19"/>
        <v>1.7507958516718784E-4</v>
      </c>
      <c r="U21" s="7">
        <f t="shared" si="20"/>
        <v>1.808227713048701E-4</v>
      </c>
    </row>
    <row r="22" spans="1:21" x14ac:dyDescent="0.3">
      <c r="A22" s="4">
        <f t="shared" si="21"/>
        <v>130.81861958266452</v>
      </c>
      <c r="B22" s="6">
        <f t="shared" si="11"/>
        <v>0.80940646591096255</v>
      </c>
      <c r="D22" s="16">
        <f t="shared" si="22"/>
        <v>1.181390822733377E-19</v>
      </c>
      <c r="E22">
        <f t="shared" si="12"/>
        <v>5.9378747334310988E-21</v>
      </c>
      <c r="F22">
        <f t="shared" si="25"/>
        <v>1.2548742632384603E-21</v>
      </c>
      <c r="G22">
        <f t="shared" si="13"/>
        <v>3.2250268565228426E-21</v>
      </c>
      <c r="H22" s="16">
        <f t="shared" si="23"/>
        <v>5.1059944012168484E-21</v>
      </c>
      <c r="I22" s="18"/>
      <c r="J22" s="18" t="s">
        <v>25</v>
      </c>
      <c r="K22" s="20">
        <f>AVERAGE(I26:I31)</f>
        <v>2.6458268525410569E-2</v>
      </c>
      <c r="M22" s="4">
        <f t="shared" si="14"/>
        <v>1446.6911764705883</v>
      </c>
      <c r="N22" s="6">
        <f t="shared" si="15"/>
        <v>1.6164233757570441</v>
      </c>
      <c r="P22" s="7">
        <f t="shared" si="16"/>
        <v>4.586475181624655E-3</v>
      </c>
      <c r="Q22">
        <f t="shared" si="17"/>
        <v>1.419794785060563</v>
      </c>
      <c r="R22">
        <f t="shared" si="24"/>
        <v>6.8124352205131461E-5</v>
      </c>
      <c r="S22">
        <f t="shared" si="18"/>
        <v>6.5118535446803834E-5</v>
      </c>
      <c r="T22">
        <f t="shared" si="19"/>
        <v>1.7507958516718784E-4</v>
      </c>
      <c r="U22" s="7">
        <f t="shared" si="20"/>
        <v>1.803815231101314E-4</v>
      </c>
    </row>
    <row r="23" spans="1:21" x14ac:dyDescent="0.3">
      <c r="A23" s="4">
        <f t="shared" si="21"/>
        <v>98.591549295774641</v>
      </c>
      <c r="B23" s="6">
        <f t="shared" si="11"/>
        <v>0.78626634846423615</v>
      </c>
      <c r="D23" s="16">
        <f t="shared" si="22"/>
        <v>1.1061963431484536E-19</v>
      </c>
      <c r="E23">
        <f t="shared" si="12"/>
        <v>5.7638016965241742E-21</v>
      </c>
      <c r="F23">
        <f t="shared" si="25"/>
        <v>1.2548742632384603E-21</v>
      </c>
      <c r="G23">
        <f t="shared" si="13"/>
        <v>3.2250268565228426E-21</v>
      </c>
      <c r="H23" s="16">
        <f t="shared" si="23"/>
        <v>5.0165595117577266E-21</v>
      </c>
      <c r="I23" s="18"/>
      <c r="J23" s="18"/>
      <c r="K23" s="19">
        <f>K22/K21*100</f>
        <v>3.6729315736427077</v>
      </c>
      <c r="L23" s="18"/>
      <c r="M23" s="24">
        <f>N8/M8*10^6</f>
        <v>1420.5267938237967</v>
      </c>
      <c r="N23" s="25">
        <f t="shared" si="15"/>
        <v>1.5778468331606008</v>
      </c>
      <c r="P23" s="7">
        <f t="shared" si="16"/>
        <v>4.5879322050585728E-3</v>
      </c>
      <c r="Q23">
        <f t="shared" si="17"/>
        <v>1.3732511564955834</v>
      </c>
      <c r="R23">
        <f t="shared" si="24"/>
        <v>6.8124352205131461E-5</v>
      </c>
      <c r="S23">
        <f t="shared" si="18"/>
        <v>6.3003832065200167E-5</v>
      </c>
      <c r="T23">
        <f t="shared" si="19"/>
        <v>1.7507958516718784E-4</v>
      </c>
      <c r="U23" s="7">
        <f t="shared" si="20"/>
        <v>1.800474263756423E-4</v>
      </c>
    </row>
    <row r="24" spans="1:21" x14ac:dyDescent="0.3">
      <c r="A24" s="4">
        <f t="shared" si="21"/>
        <v>80.398162327718211</v>
      </c>
      <c r="B24" s="6">
        <f t="shared" si="11"/>
        <v>0.76816747807909602</v>
      </c>
      <c r="J24" s="21"/>
      <c r="K24" s="21"/>
      <c r="M24" s="4">
        <f t="shared" si="14"/>
        <v>1391.0313901345291</v>
      </c>
      <c r="N24" s="6">
        <f t="shared" si="15"/>
        <v>1.5364797545910764</v>
      </c>
    </row>
    <row r="25" spans="1:21" x14ac:dyDescent="0.3">
      <c r="A25" s="4">
        <f t="shared" si="21"/>
        <v>66.215199398043637</v>
      </c>
      <c r="B25" s="6">
        <f t="shared" si="11"/>
        <v>0.75409317429715805</v>
      </c>
      <c r="D25" t="s">
        <v>26</v>
      </c>
      <c r="E25" s="15" t="s">
        <v>27</v>
      </c>
      <c r="F25" s="15" t="s">
        <v>28</v>
      </c>
      <c r="G25" t="s">
        <v>13</v>
      </c>
      <c r="H25" s="15" t="s">
        <v>14</v>
      </c>
      <c r="I25" s="15" t="s">
        <v>15</v>
      </c>
      <c r="K25" s="6">
        <f>AVERAGE(K20,K23)</f>
        <v>4.0006288115691229</v>
      </c>
      <c r="M25" s="4">
        <f t="shared" si="14"/>
        <v>1361.9469026548672</v>
      </c>
      <c r="N25" s="6">
        <f t="shared" si="15"/>
        <v>1.4952608366354281</v>
      </c>
      <c r="R25" s="18"/>
      <c r="S25" s="18"/>
      <c r="T25" s="18"/>
    </row>
    <row r="26" spans="1:21" x14ac:dyDescent="0.3">
      <c r="A26" s="4">
        <f t="shared" si="21"/>
        <v>55.018587360594793</v>
      </c>
      <c r="B26" s="6">
        <f t="shared" si="11"/>
        <v>0.74461886902060292</v>
      </c>
      <c r="D26" s="8">
        <f t="shared" ref="D26:D31" si="26">2*8.62*10^-5*(C3*C9/(C9-C3))*LN(F3/F9)</f>
        <v>0.72420026657663328</v>
      </c>
      <c r="E26">
        <f>((2*8.62*10^-5*LN(F3/F9)*C3*C3/(C9-C3)^2)^2+(2*8.62*10^-5*LN(F3/F9)*C9*C9/(C9-C3)^2)^2+(2*8.62*10^-5*(C9*C3/(C9-C3))/F3*B18)^2+(2*8.62*10^-5*(C9*C3/(C9-C3))/F9*B24)^2)^(1/2)*100</f>
        <v>3.4883415145135857</v>
      </c>
      <c r="F26">
        <f>E26*D26/100</f>
        <v>2.5262578547210753E-2</v>
      </c>
      <c r="G26">
        <f>((U3^2+U4^2+U5^2+U6^2+U7^2+U8^2)/30)^(1/2)</f>
        <v>7.8384174993590752E-3</v>
      </c>
      <c r="H26">
        <f>2.57*G26</f>
        <v>2.014473297335282E-2</v>
      </c>
      <c r="I26" s="8">
        <f>(H26^2+(2/3*F26)^2)^(1/2)</f>
        <v>2.6257451637636056E-2</v>
      </c>
      <c r="M26" s="4">
        <f t="shared" si="14"/>
        <v>1343.8596491228072</v>
      </c>
      <c r="N26" s="6">
        <f t="shared" si="15"/>
        <v>1.4693856367151517</v>
      </c>
      <c r="R26" s="18" t="s">
        <v>29</v>
      </c>
      <c r="S26" s="22">
        <f>SUM(P18:P23)/6</f>
        <v>4.7752272524035798E-3</v>
      </c>
      <c r="T26" s="18"/>
    </row>
    <row r="27" spans="1:21" x14ac:dyDescent="0.3">
      <c r="A27" s="4">
        <f t="shared" si="21"/>
        <v>45.621780721118469</v>
      </c>
      <c r="B27" s="6">
        <f t="shared" si="11"/>
        <v>0.73660053899946554</v>
      </c>
      <c r="D27" s="8">
        <f t="shared" si="26"/>
        <v>0.73940941798667636</v>
      </c>
      <c r="E27">
        <f t="shared" ref="E27:E31" si="27">((2*8.62*10^-5*LN(F4/F10)*C4*C4/(C10-C4)^2)^2+(2*8.62*10^-5*LN(F4/F10)*C10*C10/(C10-C4)^2)^2+(2*8.62*10^-5*(C10*C4/(C10-C4))/F4*B19)^2+(2*8.62*10^-5*(C10*C4/(C10-C4))/F10*B25)^2)^(1/2)*100</f>
        <v>3.5795284856911227</v>
      </c>
      <c r="F27">
        <f t="shared" ref="F27:F31" si="28">E27*D27/100</f>
        <v>2.6467370742716021E-2</v>
      </c>
      <c r="G27">
        <f>G26</f>
        <v>7.8384174993590752E-3</v>
      </c>
      <c r="H27">
        <f t="shared" ref="H27:H31" si="29">2.57*G27</f>
        <v>2.014473297335282E-2</v>
      </c>
      <c r="I27" s="8">
        <f t="shared" ref="I27:I31" si="30">(H27^2+(2/3*F27)^2)^(1/2)</f>
        <v>2.6779717149030522E-2</v>
      </c>
      <c r="M27" s="4">
        <f t="shared" si="14"/>
        <v>1315.151515151515</v>
      </c>
      <c r="N27" s="6">
        <f t="shared" si="15"/>
        <v>1.430439158906039</v>
      </c>
      <c r="R27" s="23" t="s">
        <v>30</v>
      </c>
      <c r="S27" s="22">
        <f>AVERAGE(U18:U23)</f>
        <v>1.8113008513057638E-4</v>
      </c>
      <c r="T27" s="18"/>
    </row>
    <row r="28" spans="1:21" x14ac:dyDescent="0.3">
      <c r="A28" s="4">
        <f t="shared" si="21"/>
        <v>38.686131386861312</v>
      </c>
      <c r="B28" s="6">
        <f t="shared" si="11"/>
        <v>0.73047301358207428</v>
      </c>
      <c r="D28" s="8">
        <f t="shared" si="26"/>
        <v>0.70405924343975046</v>
      </c>
      <c r="E28">
        <f t="shared" si="27"/>
        <v>3.4465082362915815</v>
      </c>
      <c r="F28">
        <f t="shared" si="28"/>
        <v>2.4265459813523196E-2</v>
      </c>
      <c r="G28">
        <f t="shared" ref="G28:G31" si="31">G27</f>
        <v>7.8384174993590752E-3</v>
      </c>
      <c r="H28">
        <f t="shared" si="29"/>
        <v>2.014473297335282E-2</v>
      </c>
      <c r="I28" s="8">
        <f t="shared" si="30"/>
        <v>2.5836112880479763E-2</v>
      </c>
      <c r="M28" s="4">
        <f t="shared" si="14"/>
        <v>1288.8888888888889</v>
      </c>
      <c r="N28" s="6">
        <f t="shared" si="15"/>
        <v>1.3942983591440039</v>
      </c>
      <c r="R28" s="18"/>
      <c r="S28" s="19">
        <f>S27/S26*100</f>
        <v>3.7931196895269381</v>
      </c>
      <c r="T28" s="18"/>
    </row>
    <row r="29" spans="1:21" x14ac:dyDescent="0.3">
      <c r="A29" s="4">
        <f t="shared" si="21"/>
        <v>32.608695652173907</v>
      </c>
      <c r="B29" s="6">
        <f t="shared" si="11"/>
        <v>0.72502284221602353</v>
      </c>
      <c r="D29" s="8">
        <f t="shared" si="26"/>
        <v>0.72556790589759468</v>
      </c>
      <c r="E29">
        <f t="shared" si="27"/>
        <v>3.5920830668629176</v>
      </c>
      <c r="F29">
        <f t="shared" si="28"/>
        <v>2.6063001886339365E-2</v>
      </c>
      <c r="G29">
        <f t="shared" si="31"/>
        <v>7.8384174993590752E-3</v>
      </c>
      <c r="H29">
        <f t="shared" si="29"/>
        <v>2.014473297335282E-2</v>
      </c>
      <c r="I29" s="8">
        <f t="shared" si="30"/>
        <v>2.6602866738627398E-2</v>
      </c>
      <c r="M29" s="4">
        <f t="shared" si="14"/>
        <v>1262.668918918919</v>
      </c>
      <c r="N29" s="6">
        <f t="shared" si="15"/>
        <v>1.3603828264503441</v>
      </c>
      <c r="R29" s="21"/>
      <c r="S29" s="21"/>
      <c r="T29" s="18"/>
    </row>
    <row r="30" spans="1:21" x14ac:dyDescent="0.3">
      <c r="D30" s="8">
        <f t="shared" si="26"/>
        <v>0.73794122405519613</v>
      </c>
      <c r="E30">
        <f t="shared" si="27"/>
        <v>3.7090203045055112</v>
      </c>
      <c r="F30">
        <f t="shared" si="28"/>
        <v>2.7370389835523735E-2</v>
      </c>
      <c r="G30">
        <f t="shared" si="31"/>
        <v>7.8384174993590752E-3</v>
      </c>
      <c r="H30">
        <f t="shared" si="29"/>
        <v>2.014473297335282E-2</v>
      </c>
      <c r="I30" s="8">
        <f t="shared" si="30"/>
        <v>2.7180150760156164E-2</v>
      </c>
      <c r="R30" s="18"/>
      <c r="S30" s="18"/>
      <c r="T30" s="18"/>
    </row>
    <row r="31" spans="1:21" x14ac:dyDescent="0.3">
      <c r="D31" s="8">
        <f t="shared" si="26"/>
        <v>0.69097191869128038</v>
      </c>
      <c r="E31">
        <f t="shared" si="27"/>
        <v>3.6002877263795927</v>
      </c>
      <c r="F31">
        <f t="shared" si="28"/>
        <v>2.4876977181371746E-2</v>
      </c>
      <c r="G31">
        <f t="shared" si="31"/>
        <v>7.8384174993590752E-3</v>
      </c>
      <c r="H31">
        <f t="shared" si="29"/>
        <v>2.014473297335282E-2</v>
      </c>
      <c r="I31" s="8">
        <f t="shared" si="30"/>
        <v>2.6093311986533502E-2</v>
      </c>
    </row>
    <row r="32" spans="1:21" x14ac:dyDescent="0.3">
      <c r="A32" s="10"/>
      <c r="B32" s="10"/>
      <c r="C32" s="10"/>
      <c r="D32" s="10"/>
      <c r="E32" s="10"/>
      <c r="F32" s="10"/>
      <c r="G32" s="10"/>
      <c r="H32" s="10"/>
    </row>
    <row r="33" spans="1:15" x14ac:dyDescent="0.3">
      <c r="A33" s="10"/>
      <c r="B33" s="10"/>
      <c r="C33" s="10"/>
      <c r="D33" s="10"/>
      <c r="E33" s="10"/>
      <c r="F33" s="10"/>
      <c r="G33" s="10"/>
      <c r="H33" s="10"/>
    </row>
    <row r="34" spans="1:15" x14ac:dyDescent="0.3">
      <c r="A34" s="10"/>
      <c r="B34" s="10"/>
      <c r="C34" s="10"/>
      <c r="D34" s="10"/>
      <c r="E34" s="10"/>
      <c r="F34" s="10"/>
      <c r="G34" s="10"/>
      <c r="H34" s="10"/>
    </row>
    <row r="42" spans="1:15" x14ac:dyDescent="0.3">
      <c r="D42" s="17" t="s">
        <v>32</v>
      </c>
      <c r="O42" s="17" t="s">
        <v>33</v>
      </c>
    </row>
  </sheetData>
  <mergeCells count="2">
    <mergeCell ref="J24:K24"/>
    <mergeCell ref="R29:S29"/>
  </mergeCells>
  <pageMargins left="0.7" right="0.7" top="0.75" bottom="0.75" header="0.3" footer="0.3"/>
  <pageSetup paperSize="9" firstPageNumber="4294967295" orientation="portrait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Битюков</dc:creator>
  <cp:lastModifiedBy>Григорий Раевский</cp:lastModifiedBy>
  <cp:revision>1</cp:revision>
  <dcterms:created xsi:type="dcterms:W3CDTF">2023-03-14T07:05:32Z</dcterms:created>
  <dcterms:modified xsi:type="dcterms:W3CDTF">2024-04-04T10:43:01Z</dcterms:modified>
</cp:coreProperties>
</file>