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10\"/>
    </mc:Choice>
  </mc:AlternateContent>
  <xr:revisionPtr revIDLastSave="0" documentId="8_{4D235B4E-89B9-434C-95A7-9FE6BD848228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29" i="1"/>
  <c r="A29" i="1"/>
  <c r="A27" i="1"/>
  <c r="N26" i="1"/>
  <c r="N27" i="1" s="1"/>
  <c r="I25" i="1"/>
  <c r="I23" i="1"/>
  <c r="I21" i="1"/>
  <c r="B21" i="1"/>
  <c r="I19" i="1"/>
  <c r="K19" i="1" s="1"/>
  <c r="B19" i="1"/>
  <c r="B16" i="1"/>
  <c r="J15" i="1"/>
  <c r="I15" i="1"/>
  <c r="K15" i="1" s="1"/>
  <c r="J32" i="1" s="1"/>
  <c r="J14" i="1"/>
  <c r="I14" i="1"/>
  <c r="I31" i="1" s="1"/>
  <c r="J13" i="1"/>
  <c r="I13" i="1"/>
  <c r="I30" i="1" s="1"/>
  <c r="J12" i="1"/>
  <c r="I12" i="1"/>
  <c r="K12" i="1" s="1"/>
  <c r="J29" i="1" s="1"/>
  <c r="J11" i="1"/>
  <c r="I11" i="1"/>
  <c r="I28" i="1" s="1"/>
  <c r="J10" i="1"/>
  <c r="I10" i="1"/>
  <c r="I27" i="1" s="1"/>
  <c r="B10" i="1"/>
  <c r="J9" i="1"/>
  <c r="I9" i="1"/>
  <c r="K9" i="1" s="1"/>
  <c r="J26" i="1" s="1"/>
  <c r="J8" i="1"/>
  <c r="I8" i="1"/>
  <c r="K8" i="1" s="1"/>
  <c r="J25" i="1" s="1"/>
  <c r="J7" i="1"/>
  <c r="I7" i="1"/>
  <c r="K7" i="1" s="1"/>
  <c r="J24" i="1" s="1"/>
  <c r="B7" i="1"/>
  <c r="J6" i="1"/>
  <c r="I6" i="1"/>
  <c r="K6" i="1" s="1"/>
  <c r="J23" i="1" s="1"/>
  <c r="B6" i="1"/>
  <c r="B23" i="1" s="1"/>
  <c r="J5" i="1"/>
  <c r="I5" i="1"/>
  <c r="I22" i="1" s="1"/>
  <c r="F5" i="1"/>
  <c r="B5" i="1"/>
  <c r="C5" i="1" s="1"/>
  <c r="J4" i="1"/>
  <c r="K4" i="1" s="1"/>
  <c r="J21" i="1" s="1"/>
  <c r="I4" i="1"/>
  <c r="B4" i="1"/>
  <c r="C4" i="1" s="1"/>
  <c r="J3" i="1"/>
  <c r="I3" i="1"/>
  <c r="I20" i="1" s="1"/>
  <c r="B3" i="1"/>
  <c r="C3" i="1" s="1"/>
  <c r="J2" i="1"/>
  <c r="K2" i="1" s="1"/>
  <c r="J19" i="1" s="1"/>
  <c r="I2" i="1"/>
  <c r="B2" i="1"/>
  <c r="K21" i="1" l="1"/>
  <c r="M20" i="1"/>
  <c r="N20" i="1" s="1"/>
  <c r="M15" i="1"/>
  <c r="N15" i="1" s="1"/>
  <c r="M22" i="1"/>
  <c r="M12" i="1"/>
  <c r="N12" i="1" s="1"/>
  <c r="M17" i="1"/>
  <c r="N17" i="1" s="1"/>
  <c r="M14" i="1"/>
  <c r="N14" i="1" s="1"/>
  <c r="M19" i="1"/>
  <c r="N19" i="1" s="1"/>
  <c r="M23" i="1"/>
  <c r="P23" i="1" s="1"/>
  <c r="M13" i="1"/>
  <c r="N13" i="1" s="1"/>
  <c r="M18" i="1"/>
  <c r="N18" i="1" s="1"/>
  <c r="M16" i="1"/>
  <c r="N16" i="1" s="1"/>
  <c r="M10" i="1"/>
  <c r="M21" i="1"/>
  <c r="P21" i="1" s="1"/>
  <c r="M11" i="1"/>
  <c r="K28" i="1"/>
  <c r="K29" i="1"/>
  <c r="K23" i="1"/>
  <c r="K25" i="1"/>
  <c r="K20" i="1"/>
  <c r="K32" i="1"/>
  <c r="C2" i="1"/>
  <c r="K10" i="1"/>
  <c r="J27" i="1" s="1"/>
  <c r="K27" i="1" s="1"/>
  <c r="B14" i="1"/>
  <c r="C6" i="1"/>
  <c r="C14" i="1"/>
  <c r="D14" i="1" s="1"/>
  <c r="I24" i="1"/>
  <c r="K24" i="1" s="1"/>
  <c r="B12" i="1"/>
  <c r="C12" i="1"/>
  <c r="D12" i="1" s="1"/>
  <c r="B17" i="1"/>
  <c r="B22" i="1"/>
  <c r="K14" i="1"/>
  <c r="J31" i="1" s="1"/>
  <c r="K31" i="1" s="1"/>
  <c r="B20" i="1"/>
  <c r="K5" i="1"/>
  <c r="J22" i="1" s="1"/>
  <c r="K22" i="1" s="1"/>
  <c r="A26" i="1"/>
  <c r="K3" i="1"/>
  <c r="J20" i="1" s="1"/>
  <c r="I26" i="1"/>
  <c r="K26" i="1" s="1"/>
  <c r="K11" i="1"/>
  <c r="J28" i="1" s="1"/>
  <c r="K13" i="1"/>
  <c r="J30" i="1" s="1"/>
  <c r="K30" i="1" s="1"/>
  <c r="A28" i="1"/>
  <c r="B11" i="1"/>
  <c r="C15" i="1"/>
  <c r="B18" i="1"/>
  <c r="B15" i="1"/>
  <c r="C11" i="1"/>
  <c r="D11" i="1" s="1"/>
  <c r="B13" i="1"/>
  <c r="C18" i="1"/>
  <c r="D18" i="1" s="1"/>
  <c r="N11" i="1" l="1"/>
  <c r="S11" i="1" s="1"/>
  <c r="N10" i="1"/>
  <c r="N29" i="1" s="1"/>
  <c r="S10" i="1"/>
  <c r="C13" i="1"/>
  <c r="D13" i="1" s="1"/>
  <c r="C10" i="1"/>
  <c r="D10" i="1" s="1"/>
  <c r="C19" i="1"/>
  <c r="D19" i="1" s="1"/>
  <c r="C21" i="1"/>
  <c r="D21" i="1" s="1"/>
  <c r="C23" i="1"/>
  <c r="D23" i="1" s="1"/>
  <c r="C17" i="1"/>
  <c r="D17" i="1" s="1"/>
  <c r="D15" i="1"/>
  <c r="C22" i="1"/>
  <c r="D22" i="1" s="1"/>
  <c r="C16" i="1"/>
  <c r="D16" i="1" s="1"/>
  <c r="C20" i="1"/>
  <c r="D20" i="1" s="1"/>
  <c r="F26" i="1" l="1"/>
  <c r="O15" i="1"/>
  <c r="O20" i="1"/>
  <c r="O12" i="1"/>
  <c r="F28" i="1"/>
  <c r="O17" i="1"/>
  <c r="O16" i="1"/>
  <c r="O10" i="1"/>
  <c r="C27" i="1"/>
  <c r="D27" i="1" s="1"/>
  <c r="E27" i="1" s="1"/>
  <c r="C29" i="1"/>
  <c r="D29" i="1" s="1"/>
  <c r="E29" i="1" s="1"/>
  <c r="C26" i="1"/>
  <c r="D26" i="1" s="1"/>
  <c r="E26" i="1" s="1"/>
  <c r="O14" i="1"/>
  <c r="O19" i="1"/>
  <c r="C28" i="1"/>
  <c r="D28" i="1" s="1"/>
  <c r="E28" i="1" s="1"/>
  <c r="P10" i="1"/>
  <c r="O11" i="1"/>
  <c r="T11" i="1" s="1"/>
  <c r="U11" i="1" s="1"/>
  <c r="F29" i="1"/>
  <c r="O18" i="1"/>
  <c r="F27" i="1"/>
  <c r="O13" i="1"/>
  <c r="T10" i="1" l="1"/>
  <c r="U10" i="1" s="1"/>
  <c r="N30" i="1"/>
  <c r="Q23" i="1" l="1"/>
  <c r="R23" i="1" s="1"/>
  <c r="Q21" i="1"/>
  <c r="R21" i="1" s="1"/>
  <c r="Q10" i="1"/>
  <c r="R10" i="1" s="1"/>
</calcChain>
</file>

<file path=xl/sharedStrings.xml><?xml version="1.0" encoding="utf-8"?>
<sst xmlns="http://schemas.openxmlformats.org/spreadsheetml/2006/main" count="49" uniqueCount="46">
  <si>
    <t>Значение</t>
  </si>
  <si>
    <t>Погрешность</t>
  </si>
  <si>
    <t>λ</t>
  </si>
  <si>
    <t>ελ</t>
  </si>
  <si>
    <t>Δλ</t>
  </si>
  <si>
    <t>C1(Ф) =</t>
  </si>
  <si>
    <t>С2(Ф) =</t>
  </si>
  <si>
    <t>R кр. практ., Ом</t>
  </si>
  <si>
    <t>1100 ± 100</t>
  </si>
  <si>
    <t>С3(Ф) =</t>
  </si>
  <si>
    <t>С4(Ф) =</t>
  </si>
  <si>
    <t>R кр. теор., Ом</t>
  </si>
  <si>
    <t>L(Гн) =</t>
  </si>
  <si>
    <t>Частота(Гц) =</t>
  </si>
  <si>
    <t>Rм, Ом</t>
  </si>
  <si>
    <t>T (по формуле), мс</t>
  </si>
  <si>
    <t>εT, %</t>
  </si>
  <si>
    <t>ΔT, c.</t>
  </si>
  <si>
    <t>T, мс</t>
  </si>
  <si>
    <t>2Ui, дел.</t>
  </si>
  <si>
    <t>2Ui+n, дел.</t>
  </si>
  <si>
    <t>n</t>
  </si>
  <si>
    <t>R расч., Ом</t>
  </si>
  <si>
    <t>L расч., мГн</t>
  </si>
  <si>
    <t>ΔL</t>
  </si>
  <si>
    <t>T расч.</t>
  </si>
  <si>
    <t>εT</t>
  </si>
  <si>
    <t>ΔT</t>
  </si>
  <si>
    <t>Q расч.</t>
  </si>
  <si>
    <t>εQ</t>
  </si>
  <si>
    <t>ΔQ</t>
  </si>
  <si>
    <t>Q</t>
  </si>
  <si>
    <t>C, мкФ</t>
  </si>
  <si>
    <t>Tэксп, мс</t>
  </si>
  <si>
    <t>Ттеор, мс</t>
  </si>
  <si>
    <r>
      <rPr>
        <sz val="11"/>
        <color theme="1"/>
        <rFont val="Calibri"/>
      </rPr>
      <t>δ</t>
    </r>
    <r>
      <rPr>
        <sz val="11"/>
        <color theme="1"/>
        <rFont val="Calibri"/>
        <scheme val="minor"/>
      </rPr>
      <t>T=(Tэксп-Ттеор)/Ттеор, %</t>
    </r>
  </si>
  <si>
    <t>T по Томпсону</t>
  </si>
  <si>
    <t>R м</t>
  </si>
  <si>
    <t>R o</t>
  </si>
  <si>
    <t>L cp.</t>
  </si>
  <si>
    <t>ΔL cp.</t>
  </si>
  <si>
    <t>T теор. ( C)</t>
  </si>
  <si>
    <t>T эксп. ( C)</t>
  </si>
  <si>
    <t>λ( R), R&lt;100</t>
  </si>
  <si>
    <t>λ( R)</t>
  </si>
  <si>
    <t>Q=Q(R)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</si>
</sst>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E+00"/>
    <numFmt numFmtId="167" formatCode="0.00000"/>
    <numFmt numFmtId="168" formatCode="0.0000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right"/>
    </xf>
    <xf numFmtId="166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0" fontId="0" fillId="0" borderId="2" xfId="0" applyBorder="1"/>
    <xf numFmtId="167" fontId="0" fillId="0" borderId="1" xfId="0" applyNumberFormat="1" applyBorder="1"/>
    <xf numFmtId="164" fontId="0" fillId="0" borderId="2" xfId="0" applyNumberFormat="1" applyBorder="1"/>
    <xf numFmtId="165" fontId="0" fillId="0" borderId="0" xfId="0" applyNumberFormat="1"/>
    <xf numFmtId="167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168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164" fontId="0" fillId="2" borderId="1" xfId="0" applyNumberFormat="1" applyFill="1" applyBorder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5.3546587926509188E-2"/>
                  <c:y val="-7.5848279381743947E-2"/>
                </c:manualLayout>
              </c:layout>
              <c:numFmt formatCode="General" sourceLinked="0"/>
            </c:trendlineLbl>
          </c:trendline>
          <c:xVal>
            <c:numRef>
              <c:f>Лист1!$A$10:$A$23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Лист1!$I$2:$I$15</c:f>
              <c:numCache>
                <c:formatCode>0.000</c:formatCode>
                <c:ptCount val="14"/>
                <c:pt idx="0">
                  <c:v>0.27031007207210955</c:v>
                </c:pt>
                <c:pt idx="1">
                  <c:v>0.31636018489904866</c:v>
                </c:pt>
                <c:pt idx="2">
                  <c:v>0.36620409622270322</c:v>
                </c:pt>
                <c:pt idx="3">
                  <c:v>0.3776994882464263</c:v>
                </c:pt>
                <c:pt idx="4">
                  <c:v>0.42697794848735471</c:v>
                </c:pt>
                <c:pt idx="5">
                  <c:v>0.45562542508759629</c:v>
                </c:pt>
                <c:pt idx="6">
                  <c:v>0.47570545188004859</c:v>
                </c:pt>
                <c:pt idx="7" formatCode="0.00">
                  <c:v>0.49797500843741865</c:v>
                </c:pt>
                <c:pt idx="8">
                  <c:v>0.55799214452389045</c:v>
                </c:pt>
                <c:pt idx="9">
                  <c:v>0.68612937749400116</c:v>
                </c:pt>
                <c:pt idx="10" formatCode="0.00">
                  <c:v>0.73240819244540645</c:v>
                </c:pt>
                <c:pt idx="11" formatCode="0.00">
                  <c:v>1.2685113254635072</c:v>
                </c:pt>
                <c:pt idx="12" formatCode="0.00">
                  <c:v>1.7491998548092589</c:v>
                </c:pt>
                <c:pt idx="13" formatCode="0.00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F-447A-8C82-8C2B6545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8656"/>
        <c:axId val="215480192"/>
      </c:scatterChart>
      <c:valAx>
        <c:axId val="2154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/>
                  <a:t> Ом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480192"/>
        <c:crosses val="autoZero"/>
        <c:crossBetween val="midCat"/>
      </c:valAx>
      <c:valAx>
        <c:axId val="21548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47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55924724747017"/>
          <c:y val="4.8347250400573576E-2"/>
          <c:w val="0.78964677449910192"/>
          <c:h val="0.78595227131131995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0746106736657919"/>
                  <c:y val="-6.0638305628463111E-2"/>
                </c:manualLayout>
              </c:layout>
              <c:numFmt formatCode="General" sourceLinked="0"/>
            </c:trendlineLbl>
          </c:trendline>
          <c:xVal>
            <c:numRef>
              <c:f>Лист1!$A$10:$A$20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Лист1!$I$2:$I$12</c:f>
              <c:numCache>
                <c:formatCode>0.000</c:formatCode>
                <c:ptCount val="11"/>
                <c:pt idx="0">
                  <c:v>0.27031007207210955</c:v>
                </c:pt>
                <c:pt idx="1">
                  <c:v>0.31636018489904866</c:v>
                </c:pt>
                <c:pt idx="2">
                  <c:v>0.36620409622270322</c:v>
                </c:pt>
                <c:pt idx="3">
                  <c:v>0.3776994882464263</c:v>
                </c:pt>
                <c:pt idx="4">
                  <c:v>0.42697794848735471</c:v>
                </c:pt>
                <c:pt idx="5">
                  <c:v>0.45562542508759629</c:v>
                </c:pt>
                <c:pt idx="6">
                  <c:v>0.47570545188004859</c:v>
                </c:pt>
                <c:pt idx="7" formatCode="0.00">
                  <c:v>0.49797500843741865</c:v>
                </c:pt>
                <c:pt idx="8">
                  <c:v>0.55799214452389045</c:v>
                </c:pt>
                <c:pt idx="9">
                  <c:v>0.68612937749400116</c:v>
                </c:pt>
                <c:pt idx="10" formatCode="0.00">
                  <c:v>0.73240819244540645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0-49CC-9509-76405A0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1392"/>
        <c:axId val="215777280"/>
      </c:scatterChart>
      <c:valAx>
        <c:axId val="215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77280"/>
        <c:crosses val="autoZero"/>
        <c:crossBetween val="midCat"/>
      </c:valAx>
      <c:valAx>
        <c:axId val="2157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5552378641181"/>
          <c:y val="5.2428560592426898E-2"/>
          <c:w val="0.81620888112560963"/>
          <c:h val="0.7291370753160914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Лист1!$A$26:$A$29</c:f>
              <c:numCache>
                <c:formatCode>0.000</c:formatCode>
                <c:ptCount val="4"/>
                <c:pt idx="0">
                  <c:v>2.2000000000000002E-2</c:v>
                </c:pt>
                <c:pt idx="1">
                  <c:v>3.3000000000000002E-2</c:v>
                </c:pt>
                <c:pt idx="2">
                  <c:v>4.7000000000000007E-2</c:v>
                </c:pt>
                <c:pt idx="3">
                  <c:v>0.47000000000000003</c:v>
                </c:pt>
              </c:numCache>
            </c:numRef>
          </c:xVal>
          <c:yVal>
            <c:numRef>
              <c:f>Лист1!$C$26:$C$29</c:f>
              <c:numCache>
                <c:formatCode>0.000</c:formatCode>
                <c:ptCount val="4"/>
                <c:pt idx="0">
                  <c:v>0.10449663950198983</c:v>
                </c:pt>
                <c:pt idx="1">
                  <c:v>0.12803659799309491</c:v>
                </c:pt>
                <c:pt idx="2">
                  <c:v>0.15288443161026941</c:v>
                </c:pt>
                <c:pt idx="3">
                  <c:v>0.49164812033727628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4-4515-9FA7-F54E1845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952"/>
        <c:axId val="215791488"/>
      </c:scatterChart>
      <c:valAx>
        <c:axId val="2157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С,</a:t>
                </a:r>
                <a:r>
                  <a:rPr lang="ru-RU" baseline="0"/>
                  <a:t> мкФ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91488"/>
        <c:crosses val="autoZero"/>
        <c:crossBetween val="midCat"/>
      </c:valAx>
      <c:valAx>
        <c:axId val="21579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 теор, мс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8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0558005249343833"/>
                  <c:y val="-4.6686351706036744E-2"/>
                </c:manualLayout>
              </c:layout>
              <c:numFmt formatCode="General" sourceLinked="0"/>
            </c:trendlineLbl>
          </c:trendline>
          <c:xVal>
            <c:numRef>
              <c:f>Лист1!$A$26:$A$29</c:f>
              <c:numCache>
                <c:formatCode>0.000</c:formatCode>
                <c:ptCount val="4"/>
                <c:pt idx="0">
                  <c:v>2.2000000000000002E-2</c:v>
                </c:pt>
                <c:pt idx="1">
                  <c:v>3.3000000000000002E-2</c:v>
                </c:pt>
                <c:pt idx="2">
                  <c:v>4.7000000000000007E-2</c:v>
                </c:pt>
                <c:pt idx="3">
                  <c:v>0.47000000000000003</c:v>
                </c:pt>
              </c:numCache>
            </c:numRef>
          </c:xVal>
          <c:yVal>
            <c:numRef>
              <c:f>Лист1!$B$26:$B$29</c:f>
              <c:numCache>
                <c:formatCode>0.000</c:formatCode>
                <c:ptCount val="4"/>
                <c:pt idx="0">
                  <c:v>9.1999999999999998E-2</c:v>
                </c:pt>
                <c:pt idx="1">
                  <c:v>0.112</c:v>
                </c:pt>
                <c:pt idx="2">
                  <c:v>0.13200000000000001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5-4B5A-8C01-04A8C2C2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0192"/>
        <c:axId val="217006080"/>
      </c:scatterChart>
      <c:valAx>
        <c:axId val="2170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ru-RU"/>
                  <a:t>, мкФ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7006080"/>
        <c:crosses val="autoZero"/>
        <c:crossBetween val="midCat"/>
      </c:valAx>
      <c:valAx>
        <c:axId val="2170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</a:t>
                </a:r>
                <a:r>
                  <a:rPr lang="ru-RU" baseline="0"/>
                  <a:t> эксп, мс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700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55924724747017"/>
          <c:y val="4.8347250400573576E-2"/>
          <c:w val="0.78964677449910192"/>
          <c:h val="0.78595227131131995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Лист1!$A$10:$A$23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Лист1!$I$19:$I$32</c:f>
              <c:numCache>
                <c:formatCode>0.00</c:formatCode>
                <c:ptCount val="14"/>
                <c:pt idx="0">
                  <c:v>15.045472610942539</c:v>
                </c:pt>
                <c:pt idx="1">
                  <c:v>13.401124609772339</c:v>
                </c:pt>
                <c:pt idx="2">
                  <c:v>12.100497975955324</c:v>
                </c:pt>
                <c:pt idx="3">
                  <c:v>11.851111676575162</c:v>
                </c:pt>
                <c:pt idx="4">
                  <c:v>10.941120976958704</c:v>
                </c:pt>
                <c:pt idx="5">
                  <c:v>10.507368555081326</c:v>
                </c:pt>
                <c:pt idx="6">
                  <c:v>10.236464388297499</c:v>
                </c:pt>
                <c:pt idx="7">
                  <c:v>9.9633840742032778</c:v>
                </c:pt>
                <c:pt idx="8">
                  <c:v>9.3443141780398431</c:v>
                </c:pt>
                <c:pt idx="9">
                  <c:v>8.4172384183433131</c:v>
                </c:pt>
                <c:pt idx="10">
                  <c:v>8.1718717855273191</c:v>
                </c:pt>
                <c:pt idx="11">
                  <c:v>6.822886272059268</c:v>
                </c:pt>
                <c:pt idx="12">
                  <c:v>6.4791521003859609</c:v>
                </c:pt>
                <c:pt idx="13" formatCode="0.000">
                  <c:v>6.3829184072935412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892-8730-7246B10A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1392"/>
        <c:axId val="215777280"/>
      </c:scatterChart>
      <c:valAx>
        <c:axId val="215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77280"/>
        <c:crosses val="autoZero"/>
        <c:crossBetween val="midCat"/>
      </c:valAx>
      <c:valAx>
        <c:axId val="2157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57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607359</xdr:colOff>
      <xdr:row>33</xdr:row>
      <xdr:rowOff>72164</xdr:rowOff>
    </xdr:from>
    <xdr:to>
      <xdr:col>24</xdr:col>
      <xdr:colOff>300317</xdr:colOff>
      <xdr:row>48</xdr:row>
      <xdr:rowOff>72164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516816</xdr:colOff>
      <xdr:row>33</xdr:row>
      <xdr:rowOff>64322</xdr:rowOff>
    </xdr:from>
    <xdr:to>
      <xdr:col>16</xdr:col>
      <xdr:colOff>381449</xdr:colOff>
      <xdr:row>49</xdr:row>
      <xdr:rowOff>112059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53340</xdr:rowOff>
    </xdr:from>
    <xdr:to>
      <xdr:col>4</xdr:col>
      <xdr:colOff>205740</xdr:colOff>
      <xdr:row>48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426720</xdr:colOff>
      <xdr:row>33</xdr:row>
      <xdr:rowOff>60960</xdr:rowOff>
    </xdr:from>
    <xdr:to>
      <xdr:col>9</xdr:col>
      <xdr:colOff>396240</xdr:colOff>
      <xdr:row>48</xdr:row>
      <xdr:rowOff>60960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8</xdr:col>
      <xdr:colOff>649045</xdr:colOff>
      <xdr:row>72</xdr:row>
      <xdr:rowOff>55357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7140F39-B0A5-4029-95CC-1E1736A2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="85" workbookViewId="0">
      <selection activeCell="G25" sqref="G25:G30"/>
    </sheetView>
  </sheetViews>
  <sheetFormatPr defaultRowHeight="14.4" x14ac:dyDescent="0.3"/>
  <cols>
    <col min="1" max="1" width="12.33203125" customWidth="1"/>
    <col min="2" max="2" width="17.88671875" bestFit="1" customWidth="1"/>
    <col min="3" max="3" width="13.5546875" customWidth="1"/>
    <col min="4" max="4" width="24.6640625" customWidth="1"/>
    <col min="5" max="5" width="14.6640625" customWidth="1"/>
    <col min="6" max="6" width="14.33203125" bestFit="1" customWidth="1"/>
    <col min="7" max="7" width="17.109375" customWidth="1"/>
    <col min="8" max="8" width="6" customWidth="1"/>
    <col min="9" max="10" width="12" bestFit="1" customWidth="1"/>
    <col min="11" max="11" width="9.44140625" bestFit="1" customWidth="1"/>
    <col min="12" max="12" width="4.33203125" customWidth="1"/>
    <col min="13" max="13" width="11" customWidth="1"/>
    <col min="14" max="14" width="9.44140625" bestFit="1" customWidth="1"/>
    <col min="18" max="18" width="11.33203125" bestFit="1" customWidth="1"/>
  </cols>
  <sheetData>
    <row r="1" spans="1:21" x14ac:dyDescent="0.3">
      <c r="B1" t="s">
        <v>0</v>
      </c>
      <c r="C1" t="s">
        <v>1</v>
      </c>
      <c r="I1" s="3" t="s">
        <v>2</v>
      </c>
      <c r="J1" s="3" t="s">
        <v>3</v>
      </c>
      <c r="K1" s="3" t="s">
        <v>4</v>
      </c>
    </row>
    <row r="2" spans="1:21" x14ac:dyDescent="0.3">
      <c r="A2" t="s">
        <v>5</v>
      </c>
      <c r="B2">
        <f>22*10^-9</f>
        <v>2.2000000000000002E-8</v>
      </c>
      <c r="C2">
        <f t="shared" ref="C2:C6" si="0">B2/10</f>
        <v>2.2000000000000003E-9</v>
      </c>
      <c r="I2" s="4">
        <f t="shared" ref="I2:I15" si="1">1/H10*LN(F10/G10)</f>
        <v>0.27031007207210955</v>
      </c>
      <c r="J2" s="5">
        <f t="shared" ref="J2:J7" si="2">SQRT((0.1/(LN(F10)*F10-LN(G10)*F10))^2+(0.1/(-LN(F10)*G10-LN(G10)*G10))^2)*100</f>
        <v>2.3194181159530745</v>
      </c>
      <c r="K2" s="4">
        <f t="shared" ref="K2:K15" si="3">I2*J2/100</f>
        <v>6.2696207808863209E-3</v>
      </c>
    </row>
    <row r="3" spans="1:21" x14ac:dyDescent="0.3">
      <c r="A3" t="s">
        <v>6</v>
      </c>
      <c r="B3">
        <f>33*10^-9</f>
        <v>3.3000000000000004E-8</v>
      </c>
      <c r="C3">
        <f t="shared" si="0"/>
        <v>3.3000000000000006E-9</v>
      </c>
      <c r="E3" t="s">
        <v>7</v>
      </c>
      <c r="F3" s="6" t="s">
        <v>8</v>
      </c>
      <c r="I3" s="4">
        <f t="shared" si="1"/>
        <v>0.31636018489904866</v>
      </c>
      <c r="J3" s="5">
        <f t="shared" si="2"/>
        <v>2.2955507483528721</v>
      </c>
      <c r="K3" s="4">
        <f t="shared" si="3"/>
        <v>7.2622085919406406E-3</v>
      </c>
    </row>
    <row r="4" spans="1:21" x14ac:dyDescent="0.3">
      <c r="A4" t="s">
        <v>9</v>
      </c>
      <c r="B4">
        <f>47*10^-9</f>
        <v>4.7000000000000004E-8</v>
      </c>
      <c r="C4">
        <f t="shared" si="0"/>
        <v>4.7000000000000007E-9</v>
      </c>
      <c r="I4" s="4">
        <f t="shared" si="1"/>
        <v>0.36620409622270322</v>
      </c>
      <c r="J4" s="5">
        <f t="shared" si="2"/>
        <v>2.5199656787987847</v>
      </c>
      <c r="K4" s="4">
        <f t="shared" si="3"/>
        <v>9.2282175391673986E-3</v>
      </c>
    </row>
    <row r="5" spans="1:21" x14ac:dyDescent="0.3">
      <c r="A5" t="s">
        <v>10</v>
      </c>
      <c r="B5">
        <f>470*10^-9</f>
        <v>4.7000000000000005E-7</v>
      </c>
      <c r="C5" s="7">
        <f t="shared" si="0"/>
        <v>4.7000000000000004E-8</v>
      </c>
      <c r="E5" t="s">
        <v>11</v>
      </c>
      <c r="F5">
        <f>2*SQRT(B6/B2)</f>
        <v>1348.3997249264842</v>
      </c>
      <c r="I5" s="4">
        <f t="shared" si="1"/>
        <v>0.3776994882464263</v>
      </c>
      <c r="J5" s="5">
        <f t="shared" si="2"/>
        <v>2.64197035668519</v>
      </c>
      <c r="K5" s="4">
        <f t="shared" si="3"/>
        <v>9.9787085168222458E-3</v>
      </c>
    </row>
    <row r="6" spans="1:21" x14ac:dyDescent="0.3">
      <c r="A6" t="s">
        <v>12</v>
      </c>
      <c r="B6">
        <f>10*10^-3</f>
        <v>0.01</v>
      </c>
      <c r="C6" s="8">
        <f t="shared" si="0"/>
        <v>1E-3</v>
      </c>
      <c r="I6" s="4">
        <f t="shared" si="1"/>
        <v>0.42697794848735471</v>
      </c>
      <c r="J6" s="5">
        <f t="shared" si="2"/>
        <v>3.4995304505810085</v>
      </c>
      <c r="K6" s="4">
        <f t="shared" si="3"/>
        <v>1.494222332458107E-2</v>
      </c>
    </row>
    <row r="7" spans="1:21" x14ac:dyDescent="0.3">
      <c r="A7" t="s">
        <v>13</v>
      </c>
      <c r="B7">
        <f>240</f>
        <v>240</v>
      </c>
      <c r="I7" s="4">
        <f t="shared" si="1"/>
        <v>0.45562542508759629</v>
      </c>
      <c r="J7" s="5">
        <f t="shared" si="2"/>
        <v>4.3121490153523148</v>
      </c>
      <c r="K7" s="4">
        <f t="shared" si="3"/>
        <v>1.9647247281609583E-2</v>
      </c>
    </row>
    <row r="8" spans="1:21" x14ac:dyDescent="0.3">
      <c r="I8" s="4">
        <f t="shared" si="1"/>
        <v>0.47570545188004859</v>
      </c>
      <c r="J8" s="5">
        <f t="shared" ref="J8:J9" si="4">SQRT((0.05/(LN(F16)*F16-LN(G16)*F16))^2+(0.05/(-LN(F16)*G16-LN(G16)*G16))^2)*100</f>
        <v>2.4287380074949114</v>
      </c>
      <c r="K8" s="4">
        <f t="shared" si="3"/>
        <v>1.1553639113536155E-2</v>
      </c>
    </row>
    <row r="9" spans="1:21" x14ac:dyDescent="0.3">
      <c r="A9" s="3" t="s">
        <v>14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19</v>
      </c>
      <c r="G9" s="3" t="s">
        <v>20</v>
      </c>
      <c r="H9" s="3" t="s">
        <v>21</v>
      </c>
      <c r="I9" s="9">
        <f t="shared" si="1"/>
        <v>0.49797500843741865</v>
      </c>
      <c r="J9" s="5">
        <f t="shared" si="4"/>
        <v>2.7834350830430377</v>
      </c>
      <c r="K9" s="9">
        <f t="shared" si="3"/>
        <v>1.3860811089633638E-2</v>
      </c>
      <c r="M9" s="3" t="s">
        <v>22</v>
      </c>
      <c r="N9" s="3" t="s">
        <v>23</v>
      </c>
      <c r="O9" s="3" t="s">
        <v>24</v>
      </c>
      <c r="P9" s="10" t="s">
        <v>25</v>
      </c>
      <c r="Q9" s="3" t="s">
        <v>26</v>
      </c>
      <c r="R9" s="3" t="s">
        <v>27</v>
      </c>
      <c r="S9" s="3" t="s">
        <v>28</v>
      </c>
      <c r="T9" s="3" t="s">
        <v>29</v>
      </c>
      <c r="U9" s="3" t="s">
        <v>30</v>
      </c>
    </row>
    <row r="10" spans="1:21" x14ac:dyDescent="0.3">
      <c r="A10" s="3">
        <v>0</v>
      </c>
      <c r="B10" s="4">
        <f t="shared" ref="B10:B23" si="5">2*3.14/SQRT((1/($B$6*$B$2))-(A10^2/(4*($B$6^2))))*1000</f>
        <v>9.3147452997921543E-2</v>
      </c>
      <c r="C10" s="5">
        <f t="shared" ref="C10:C23" si="6">SQRT((((2*$B$6-A10^2*$B$2)*$C$6)/(4*$B$6^2-A10^2*$B$6*$B$2))^2+(2*$B$6*$C$2/(4*$B$6*$B$2-A10^2*$B$2^2))^2)*100</f>
        <v>7.0710678118654764</v>
      </c>
      <c r="D10" s="4">
        <f t="shared" ref="D10:D23" si="7">C10*B10/100</f>
        <v>6.5865195665085544E-3</v>
      </c>
      <c r="E10" s="3">
        <v>9.1999999999999998E-2</v>
      </c>
      <c r="F10" s="3">
        <v>6.3</v>
      </c>
      <c r="G10" s="3">
        <v>2.8</v>
      </c>
      <c r="H10" s="3">
        <v>3</v>
      </c>
      <c r="I10" s="4">
        <f t="shared" si="1"/>
        <v>0.55799214452389045</v>
      </c>
      <c r="J10" s="5">
        <f t="shared" ref="J10:J12" si="8">SQRT((0.02/(LN(F18)*F18-LN(G18)*F18))^2+(0.02/(-LN(F18)*G18-LN(G18)*G18))^2)*100</f>
        <v>1.538946304693132</v>
      </c>
      <c r="K10" s="4">
        <f t="shared" si="3"/>
        <v>8.5871994886283724E-3</v>
      </c>
      <c r="M10" s="5">
        <f t="shared" ref="M10:M23" si="9">A10+$N$27</f>
        <v>62.518518518518519</v>
      </c>
      <c r="N10" s="11">
        <f t="shared" ref="N10:N20" si="10">(3.14159265358979*M10)^2/I2^2*$B$2</f>
        <v>1.1614896009346067E-2</v>
      </c>
      <c r="O10" s="11">
        <f t="shared" ref="O10:O20" si="11">ABS($N$29-N10)</f>
        <v>9.4884418028101485E-4</v>
      </c>
      <c r="P10" s="12">
        <f>2*3.14/SQRT((1/(N29*$B$2))-(M10^2/(4*(N29^2))))*1000</f>
        <v>0.10449663950198983</v>
      </c>
      <c r="Q10" s="5">
        <f>SQRT((((2*$N$29-M10^2*$B$2)*$N$30)/(4*$N$29^2-M10^2*$N$29*$B$2))^2+(2*$N$29*$C$2/(4*$N$29*$B$2-M10^2*$B$2^2))^2)*100</f>
        <v>7.3230012307377761</v>
      </c>
      <c r="R10" s="4">
        <f>P10*Q10/100</f>
        <v>7.6522901968103319E-3</v>
      </c>
      <c r="S10" s="5">
        <f t="shared" ref="S10:S11" si="12">1/M10*SQRT(N10/$B$2)</f>
        <v>11.622181258387291</v>
      </c>
      <c r="T10" s="5">
        <f t="shared" ref="T10:T11" si="13">SQRT((O10/2/N10)^2+(($C$2/2/$B$2))^2)*100</f>
        <v>6.4563116806680503</v>
      </c>
      <c r="U10" s="5">
        <f t="shared" ref="U10:U11" si="14">T10*S10/100</f>
        <v>0.7503642461336717</v>
      </c>
    </row>
    <row r="11" spans="1:21" x14ac:dyDescent="0.3">
      <c r="A11" s="3">
        <v>10</v>
      </c>
      <c r="B11" s="4">
        <f t="shared" si="5"/>
        <v>9.3150014658547969E-2</v>
      </c>
      <c r="C11" s="5">
        <f t="shared" si="6"/>
        <v>7.071067822561643</v>
      </c>
      <c r="D11" s="4">
        <f t="shared" si="7"/>
        <v>6.5867007132320386E-3</v>
      </c>
      <c r="E11" s="3">
        <v>9.2999999999999999E-2</v>
      </c>
      <c r="F11" s="3">
        <v>6.2</v>
      </c>
      <c r="G11" s="3">
        <v>2.4</v>
      </c>
      <c r="H11" s="3">
        <v>3</v>
      </c>
      <c r="I11" s="4">
        <f t="shared" si="1"/>
        <v>0.68612937749400116</v>
      </c>
      <c r="J11" s="5">
        <f t="shared" si="8"/>
        <v>3.2218555879636317</v>
      </c>
      <c r="K11" s="4">
        <f t="shared" si="3"/>
        <v>2.2106097689450557E-2</v>
      </c>
      <c r="M11" s="5">
        <f t="shared" si="9"/>
        <v>72.518518518518519</v>
      </c>
      <c r="N11" s="11">
        <f t="shared" si="10"/>
        <v>1.1409237781982792E-2</v>
      </c>
      <c r="O11" s="11">
        <f t="shared" si="11"/>
        <v>1.1545024076442898E-3</v>
      </c>
      <c r="Q11" s="13"/>
      <c r="S11" s="5">
        <f t="shared" si="12"/>
        <v>9.9304299451976874</v>
      </c>
      <c r="T11" s="5">
        <f t="shared" si="13"/>
        <v>7.1132701917650438</v>
      </c>
      <c r="U11" s="5">
        <f t="shared" si="14"/>
        <v>0.70637831320585687</v>
      </c>
    </row>
    <row r="12" spans="1:21" x14ac:dyDescent="0.3">
      <c r="A12" s="3">
        <v>20</v>
      </c>
      <c r="B12" s="4">
        <f t="shared" si="5"/>
        <v>9.315770090868758E-2</v>
      </c>
      <c r="C12" s="5">
        <f t="shared" si="6"/>
        <v>7.0710679830606322</v>
      </c>
      <c r="D12" s="4">
        <f t="shared" si="7"/>
        <v>6.5872443627095914E-3</v>
      </c>
      <c r="E12" s="3">
        <v>9.0999999999999998E-2</v>
      </c>
      <c r="F12" s="3">
        <v>6</v>
      </c>
      <c r="G12" s="3">
        <v>2</v>
      </c>
      <c r="H12" s="3">
        <v>3</v>
      </c>
      <c r="I12" s="9">
        <f t="shared" si="1"/>
        <v>0.73240819244540645</v>
      </c>
      <c r="J12" s="5">
        <f t="shared" si="8"/>
        <v>4.9367526173557446</v>
      </c>
      <c r="K12" s="9">
        <f t="shared" si="3"/>
        <v>3.61571806102765E-2</v>
      </c>
      <c r="M12" s="5">
        <f t="shared" si="9"/>
        <v>82.518518518518519</v>
      </c>
      <c r="N12" s="11">
        <f t="shared" si="10"/>
        <v>1.1025007033383829E-2</v>
      </c>
      <c r="O12" s="11">
        <f t="shared" si="11"/>
        <v>1.5387331562432532E-3</v>
      </c>
      <c r="Q12" s="13"/>
    </row>
    <row r="13" spans="1:21" x14ac:dyDescent="0.3">
      <c r="A13" s="3">
        <v>30</v>
      </c>
      <c r="B13" s="4">
        <f t="shared" si="5"/>
        <v>9.3170515554866037E-2</v>
      </c>
      <c r="C13" s="5">
        <f t="shared" si="6"/>
        <v>7.0710686790178858</v>
      </c>
      <c r="D13" s="4">
        <f t="shared" si="7"/>
        <v>6.5881511434796201E-3</v>
      </c>
      <c r="E13" s="3">
        <v>9.2999999999999999E-2</v>
      </c>
      <c r="F13" s="3">
        <v>5.9</v>
      </c>
      <c r="G13" s="3">
        <v>1.9</v>
      </c>
      <c r="H13" s="3">
        <v>3</v>
      </c>
      <c r="I13" s="9">
        <f t="shared" si="1"/>
        <v>1.2685113254635072</v>
      </c>
      <c r="J13" s="5">
        <f>SQRT((0.1/(LN(F21)*F21-LN(G21)*F21))^2+(0.1/(-LN(F21)*G21-LN(G21)*G21))^2)*100</f>
        <v>10.789094533532296</v>
      </c>
      <c r="K13" s="9">
        <f t="shared" si="3"/>
        <v>0.13686088607282132</v>
      </c>
      <c r="M13" s="5">
        <f t="shared" si="9"/>
        <v>92.518518518518519</v>
      </c>
      <c r="N13" s="11">
        <f t="shared" si="10"/>
        <v>1.3028276683942365E-2</v>
      </c>
      <c r="O13" s="11">
        <f t="shared" si="11"/>
        <v>4.6453649431528292E-4</v>
      </c>
      <c r="Q13" s="13"/>
    </row>
    <row r="14" spans="1:21" x14ac:dyDescent="0.3">
      <c r="A14" s="3">
        <v>40</v>
      </c>
      <c r="B14" s="4">
        <f t="shared" si="5"/>
        <v>9.3188464947112942E-2</v>
      </c>
      <c r="C14" s="5">
        <f t="shared" si="6"/>
        <v>7.0710705546075028</v>
      </c>
      <c r="D14" s="4">
        <f t="shared" si="7"/>
        <v>6.5894221051660375E-3</v>
      </c>
      <c r="E14" s="3">
        <v>9.1999999999999998E-2</v>
      </c>
      <c r="F14" s="3">
        <v>5.4</v>
      </c>
      <c r="G14" s="3">
        <v>1.5</v>
      </c>
      <c r="H14" s="3">
        <v>3</v>
      </c>
      <c r="I14" s="9">
        <f t="shared" si="1"/>
        <v>1.7491998548092589</v>
      </c>
      <c r="J14" s="5">
        <f>SQRT((0.02/(LN(F22)*F22-LN(G22)*F22))^2+(0.02/(-LN(F22)*G22-LN(G22)*G22))^2)*100</f>
        <v>59.96732226226618</v>
      </c>
      <c r="K14" s="9">
        <f t="shared" si="3"/>
        <v>1.0489483139445603</v>
      </c>
      <c r="M14" s="5">
        <f t="shared" si="9"/>
        <v>102.51851851851852</v>
      </c>
      <c r="N14" s="11">
        <f t="shared" si="10"/>
        <v>1.2517458983786664E-2</v>
      </c>
      <c r="O14" s="11">
        <f t="shared" si="11"/>
        <v>4.6281205840418074E-5</v>
      </c>
      <c r="Q14" s="13"/>
    </row>
    <row r="15" spans="1:21" x14ac:dyDescent="0.3">
      <c r="A15" s="3">
        <v>50</v>
      </c>
      <c r="B15" s="4">
        <f t="shared" si="5"/>
        <v>9.3211557987708443E-2</v>
      </c>
      <c r="C15" s="5">
        <f t="shared" si="6"/>
        <v>7.0710745146510865</v>
      </c>
      <c r="D15" s="4">
        <f t="shared" si="7"/>
        <v>6.5910587215780711E-3</v>
      </c>
      <c r="E15" s="3">
        <v>9.1999999999999998E-2</v>
      </c>
      <c r="F15" s="3">
        <v>5.0999999999999996</v>
      </c>
      <c r="G15" s="3">
        <v>1.3</v>
      </c>
      <c r="H15" s="3">
        <v>3</v>
      </c>
      <c r="I15" s="9">
        <f t="shared" si="1"/>
        <v>2.0794415416798357</v>
      </c>
      <c r="J15" s="5">
        <f>SQRT((0.01/(LN(F23)*F23-LN(G23)*F23))^2+(0.01/(-LN(F23)*G23-LN(G23)*G23))^2)*100</f>
        <v>4.398423781848523</v>
      </c>
      <c r="K15" s="9">
        <f t="shared" si="3"/>
        <v>9.1462651298883466E-2</v>
      </c>
      <c r="M15" s="5">
        <f t="shared" si="9"/>
        <v>112.51851851851852</v>
      </c>
      <c r="N15" s="11">
        <f t="shared" si="10"/>
        <v>1.3242029018265626E-2</v>
      </c>
      <c r="O15" s="11">
        <f t="shared" si="11"/>
        <v>6.7828882863854405E-4</v>
      </c>
      <c r="Q15" s="13"/>
    </row>
    <row r="16" spans="1:21" x14ac:dyDescent="0.3">
      <c r="A16" s="3">
        <v>60</v>
      </c>
      <c r="B16" s="4">
        <f t="shared" si="5"/>
        <v>9.3239806143461862E-2</v>
      </c>
      <c r="C16" s="5">
        <f t="shared" si="6"/>
        <v>7.0710817276107578</v>
      </c>
      <c r="D16" s="4">
        <f t="shared" si="7"/>
        <v>6.5930628950700244E-3</v>
      </c>
      <c r="E16" s="3">
        <v>9.1999999999999998E-2</v>
      </c>
      <c r="F16" s="3">
        <v>5</v>
      </c>
      <c r="G16" s="3">
        <v>1.2</v>
      </c>
      <c r="H16" s="3">
        <v>3</v>
      </c>
      <c r="I16" s="8"/>
      <c r="M16" s="5">
        <f t="shared" si="9"/>
        <v>122.51851851851852</v>
      </c>
      <c r="N16" s="11">
        <f t="shared" si="10"/>
        <v>1.4402889945199567E-2</v>
      </c>
      <c r="O16" s="11">
        <f t="shared" si="11"/>
        <v>1.8391497555724848E-3</v>
      </c>
      <c r="Q16" s="13"/>
    </row>
    <row r="17" spans="1:18" x14ac:dyDescent="0.3">
      <c r="A17" s="3">
        <v>70</v>
      </c>
      <c r="B17" s="4">
        <f t="shared" si="5"/>
        <v>9.3273223461555047E-2</v>
      </c>
      <c r="C17" s="5">
        <f t="shared" si="6"/>
        <v>7.0710936294590594</v>
      </c>
      <c r="D17" s="4">
        <f t="shared" si="7"/>
        <v>6.5954369621811313E-3</v>
      </c>
      <c r="E17" s="3">
        <v>9.1999999999999998E-2</v>
      </c>
      <c r="F17" s="3">
        <v>4.9000000000000004</v>
      </c>
      <c r="G17" s="3">
        <v>1.1000000000000001</v>
      </c>
      <c r="H17" s="3">
        <v>3</v>
      </c>
      <c r="M17" s="5">
        <f t="shared" si="9"/>
        <v>132.51851851851853</v>
      </c>
      <c r="N17" s="11">
        <f t="shared" si="10"/>
        <v>1.5376605597965306E-2</v>
      </c>
      <c r="O17" s="11">
        <f t="shared" si="11"/>
        <v>2.8128654083382238E-3</v>
      </c>
      <c r="Q17" s="13"/>
    </row>
    <row r="18" spans="1:18" x14ac:dyDescent="0.3">
      <c r="A18" s="3">
        <v>80</v>
      </c>
      <c r="B18" s="4">
        <f t="shared" si="5"/>
        <v>9.3311826588993743E-2</v>
      </c>
      <c r="C18" s="5">
        <f t="shared" si="6"/>
        <v>7.0711119284422059</v>
      </c>
      <c r="D18" s="4">
        <f t="shared" si="7"/>
        <v>6.5981837005816427E-3</v>
      </c>
      <c r="E18" s="3">
        <v>9.1999999999999998E-2</v>
      </c>
      <c r="F18" s="3">
        <v>4.8</v>
      </c>
      <c r="G18" s="3">
        <v>0.9</v>
      </c>
      <c r="H18" s="3">
        <v>3</v>
      </c>
      <c r="I18" s="3" t="s">
        <v>31</v>
      </c>
      <c r="J18" s="3" t="s">
        <v>29</v>
      </c>
      <c r="K18" s="3" t="s">
        <v>30</v>
      </c>
      <c r="M18" s="5">
        <f t="shared" si="9"/>
        <v>142.51851851851853</v>
      </c>
      <c r="N18" s="11">
        <f t="shared" si="10"/>
        <v>1.4164748072064739E-2</v>
      </c>
      <c r="O18" s="11">
        <f t="shared" si="11"/>
        <v>1.6010078824376574E-3</v>
      </c>
      <c r="Q18" s="13"/>
    </row>
    <row r="19" spans="1:18" x14ac:dyDescent="0.3">
      <c r="A19" s="3">
        <v>90</v>
      </c>
      <c r="B19" s="4">
        <f t="shared" si="5"/>
        <v>9.3355634795719969E-2</v>
      </c>
      <c r="C19" s="5">
        <f t="shared" si="6"/>
        <v>7.0711386107569858</v>
      </c>
      <c r="D19" s="4">
        <f t="shared" si="7"/>
        <v>6.6013063373574384E-3</v>
      </c>
      <c r="E19" s="3">
        <v>9.1999999999999998E-2</v>
      </c>
      <c r="F19" s="3">
        <v>4.7</v>
      </c>
      <c r="G19" s="3">
        <v>0.6</v>
      </c>
      <c r="H19" s="3">
        <v>3</v>
      </c>
      <c r="I19" s="9">
        <f t="shared" ref="I19:I32" si="15">2*3.14159265358979/(1-EXP(-2*I2))</f>
        <v>15.045472610942539</v>
      </c>
      <c r="J19" s="5">
        <f t="shared" ref="J19:J32" si="16">2*K2/(EXP(2*I2)-1)*100</f>
        <v>1.7486741479674301</v>
      </c>
      <c r="K19" s="9">
        <f t="shared" ref="K19:K32" si="17">I19*J19/100</f>
        <v>0.26309628998707252</v>
      </c>
      <c r="M19" s="5">
        <f t="shared" si="9"/>
        <v>152.51851851851853</v>
      </c>
      <c r="N19" s="11">
        <f t="shared" si="10"/>
        <v>1.0728908791246945E-2</v>
      </c>
      <c r="O19" s="11">
        <f t="shared" si="11"/>
        <v>1.8348313983801365E-3</v>
      </c>
      <c r="Q19" s="13"/>
    </row>
    <row r="20" spans="1:18" x14ac:dyDescent="0.3">
      <c r="A20" s="3">
        <v>100</v>
      </c>
      <c r="B20" s="4">
        <f t="shared" si="5"/>
        <v>9.3404670001448198E-2</v>
      </c>
      <c r="C20" s="5">
        <f t="shared" si="6"/>
        <v>7.0711759471655702</v>
      </c>
      <c r="D20" s="4">
        <f t="shared" si="7"/>
        <v>6.6048085586717801E-3</v>
      </c>
      <c r="E20" s="3">
        <v>9.1999999999999998E-2</v>
      </c>
      <c r="F20" s="3">
        <v>4.5</v>
      </c>
      <c r="G20" s="3">
        <v>0.5</v>
      </c>
      <c r="H20" s="3">
        <v>3</v>
      </c>
      <c r="I20" s="9">
        <f t="shared" si="15"/>
        <v>13.401124609772339</v>
      </c>
      <c r="J20" s="5">
        <f t="shared" si="16"/>
        <v>1.6454061891548695</v>
      </c>
      <c r="K20" s="9">
        <f t="shared" si="17"/>
        <v>0.22050293374555038</v>
      </c>
      <c r="M20" s="5">
        <f t="shared" si="9"/>
        <v>162.51851851851853</v>
      </c>
      <c r="N20" s="11">
        <f t="shared" si="10"/>
        <v>1.0691084168714001E-2</v>
      </c>
      <c r="O20" s="14">
        <f t="shared" si="11"/>
        <v>1.8726560209130806E-3</v>
      </c>
      <c r="Q20" s="13"/>
    </row>
    <row r="21" spans="1:18" x14ac:dyDescent="0.3">
      <c r="A21" s="3">
        <v>200</v>
      </c>
      <c r="B21" s="4">
        <f t="shared" si="5"/>
        <v>9.4189297278838374E-2</v>
      </c>
      <c r="C21" s="5">
        <f t="shared" si="6"/>
        <v>7.0728566363414567</v>
      </c>
      <c r="D21" s="4">
        <f t="shared" si="7"/>
        <v>6.6618739633097033E-3</v>
      </c>
      <c r="E21" s="3">
        <v>9.2999999999999999E-2</v>
      </c>
      <c r="F21" s="3">
        <v>3.2</v>
      </c>
      <c r="G21" s="3">
        <v>0.9</v>
      </c>
      <c r="H21" s="3">
        <v>1</v>
      </c>
      <c r="I21" s="9">
        <f t="shared" si="15"/>
        <v>12.100497975955324</v>
      </c>
      <c r="J21" s="5">
        <f t="shared" si="16"/>
        <v>1.7087965474923941</v>
      </c>
      <c r="K21" s="9">
        <f t="shared" si="17"/>
        <v>0.20677289164251161</v>
      </c>
      <c r="M21" s="5">
        <f t="shared" si="9"/>
        <v>262.51851851851853</v>
      </c>
      <c r="P21" s="4">
        <f>2*3.14/SQRT((1/($B$6*$B$2))-(M21^2/(4*($B$6^2))))*1000</f>
        <v>9.4964597331050893E-2</v>
      </c>
      <c r="Q21" s="5">
        <f>SQRT((((2*$N$29-M21^2*$B$2)*$N$30)/(4*$N$29^2-M21^2*$N$29*$B$2))^2+(2*$N$29*$C$2/(4*$N$29*$B$2-M21^2*$B$2^2))^2)*100</f>
        <v>7.3119209088579078</v>
      </c>
      <c r="R21" s="4">
        <f t="shared" ref="R21:R23" si="18">P21*Q21/100</f>
        <v>6.9437362482618293E-3</v>
      </c>
    </row>
    <row r="22" spans="1:18" x14ac:dyDescent="0.3">
      <c r="A22" s="3">
        <v>300</v>
      </c>
      <c r="B22" s="4">
        <f t="shared" si="5"/>
        <v>9.5542130969067621E-2</v>
      </c>
      <c r="C22" s="5">
        <f t="shared" si="6"/>
        <v>7.0806500508511601</v>
      </c>
      <c r="D22" s="4">
        <f t="shared" si="7"/>
        <v>6.7650039450455682E-3</v>
      </c>
      <c r="E22" s="3">
        <v>9.5000000000000001E-2</v>
      </c>
      <c r="F22" s="3">
        <v>2.2999999999999998</v>
      </c>
      <c r="G22" s="3">
        <v>0.4</v>
      </c>
      <c r="H22" s="3">
        <v>1</v>
      </c>
      <c r="I22" s="9">
        <f t="shared" si="15"/>
        <v>11.851111676575162</v>
      </c>
      <c r="J22" s="5">
        <f t="shared" si="16"/>
        <v>1.7685524639815906</v>
      </c>
      <c r="K22" s="9">
        <f t="shared" si="17"/>
        <v>0.20959312756528001</v>
      </c>
      <c r="M22" s="5">
        <f t="shared" si="9"/>
        <v>362.51851851851853</v>
      </c>
      <c r="Q22" s="13"/>
    </row>
    <row r="23" spans="1:18" x14ac:dyDescent="0.3">
      <c r="A23" s="3">
        <v>400</v>
      </c>
      <c r="B23" s="4">
        <f t="shared" si="5"/>
        <v>9.7537936838991104E-2</v>
      </c>
      <c r="C23" s="5">
        <f t="shared" si="6"/>
        <v>7.1039093360433956</v>
      </c>
      <c r="D23" s="4">
        <f t="shared" si="7"/>
        <v>6.9290066012891996E-3</v>
      </c>
      <c r="E23" s="3">
        <v>9.8000000000000004E-2</v>
      </c>
      <c r="F23" s="3">
        <v>1.6</v>
      </c>
      <c r="G23" s="3">
        <v>0.2</v>
      </c>
      <c r="H23" s="3">
        <v>1</v>
      </c>
      <c r="I23" s="9">
        <f t="shared" si="15"/>
        <v>10.941120976958704</v>
      </c>
      <c r="J23" s="5">
        <f t="shared" si="16"/>
        <v>2.2154341025034654</v>
      </c>
      <c r="K23" s="9">
        <f t="shared" si="17"/>
        <v>0.24239332531970345</v>
      </c>
      <c r="M23" s="5">
        <f t="shared" si="9"/>
        <v>462.51851851851853</v>
      </c>
      <c r="P23" s="4">
        <f>2*3.14/SQRT((1/($B$6*$B$2))-(M23^2/(4*($B$6^2))))*1000</f>
        <v>9.9163643016439026E-2</v>
      </c>
      <c r="Q23" s="5">
        <f>SQRT((((2*$N$29-M23^2*$B$2)*$N$30)/(4*$N$29^2-M23^2*$N$29*$B$2))^2+(2*$N$29*$C$2/(4*$N$29*$B$2-M23^2*$B$2^2))^2)*100</f>
        <v>7.311592327919322</v>
      </c>
      <c r="R23" s="4">
        <f t="shared" si="18"/>
        <v>7.2504413148752602E-3</v>
      </c>
    </row>
    <row r="24" spans="1:18" x14ac:dyDescent="0.3">
      <c r="I24" s="9">
        <f t="shared" si="15"/>
        <v>10.507368555081326</v>
      </c>
      <c r="J24" s="5">
        <f t="shared" si="16"/>
        <v>2.6417674722890774</v>
      </c>
      <c r="K24" s="9">
        <f t="shared" si="17"/>
        <v>0.27758024468166931</v>
      </c>
    </row>
    <row r="25" spans="1:18" ht="13.95" customHeight="1" x14ac:dyDescent="0.3">
      <c r="A25" s="3" t="s">
        <v>32</v>
      </c>
      <c r="B25" s="3" t="s">
        <v>33</v>
      </c>
      <c r="C25" s="3" t="s">
        <v>34</v>
      </c>
      <c r="D25" s="3" t="s">
        <v>35</v>
      </c>
      <c r="E25" s="3" t="s">
        <v>27</v>
      </c>
      <c r="F25" s="3" t="s">
        <v>36</v>
      </c>
      <c r="G25" s="21"/>
      <c r="I25" s="9">
        <f t="shared" si="15"/>
        <v>10.236464388297499</v>
      </c>
      <c r="J25" s="5">
        <f t="shared" si="16"/>
        <v>1.4538727599244059</v>
      </c>
      <c r="K25" s="9">
        <f t="shared" si="17"/>
        <v>0.1488251673208198</v>
      </c>
    </row>
    <row r="26" spans="1:18" ht="14.4" customHeight="1" x14ac:dyDescent="0.3">
      <c r="A26" s="4">
        <f t="shared" ref="A26:A29" si="19">B2*10^6</f>
        <v>2.2000000000000002E-2</v>
      </c>
      <c r="B26" s="8">
        <v>9.1999999999999998E-2</v>
      </c>
      <c r="C26" s="4">
        <f t="shared" ref="C26:C29" si="20">2*3.14/SQRT((1/($N$29*B2))-($N$27^2/(4*($N$29^2))))*1000</f>
        <v>0.10449663950198983</v>
      </c>
      <c r="D26" s="5">
        <f t="shared" ref="D26:D29" si="21">ABS((B26-C26)/C26)*100</f>
        <v>11.958891273007747</v>
      </c>
      <c r="E26" s="3">
        <f t="shared" ref="E26:E29" si="22">D26*B26/100</f>
        <v>1.1002179971167127E-2</v>
      </c>
      <c r="F26" s="20">
        <f t="shared" ref="F26:F29" si="23">2*3.14159265358979*SQRT($N$29*A26)</f>
        <v>0.10446015891875909</v>
      </c>
      <c r="G26" s="21"/>
      <c r="I26" s="9">
        <f t="shared" si="15"/>
        <v>9.9633840742032778</v>
      </c>
      <c r="J26" s="5">
        <f t="shared" si="16"/>
        <v>1.623715914401892</v>
      </c>
      <c r="K26" s="9">
        <f t="shared" si="17"/>
        <v>0.16177705282582225</v>
      </c>
      <c r="M26" s="3" t="s">
        <v>37</v>
      </c>
      <c r="N26" s="5">
        <f>-0.3376/0.0054</f>
        <v>-62.518518518518519</v>
      </c>
    </row>
    <row r="27" spans="1:18" x14ac:dyDescent="0.3">
      <c r="A27" s="4">
        <f t="shared" si="19"/>
        <v>3.3000000000000002E-2</v>
      </c>
      <c r="B27" s="4">
        <v>0.112</v>
      </c>
      <c r="C27" s="4">
        <f t="shared" si="20"/>
        <v>0.12803659799309491</v>
      </c>
      <c r="D27" s="5">
        <f t="shared" si="21"/>
        <v>12.525011008149228</v>
      </c>
      <c r="E27" s="3">
        <f t="shared" si="22"/>
        <v>1.4028012329127135E-2</v>
      </c>
      <c r="F27" s="20">
        <f t="shared" si="23"/>
        <v>0.12793704390050059</v>
      </c>
      <c r="G27" s="21"/>
      <c r="I27" s="9">
        <f t="shared" si="15"/>
        <v>9.3443141780398431</v>
      </c>
      <c r="J27" s="5">
        <f t="shared" si="16"/>
        <v>0.83672605499761665</v>
      </c>
      <c r="K27" s="9">
        <f t="shared" si="17"/>
        <v>7.8186311388495744E-2</v>
      </c>
      <c r="M27" s="15" t="s">
        <v>38</v>
      </c>
      <c r="N27" s="16">
        <f>-N26</f>
        <v>62.518518518518519</v>
      </c>
    </row>
    <row r="28" spans="1:18" x14ac:dyDescent="0.3">
      <c r="A28" s="4">
        <f t="shared" si="19"/>
        <v>4.7000000000000007E-2</v>
      </c>
      <c r="B28" s="4">
        <v>0.13200000000000001</v>
      </c>
      <c r="C28" s="4">
        <f t="shared" si="20"/>
        <v>0.15288443161026941</v>
      </c>
      <c r="D28" s="5">
        <f t="shared" si="21"/>
        <v>13.660273574164611</v>
      </c>
      <c r="E28" s="3">
        <f t="shared" si="22"/>
        <v>1.8031561117897287E-2</v>
      </c>
      <c r="F28" s="20">
        <f t="shared" si="23"/>
        <v>0.15268215137435368</v>
      </c>
      <c r="G28" s="21"/>
      <c r="I28" s="9">
        <f t="shared" si="15"/>
        <v>8.4172384183433131</v>
      </c>
      <c r="J28" s="5">
        <f t="shared" si="16"/>
        <v>1.5016455585339954</v>
      </c>
      <c r="K28" s="9">
        <f t="shared" si="17"/>
        <v>0.12639708686026949</v>
      </c>
    </row>
    <row r="29" spans="1:18" x14ac:dyDescent="0.3">
      <c r="A29" s="4">
        <f t="shared" si="19"/>
        <v>0.47000000000000003</v>
      </c>
      <c r="B29" s="4">
        <v>0.44</v>
      </c>
      <c r="C29" s="4">
        <f t="shared" si="20"/>
        <v>0.49164812033727628</v>
      </c>
      <c r="D29" s="5">
        <f t="shared" si="21"/>
        <v>10.505098707963141</v>
      </c>
      <c r="E29" s="3">
        <f t="shared" si="22"/>
        <v>4.6222434315037822E-2</v>
      </c>
      <c r="F29" s="20">
        <f t="shared" si="23"/>
        <v>0.48282335639756546</v>
      </c>
      <c r="G29" s="21"/>
      <c r="I29" s="9">
        <f t="shared" si="15"/>
        <v>8.1718717855273191</v>
      </c>
      <c r="J29" s="5">
        <f t="shared" si="16"/>
        <v>2.1737247836944786</v>
      </c>
      <c r="K29" s="9">
        <f t="shared" si="17"/>
        <v>0.17763400229374382</v>
      </c>
      <c r="M29" s="3" t="s">
        <v>39</v>
      </c>
      <c r="N29" s="17">
        <f>AVERAGE(N10:N20)</f>
        <v>1.2563740189627082E-2</v>
      </c>
    </row>
    <row r="30" spans="1:18" x14ac:dyDescent="0.3">
      <c r="G30" s="21"/>
      <c r="I30" s="9">
        <f t="shared" si="15"/>
        <v>6.822886272059268</v>
      </c>
      <c r="J30" s="5">
        <f t="shared" si="16"/>
        <v>2.3511626239445444</v>
      </c>
      <c r="K30" s="9">
        <f t="shared" si="17"/>
        <v>0.16041715190290082</v>
      </c>
      <c r="M30" s="18" t="s">
        <v>40</v>
      </c>
      <c r="N30" s="11">
        <f>AVERAGE(O10:O20)</f>
        <v>1.3446997035094896E-3</v>
      </c>
    </row>
    <row r="31" spans="1:18" x14ac:dyDescent="0.3">
      <c r="G31" s="1"/>
      <c r="I31" s="9">
        <f t="shared" si="15"/>
        <v>6.4791521003859609</v>
      </c>
      <c r="J31" s="5">
        <f t="shared" si="16"/>
        <v>6.5431473774319588</v>
      </c>
      <c r="K31" s="9">
        <f t="shared" si="17"/>
        <v>0.4239404707362317</v>
      </c>
    </row>
    <row r="32" spans="1:18" x14ac:dyDescent="0.3">
      <c r="F32" s="2"/>
      <c r="I32" s="4">
        <f t="shared" si="15"/>
        <v>6.3829184072935412</v>
      </c>
      <c r="J32" s="5">
        <f t="shared" si="16"/>
        <v>0.29035762317105873</v>
      </c>
      <c r="K32" s="4">
        <f t="shared" si="17"/>
        <v>1.8533290176365524E-2</v>
      </c>
    </row>
    <row r="33" spans="3:20" x14ac:dyDescent="0.3">
      <c r="C33" t="s">
        <v>41</v>
      </c>
      <c r="G33" t="s">
        <v>42</v>
      </c>
      <c r="M33" t="s">
        <v>43</v>
      </c>
      <c r="T33" s="19" t="s">
        <v>44</v>
      </c>
    </row>
    <row r="53" spans="5:5" x14ac:dyDescent="0.3">
      <c r="E53" t="s">
        <v>45</v>
      </c>
    </row>
  </sheetData>
  <mergeCells count="1">
    <mergeCell ref="G25:G30"/>
  </mergeCells>
  <pageMargins left="0.7" right="0.7" top="0.75" bottom="0.75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2023-04-11T07:16:46Z</dcterms:created>
  <dcterms:modified xsi:type="dcterms:W3CDTF">2024-04-04T10:53:38Z</dcterms:modified>
</cp:coreProperties>
</file>