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TeorVer\"/>
    </mc:Choice>
  </mc:AlternateContent>
  <xr:revisionPtr revIDLastSave="0" documentId="13_ncr:1_{01AF1FC0-0FD5-4057-815F-50206F11ABF7}" xr6:coauthVersionLast="47" xr6:coauthVersionMax="47" xr10:uidLastSave="{00000000-0000-0000-0000-000000000000}"/>
  <bookViews>
    <workbookView xWindow="-96" yWindow="0" windowWidth="20832" windowHeight="16656" xr2:uid="{FDE63B83-C4DE-4347-B4B5-327FEBE799E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80" i="1" l="1"/>
  <c r="CB80" i="1" s="1"/>
  <c r="BX69" i="1"/>
  <c r="BY69" i="1"/>
  <c r="BY70" i="1"/>
  <c r="BY71" i="1"/>
  <c r="BY72" i="1"/>
  <c r="BY73" i="1"/>
  <c r="BY74" i="1"/>
  <c r="BY75" i="1"/>
  <c r="BY76" i="1"/>
  <c r="BY77" i="1"/>
  <c r="BY68" i="1"/>
  <c r="BX70" i="1"/>
  <c r="BX71" i="1"/>
  <c r="BX72" i="1"/>
  <c r="BX73" i="1"/>
  <c r="BX74" i="1"/>
  <c r="BX75" i="1"/>
  <c r="BX76" i="1"/>
  <c r="BX77" i="1"/>
  <c r="BX68" i="1"/>
  <c r="CL72" i="1"/>
  <c r="CL73" i="1"/>
  <c r="CL74" i="1"/>
  <c r="CL75" i="1"/>
  <c r="CL71" i="1"/>
  <c r="CL70" i="1"/>
  <c r="CL69" i="1"/>
  <c r="CL68" i="1"/>
  <c r="CL67" i="1"/>
  <c r="CL66" i="1"/>
  <c r="CI76" i="1"/>
  <c r="CI67" i="1"/>
  <c r="CI68" i="1"/>
  <c r="CI69" i="1"/>
  <c r="CI70" i="1"/>
  <c r="CI71" i="1"/>
  <c r="CI72" i="1"/>
  <c r="CI73" i="1"/>
  <c r="CI74" i="1"/>
  <c r="CI75" i="1"/>
  <c r="CI66" i="1"/>
  <c r="CH67" i="1"/>
  <c r="CH68" i="1"/>
  <c r="CH69" i="1"/>
  <c r="CH70" i="1"/>
  <c r="CH71" i="1"/>
  <c r="CH72" i="1"/>
  <c r="CH73" i="1"/>
  <c r="CH74" i="1"/>
  <c r="CH66" i="1"/>
  <c r="CG68" i="1"/>
  <c r="CG69" i="1"/>
  <c r="CG70" i="1"/>
  <c r="CG71" i="1"/>
  <c r="CG72" i="1"/>
  <c r="CG73" i="1"/>
  <c r="CG74" i="1"/>
  <c r="CG75" i="1"/>
  <c r="CG67" i="1"/>
  <c r="CF74" i="1"/>
  <c r="CF67" i="1"/>
  <c r="CF68" i="1"/>
  <c r="CF69" i="1"/>
  <c r="CF70" i="1"/>
  <c r="CF71" i="1"/>
  <c r="CF72" i="1"/>
  <c r="CF73" i="1"/>
  <c r="CF66" i="1"/>
  <c r="CE68" i="1"/>
  <c r="CE69" i="1"/>
  <c r="CE70" i="1"/>
  <c r="CE71" i="1"/>
  <c r="CE72" i="1"/>
  <c r="CE73" i="1"/>
  <c r="CE74" i="1"/>
  <c r="CE75" i="1"/>
  <c r="CE67" i="1"/>
  <c r="CJ51" i="1"/>
  <c r="CJ52" i="1"/>
  <c r="CJ53" i="1"/>
  <c r="CJ54" i="1"/>
  <c r="CJ55" i="1"/>
  <c r="CJ56" i="1"/>
  <c r="CJ57" i="1"/>
  <c r="CJ58" i="1"/>
  <c r="CJ50" i="1"/>
  <c r="CI52" i="1"/>
  <c r="CI53" i="1"/>
  <c r="CI54" i="1"/>
  <c r="CI55" i="1"/>
  <c r="CI56" i="1"/>
  <c r="CI57" i="1"/>
  <c r="CI58" i="1"/>
  <c r="CI59" i="1"/>
  <c r="CI51" i="1"/>
  <c r="CH58" i="1"/>
  <c r="CG59" i="1"/>
  <c r="CH57" i="1"/>
  <c r="CH51" i="1"/>
  <c r="CH52" i="1"/>
  <c r="CH53" i="1"/>
  <c r="CH54" i="1"/>
  <c r="CH55" i="1"/>
  <c r="CH56" i="1"/>
  <c r="CH50" i="1"/>
  <c r="CG52" i="1"/>
  <c r="CG53" i="1"/>
  <c r="CG54" i="1"/>
  <c r="CG55" i="1"/>
  <c r="CG56" i="1"/>
  <c r="CG57" i="1"/>
  <c r="CG58" i="1"/>
  <c r="CG51" i="1"/>
  <c r="BQ77" i="1"/>
  <c r="BW77" i="1"/>
  <c r="BW76" i="1"/>
  <c r="BW75" i="1"/>
  <c r="BW74" i="1"/>
  <c r="BW73" i="1"/>
  <c r="BW72" i="1"/>
  <c r="BW71" i="1"/>
  <c r="BW70" i="1"/>
  <c r="BW69" i="1"/>
  <c r="BW68" i="1"/>
  <c r="BS78" i="1"/>
  <c r="BT76" i="1"/>
  <c r="BX65" i="1"/>
  <c r="BX64" i="1"/>
  <c r="CB61" i="1"/>
  <c r="BX63" i="1"/>
  <c r="BO65" i="1"/>
  <c r="BZ61" i="1"/>
  <c r="BX61" i="1"/>
  <c r="CB52" i="1"/>
  <c r="CB53" i="1"/>
  <c r="CB54" i="1"/>
  <c r="CB55" i="1"/>
  <c r="CB56" i="1"/>
  <c r="CB57" i="1"/>
  <c r="CB58" i="1"/>
  <c r="CB59" i="1"/>
  <c r="CB60" i="1"/>
  <c r="CB51" i="1"/>
  <c r="BT58" i="1"/>
  <c r="BS58" i="1"/>
  <c r="CA52" i="1"/>
  <c r="CA53" i="1"/>
  <c r="CA54" i="1"/>
  <c r="CA55" i="1"/>
  <c r="CA56" i="1"/>
  <c r="CA57" i="1"/>
  <c r="CA58" i="1"/>
  <c r="CA59" i="1"/>
  <c r="CA60" i="1"/>
  <c r="CA51" i="1"/>
  <c r="BZ52" i="1"/>
  <c r="BZ53" i="1"/>
  <c r="BZ54" i="1"/>
  <c r="BZ55" i="1"/>
  <c r="BZ56" i="1"/>
  <c r="BZ57" i="1"/>
  <c r="BZ58" i="1"/>
  <c r="BZ59" i="1"/>
  <c r="BZ60" i="1"/>
  <c r="BZ51" i="1"/>
  <c r="BR99" i="1"/>
  <c r="BT86" i="1"/>
  <c r="BT87" i="1"/>
  <c r="BT88" i="1"/>
  <c r="BT89" i="1"/>
  <c r="BT85" i="1"/>
  <c r="BS85" i="1"/>
  <c r="BP85" i="1"/>
  <c r="BS80" i="1"/>
  <c r="BS77" i="1"/>
  <c r="BT60" i="1"/>
  <c r="BO67" i="1"/>
  <c r="BT77" i="1" s="1"/>
  <c r="BP86" i="1" s="1"/>
  <c r="BR86" i="1" s="1"/>
  <c r="BO66" i="1"/>
  <c r="BR59" i="1"/>
  <c r="BR58" i="1"/>
  <c r="BR49" i="1"/>
  <c r="BT95" i="1"/>
  <c r="BO104" i="1"/>
  <c r="BT99" i="1"/>
  <c r="BT97" i="1"/>
  <c r="BT96" i="1"/>
  <c r="BR77" i="1"/>
  <c r="BR78" i="1"/>
  <c r="BR79" i="1"/>
  <c r="BR76" i="1"/>
  <c r="BQ78" i="1"/>
  <c r="BQ79" i="1"/>
  <c r="BQ80" i="1"/>
  <c r="BO71" i="1"/>
  <c r="BO72" i="1" s="1"/>
  <c r="BT63" i="1"/>
  <c r="BR63" i="1"/>
  <c r="BQ63" i="1"/>
  <c r="BS62" i="1"/>
  <c r="BT62" i="1" s="1"/>
  <c r="BR62" i="1"/>
  <c r="BS61" i="1"/>
  <c r="BT61" i="1" s="1"/>
  <c r="BR61" i="1"/>
  <c r="BS60" i="1"/>
  <c r="BR60" i="1"/>
  <c r="BS59" i="1"/>
  <c r="BT59" i="1" s="1"/>
  <c r="BS54" i="1"/>
  <c r="BR54" i="1"/>
  <c r="BS50" i="1"/>
  <c r="BS51" i="1"/>
  <c r="BS52" i="1"/>
  <c r="BS53" i="1"/>
  <c r="BS49" i="1"/>
  <c r="BR50" i="1"/>
  <c r="BR51" i="1"/>
  <c r="BR52" i="1"/>
  <c r="BR53" i="1"/>
  <c r="BQ54" i="1"/>
  <c r="BO86" i="1" l="1"/>
  <c r="BQ86" i="1" s="1"/>
  <c r="BS86" i="1" s="1"/>
  <c r="BP96" i="1" s="1"/>
  <c r="BQ96" i="1" s="1"/>
  <c r="BR96" i="1" s="1"/>
  <c r="BS96" i="1" s="1"/>
  <c r="BR85" i="1"/>
  <c r="BT79" i="1"/>
  <c r="BP88" i="1" s="1"/>
  <c r="BR88" i="1" s="1"/>
  <c r="BO89" i="1"/>
  <c r="BQ89" i="1" s="1"/>
  <c r="BS89" i="1" s="1"/>
  <c r="BP99" i="1" s="1"/>
  <c r="BU99" i="1" s="1"/>
  <c r="BO87" i="1"/>
  <c r="BQ87" i="1" s="1"/>
  <c r="BT78" i="1"/>
  <c r="BP87" i="1" s="1"/>
  <c r="BR87" i="1" s="1"/>
  <c r="BS79" i="1"/>
  <c r="BO88" i="1" s="1"/>
  <c r="BQ88" i="1" s="1"/>
  <c r="BT98" i="1"/>
  <c r="BS88" i="1"/>
  <c r="BP98" i="1" s="1"/>
  <c r="BQ98" i="1" s="1"/>
  <c r="BR98" i="1" s="1"/>
  <c r="BS98" i="1" s="1"/>
  <c r="BP95" i="1"/>
  <c r="BQ99" i="1" l="1"/>
  <c r="BS99" i="1" s="1"/>
  <c r="BU98" i="1"/>
  <c r="BU96" i="1"/>
  <c r="BU95" i="1"/>
  <c r="BQ95" i="1"/>
  <c r="BR95" i="1" s="1"/>
  <c r="BS95" i="1" s="1"/>
  <c r="BS87" i="1"/>
  <c r="BP97" i="1" s="1"/>
  <c r="BP104" i="1" s="1"/>
  <c r="BQ97" i="1"/>
  <c r="BR97" i="1" s="1"/>
  <c r="BS97" i="1" s="1"/>
  <c r="BU97" i="1"/>
  <c r="BU104" i="1" s="1"/>
  <c r="BU106" i="1" s="1"/>
  <c r="BS104" i="1" l="1"/>
  <c r="AY77" i="1"/>
  <c r="AY83" i="1"/>
  <c r="AY75" i="1"/>
  <c r="AY73" i="1"/>
  <c r="BC49" i="1"/>
  <c r="AX49" i="1"/>
  <c r="AZ49" i="1"/>
  <c r="BA64" i="1"/>
  <c r="AY49" i="1"/>
  <c r="BA49" i="1"/>
  <c r="BB49" i="1"/>
  <c r="BD64" i="1"/>
  <c r="BC64" i="1"/>
  <c r="BG64" i="1" s="1"/>
  <c r="BB64" i="1"/>
  <c r="AZ64" i="1"/>
  <c r="AY64" i="1"/>
  <c r="BG63" i="1"/>
  <c r="AY70" i="1"/>
  <c r="BC67" i="1"/>
  <c r="BB67" i="1"/>
  <c r="BA67" i="1"/>
  <c r="AZ67" i="1"/>
  <c r="AY67" i="1"/>
  <c r="BA66" i="1"/>
  <c r="AZ66" i="1"/>
  <c r="AY66" i="1"/>
  <c r="BC65" i="1"/>
  <c r="BB65" i="1"/>
  <c r="BA65" i="1"/>
  <c r="AZ65" i="1"/>
  <c r="AY65" i="1"/>
  <c r="BK58" i="1"/>
  <c r="BK59" i="1"/>
  <c r="BK57" i="1"/>
  <c r="BI57" i="1"/>
  <c r="BJ59" i="1"/>
  <c r="BJ57" i="1"/>
  <c r="BI61" i="1"/>
  <c r="BK61" i="1" s="1"/>
  <c r="BI60" i="1"/>
  <c r="BK60" i="1" s="1"/>
  <c r="BI59" i="1"/>
  <c r="BI58" i="1"/>
  <c r="BJ63" i="1"/>
  <c r="BF67" i="1"/>
  <c r="BE67" i="1"/>
  <c r="BD67" i="1"/>
  <c r="BF66" i="1"/>
  <c r="BE66" i="1"/>
  <c r="BD66" i="1"/>
  <c r="BC66" i="1"/>
  <c r="BB66" i="1"/>
  <c r="BF65" i="1"/>
  <c r="BE65" i="1"/>
  <c r="BD65" i="1"/>
  <c r="BF64" i="1"/>
  <c r="BE64" i="1"/>
  <c r="BK62" i="1"/>
  <c r="BJ62" i="1"/>
  <c r="BI62" i="1"/>
  <c r="BH62" i="1"/>
  <c r="BJ61" i="1"/>
  <c r="BH61" i="1"/>
  <c r="BJ60" i="1"/>
  <c r="BH60" i="1"/>
  <c r="BH59" i="1"/>
  <c r="BJ58" i="1"/>
  <c r="BH58" i="1"/>
  <c r="BH57" i="1"/>
  <c r="C43" i="1"/>
  <c r="C40" i="1"/>
  <c r="D27" i="1"/>
  <c r="C27" i="1"/>
  <c r="C26" i="1"/>
  <c r="C25" i="1"/>
  <c r="D25" i="1"/>
  <c r="C24" i="1"/>
  <c r="M17" i="1"/>
  <c r="O17" i="1"/>
  <c r="N18" i="1"/>
  <c r="M21" i="1"/>
  <c r="M18" i="1"/>
  <c r="L17" i="1"/>
  <c r="AQ52" i="1"/>
  <c r="AP52" i="1"/>
  <c r="AO52" i="1"/>
  <c r="AQ47" i="1"/>
  <c r="AQ48" i="1"/>
  <c r="AQ49" i="1"/>
  <c r="AQ50" i="1"/>
  <c r="AQ51" i="1"/>
  <c r="AQ46" i="1"/>
  <c r="S59" i="1"/>
  <c r="AL55" i="1"/>
  <c r="AL47" i="1"/>
  <c r="AL48" i="1"/>
  <c r="AL49" i="1"/>
  <c r="AL50" i="1"/>
  <c r="AL51" i="1"/>
  <c r="AL52" i="1"/>
  <c r="AL53" i="1"/>
  <c r="AL54" i="1"/>
  <c r="AL46" i="1"/>
  <c r="AK55" i="1"/>
  <c r="AK47" i="1"/>
  <c r="AK48" i="1"/>
  <c r="AK49" i="1"/>
  <c r="AK50" i="1"/>
  <c r="AK51" i="1"/>
  <c r="AK52" i="1"/>
  <c r="AK53" i="1"/>
  <c r="AK54" i="1"/>
  <c r="AK46" i="1"/>
  <c r="AJ55" i="1"/>
  <c r="AJ47" i="1"/>
  <c r="AJ48" i="1"/>
  <c r="AJ49" i="1"/>
  <c r="AJ50" i="1"/>
  <c r="AJ51" i="1"/>
  <c r="AJ52" i="1"/>
  <c r="AJ53" i="1"/>
  <c r="AJ54" i="1"/>
  <c r="AJ46" i="1"/>
  <c r="AI55" i="1"/>
  <c r="AH55" i="1"/>
  <c r="AG55" i="1"/>
  <c r="AF55" i="1"/>
  <c r="AE55" i="1"/>
  <c r="AD55" i="1"/>
  <c r="AC55" i="1"/>
  <c r="AI47" i="1"/>
  <c r="AI48" i="1"/>
  <c r="AI49" i="1"/>
  <c r="AI50" i="1"/>
  <c r="AI51" i="1"/>
  <c r="AI52" i="1"/>
  <c r="AI53" i="1"/>
  <c r="AI54" i="1"/>
  <c r="AI46" i="1"/>
  <c r="AH47" i="1"/>
  <c r="AH48" i="1"/>
  <c r="AH49" i="1"/>
  <c r="AH50" i="1"/>
  <c r="AH51" i="1"/>
  <c r="AH52" i="1"/>
  <c r="AH53" i="1"/>
  <c r="AH54" i="1"/>
  <c r="AH46" i="1"/>
  <c r="AG47" i="1"/>
  <c r="AG48" i="1"/>
  <c r="AG49" i="1"/>
  <c r="AG50" i="1"/>
  <c r="AG51" i="1"/>
  <c r="AG52" i="1"/>
  <c r="AG53" i="1"/>
  <c r="AG54" i="1"/>
  <c r="AG46" i="1"/>
  <c r="AF47" i="1"/>
  <c r="AF48" i="1"/>
  <c r="AF49" i="1"/>
  <c r="AF50" i="1"/>
  <c r="AF51" i="1"/>
  <c r="AF52" i="1"/>
  <c r="AF53" i="1"/>
  <c r="AF54" i="1"/>
  <c r="AF46" i="1"/>
  <c r="AE47" i="1"/>
  <c r="AE48" i="1"/>
  <c r="AE49" i="1"/>
  <c r="AE50" i="1"/>
  <c r="AE51" i="1"/>
  <c r="AE52" i="1"/>
  <c r="AE53" i="1"/>
  <c r="AE54" i="1"/>
  <c r="AE46" i="1"/>
  <c r="V59" i="1"/>
  <c r="V51" i="1"/>
  <c r="U51" i="1"/>
  <c r="W57" i="1"/>
  <c r="BI63" i="1" l="1"/>
  <c r="AY71" i="1" s="1"/>
  <c r="AY79" i="1"/>
  <c r="BH63" i="1"/>
  <c r="BG67" i="1"/>
  <c r="BG65" i="1"/>
  <c r="BK63" i="1"/>
  <c r="BG66" i="1"/>
  <c r="V48" i="1"/>
  <c r="V49" i="1"/>
  <c r="V50" i="1"/>
  <c r="V57" i="1"/>
  <c r="V52" i="1"/>
  <c r="V53" i="1"/>
  <c r="V54" i="1"/>
  <c r="V55" i="1"/>
  <c r="V56" i="1"/>
  <c r="V47" i="1"/>
  <c r="U48" i="1"/>
  <c r="U49" i="1"/>
  <c r="U50" i="1"/>
  <c r="U52" i="1"/>
  <c r="U53" i="1"/>
  <c r="U54" i="1"/>
  <c r="U55" i="1"/>
  <c r="U56" i="1"/>
  <c r="U47" i="1"/>
  <c r="T57" i="1"/>
  <c r="T48" i="1"/>
  <c r="T49" i="1"/>
  <c r="T50" i="1"/>
  <c r="T51" i="1"/>
  <c r="T52" i="1"/>
  <c r="T53" i="1"/>
  <c r="T54" i="1"/>
  <c r="T55" i="1"/>
  <c r="T56" i="1"/>
  <c r="T47" i="1"/>
  <c r="R57" i="1"/>
  <c r="B58" i="1"/>
  <c r="B57" i="1"/>
  <c r="B50" i="1"/>
  <c r="B51" i="1"/>
  <c r="B52" i="1"/>
  <c r="B53" i="1"/>
  <c r="B54" i="1"/>
  <c r="B55" i="1"/>
  <c r="B56" i="1"/>
  <c r="B49" i="1"/>
  <c r="B48" i="1"/>
  <c r="C30" i="1"/>
  <c r="M23" i="1"/>
  <c r="M22" i="1"/>
  <c r="M20" i="1"/>
  <c r="M19" i="1"/>
  <c r="AY80" i="1" l="1"/>
  <c r="C37" i="1"/>
  <c r="C33" i="1"/>
  <c r="C39" i="1" s="1"/>
  <c r="C31" i="1"/>
  <c r="O23" i="1"/>
  <c r="O22" i="1"/>
  <c r="O21" i="1"/>
  <c r="O20" i="1"/>
  <c r="O19" i="1"/>
  <c r="O18" i="1"/>
  <c r="K27" i="1"/>
  <c r="J27" i="1"/>
  <c r="I27" i="1"/>
  <c r="H27" i="1"/>
  <c r="G27" i="1"/>
  <c r="G26" i="1"/>
  <c r="K26" i="1" s="1"/>
  <c r="C35" i="1" s="1"/>
  <c r="F27" i="1"/>
  <c r="E27" i="1"/>
  <c r="N23" i="1"/>
  <c r="N19" i="1"/>
  <c r="N20" i="1"/>
  <c r="N21" i="1"/>
  <c r="N22" i="1"/>
  <c r="N17" i="1"/>
  <c r="I26" i="1"/>
  <c r="D26" i="1"/>
  <c r="E26" i="1"/>
  <c r="F26" i="1"/>
  <c r="H26" i="1"/>
  <c r="J26" i="1"/>
  <c r="K25" i="1"/>
  <c r="J25" i="1"/>
  <c r="I25" i="1"/>
  <c r="H25" i="1"/>
  <c r="G25" i="1"/>
  <c r="F25" i="1"/>
  <c r="E25" i="1"/>
  <c r="K24" i="1"/>
  <c r="D24" i="1"/>
  <c r="E24" i="1"/>
  <c r="F24" i="1"/>
  <c r="G24" i="1"/>
  <c r="H24" i="1"/>
  <c r="I24" i="1"/>
  <c r="J24" i="1"/>
  <c r="L23" i="1"/>
  <c r="L18" i="1"/>
  <c r="L19" i="1"/>
  <c r="L20" i="1"/>
  <c r="L21" i="1"/>
  <c r="L22" i="1"/>
  <c r="K23" i="1"/>
</calcChain>
</file>

<file path=xl/sharedStrings.xml><?xml version="1.0" encoding="utf-8"?>
<sst xmlns="http://schemas.openxmlformats.org/spreadsheetml/2006/main" count="293" uniqueCount="163">
  <si>
    <t>ИДЗ 19.2</t>
  </si>
  <si>
    <t>Исходные данные</t>
  </si>
  <si>
    <t>x\y</t>
  </si>
  <si>
    <t>m_{x}</t>
  </si>
  <si>
    <t>m_{y}</t>
  </si>
  <si>
    <t>км</t>
  </si>
  <si>
    <t>руб</t>
  </si>
  <si>
    <t>Таблица 19,30</t>
  </si>
  <si>
    <t>i</t>
  </si>
  <si>
    <t>j</t>
  </si>
  <si>
    <t>m_{xi}</t>
  </si>
  <si>
    <t>m_{yj}</t>
  </si>
  <si>
    <t>m_{xi}*x_{i}</t>
  </si>
  <si>
    <t>sum_{j=1}^{k}{m_{yi}*y_{j}}</t>
  </si>
  <si>
    <t>m_{yj}*y_{j}</t>
  </si>
  <si>
    <t>-</t>
  </si>
  <si>
    <t>sum_{j=1}^{k}{m_{ij}*x_{i}}</t>
  </si>
  <si>
    <t>y^2_{j}m_{ij}</t>
  </si>
  <si>
    <t>x^2_{i}m_{xi}</t>
  </si>
  <si>
    <t>большая хрень</t>
  </si>
  <si>
    <t>Вар 13=</t>
  </si>
  <si>
    <t>большая хрень 2</t>
  </si>
  <si>
    <t>Ср знач x</t>
  </si>
  <si>
    <t>Ср знач y</t>
  </si>
  <si>
    <t>Выборочная дисперсия x S^2_{x}</t>
  </si>
  <si>
    <t>Выборочная дисперсия y S^2_{y}</t>
  </si>
  <si>
    <t>S_{x}</t>
  </si>
  <si>
    <t>S_{y}</t>
  </si>
  <si>
    <t>r_{xy}</t>
  </si>
  <si>
    <t>Уравнение - y=4,85511x+6,74914864</t>
  </si>
  <si>
    <t>x</t>
  </si>
  <si>
    <t>X(i)</t>
  </si>
  <si>
    <t>y(i)</t>
  </si>
  <si>
    <t xml:space="preserve">Случайные точки </t>
  </si>
  <si>
    <t>y</t>
  </si>
  <si>
    <t>Функция регрессии</t>
  </si>
  <si>
    <t>y=4,85511x+6,749115</t>
  </si>
  <si>
    <t>l_{i},м</t>
  </si>
  <si>
    <t>m_{i}</t>
  </si>
  <si>
    <t>950-960</t>
  </si>
  <si>
    <t>960-970</t>
  </si>
  <si>
    <t>970-980</t>
  </si>
  <si>
    <t>980-990</t>
  </si>
  <si>
    <t>990-1000</t>
  </si>
  <si>
    <t>1000-1010</t>
  </si>
  <si>
    <t>1010-1020</t>
  </si>
  <si>
    <t>1020-1030</t>
  </si>
  <si>
    <t>1030-1040</t>
  </si>
  <si>
    <t>1040-1050</t>
  </si>
  <si>
    <t>Задачи к главе n3</t>
  </si>
  <si>
    <t>середина</t>
  </si>
  <si>
    <t>m_{i}*l'_{i}</t>
  </si>
  <si>
    <t>Выбор ср</t>
  </si>
  <si>
    <t>\over{x}</t>
  </si>
  <si>
    <t>(l_{i}-\over{x})^{2}</t>
  </si>
  <si>
    <t>m_{i}*(l_{i}-\over{x})^{2}</t>
  </si>
  <si>
    <t>Выб s</t>
  </si>
  <si>
    <t>h'=10</t>
  </si>
  <si>
    <t>Общ инт</t>
  </si>
  <si>
    <t>950-970</t>
  </si>
  <si>
    <t>n4</t>
  </si>
  <si>
    <t>x_{i}</t>
  </si>
  <si>
    <t>y_{i}</t>
  </si>
  <si>
    <t>x^{2}</t>
  </si>
  <si>
    <t>x^{3}</t>
  </si>
  <si>
    <t>x^{4}</t>
  </si>
  <si>
    <t>x^{5}</t>
  </si>
  <si>
    <t>x^{6}</t>
  </si>
  <si>
    <t>сумм</t>
  </si>
  <si>
    <t>x*y</t>
  </si>
  <si>
    <t>x^{2}*y</t>
  </si>
  <si>
    <t>x^{3}*y</t>
  </si>
  <si>
    <t>n5</t>
  </si>
  <si>
    <t>t_{i}</t>
  </si>
  <si>
    <t>t_{i}*m_{i}</t>
  </si>
  <si>
    <t>n6</t>
  </si>
  <si>
    <t>y\x</t>
  </si>
  <si>
    <t>m_{x_{i}}</t>
  </si>
  <si>
    <t>m_{y_{j}}</t>
  </si>
  <si>
    <t>n=100</t>
  </si>
  <si>
    <t>sum_{j=1}^{k}{m_{ij}*y_{i}}</t>
  </si>
  <si>
    <t>x^2_{j}m_{ij}</t>
  </si>
  <si>
    <t>sum_{j=1}^{k}{m_{xi}*x_{j}}</t>
  </si>
  <si>
    <t>y^2_{i}m_{yi}</t>
  </si>
  <si>
    <t>Корр момент S_{xy}</t>
  </si>
  <si>
    <t xml:space="preserve">Уравнение - </t>
  </si>
  <si>
    <t>n7</t>
  </si>
  <si>
    <t>Гран инт, мк</t>
  </si>
  <si>
    <t>Частота, m_{i}</t>
  </si>
  <si>
    <t>0-5</t>
  </si>
  <si>
    <t>5-10</t>
  </si>
  <si>
    <t>10-15</t>
  </si>
  <si>
    <t>15-20</t>
  </si>
  <si>
    <t>20-25</t>
  </si>
  <si>
    <t>n_{i}</t>
  </si>
  <si>
    <t>n'_{i}</t>
  </si>
  <si>
    <t>n_{i}-n'_{i}</t>
  </si>
  <si>
    <t>Таблица 19,24</t>
  </si>
  <si>
    <t>x_{i}-x_{i+1}</t>
  </si>
  <si>
    <t>x'_{i}</t>
  </si>
  <si>
    <t>W_{i}</t>
  </si>
  <si>
    <t>W_{i}/h</t>
  </si>
  <si>
    <t>n=</t>
  </si>
  <si>
    <t xml:space="preserve">5 инт,  шаг 5 </t>
  </si>
  <si>
    <t>Таблица 19,25</t>
  </si>
  <si>
    <t>n_{i}x'_{i}</t>
  </si>
  <si>
    <t>(x'_{i})^2</t>
  </si>
  <si>
    <t>n_{i}(x'_{i})^2</t>
  </si>
  <si>
    <t>Сум</t>
  </si>
  <si>
    <t>ср x</t>
  </si>
  <si>
    <t>дисп D_{в}</t>
  </si>
  <si>
    <t>\sigma_{в}</t>
  </si>
  <si>
    <t>дисп и сигма с волной</t>
  </si>
  <si>
    <t>\over{D}</t>
  </si>
  <si>
    <t>\over{\sigma{</t>
  </si>
  <si>
    <t>Таблица 19,26</t>
  </si>
  <si>
    <t>x_{i+1}</t>
  </si>
  <si>
    <t>x_{i}-\over{x}</t>
  </si>
  <si>
    <t>x_{i+1}-\over{x}</t>
  </si>
  <si>
    <t>z_{i}=(x_{i}-\over{x})/ \sigma_{в}</t>
  </si>
  <si>
    <t>z_{i+1}=(x_{i+1}-\over{x})/ \sigma_{в}</t>
  </si>
  <si>
    <t>10-15\</t>
  </si>
  <si>
    <t>Таблица 19,27</t>
  </si>
  <si>
    <t>из таблицы 4 приложения</t>
  </si>
  <si>
    <t>z_{i}</t>
  </si>
  <si>
    <t>z_{i+1}</t>
  </si>
  <si>
    <t>Ф(z_{i})</t>
  </si>
  <si>
    <t>Ф(z_{i+1})</t>
  </si>
  <si>
    <t>P_{i}=Ф(z_{i+1})-Ф(z_{i})</t>
  </si>
  <si>
    <t>Таблица 19,28</t>
  </si>
  <si>
    <t>(n_{i}-n'_{i})^2</t>
  </si>
  <si>
    <t>((n_{i}-n'_{i})^2)/(n'_{i})</t>
  </si>
  <si>
    <t>n^2_{i}</t>
  </si>
  <si>
    <t>(n^2_{i})/n'_{i}</t>
  </si>
  <si>
    <t>х^2_{набл} (сверху_</t>
  </si>
  <si>
    <t>КонтрольL</t>
  </si>
  <si>
    <t>w-</t>
  </si>
  <si>
    <t>h</t>
  </si>
  <si>
    <t>5</t>
  </si>
  <si>
    <t>n'_{i}=250P_{i}</t>
  </si>
  <si>
    <t>n8</t>
  </si>
  <si>
    <t>l_{i}, мм</t>
  </si>
  <si>
    <t>40,24-40,26</t>
  </si>
  <si>
    <t>40,26-40,28</t>
  </si>
  <si>
    <t>40,28-40,30</t>
  </si>
  <si>
    <t>40,30-40,32</t>
  </si>
  <si>
    <t>40,32-40,34</t>
  </si>
  <si>
    <t>40,34-40,36</t>
  </si>
  <si>
    <t>40,36-40,38</t>
  </si>
  <si>
    <t>40,38-40,40</t>
  </si>
  <si>
    <t>40,40-40,42</t>
  </si>
  <si>
    <t>40,42-40,44</t>
  </si>
  <si>
    <t>l_{i}</t>
  </si>
  <si>
    <t>x'^2</t>
  </si>
  <si>
    <t>Дисп D_{в}</t>
  </si>
  <si>
    <t>Выб СКО-</t>
  </si>
  <si>
    <t>откл</t>
  </si>
  <si>
    <t>diff</t>
  </si>
  <si>
    <t>F_эмп</t>
  </si>
  <si>
    <t>сдвинуть вниз на один</t>
  </si>
  <si>
    <t>n'_{i}=80P_{i}</t>
  </si>
  <si>
    <t>кум</t>
  </si>
  <si>
    <t>\lambda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</si>
</sst>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6" formatCode="0.00000"/>
    <numFmt numFmtId="167" formatCode="0.0000"/>
    <numFmt numFmtId="168" formatCode="0.000"/>
    <numFmt numFmtId="169" formatCode="0.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0" fillId="3" borderId="13" xfId="0" applyFill="1" applyBorder="1"/>
    <xf numFmtId="0" fontId="0" fillId="3" borderId="11" xfId="0" applyFill="1" applyBorder="1"/>
    <xf numFmtId="164" fontId="0" fillId="0" borderId="0" xfId="0" applyNumberFormat="1"/>
    <xf numFmtId="2" fontId="0" fillId="0" borderId="0" xfId="0" applyNumberFormat="1"/>
    <xf numFmtId="0" fontId="0" fillId="0" borderId="0" xfId="0" applyFill="1" applyBorder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" fontId="0" fillId="0" borderId="0" xfId="0" quotePrefix="1" applyNumberFormat="1"/>
    <xf numFmtId="17" fontId="0" fillId="0" borderId="0" xfId="0" quotePrefix="1" applyNumberFormat="1"/>
    <xf numFmtId="0" fontId="0" fillId="0" borderId="0" xfId="0" quotePrefix="1"/>
    <xf numFmtId="169" fontId="0" fillId="0" borderId="0" xfId="0" applyNumberFormat="1"/>
    <xf numFmtId="1" fontId="0" fillId="0" borderId="0" xfId="0" applyNumberFormat="1"/>
    <xf numFmtId="0" fontId="0" fillId="0" borderId="14" xfId="0" applyBorder="1"/>
    <xf numFmtId="1" fontId="0" fillId="0" borderId="14" xfId="0" applyNumberFormat="1" applyBorder="1"/>
    <xf numFmtId="164" fontId="0" fillId="0" borderId="14" xfId="0" applyNumberFormat="1" applyBorder="1"/>
    <xf numFmtId="2" fontId="0" fillId="0" borderId="1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>
                <a:solidFill>
                  <a:schemeClr val="tx1"/>
                </a:solidFill>
              </a:rPr>
              <a:t>Функция регрессии и случайные точки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20823269481498446"/>
          <c:y val="3.6213607278656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8036349301080604E-2"/>
          <c:y val="0.23550797983572597"/>
          <c:w val="0.92426258522368732"/>
          <c:h val="0.566072891326243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Лист1!$A$46</c:f>
              <c:strCache>
                <c:ptCount val="1"/>
                <c:pt idx="0">
                  <c:v>Функция регрессии</c:v>
                </c:pt>
              </c:strCache>
            </c:strRef>
          </c:tx>
          <c:spPr>
            <a:ln w="28575" cap="flat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Лист1!$A$48:$A$60</c:f>
              <c:numCache>
                <c:formatCode>General</c:formatCode>
                <c:ptCount val="13"/>
                <c:pt idx="0">
                  <c:v>2</c:v>
                </c:pt>
                <c:pt idx="1">
                  <c:v>2.2999999999999998</c:v>
                </c:pt>
                <c:pt idx="2">
                  <c:v>2.7</c:v>
                </c:pt>
                <c:pt idx="3">
                  <c:v>3.1</c:v>
                </c:pt>
                <c:pt idx="4">
                  <c:v>3.5</c:v>
                </c:pt>
                <c:pt idx="5">
                  <c:v>3.9</c:v>
                </c:pt>
                <c:pt idx="6">
                  <c:v>4.3</c:v>
                </c:pt>
                <c:pt idx="7">
                  <c:v>4.5</c:v>
                </c:pt>
                <c:pt idx="8">
                  <c:v>5</c:v>
                </c:pt>
                <c:pt idx="9">
                  <c:v>1</c:v>
                </c:pt>
                <c:pt idx="10">
                  <c:v>1.5</c:v>
                </c:pt>
              </c:numCache>
            </c:numRef>
          </c:xVal>
          <c:yVal>
            <c:numRef>
              <c:f>Лист1!$B$48:$B$60</c:f>
              <c:numCache>
                <c:formatCode>General</c:formatCode>
                <c:ptCount val="13"/>
                <c:pt idx="0">
                  <c:v>16.459334999999999</c:v>
                </c:pt>
                <c:pt idx="1">
                  <c:v>17.915867999999996</c:v>
                </c:pt>
                <c:pt idx="2">
                  <c:v>19.857911999999999</c:v>
                </c:pt>
                <c:pt idx="3">
                  <c:v>21.799956000000002</c:v>
                </c:pt>
                <c:pt idx="4">
                  <c:v>23.742000000000001</c:v>
                </c:pt>
                <c:pt idx="5">
                  <c:v>25.684044</c:v>
                </c:pt>
                <c:pt idx="6">
                  <c:v>27.626087999999999</c:v>
                </c:pt>
                <c:pt idx="7">
                  <c:v>28.597109999999997</c:v>
                </c:pt>
                <c:pt idx="8">
                  <c:v>31.024664999999999</c:v>
                </c:pt>
                <c:pt idx="9">
                  <c:v>11.604225</c:v>
                </c:pt>
                <c:pt idx="10">
                  <c:v>14.031779999999999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8-4663-A275-481A353FD66C}"/>
            </c:ext>
          </c:extLst>
        </c:ser>
        <c:ser>
          <c:idx val="1"/>
          <c:order val="1"/>
          <c:tx>
            <c:strRef>
              <c:f>Лист1!$L$39</c:f>
              <c:strCache>
                <c:ptCount val="1"/>
                <c:pt idx="0">
                  <c:v>Случайные точки 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34925" cap="flat" cmpd="dbl" algn="ctr">
                <a:solidFill>
                  <a:schemeClr val="tx1">
                    <a:alpha val="70000"/>
                  </a:schemeClr>
                </a:solidFill>
                <a:round/>
              </a:ln>
              <a:effectLst/>
            </c:spPr>
          </c:marker>
          <c:dPt>
            <c:idx val="21"/>
            <c:marker>
              <c:symbol val="square"/>
              <c:size val="3"/>
              <c:spPr>
                <a:solidFill>
                  <a:schemeClr val="tx1">
                    <a:alpha val="99000"/>
                  </a:schemeClr>
                </a:solidFill>
                <a:ln w="34925" cap="flat" cmpd="dbl" algn="ctr">
                  <a:solidFill>
                    <a:schemeClr val="tx1">
                      <a:alpha val="70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B12-439C-8928-A3293D544226}"/>
              </c:ext>
            </c:extLst>
          </c:dPt>
          <c:xVal>
            <c:numRef>
              <c:f>Лист1!$L$43:$L$66</c:f>
              <c:numCache>
                <c:formatCode>General</c:formatCode>
                <c:ptCount val="24"/>
                <c:pt idx="0">
                  <c:v>2.2999999999999998</c:v>
                </c:pt>
                <c:pt idx="1">
                  <c:v>2.2999999999999998</c:v>
                </c:pt>
                <c:pt idx="2">
                  <c:v>2.7</c:v>
                </c:pt>
                <c:pt idx="3">
                  <c:v>2.2999999999999998</c:v>
                </c:pt>
                <c:pt idx="4">
                  <c:v>2.7</c:v>
                </c:pt>
                <c:pt idx="5">
                  <c:v>2.7</c:v>
                </c:pt>
                <c:pt idx="6">
                  <c:v>3.1</c:v>
                </c:pt>
                <c:pt idx="7">
                  <c:v>2.7</c:v>
                </c:pt>
                <c:pt idx="8">
                  <c:v>3.1</c:v>
                </c:pt>
                <c:pt idx="9">
                  <c:v>3.5</c:v>
                </c:pt>
                <c:pt idx="10">
                  <c:v>3.1</c:v>
                </c:pt>
                <c:pt idx="11">
                  <c:v>3.5</c:v>
                </c:pt>
                <c:pt idx="12">
                  <c:v>3.9</c:v>
                </c:pt>
                <c:pt idx="13">
                  <c:v>3.5</c:v>
                </c:pt>
                <c:pt idx="14">
                  <c:v>3.9</c:v>
                </c:pt>
                <c:pt idx="15">
                  <c:v>4.3</c:v>
                </c:pt>
                <c:pt idx="16">
                  <c:v>3.9</c:v>
                </c:pt>
                <c:pt idx="17">
                  <c:v>4.3</c:v>
                </c:pt>
                <c:pt idx="18">
                  <c:v>4.3</c:v>
                </c:pt>
              </c:numCache>
            </c:numRef>
          </c:xVal>
          <c:yVal>
            <c:numRef>
              <c:f>Лист1!$M$43:$M$66</c:f>
              <c:numCache>
                <c:formatCode>General</c:formatCode>
                <c:ptCount val="24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28</c:v>
                </c:pt>
                <c:pt idx="17">
                  <c:v>28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B18-4663-A275-481A353FD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420512"/>
        <c:axId val="972222032"/>
      </c:scatterChart>
      <c:valAx>
        <c:axId val="1065420512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>
                  <a:alpha val="70000"/>
                </a:schemeClr>
              </a:solidFill>
              <a:prstDash val="lgDashDot"/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alpha val="30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222032"/>
        <c:crosses val="autoZero"/>
        <c:crossBetween val="midCat"/>
      </c:valAx>
      <c:valAx>
        <c:axId val="972222032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70000"/>
                </a:schemeClr>
              </a:solidFill>
              <a:prstDash val="lgDashDot"/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alpha val="30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4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 blackAndWhite="1" horizont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Гистограмма статистической совокупности</a:t>
            </a:r>
          </a:p>
        </c:rich>
      </c:tx>
      <c:layout>
        <c:manualLayout>
          <c:xMode val="edge"/>
          <c:yMode val="edge"/>
          <c:x val="0.185291557305336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 w="158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Лист1!$Z$47:$Z$57</c:f>
              <c:strCache>
                <c:ptCount val="10"/>
                <c:pt idx="0">
                  <c:v>950-960</c:v>
                </c:pt>
                <c:pt idx="1">
                  <c:v>950-970</c:v>
                </c:pt>
                <c:pt idx="2">
                  <c:v>970-980</c:v>
                </c:pt>
                <c:pt idx="3">
                  <c:v>980-990</c:v>
                </c:pt>
                <c:pt idx="4">
                  <c:v>990-1000</c:v>
                </c:pt>
                <c:pt idx="5">
                  <c:v>1000-1010</c:v>
                </c:pt>
                <c:pt idx="6">
                  <c:v>1010-1020</c:v>
                </c:pt>
                <c:pt idx="7">
                  <c:v>1020-1030</c:v>
                </c:pt>
                <c:pt idx="8">
                  <c:v>1030-1040</c:v>
                </c:pt>
                <c:pt idx="9">
                  <c:v>1040-1050</c:v>
                </c:pt>
              </c:strCache>
            </c:strRef>
          </c:cat>
          <c:val>
            <c:numRef>
              <c:f>Лист1!$R$47:$R$56</c:f>
              <c:numCache>
                <c:formatCode>General</c:formatCode>
                <c:ptCount val="10"/>
                <c:pt idx="0">
                  <c:v>5</c:v>
                </c:pt>
                <c:pt idx="1">
                  <c:v>35</c:v>
                </c:pt>
                <c:pt idx="2">
                  <c:v>60</c:v>
                </c:pt>
                <c:pt idx="3">
                  <c:v>72</c:v>
                </c:pt>
                <c:pt idx="4">
                  <c:v>80</c:v>
                </c:pt>
                <c:pt idx="5">
                  <c:v>60</c:v>
                </c:pt>
                <c:pt idx="6">
                  <c:v>55</c:v>
                </c:pt>
                <c:pt idx="7">
                  <c:v>20</c:v>
                </c:pt>
                <c:pt idx="8">
                  <c:v>10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3-40F3-80FF-FE81FF728C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577456544"/>
        <c:axId val="1582476880"/>
      </c:barChart>
      <c:catAx>
        <c:axId val="15774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476880"/>
        <c:crosses val="autoZero"/>
        <c:auto val="1"/>
        <c:lblAlgn val="ctr"/>
        <c:lblOffset val="100"/>
        <c:noMultiLvlLbl val="0"/>
      </c:catAx>
      <c:valAx>
        <c:axId val="15824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74565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 blackAndWhite="1" horizont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590488</xdr:colOff>
      <xdr:row>46</xdr:row>
      <xdr:rowOff>125423</xdr:rowOff>
    </xdr:from>
    <xdr:to>
      <xdr:col>12</xdr:col>
      <xdr:colOff>877139</xdr:colOff>
      <xdr:row>68</xdr:row>
      <xdr:rowOff>84563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E19C30-0740-2914-3E77-E113F5D7E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37245</xdr:colOff>
      <xdr:row>59</xdr:row>
      <xdr:rowOff>147145</xdr:rowOff>
    </xdr:from>
    <xdr:to>
      <xdr:col>24</xdr:col>
      <xdr:colOff>408305</xdr:colOff>
      <xdr:row>78</xdr:row>
      <xdr:rowOff>131379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CC9E16-F13D-4FE9-83FA-3F3E802E0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42116-769A-4FD3-A361-D2F171CDDF03}">
  <dimension ref="A1:CL106"/>
  <sheetViews>
    <sheetView tabSelected="1" topLeftCell="BS52" zoomScale="115" zoomScaleNormal="115" workbookViewId="0">
      <selection activeCell="CA62" sqref="CA62"/>
    </sheetView>
  </sheetViews>
  <sheetFormatPr defaultRowHeight="14.4" x14ac:dyDescent="0.3"/>
  <cols>
    <col min="2" max="2" width="31.109375" customWidth="1"/>
    <col min="3" max="3" width="10.44140625" bestFit="1" customWidth="1"/>
    <col min="12" max="12" width="11.44140625" customWidth="1"/>
    <col min="13" max="13" width="23.44140625" customWidth="1"/>
    <col min="14" max="14" width="13.21875" customWidth="1"/>
    <col min="19" max="19" width="9.77734375" customWidth="1"/>
    <col min="21" max="21" width="20.77734375" customWidth="1"/>
    <col min="22" max="22" width="22.6640625" customWidth="1"/>
    <col min="50" max="50" width="35.77734375" customWidth="1"/>
    <col min="51" max="51" width="11.88671875" bestFit="1" customWidth="1"/>
    <col min="57" max="57" width="10.5546875" customWidth="1"/>
    <col min="58" max="58" width="23.109375" customWidth="1"/>
    <col min="59" max="59" width="11.21875" customWidth="1"/>
    <col min="66" max="67" width="14.109375" customWidth="1"/>
    <col min="69" max="69" width="12" customWidth="1"/>
    <col min="70" max="70" width="13.88671875" customWidth="1"/>
    <col min="71" max="71" width="28.33203125" customWidth="1"/>
    <col min="72" max="72" width="32.6640625" customWidth="1"/>
    <col min="73" max="73" width="14" customWidth="1"/>
    <col min="75" max="75" width="11.21875" customWidth="1"/>
    <col min="77" max="77" width="11" customWidth="1"/>
    <col min="79" max="79" width="12.21875" customWidth="1"/>
    <col min="80" max="80" width="10.5546875" customWidth="1"/>
    <col min="85" max="85" width="12.109375" customWidth="1"/>
    <col min="86" max="86" width="14.21875" customWidth="1"/>
    <col min="87" max="87" width="22.21875" customWidth="1"/>
    <col min="88" max="88" width="14.33203125" customWidth="1"/>
  </cols>
  <sheetData>
    <row r="1" spans="1:15" x14ac:dyDescent="0.3">
      <c r="A1" t="s">
        <v>0</v>
      </c>
      <c r="B1" t="s">
        <v>20</v>
      </c>
    </row>
    <row r="2" spans="1:15" x14ac:dyDescent="0.3">
      <c r="A2" t="s">
        <v>1</v>
      </c>
    </row>
    <row r="3" spans="1:15" x14ac:dyDescent="0.3">
      <c r="A3" t="s">
        <v>2</v>
      </c>
      <c r="B3">
        <v>16</v>
      </c>
      <c r="C3">
        <v>18</v>
      </c>
      <c r="D3">
        <v>20</v>
      </c>
      <c r="E3">
        <v>22</v>
      </c>
      <c r="F3">
        <v>24</v>
      </c>
      <c r="G3">
        <v>26</v>
      </c>
      <c r="H3">
        <v>28</v>
      </c>
      <c r="I3">
        <v>30</v>
      </c>
      <c r="J3" t="s">
        <v>3</v>
      </c>
      <c r="K3" t="s">
        <v>6</v>
      </c>
    </row>
    <row r="4" spans="1:15" x14ac:dyDescent="0.3">
      <c r="A4">
        <v>2.2999999999999998</v>
      </c>
      <c r="B4">
        <v>3</v>
      </c>
      <c r="C4">
        <v>2</v>
      </c>
      <c r="D4">
        <v>4</v>
      </c>
      <c r="J4">
        <v>9</v>
      </c>
    </row>
    <row r="5" spans="1:15" x14ac:dyDescent="0.3">
      <c r="A5">
        <v>2.7</v>
      </c>
      <c r="C5">
        <v>5</v>
      </c>
      <c r="D5">
        <v>6</v>
      </c>
      <c r="E5">
        <v>1</v>
      </c>
      <c r="J5">
        <v>12</v>
      </c>
    </row>
    <row r="6" spans="1:15" x14ac:dyDescent="0.3">
      <c r="A6">
        <v>3.1</v>
      </c>
      <c r="D6">
        <v>6</v>
      </c>
      <c r="E6">
        <v>9</v>
      </c>
      <c r="F6">
        <v>4</v>
      </c>
      <c r="J6">
        <v>19</v>
      </c>
    </row>
    <row r="7" spans="1:15" x14ac:dyDescent="0.3">
      <c r="A7">
        <v>3.5</v>
      </c>
      <c r="E7">
        <v>8</v>
      </c>
      <c r="F7">
        <v>16</v>
      </c>
      <c r="G7">
        <v>7</v>
      </c>
      <c r="J7">
        <v>31</v>
      </c>
    </row>
    <row r="8" spans="1:15" x14ac:dyDescent="0.3">
      <c r="A8">
        <v>3.9</v>
      </c>
      <c r="F8">
        <v>8</v>
      </c>
      <c r="G8">
        <v>6</v>
      </c>
      <c r="H8">
        <v>5</v>
      </c>
      <c r="J8">
        <v>19</v>
      </c>
    </row>
    <row r="9" spans="1:15" x14ac:dyDescent="0.3">
      <c r="A9">
        <v>4.3</v>
      </c>
      <c r="G9">
        <v>4</v>
      </c>
      <c r="H9">
        <v>5</v>
      </c>
      <c r="I9">
        <v>1</v>
      </c>
      <c r="J9">
        <v>10</v>
      </c>
    </row>
    <row r="10" spans="1:15" x14ac:dyDescent="0.3">
      <c r="A10" t="s">
        <v>4</v>
      </c>
      <c r="B10">
        <v>3</v>
      </c>
      <c r="C10">
        <v>7</v>
      </c>
      <c r="D10">
        <v>16</v>
      </c>
      <c r="E10">
        <v>18</v>
      </c>
      <c r="F10">
        <v>28</v>
      </c>
      <c r="G10">
        <v>17</v>
      </c>
      <c r="H10">
        <v>10</v>
      </c>
      <c r="I10">
        <v>1</v>
      </c>
      <c r="J10" s="1">
        <v>100</v>
      </c>
    </row>
    <row r="11" spans="1:15" x14ac:dyDescent="0.3">
      <c r="A11" t="s">
        <v>5</v>
      </c>
    </row>
    <row r="13" spans="1:15" x14ac:dyDescent="0.3">
      <c r="A13" t="s">
        <v>7</v>
      </c>
    </row>
    <row r="15" spans="1:15" ht="15" thickBot="1" x14ac:dyDescent="0.35">
      <c r="B15" t="s">
        <v>9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</row>
    <row r="16" spans="1:15" ht="15" thickBot="1" x14ac:dyDescent="0.35">
      <c r="A16" t="s">
        <v>8</v>
      </c>
      <c r="B16" s="10" t="s">
        <v>2</v>
      </c>
      <c r="C16" s="8">
        <v>16</v>
      </c>
      <c r="D16" s="8">
        <v>18</v>
      </c>
      <c r="E16" s="8">
        <v>20</v>
      </c>
      <c r="F16" s="8">
        <v>22</v>
      </c>
      <c r="G16" s="8">
        <v>24</v>
      </c>
      <c r="H16" s="8">
        <v>26</v>
      </c>
      <c r="I16" s="8">
        <v>28</v>
      </c>
      <c r="J16" s="9">
        <v>30</v>
      </c>
      <c r="K16" s="16" t="s">
        <v>10</v>
      </c>
      <c r="L16" s="3" t="s">
        <v>12</v>
      </c>
      <c r="M16" t="s">
        <v>13</v>
      </c>
      <c r="N16" t="s">
        <v>18</v>
      </c>
      <c r="O16" t="s">
        <v>21</v>
      </c>
    </row>
    <row r="17" spans="1:15" x14ac:dyDescent="0.3">
      <c r="A17">
        <v>1</v>
      </c>
      <c r="B17" s="11">
        <v>2.2999999999999998</v>
      </c>
      <c r="C17">
        <v>3</v>
      </c>
      <c r="D17">
        <v>2</v>
      </c>
      <c r="E17">
        <v>4</v>
      </c>
      <c r="K17" s="17">
        <v>9</v>
      </c>
      <c r="L17" s="7">
        <f>K17*B17</f>
        <v>20.7</v>
      </c>
      <c r="M17">
        <f>C17*C16+D17*D16+E17*E16</f>
        <v>164</v>
      </c>
      <c r="N17">
        <f>POWER(B17,2)*SUM(C17:J17)</f>
        <v>47.609999999999992</v>
      </c>
      <c r="O17">
        <f>B17*(C17*C16+D17*D16+E17*E16)</f>
        <v>377.2</v>
      </c>
    </row>
    <row r="18" spans="1:15" x14ac:dyDescent="0.3">
      <c r="A18">
        <v>2</v>
      </c>
      <c r="B18" s="11">
        <v>2.7</v>
      </c>
      <c r="D18">
        <v>5</v>
      </c>
      <c r="E18">
        <v>6</v>
      </c>
      <c r="F18">
        <v>1</v>
      </c>
      <c r="K18" s="17">
        <v>12</v>
      </c>
      <c r="L18" s="7">
        <f t="shared" ref="L18:L22" si="0">K18*B18</f>
        <v>32.400000000000006</v>
      </c>
      <c r="M18">
        <f>D18*D16+E18*E16+F18*F16</f>
        <v>232</v>
      </c>
      <c r="N18">
        <f>POWER(B18,2)*SUM(C18:J18)</f>
        <v>87.480000000000018</v>
      </c>
      <c r="O18">
        <f>B18*(D18*D16+E18*E16+F18*F16)</f>
        <v>626.40000000000009</v>
      </c>
    </row>
    <row r="19" spans="1:15" x14ac:dyDescent="0.3">
      <c r="A19">
        <v>3</v>
      </c>
      <c r="B19" s="11">
        <v>3.1</v>
      </c>
      <c r="E19">
        <v>6</v>
      </c>
      <c r="F19">
        <v>9</v>
      </c>
      <c r="G19">
        <v>4</v>
      </c>
      <c r="K19" s="17">
        <v>19</v>
      </c>
      <c r="L19" s="7">
        <f t="shared" si="0"/>
        <v>58.9</v>
      </c>
      <c r="M19">
        <f>E19*E16+F19*F16+G19*G16</f>
        <v>414</v>
      </c>
      <c r="N19">
        <f t="shared" ref="N18:N22" si="1">POWER(B19,2)*SUM(C19:J19)</f>
        <v>182.59000000000003</v>
      </c>
      <c r="O19">
        <f>B19*(E19*E16+F19*F16+G19*G16)</f>
        <v>1283.4000000000001</v>
      </c>
    </row>
    <row r="20" spans="1:15" x14ac:dyDescent="0.3">
      <c r="A20">
        <v>4</v>
      </c>
      <c r="B20" s="11">
        <v>3.5</v>
      </c>
      <c r="F20">
        <v>8</v>
      </c>
      <c r="G20">
        <v>16</v>
      </c>
      <c r="H20">
        <v>7</v>
      </c>
      <c r="K20" s="17">
        <v>31</v>
      </c>
      <c r="L20" s="7">
        <f t="shared" si="0"/>
        <v>108.5</v>
      </c>
      <c r="M20">
        <f>F20*F16+G20*G16+H20*H16</f>
        <v>742</v>
      </c>
      <c r="N20">
        <f t="shared" si="1"/>
        <v>379.75</v>
      </c>
      <c r="O20">
        <f>B20*(F20*F16+G20*G16+H20*H16)</f>
        <v>2597</v>
      </c>
    </row>
    <row r="21" spans="1:15" x14ac:dyDescent="0.3">
      <c r="A21">
        <v>5</v>
      </c>
      <c r="B21" s="11">
        <v>3.9</v>
      </c>
      <c r="G21">
        <v>8</v>
      </c>
      <c r="H21">
        <v>6</v>
      </c>
      <c r="I21">
        <v>5</v>
      </c>
      <c r="K21" s="17">
        <v>19</v>
      </c>
      <c r="L21" s="7">
        <f t="shared" si="0"/>
        <v>74.099999999999994</v>
      </c>
      <c r="M21">
        <f>G21*G16+H21*H16+I21*I16</f>
        <v>488</v>
      </c>
      <c r="N21">
        <f t="shared" si="1"/>
        <v>288.99</v>
      </c>
      <c r="O21">
        <f>B21*(G21*G16+H21*H16+I21*I16)</f>
        <v>1903.2</v>
      </c>
    </row>
    <row r="22" spans="1:15" ht="15" thickBot="1" x14ac:dyDescent="0.35">
      <c r="A22">
        <v>6</v>
      </c>
      <c r="B22" s="12">
        <v>4.3</v>
      </c>
      <c r="H22">
        <v>4</v>
      </c>
      <c r="I22">
        <v>5</v>
      </c>
      <c r="J22">
        <v>1</v>
      </c>
      <c r="K22" s="17">
        <v>10</v>
      </c>
      <c r="L22" s="7">
        <f t="shared" si="0"/>
        <v>43</v>
      </c>
      <c r="M22">
        <f>H22*H16+I22*I16+J22*J16</f>
        <v>274</v>
      </c>
      <c r="N22">
        <f t="shared" si="1"/>
        <v>184.89999999999998</v>
      </c>
      <c r="O22">
        <f>B22*(H22*H16+I22*I16+J22*J16)</f>
        <v>1178.2</v>
      </c>
    </row>
    <row r="23" spans="1:15" ht="15" thickBot="1" x14ac:dyDescent="0.35">
      <c r="A23" s="2">
        <v>7</v>
      </c>
      <c r="B23" s="13" t="s">
        <v>11</v>
      </c>
      <c r="C23" s="14">
        <v>3</v>
      </c>
      <c r="D23" s="14">
        <v>7</v>
      </c>
      <c r="E23" s="14">
        <v>16</v>
      </c>
      <c r="F23" s="14">
        <v>18</v>
      </c>
      <c r="G23" s="14">
        <v>28</v>
      </c>
      <c r="H23" s="14">
        <v>17</v>
      </c>
      <c r="I23" s="14">
        <v>10</v>
      </c>
      <c r="J23" s="14">
        <v>1</v>
      </c>
      <c r="K23" s="15">
        <f>SUM(C23:J23)</f>
        <v>100</v>
      </c>
      <c r="L23" s="3">
        <f>SUM(L17:L22)</f>
        <v>337.6</v>
      </c>
      <c r="M23">
        <f>SUM(M17:M22)</f>
        <v>2314</v>
      </c>
      <c r="N23">
        <f>SUM(N17:N22)</f>
        <v>1171.3200000000002</v>
      </c>
      <c r="O23">
        <f>SUM(O17:O22)</f>
        <v>7965.4</v>
      </c>
    </row>
    <row r="24" spans="1:15" ht="15" thickBot="1" x14ac:dyDescent="0.35">
      <c r="A24" s="4">
        <v>8</v>
      </c>
      <c r="B24" s="5" t="s">
        <v>14</v>
      </c>
      <c r="C24" s="5">
        <f>C23*C16</f>
        <v>48</v>
      </c>
      <c r="D24" s="5">
        <f t="shared" ref="D24:J24" si="2">D23*D16</f>
        <v>126</v>
      </c>
      <c r="E24" s="5">
        <f t="shared" si="2"/>
        <v>320</v>
      </c>
      <c r="F24" s="5">
        <f t="shared" si="2"/>
        <v>396</v>
      </c>
      <c r="G24" s="5">
        <f t="shared" si="2"/>
        <v>672</v>
      </c>
      <c r="H24" s="5">
        <f t="shared" si="2"/>
        <v>442</v>
      </c>
      <c r="I24" s="5">
        <f t="shared" si="2"/>
        <v>280</v>
      </c>
      <c r="J24" s="5">
        <f t="shared" si="2"/>
        <v>30</v>
      </c>
      <c r="K24" s="4">
        <f>SUM(C24:J24)</f>
        <v>2314</v>
      </c>
      <c r="L24" s="6" t="s">
        <v>15</v>
      </c>
      <c r="M24" t="s">
        <v>15</v>
      </c>
      <c r="N24" t="s">
        <v>15</v>
      </c>
    </row>
    <row r="25" spans="1:15" x14ac:dyDescent="0.3">
      <c r="A25">
        <v>9</v>
      </c>
      <c r="B25" t="s">
        <v>16</v>
      </c>
      <c r="C25">
        <f>C17*B17</f>
        <v>6.8999999999999995</v>
      </c>
      <c r="D25">
        <f>D17*B17+D18*B18</f>
        <v>18.100000000000001</v>
      </c>
      <c r="E25">
        <f>E17*B17+E18*B18+E19*B19</f>
        <v>44</v>
      </c>
      <c r="F25">
        <f>F18*B18+F19*B19+F20*B20</f>
        <v>58.6</v>
      </c>
      <c r="G25">
        <f>G19*B19+G20*B20+G21*B21</f>
        <v>99.600000000000009</v>
      </c>
      <c r="H25">
        <f>H20*B20+H21*B21+H22*B22</f>
        <v>65.099999999999994</v>
      </c>
      <c r="I25">
        <f>I21*B21+I22*B22</f>
        <v>41</v>
      </c>
      <c r="J25">
        <f>J22*B22</f>
        <v>4.3</v>
      </c>
      <c r="K25">
        <f>SUM(C25:J25)</f>
        <v>337.59999999999997</v>
      </c>
      <c r="L25" t="s">
        <v>15</v>
      </c>
      <c r="M25" t="s">
        <v>15</v>
      </c>
      <c r="N25" t="s">
        <v>15</v>
      </c>
    </row>
    <row r="26" spans="1:15" x14ac:dyDescent="0.3">
      <c r="A26">
        <v>10</v>
      </c>
      <c r="B26" t="s">
        <v>17</v>
      </c>
      <c r="C26">
        <f>POWER(C16,2)*SUM(C17:C22)</f>
        <v>768</v>
      </c>
      <c r="D26">
        <f t="shared" ref="D26:J26" si="3">POWER(D16,2)*SUM(D17:D22)</f>
        <v>2268</v>
      </c>
      <c r="E26">
        <f t="shared" si="3"/>
        <v>6400</v>
      </c>
      <c r="F26">
        <f t="shared" si="3"/>
        <v>8712</v>
      </c>
      <c r="G26">
        <f>POWER(G16,2)*SUM(G17:G22)</f>
        <v>16128</v>
      </c>
      <c r="H26">
        <f t="shared" si="3"/>
        <v>11492</v>
      </c>
      <c r="I26">
        <f>POWER(I16,2)*SUM(I17:I22)</f>
        <v>7840</v>
      </c>
      <c r="J26">
        <f t="shared" si="3"/>
        <v>900</v>
      </c>
      <c r="K26">
        <f>SUM(C26:J26)</f>
        <v>54508</v>
      </c>
      <c r="M26" t="s">
        <v>15</v>
      </c>
      <c r="N26" t="s">
        <v>15</v>
      </c>
    </row>
    <row r="27" spans="1:15" x14ac:dyDescent="0.3">
      <c r="A27">
        <v>11</v>
      </c>
      <c r="B27" t="s">
        <v>19</v>
      </c>
      <c r="C27">
        <f>C16*(C17*B17)</f>
        <v>110.39999999999999</v>
      </c>
      <c r="D27">
        <f>D16*((B17*D17)+(B18*D18))</f>
        <v>325.8</v>
      </c>
      <c r="E27">
        <f>E16*((B17*E17)+(B18*E18)+(B19*E19))</f>
        <v>880</v>
      </c>
      <c r="F27">
        <f>F16*(B18*F18+B19*F19+B20*F20)</f>
        <v>1289.2</v>
      </c>
      <c r="G27">
        <f>G16*(B19*G19+B20*G20+B21*G21)</f>
        <v>2390.4</v>
      </c>
      <c r="H27">
        <f>H16*(B20*H20+B21*H21+B22*H22)</f>
        <v>1692.6</v>
      </c>
      <c r="I27">
        <f>I16*(B21*I21+B22*I22)</f>
        <v>1148</v>
      </c>
      <c r="J27">
        <f>J16*J22*B22</f>
        <v>129</v>
      </c>
      <c r="K27">
        <f>SUM(C27:J27)</f>
        <v>7965.4</v>
      </c>
    </row>
    <row r="30" spans="1:15" x14ac:dyDescent="0.3">
      <c r="B30" t="s">
        <v>22</v>
      </c>
      <c r="C30">
        <f>L23/100</f>
        <v>3.3760000000000003</v>
      </c>
    </row>
    <row r="31" spans="1:15" x14ac:dyDescent="0.3">
      <c r="B31" t="s">
        <v>23</v>
      </c>
      <c r="C31">
        <f>M23/100</f>
        <v>23.14</v>
      </c>
    </row>
    <row r="33" spans="1:80" x14ac:dyDescent="0.3">
      <c r="B33" t="s">
        <v>24</v>
      </c>
      <c r="C33" s="18">
        <f>(1/99)*(N23-0.01*(L23)*L23)</f>
        <v>0.31901414141414153</v>
      </c>
    </row>
    <row r="35" spans="1:80" x14ac:dyDescent="0.3">
      <c r="B35" t="s">
        <v>25</v>
      </c>
      <c r="C35" s="18">
        <f>(1/99)*(K26-0.01*K24*K24)</f>
        <v>9.7175757575757675</v>
      </c>
    </row>
    <row r="37" spans="1:80" x14ac:dyDescent="0.3">
      <c r="B37" t="s">
        <v>84</v>
      </c>
      <c r="C37" s="18">
        <f>(1/99)*(O23-0.01*K25*K24)</f>
        <v>1.5488484848484874</v>
      </c>
    </row>
    <row r="38" spans="1:80" x14ac:dyDescent="0.3">
      <c r="F38" t="s">
        <v>31</v>
      </c>
      <c r="G38" t="s">
        <v>32</v>
      </c>
    </row>
    <row r="39" spans="1:80" x14ac:dyDescent="0.3">
      <c r="B39" t="s">
        <v>26</v>
      </c>
      <c r="C39" s="18">
        <f>SQRT(C33)</f>
        <v>0.56481336865741905</v>
      </c>
      <c r="F39">
        <v>2</v>
      </c>
      <c r="G39">
        <v>25</v>
      </c>
      <c r="L39" t="s">
        <v>33</v>
      </c>
    </row>
    <row r="40" spans="1:80" x14ac:dyDescent="0.3">
      <c r="B40" t="s">
        <v>27</v>
      </c>
      <c r="C40" s="18">
        <f>SQRT(C35)</f>
        <v>3.1173026413192173</v>
      </c>
      <c r="F40">
        <v>3</v>
      </c>
      <c r="G40">
        <v>10</v>
      </c>
    </row>
    <row r="41" spans="1:80" x14ac:dyDescent="0.3">
      <c r="L41" t="s">
        <v>30</v>
      </c>
      <c r="M41" t="s">
        <v>34</v>
      </c>
      <c r="Q41" t="s">
        <v>49</v>
      </c>
      <c r="AC41" t="s">
        <v>60</v>
      </c>
      <c r="AO41" t="s">
        <v>72</v>
      </c>
      <c r="AW41" t="s">
        <v>75</v>
      </c>
      <c r="BN41" t="s">
        <v>86</v>
      </c>
    </row>
    <row r="42" spans="1:80" x14ac:dyDescent="0.3">
      <c r="AC42" t="s">
        <v>61</v>
      </c>
      <c r="AD42">
        <v>-4</v>
      </c>
      <c r="AE42">
        <v>-3</v>
      </c>
      <c r="AF42">
        <v>-2</v>
      </c>
      <c r="AG42">
        <v>-1</v>
      </c>
      <c r="AH42">
        <v>0</v>
      </c>
      <c r="AI42">
        <v>1</v>
      </c>
      <c r="AJ42">
        <v>2</v>
      </c>
      <c r="AK42">
        <v>3</v>
      </c>
      <c r="AL42">
        <v>4</v>
      </c>
      <c r="AO42" t="s">
        <v>73</v>
      </c>
      <c r="AP42">
        <v>2.5</v>
      </c>
      <c r="AQ42">
        <v>7.5</v>
      </c>
      <c r="AR42">
        <v>12.5</v>
      </c>
      <c r="AS42">
        <v>17.5</v>
      </c>
      <c r="AT42">
        <v>22.5</v>
      </c>
      <c r="AU42">
        <v>27.5</v>
      </c>
      <c r="AW42" t="s">
        <v>76</v>
      </c>
      <c r="AX42">
        <v>20</v>
      </c>
      <c r="AY42">
        <v>25</v>
      </c>
      <c r="AZ42">
        <v>30</v>
      </c>
      <c r="BA42">
        <v>35</v>
      </c>
      <c r="BB42">
        <v>40</v>
      </c>
      <c r="BC42" t="s">
        <v>78</v>
      </c>
      <c r="BN42" t="s">
        <v>87</v>
      </c>
      <c r="BO42" t="s">
        <v>89</v>
      </c>
      <c r="BP42" s="24" t="s">
        <v>90</v>
      </c>
      <c r="BQ42" s="25" t="s">
        <v>91</v>
      </c>
      <c r="BR42" s="26" t="s">
        <v>92</v>
      </c>
      <c r="BS42" s="26" t="s">
        <v>93</v>
      </c>
      <c r="BW42" t="s">
        <v>140</v>
      </c>
    </row>
    <row r="43" spans="1:80" x14ac:dyDescent="0.3">
      <c r="B43" t="s">
        <v>28</v>
      </c>
      <c r="C43" s="18">
        <f>C37/(C39*C40)</f>
        <v>0.87968057121923715</v>
      </c>
      <c r="L43">
        <v>2.2999999999999998</v>
      </c>
      <c r="M43">
        <v>16</v>
      </c>
      <c r="V43" t="s">
        <v>57</v>
      </c>
      <c r="AC43" t="s">
        <v>62</v>
      </c>
      <c r="AD43">
        <v>-5.0999999999999996</v>
      </c>
      <c r="AE43">
        <v>-3.5</v>
      </c>
      <c r="AF43">
        <v>-2</v>
      </c>
      <c r="AG43">
        <v>-0.15</v>
      </c>
      <c r="AH43">
        <v>0.3</v>
      </c>
      <c r="AI43">
        <v>1.2</v>
      </c>
      <c r="AJ43">
        <v>2.4</v>
      </c>
      <c r="AK43">
        <v>3.8</v>
      </c>
      <c r="AL43">
        <v>6</v>
      </c>
      <c r="AO43" t="s">
        <v>38</v>
      </c>
      <c r="AP43">
        <v>133</v>
      </c>
      <c r="AQ43">
        <v>45</v>
      </c>
      <c r="AR43">
        <v>15</v>
      </c>
      <c r="AS43">
        <v>4</v>
      </c>
      <c r="AT43">
        <v>2</v>
      </c>
      <c r="AU43">
        <v>1</v>
      </c>
      <c r="AW43">
        <v>16</v>
      </c>
      <c r="AX43">
        <v>4</v>
      </c>
      <c r="AY43">
        <v>6</v>
      </c>
      <c r="AZ43" t="s">
        <v>15</v>
      </c>
      <c r="BA43" t="s">
        <v>15</v>
      </c>
      <c r="BB43" t="s">
        <v>15</v>
      </c>
      <c r="BC43">
        <v>10</v>
      </c>
      <c r="BN43" t="s">
        <v>88</v>
      </c>
      <c r="BO43">
        <v>15</v>
      </c>
      <c r="BP43">
        <v>75</v>
      </c>
      <c r="BQ43">
        <v>100</v>
      </c>
      <c r="BR43">
        <v>50</v>
      </c>
      <c r="BS43">
        <v>10</v>
      </c>
      <c r="BW43" t="s">
        <v>141</v>
      </c>
      <c r="BX43" t="s">
        <v>38</v>
      </c>
      <c r="BY43" t="s">
        <v>141</v>
      </c>
      <c r="BZ43" t="s">
        <v>38</v>
      </c>
      <c r="CA43" t="s">
        <v>141</v>
      </c>
      <c r="CB43" t="s">
        <v>38</v>
      </c>
    </row>
    <row r="44" spans="1:80" x14ac:dyDescent="0.3">
      <c r="B44" t="s">
        <v>29</v>
      </c>
      <c r="L44">
        <v>2.2999999999999998</v>
      </c>
      <c r="M44">
        <v>18</v>
      </c>
      <c r="AW44">
        <v>26</v>
      </c>
      <c r="AX44" t="s">
        <v>15</v>
      </c>
      <c r="AY44">
        <v>8</v>
      </c>
      <c r="AZ44">
        <v>10</v>
      </c>
      <c r="BA44" t="s">
        <v>15</v>
      </c>
      <c r="BB44" t="s">
        <v>15</v>
      </c>
      <c r="BC44">
        <v>18</v>
      </c>
      <c r="BW44" t="s">
        <v>142</v>
      </c>
      <c r="BX44">
        <v>1</v>
      </c>
      <c r="BY44" t="s">
        <v>146</v>
      </c>
      <c r="BZ44">
        <v>15</v>
      </c>
      <c r="CA44" t="s">
        <v>149</v>
      </c>
      <c r="CB44">
        <v>7</v>
      </c>
    </row>
    <row r="45" spans="1:80" x14ac:dyDescent="0.3">
      <c r="L45">
        <v>2.7</v>
      </c>
      <c r="M45">
        <v>18</v>
      </c>
      <c r="AC45" t="s">
        <v>61</v>
      </c>
      <c r="AD45" t="s">
        <v>62</v>
      </c>
      <c r="AE45" t="s">
        <v>63</v>
      </c>
      <c r="AF45" t="s">
        <v>64</v>
      </c>
      <c r="AG45" t="s">
        <v>65</v>
      </c>
      <c r="AH45" t="s">
        <v>66</v>
      </c>
      <c r="AI45" t="s">
        <v>67</v>
      </c>
      <c r="AJ45" t="s">
        <v>69</v>
      </c>
      <c r="AK45" t="s">
        <v>70</v>
      </c>
      <c r="AL45" t="s">
        <v>71</v>
      </c>
      <c r="AO45" t="s">
        <v>73</v>
      </c>
      <c r="AP45" t="s">
        <v>38</v>
      </c>
      <c r="AQ45" t="s">
        <v>74</v>
      </c>
      <c r="AW45">
        <v>36</v>
      </c>
      <c r="AX45" t="s">
        <v>15</v>
      </c>
      <c r="AY45" t="s">
        <v>15</v>
      </c>
      <c r="AZ45">
        <v>32</v>
      </c>
      <c r="BA45">
        <v>3</v>
      </c>
      <c r="BB45">
        <v>9</v>
      </c>
      <c r="BC45">
        <v>44</v>
      </c>
      <c r="BN45" t="s">
        <v>103</v>
      </c>
      <c r="BP45" t="s">
        <v>136</v>
      </c>
      <c r="BQ45">
        <v>25</v>
      </c>
      <c r="BR45" t="s">
        <v>137</v>
      </c>
      <c r="BS45" s="24" t="s">
        <v>138</v>
      </c>
      <c r="BW45" t="s">
        <v>143</v>
      </c>
      <c r="BX45">
        <v>4</v>
      </c>
      <c r="BY45" t="s">
        <v>147</v>
      </c>
      <c r="BZ45">
        <v>16</v>
      </c>
      <c r="CA45" t="s">
        <v>150</v>
      </c>
      <c r="CB45">
        <v>5</v>
      </c>
    </row>
    <row r="46" spans="1:80" x14ac:dyDescent="0.3">
      <c r="A46" t="s">
        <v>35</v>
      </c>
      <c r="L46">
        <v>2.2999999999999998</v>
      </c>
      <c r="M46">
        <v>20</v>
      </c>
      <c r="Q46" t="s">
        <v>37</v>
      </c>
      <c r="R46" t="s">
        <v>38</v>
      </c>
      <c r="S46" t="s">
        <v>50</v>
      </c>
      <c r="T46" t="s">
        <v>51</v>
      </c>
      <c r="U46" t="s">
        <v>54</v>
      </c>
      <c r="V46" t="s">
        <v>55</v>
      </c>
      <c r="Z46" t="s">
        <v>58</v>
      </c>
      <c r="AB46">
        <v>1</v>
      </c>
      <c r="AC46">
        <v>-4</v>
      </c>
      <c r="AD46">
        <v>-5.0999999999999996</v>
      </c>
      <c r="AE46">
        <f>AC46*AC46</f>
        <v>16</v>
      </c>
      <c r="AF46">
        <f>POWER(AC46,3)</f>
        <v>-64</v>
      </c>
      <c r="AG46">
        <f>POWER(AC46,4)</f>
        <v>256</v>
      </c>
      <c r="AH46">
        <f>POWER(AC46,5)</f>
        <v>-1024</v>
      </c>
      <c r="AI46">
        <f>POWER(AC46,6)</f>
        <v>4096</v>
      </c>
      <c r="AJ46">
        <f>AC46*AD46</f>
        <v>20.399999999999999</v>
      </c>
      <c r="AK46">
        <f>AE46*AD46</f>
        <v>-81.599999999999994</v>
      </c>
      <c r="AL46">
        <f>AF46*AD46</f>
        <v>326.39999999999998</v>
      </c>
      <c r="AN46">
        <v>1</v>
      </c>
      <c r="AO46">
        <v>2.5</v>
      </c>
      <c r="AP46">
        <v>133</v>
      </c>
      <c r="AQ46">
        <f>AO46*AP46</f>
        <v>332.5</v>
      </c>
      <c r="AW46">
        <v>46</v>
      </c>
      <c r="AX46" t="s">
        <v>15</v>
      </c>
      <c r="AY46" t="s">
        <v>15</v>
      </c>
      <c r="AZ46">
        <v>4</v>
      </c>
      <c r="BA46">
        <v>12</v>
      </c>
      <c r="BB46">
        <v>6</v>
      </c>
      <c r="BC46">
        <v>22</v>
      </c>
      <c r="BW46" t="s">
        <v>144</v>
      </c>
      <c r="BX46">
        <v>6</v>
      </c>
      <c r="BY46" t="s">
        <v>148</v>
      </c>
      <c r="BZ46">
        <v>12</v>
      </c>
      <c r="CA46" t="s">
        <v>151</v>
      </c>
      <c r="CB46">
        <v>3</v>
      </c>
    </row>
    <row r="47" spans="1:80" x14ac:dyDescent="0.3">
      <c r="A47" t="s">
        <v>30</v>
      </c>
      <c r="B47" t="s">
        <v>36</v>
      </c>
      <c r="L47">
        <v>2.7</v>
      </c>
      <c r="M47">
        <v>20</v>
      </c>
      <c r="Q47" t="s">
        <v>39</v>
      </c>
      <c r="R47">
        <v>5</v>
      </c>
      <c r="S47">
        <v>955</v>
      </c>
      <c r="T47">
        <f>R47*S47</f>
        <v>4775</v>
      </c>
      <c r="U47">
        <f>POWER(S47-994.2,2)</f>
        <v>1536.6400000000035</v>
      </c>
      <c r="V47">
        <f>R47*U47</f>
        <v>7683.2000000000171</v>
      </c>
      <c r="Z47" t="s">
        <v>39</v>
      </c>
      <c r="AB47">
        <v>2</v>
      </c>
      <c r="AC47">
        <v>-3</v>
      </c>
      <c r="AD47">
        <v>-3.5</v>
      </c>
      <c r="AE47">
        <f t="shared" ref="AE47:AE54" si="4">AC47*AC47</f>
        <v>9</v>
      </c>
      <c r="AF47">
        <f t="shared" ref="AF47:AF54" si="5">POWER(AC47,3)</f>
        <v>-27</v>
      </c>
      <c r="AG47">
        <f t="shared" ref="AG47:AG54" si="6">POWER(AC47,4)</f>
        <v>81</v>
      </c>
      <c r="AH47">
        <f t="shared" ref="AH47:AH54" si="7">POWER(AC47,5)</f>
        <v>-243</v>
      </c>
      <c r="AI47">
        <f t="shared" ref="AI47:AI54" si="8">POWER(AC47,6)</f>
        <v>729</v>
      </c>
      <c r="AJ47">
        <f t="shared" ref="AJ47:AJ54" si="9">AC47*AD47</f>
        <v>10.5</v>
      </c>
      <c r="AK47">
        <f t="shared" ref="AK47:AK54" si="10">AE47*AD47</f>
        <v>-31.5</v>
      </c>
      <c r="AL47">
        <f t="shared" ref="AL47:AL54" si="11">AF47*AD47</f>
        <v>94.5</v>
      </c>
      <c r="AN47">
        <v>2</v>
      </c>
      <c r="AO47">
        <v>7.5</v>
      </c>
      <c r="AP47">
        <v>45</v>
      </c>
      <c r="AQ47">
        <f t="shared" ref="AQ47:AQ51" si="12">AO47*AP47</f>
        <v>337.5</v>
      </c>
      <c r="AW47">
        <v>56</v>
      </c>
      <c r="AX47" t="s">
        <v>15</v>
      </c>
      <c r="AY47" t="s">
        <v>15</v>
      </c>
      <c r="AZ47" t="s">
        <v>15</v>
      </c>
      <c r="BA47">
        <v>1</v>
      </c>
      <c r="BB47">
        <v>5</v>
      </c>
      <c r="BC47">
        <v>6</v>
      </c>
      <c r="BN47" t="s">
        <v>97</v>
      </c>
      <c r="BW47" t="s">
        <v>145</v>
      </c>
      <c r="BX47">
        <v>11</v>
      </c>
    </row>
    <row r="48" spans="1:80" x14ac:dyDescent="0.3">
      <c r="A48">
        <v>2</v>
      </c>
      <c r="B48">
        <f>4.85511*A48+6.749115</f>
        <v>16.459334999999999</v>
      </c>
      <c r="L48">
        <v>2.7</v>
      </c>
      <c r="M48">
        <v>20</v>
      </c>
      <c r="Q48" t="s">
        <v>40</v>
      </c>
      <c r="R48">
        <v>35</v>
      </c>
      <c r="S48">
        <v>965</v>
      </c>
      <c r="T48">
        <f t="shared" ref="T48:T56" si="13">R48*S48</f>
        <v>33775</v>
      </c>
      <c r="U48">
        <f t="shared" ref="U48:U56" si="14">POWER(S48-994.2,2)</f>
        <v>852.6400000000026</v>
      </c>
      <c r="V48">
        <f t="shared" ref="V48:V56" si="15">R48*U48</f>
        <v>29842.400000000092</v>
      </c>
      <c r="Z48" t="s">
        <v>59</v>
      </c>
      <c r="AB48">
        <v>3</v>
      </c>
      <c r="AC48">
        <v>-2</v>
      </c>
      <c r="AD48">
        <v>-2</v>
      </c>
      <c r="AE48">
        <f t="shared" si="4"/>
        <v>4</v>
      </c>
      <c r="AF48">
        <f t="shared" si="5"/>
        <v>-8</v>
      </c>
      <c r="AG48">
        <f t="shared" si="6"/>
        <v>16</v>
      </c>
      <c r="AH48">
        <f t="shared" si="7"/>
        <v>-32</v>
      </c>
      <c r="AI48">
        <f t="shared" si="8"/>
        <v>64</v>
      </c>
      <c r="AJ48">
        <f t="shared" si="9"/>
        <v>4</v>
      </c>
      <c r="AK48">
        <f t="shared" si="10"/>
        <v>-8</v>
      </c>
      <c r="AL48">
        <f t="shared" si="11"/>
        <v>16</v>
      </c>
      <c r="AN48">
        <v>3</v>
      </c>
      <c r="AO48">
        <v>12.5</v>
      </c>
      <c r="AP48">
        <v>15</v>
      </c>
      <c r="AQ48">
        <f t="shared" si="12"/>
        <v>187.5</v>
      </c>
      <c r="AW48" t="s">
        <v>77</v>
      </c>
      <c r="AX48">
        <v>4</v>
      </c>
      <c r="AY48">
        <v>14</v>
      </c>
      <c r="AZ48">
        <v>46</v>
      </c>
      <c r="BA48">
        <v>16</v>
      </c>
      <c r="BB48">
        <v>20</v>
      </c>
      <c r="BC48" t="s">
        <v>79</v>
      </c>
      <c r="BN48" t="s">
        <v>8</v>
      </c>
      <c r="BO48" t="s">
        <v>98</v>
      </c>
      <c r="BP48" t="s">
        <v>99</v>
      </c>
      <c r="BQ48" t="s">
        <v>94</v>
      </c>
      <c r="BR48" t="s">
        <v>100</v>
      </c>
      <c r="BS48" t="s">
        <v>101</v>
      </c>
    </row>
    <row r="49" spans="1:88" x14ac:dyDescent="0.3">
      <c r="A49">
        <v>2.2999999999999998</v>
      </c>
      <c r="B49">
        <f>4.85511*A49+6.749115</f>
        <v>17.915867999999996</v>
      </c>
      <c r="L49">
        <v>3.1</v>
      </c>
      <c r="M49">
        <v>20</v>
      </c>
      <c r="Q49" t="s">
        <v>41</v>
      </c>
      <c r="R49">
        <v>60</v>
      </c>
      <c r="S49">
        <v>975</v>
      </c>
      <c r="T49">
        <f t="shared" si="13"/>
        <v>58500</v>
      </c>
      <c r="U49">
        <f t="shared" si="14"/>
        <v>368.64000000000175</v>
      </c>
      <c r="V49">
        <f t="shared" si="15"/>
        <v>22118.400000000103</v>
      </c>
      <c r="Z49" t="s">
        <v>41</v>
      </c>
      <c r="AB49">
        <v>4</v>
      </c>
      <c r="AC49">
        <v>-1</v>
      </c>
      <c r="AD49">
        <v>-0.15</v>
      </c>
      <c r="AE49">
        <f t="shared" si="4"/>
        <v>1</v>
      </c>
      <c r="AF49">
        <f t="shared" si="5"/>
        <v>-1</v>
      </c>
      <c r="AG49">
        <f t="shared" si="6"/>
        <v>1</v>
      </c>
      <c r="AH49">
        <f t="shared" si="7"/>
        <v>-1</v>
      </c>
      <c r="AI49">
        <f t="shared" si="8"/>
        <v>1</v>
      </c>
      <c r="AJ49">
        <f t="shared" si="9"/>
        <v>0.15</v>
      </c>
      <c r="AK49">
        <f t="shared" si="10"/>
        <v>-0.15</v>
      </c>
      <c r="AL49">
        <f t="shared" si="11"/>
        <v>0.15</v>
      </c>
      <c r="AN49">
        <v>4</v>
      </c>
      <c r="AO49">
        <v>17.5</v>
      </c>
      <c r="AP49">
        <v>4</v>
      </c>
      <c r="AQ49">
        <f t="shared" si="12"/>
        <v>70</v>
      </c>
      <c r="AX49">
        <f>AX42*AX48</f>
        <v>80</v>
      </c>
      <c r="AY49">
        <f t="shared" ref="AY49:BB49" si="16">AY42*AY48</f>
        <v>350</v>
      </c>
      <c r="AZ49">
        <f>AZ42*AZ48</f>
        <v>1380</v>
      </c>
      <c r="BA49">
        <f t="shared" si="16"/>
        <v>560</v>
      </c>
      <c r="BB49">
        <f t="shared" si="16"/>
        <v>800</v>
      </c>
      <c r="BC49">
        <f>SUM(AX49:BB49)</f>
        <v>3170</v>
      </c>
      <c r="BN49">
        <v>1</v>
      </c>
      <c r="BO49" t="s">
        <v>89</v>
      </c>
      <c r="BP49">
        <v>2.5</v>
      </c>
      <c r="BQ49">
        <v>15</v>
      </c>
      <c r="BR49">
        <f>BQ49/250</f>
        <v>0.06</v>
      </c>
      <c r="BS49">
        <f>BR49/5</f>
        <v>1.2E-2</v>
      </c>
      <c r="CE49" t="s">
        <v>61</v>
      </c>
      <c r="CF49" t="s">
        <v>116</v>
      </c>
      <c r="CG49" t="s">
        <v>117</v>
      </c>
      <c r="CH49" t="s">
        <v>118</v>
      </c>
      <c r="CI49" t="s">
        <v>124</v>
      </c>
      <c r="CJ49" t="s">
        <v>125</v>
      </c>
    </row>
    <row r="50" spans="1:88" x14ac:dyDescent="0.3">
      <c r="A50">
        <v>2.7</v>
      </c>
      <c r="B50">
        <f t="shared" ref="B50:B58" si="17">4.85511*A50+6.749115</f>
        <v>19.857911999999999</v>
      </c>
      <c r="L50">
        <v>2.7</v>
      </c>
      <c r="M50">
        <v>22</v>
      </c>
      <c r="Q50" t="s">
        <v>42</v>
      </c>
      <c r="R50">
        <v>72</v>
      </c>
      <c r="S50">
        <v>985</v>
      </c>
      <c r="T50">
        <f t="shared" si="13"/>
        <v>70920</v>
      </c>
      <c r="U50">
        <f t="shared" si="14"/>
        <v>84.640000000000839</v>
      </c>
      <c r="V50">
        <f t="shared" si="15"/>
        <v>6094.08000000006</v>
      </c>
      <c r="Z50" t="s">
        <v>42</v>
      </c>
      <c r="AB50">
        <v>5</v>
      </c>
      <c r="AC50">
        <v>0</v>
      </c>
      <c r="AD50">
        <v>0.3</v>
      </c>
      <c r="AE50">
        <f t="shared" si="4"/>
        <v>0</v>
      </c>
      <c r="AF50">
        <f t="shared" si="5"/>
        <v>0</v>
      </c>
      <c r="AG50">
        <f t="shared" si="6"/>
        <v>0</v>
      </c>
      <c r="AH50">
        <f t="shared" si="7"/>
        <v>0</v>
      </c>
      <c r="AI50">
        <f t="shared" si="8"/>
        <v>0</v>
      </c>
      <c r="AJ50">
        <f t="shared" si="9"/>
        <v>0</v>
      </c>
      <c r="AK50">
        <f t="shared" si="10"/>
        <v>0</v>
      </c>
      <c r="AL50">
        <f t="shared" si="11"/>
        <v>0</v>
      </c>
      <c r="AN50">
        <v>5</v>
      </c>
      <c r="AO50">
        <v>22.5</v>
      </c>
      <c r="AP50">
        <v>2</v>
      </c>
      <c r="AQ50">
        <f t="shared" si="12"/>
        <v>45</v>
      </c>
      <c r="BN50">
        <v>2</v>
      </c>
      <c r="BO50" s="26" t="s">
        <v>90</v>
      </c>
      <c r="BP50">
        <v>7.5</v>
      </c>
      <c r="BQ50">
        <v>75</v>
      </c>
      <c r="BR50">
        <f t="shared" ref="BR50:BR53" si="18">BQ50/250</f>
        <v>0.3</v>
      </c>
      <c r="BS50">
        <f t="shared" ref="BS50:BS53" si="19">BR50/5</f>
        <v>0.06</v>
      </c>
      <c r="BW50" t="s">
        <v>152</v>
      </c>
      <c r="BX50" t="s">
        <v>38</v>
      </c>
      <c r="BY50" t="s">
        <v>99</v>
      </c>
      <c r="BZ50" t="s">
        <v>105</v>
      </c>
      <c r="CA50" t="s">
        <v>153</v>
      </c>
      <c r="CB50" t="s">
        <v>107</v>
      </c>
      <c r="CD50">
        <v>1</v>
      </c>
      <c r="CE50">
        <v>40.24</v>
      </c>
      <c r="CF50">
        <v>40.26</v>
      </c>
      <c r="CG50" t="s">
        <v>15</v>
      </c>
      <c r="CH50" s="19">
        <f>CF50-$BX$63</f>
        <v>-8.4250000000004377E-2</v>
      </c>
      <c r="CI50" t="s">
        <v>15</v>
      </c>
      <c r="CJ50" s="22">
        <f>CH50/$BX$65</f>
        <v>-2.0791776527426467</v>
      </c>
    </row>
    <row r="51" spans="1:88" x14ac:dyDescent="0.3">
      <c r="A51">
        <v>3.1</v>
      </c>
      <c r="B51">
        <f t="shared" si="17"/>
        <v>21.799956000000002</v>
      </c>
      <c r="L51">
        <v>3.1</v>
      </c>
      <c r="M51">
        <v>22</v>
      </c>
      <c r="Q51" t="s">
        <v>43</v>
      </c>
      <c r="R51">
        <v>80</v>
      </c>
      <c r="S51">
        <v>995</v>
      </c>
      <c r="T51">
        <f t="shared" si="13"/>
        <v>79600</v>
      </c>
      <c r="U51">
        <f>POWER(S51-994.2,2)</f>
        <v>0.63999999999992729</v>
      </c>
      <c r="V51">
        <f>R51*U51</f>
        <v>51.199999999994183</v>
      </c>
      <c r="Z51" t="s">
        <v>43</v>
      </c>
      <c r="AB51">
        <v>6</v>
      </c>
      <c r="AC51">
        <v>1</v>
      </c>
      <c r="AD51">
        <v>1.2</v>
      </c>
      <c r="AE51">
        <f t="shared" si="4"/>
        <v>1</v>
      </c>
      <c r="AF51">
        <f t="shared" si="5"/>
        <v>1</v>
      </c>
      <c r="AG51">
        <f t="shared" si="6"/>
        <v>1</v>
      </c>
      <c r="AH51">
        <f t="shared" si="7"/>
        <v>1</v>
      </c>
      <c r="AI51">
        <f t="shared" si="8"/>
        <v>1</v>
      </c>
      <c r="AJ51">
        <f t="shared" si="9"/>
        <v>1.2</v>
      </c>
      <c r="AK51">
        <f t="shared" si="10"/>
        <v>1.2</v>
      </c>
      <c r="AL51">
        <f t="shared" si="11"/>
        <v>1.2</v>
      </c>
      <c r="AN51">
        <v>6</v>
      </c>
      <c r="AO51">
        <v>27.5</v>
      </c>
      <c r="AP51">
        <v>1</v>
      </c>
      <c r="AQ51">
        <f t="shared" si="12"/>
        <v>27.5</v>
      </c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N51">
        <v>3</v>
      </c>
      <c r="BO51" s="26" t="s">
        <v>121</v>
      </c>
      <c r="BP51">
        <v>12.5</v>
      </c>
      <c r="BQ51">
        <v>100</v>
      </c>
      <c r="BR51">
        <f t="shared" si="18"/>
        <v>0.4</v>
      </c>
      <c r="BS51">
        <f t="shared" si="19"/>
        <v>0.08</v>
      </c>
      <c r="BV51">
        <v>1</v>
      </c>
      <c r="BW51" t="s">
        <v>142</v>
      </c>
      <c r="BX51">
        <v>1</v>
      </c>
      <c r="BY51">
        <v>40.25</v>
      </c>
      <c r="BZ51">
        <f>BX51*BY51</f>
        <v>40.25</v>
      </c>
      <c r="CA51">
        <f>POWER(BY51,2)</f>
        <v>1620.0625</v>
      </c>
      <c r="CB51" s="19">
        <f>CA51*BX51</f>
        <v>1620.0625</v>
      </c>
      <c r="CD51">
        <v>2</v>
      </c>
      <c r="CE51">
        <v>40.26</v>
      </c>
      <c r="CF51">
        <v>40.28</v>
      </c>
      <c r="CG51" s="19">
        <f>CE51-$BX$63</f>
        <v>-8.4250000000004377E-2</v>
      </c>
      <c r="CH51" s="19">
        <f t="shared" ref="CH51:CH57" si="20">CF51-$BX$63</f>
        <v>-6.4250000000001251E-2</v>
      </c>
      <c r="CI51" s="22">
        <f>CG51/$BX$65</f>
        <v>-2.0791776527426467</v>
      </c>
      <c r="CJ51" s="22">
        <f t="shared" ref="CJ51:CJ58" si="21">CH51/$BX$65</f>
        <v>-1.585604322714667</v>
      </c>
    </row>
    <row r="52" spans="1:88" x14ac:dyDescent="0.3">
      <c r="A52">
        <v>3.5</v>
      </c>
      <c r="B52">
        <f t="shared" si="17"/>
        <v>23.742000000000001</v>
      </c>
      <c r="L52">
        <v>3.5</v>
      </c>
      <c r="M52">
        <v>22</v>
      </c>
      <c r="Q52" t="s">
        <v>44</v>
      </c>
      <c r="R52">
        <v>60</v>
      </c>
      <c r="S52">
        <v>1005</v>
      </c>
      <c r="T52">
        <f t="shared" si="13"/>
        <v>60300</v>
      </c>
      <c r="U52">
        <f t="shared" si="14"/>
        <v>116.63999999999902</v>
      </c>
      <c r="V52">
        <f t="shared" si="15"/>
        <v>6998.3999999999414</v>
      </c>
      <c r="Z52" t="s">
        <v>44</v>
      </c>
      <c r="AB52">
        <v>7</v>
      </c>
      <c r="AC52">
        <v>2</v>
      </c>
      <c r="AD52">
        <v>2.4</v>
      </c>
      <c r="AE52">
        <f t="shared" si="4"/>
        <v>4</v>
      </c>
      <c r="AF52">
        <f t="shared" si="5"/>
        <v>8</v>
      </c>
      <c r="AG52">
        <f t="shared" si="6"/>
        <v>16</v>
      </c>
      <c r="AH52">
        <f t="shared" si="7"/>
        <v>32</v>
      </c>
      <c r="AI52">
        <f t="shared" si="8"/>
        <v>64</v>
      </c>
      <c r="AJ52">
        <f t="shared" si="9"/>
        <v>4.8</v>
      </c>
      <c r="AK52">
        <f t="shared" si="10"/>
        <v>9.6</v>
      </c>
      <c r="AL52">
        <f t="shared" si="11"/>
        <v>19.2</v>
      </c>
      <c r="AN52" t="s">
        <v>68</v>
      </c>
      <c r="AO52">
        <f>SUM(AO46:AO51)</f>
        <v>90</v>
      </c>
      <c r="AP52">
        <f>SUM(AP46:AP51)</f>
        <v>200</v>
      </c>
      <c r="AQ52">
        <f>SUM(AQ46:AQ51)</f>
        <v>1000</v>
      </c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N52">
        <v>4</v>
      </c>
      <c r="BO52" s="26" t="s">
        <v>92</v>
      </c>
      <c r="BP52">
        <v>17.5</v>
      </c>
      <c r="BQ52">
        <v>50</v>
      </c>
      <c r="BR52">
        <f t="shared" si="18"/>
        <v>0.2</v>
      </c>
      <c r="BS52">
        <f t="shared" si="19"/>
        <v>0.04</v>
      </c>
      <c r="BV52">
        <v>2</v>
      </c>
      <c r="BW52" t="s">
        <v>143</v>
      </c>
      <c r="BX52">
        <v>4</v>
      </c>
      <c r="BY52">
        <v>40.270000000000003</v>
      </c>
      <c r="BZ52">
        <f t="shared" ref="BZ52:BZ60" si="22">BX52*BY52</f>
        <v>161.08000000000001</v>
      </c>
      <c r="CA52">
        <f t="shared" ref="CA52:CA60" si="23">POWER(BY52,2)</f>
        <v>1621.6729000000003</v>
      </c>
      <c r="CB52" s="19">
        <f t="shared" ref="CB52:CB60" si="24">CA52*BX52</f>
        <v>6486.691600000001</v>
      </c>
      <c r="CD52">
        <v>3</v>
      </c>
      <c r="CE52">
        <v>40.28</v>
      </c>
      <c r="CF52">
        <v>40.299999999999997</v>
      </c>
      <c r="CG52" s="19">
        <f t="shared" ref="CG52:CG59" si="25">CE52-$BX$63</f>
        <v>-6.4250000000001251E-2</v>
      </c>
      <c r="CH52" s="19">
        <f t="shared" si="20"/>
        <v>-4.425000000000523E-2</v>
      </c>
      <c r="CI52" s="22">
        <f t="shared" ref="CI52:CI59" si="26">CG52/$BX$65</f>
        <v>-1.585604322714667</v>
      </c>
      <c r="CJ52" s="22">
        <f t="shared" si="21"/>
        <v>-1.092030992686863</v>
      </c>
    </row>
    <row r="53" spans="1:88" x14ac:dyDescent="0.3">
      <c r="A53">
        <v>3.9</v>
      </c>
      <c r="B53">
        <f t="shared" si="17"/>
        <v>25.684044</v>
      </c>
      <c r="L53">
        <v>3.1</v>
      </c>
      <c r="M53">
        <v>24</v>
      </c>
      <c r="Q53" t="s">
        <v>45</v>
      </c>
      <c r="R53">
        <v>55</v>
      </c>
      <c r="S53">
        <v>1015</v>
      </c>
      <c r="T53">
        <f t="shared" si="13"/>
        <v>55825</v>
      </c>
      <c r="U53">
        <f t="shared" si="14"/>
        <v>432.63999999999811</v>
      </c>
      <c r="V53">
        <f t="shared" si="15"/>
        <v>23795.199999999895</v>
      </c>
      <c r="Z53" t="s">
        <v>45</v>
      </c>
      <c r="AB53">
        <v>8</v>
      </c>
      <c r="AC53">
        <v>3</v>
      </c>
      <c r="AD53">
        <v>3.8</v>
      </c>
      <c r="AE53">
        <f t="shared" si="4"/>
        <v>9</v>
      </c>
      <c r="AF53">
        <f t="shared" si="5"/>
        <v>27</v>
      </c>
      <c r="AG53">
        <f t="shared" si="6"/>
        <v>81</v>
      </c>
      <c r="AH53">
        <f t="shared" si="7"/>
        <v>243</v>
      </c>
      <c r="AI53">
        <f t="shared" si="8"/>
        <v>729</v>
      </c>
      <c r="AJ53">
        <f t="shared" si="9"/>
        <v>11.399999999999999</v>
      </c>
      <c r="AK53">
        <f t="shared" si="10"/>
        <v>34.199999999999996</v>
      </c>
      <c r="AL53">
        <f t="shared" si="11"/>
        <v>102.6</v>
      </c>
      <c r="AV53" s="20"/>
      <c r="AW53" t="s">
        <v>7</v>
      </c>
      <c r="BN53">
        <v>5</v>
      </c>
      <c r="BO53" s="26" t="s">
        <v>93</v>
      </c>
      <c r="BP53">
        <v>22.5</v>
      </c>
      <c r="BQ53">
        <v>10</v>
      </c>
      <c r="BR53">
        <f t="shared" si="18"/>
        <v>0.04</v>
      </c>
      <c r="BS53">
        <f t="shared" si="19"/>
        <v>8.0000000000000002E-3</v>
      </c>
      <c r="BV53">
        <v>3</v>
      </c>
      <c r="BW53" t="s">
        <v>144</v>
      </c>
      <c r="BX53">
        <v>6</v>
      </c>
      <c r="BY53">
        <v>40.29</v>
      </c>
      <c r="BZ53">
        <f t="shared" si="22"/>
        <v>241.74</v>
      </c>
      <c r="CA53">
        <f t="shared" si="23"/>
        <v>1623.2840999999999</v>
      </c>
      <c r="CB53" s="19">
        <f t="shared" si="24"/>
        <v>9739.7045999999991</v>
      </c>
      <c r="CD53">
        <v>4</v>
      </c>
      <c r="CE53">
        <v>40.299999999999997</v>
      </c>
      <c r="CF53">
        <v>40.32</v>
      </c>
      <c r="CG53" s="19">
        <f t="shared" si="25"/>
        <v>-4.425000000000523E-2</v>
      </c>
      <c r="CH53" s="19">
        <f t="shared" si="20"/>
        <v>-2.4250000000002103E-2</v>
      </c>
      <c r="CI53" s="22">
        <f t="shared" si="26"/>
        <v>-1.092030992686863</v>
      </c>
      <c r="CJ53" s="22">
        <f t="shared" si="21"/>
        <v>-0.59845766265888345</v>
      </c>
    </row>
    <row r="54" spans="1:88" x14ac:dyDescent="0.3">
      <c r="A54">
        <v>4.3</v>
      </c>
      <c r="B54">
        <f t="shared" si="17"/>
        <v>27.626087999999999</v>
      </c>
      <c r="L54">
        <v>3.5</v>
      </c>
      <c r="M54">
        <v>24</v>
      </c>
      <c r="Q54" t="s">
        <v>46</v>
      </c>
      <c r="R54">
        <v>20</v>
      </c>
      <c r="S54">
        <v>1025</v>
      </c>
      <c r="T54">
        <f t="shared" si="13"/>
        <v>20500</v>
      </c>
      <c r="U54">
        <f t="shared" si="14"/>
        <v>948.63999999999714</v>
      </c>
      <c r="V54">
        <f t="shared" si="15"/>
        <v>18972.799999999945</v>
      </c>
      <c r="Z54" t="s">
        <v>46</v>
      </c>
      <c r="AB54">
        <v>9</v>
      </c>
      <c r="AC54">
        <v>4</v>
      </c>
      <c r="AD54">
        <v>6</v>
      </c>
      <c r="AE54">
        <f t="shared" si="4"/>
        <v>16</v>
      </c>
      <c r="AF54">
        <f t="shared" si="5"/>
        <v>64</v>
      </c>
      <c r="AG54">
        <f t="shared" si="6"/>
        <v>256</v>
      </c>
      <c r="AH54">
        <f t="shared" si="7"/>
        <v>1024</v>
      </c>
      <c r="AI54">
        <f t="shared" si="8"/>
        <v>4096</v>
      </c>
      <c r="AJ54">
        <f t="shared" si="9"/>
        <v>24</v>
      </c>
      <c r="AK54">
        <f t="shared" si="10"/>
        <v>96</v>
      </c>
      <c r="AL54">
        <f t="shared" si="11"/>
        <v>384</v>
      </c>
      <c r="AV54" s="20"/>
      <c r="BP54" t="s">
        <v>102</v>
      </c>
      <c r="BQ54">
        <f>SUM(BQ49:BQ53)</f>
        <v>250</v>
      </c>
      <c r="BR54">
        <f>SUM(BR49:BR53)</f>
        <v>1</v>
      </c>
      <c r="BS54">
        <f>SUM(BS49:BS53)</f>
        <v>0.2</v>
      </c>
      <c r="BV54">
        <v>4</v>
      </c>
      <c r="BW54" t="s">
        <v>145</v>
      </c>
      <c r="BX54">
        <v>11</v>
      </c>
      <c r="BY54">
        <v>40.31</v>
      </c>
      <c r="BZ54">
        <f t="shared" si="22"/>
        <v>443.41</v>
      </c>
      <c r="CA54">
        <f t="shared" si="23"/>
        <v>1624.8961000000002</v>
      </c>
      <c r="CB54" s="19">
        <f t="shared" si="24"/>
        <v>17873.857100000001</v>
      </c>
      <c r="CD54">
        <v>5</v>
      </c>
      <c r="CE54">
        <v>40.32</v>
      </c>
      <c r="CF54">
        <v>40.340000000000003</v>
      </c>
      <c r="CG54" s="19">
        <f t="shared" si="25"/>
        <v>-2.4250000000002103E-2</v>
      </c>
      <c r="CH54" s="19">
        <f t="shared" si="20"/>
        <v>-4.2499999999989768E-3</v>
      </c>
      <c r="CI54" s="22">
        <f t="shared" si="26"/>
        <v>-0.59845766265888345</v>
      </c>
      <c r="CJ54" s="22">
        <f t="shared" si="21"/>
        <v>-0.10488433263090399</v>
      </c>
    </row>
    <row r="55" spans="1:88" ht="15" thickBot="1" x14ac:dyDescent="0.35">
      <c r="A55">
        <v>4.5</v>
      </c>
      <c r="B55">
        <f t="shared" si="17"/>
        <v>28.597109999999997</v>
      </c>
      <c r="L55">
        <v>3.9</v>
      </c>
      <c r="M55">
        <v>24</v>
      </c>
      <c r="Q55" t="s">
        <v>47</v>
      </c>
      <c r="R55">
        <v>10</v>
      </c>
      <c r="S55">
        <v>1035</v>
      </c>
      <c r="T55">
        <f t="shared" si="13"/>
        <v>10350</v>
      </c>
      <c r="U55">
        <f t="shared" si="14"/>
        <v>1664.6399999999962</v>
      </c>
      <c r="V55">
        <f t="shared" si="15"/>
        <v>16646.399999999961</v>
      </c>
      <c r="Z55" t="s">
        <v>47</v>
      </c>
      <c r="AB55" t="s">
        <v>68</v>
      </c>
      <c r="AC55">
        <f t="shared" ref="AC55:AL55" si="27">SUM(AC46:AC54)</f>
        <v>0</v>
      </c>
      <c r="AD55">
        <f t="shared" si="27"/>
        <v>2.95</v>
      </c>
      <c r="AE55">
        <f t="shared" si="27"/>
        <v>60</v>
      </c>
      <c r="AF55">
        <f t="shared" si="27"/>
        <v>0</v>
      </c>
      <c r="AG55">
        <f t="shared" si="27"/>
        <v>708</v>
      </c>
      <c r="AH55">
        <f t="shared" si="27"/>
        <v>0</v>
      </c>
      <c r="AI55">
        <f t="shared" si="27"/>
        <v>9780</v>
      </c>
      <c r="AJ55">
        <f t="shared" si="27"/>
        <v>76.449999999999989</v>
      </c>
      <c r="AK55">
        <f t="shared" si="27"/>
        <v>19.75</v>
      </c>
      <c r="AL55">
        <f t="shared" si="27"/>
        <v>944.05</v>
      </c>
      <c r="AV55" s="20"/>
      <c r="AX55" t="s">
        <v>9</v>
      </c>
      <c r="AY55">
        <v>1</v>
      </c>
      <c r="AZ55">
        <v>2</v>
      </c>
      <c r="BA55">
        <v>3</v>
      </c>
      <c r="BB55">
        <v>4</v>
      </c>
      <c r="BC55">
        <v>5</v>
      </c>
      <c r="BD55">
        <v>0</v>
      </c>
      <c r="BE55">
        <v>0</v>
      </c>
      <c r="BF55">
        <v>0</v>
      </c>
      <c r="BG55">
        <v>6</v>
      </c>
      <c r="BH55">
        <v>7</v>
      </c>
      <c r="BI55">
        <v>8</v>
      </c>
      <c r="BJ55">
        <v>9</v>
      </c>
      <c r="BK55">
        <v>10</v>
      </c>
      <c r="BV55">
        <v>5</v>
      </c>
      <c r="BW55" t="s">
        <v>146</v>
      </c>
      <c r="BX55">
        <v>15</v>
      </c>
      <c r="BY55">
        <v>40.33</v>
      </c>
      <c r="BZ55">
        <f t="shared" si="22"/>
        <v>604.94999999999993</v>
      </c>
      <c r="CA55">
        <f t="shared" si="23"/>
        <v>1626.5088999999998</v>
      </c>
      <c r="CB55" s="19">
        <f t="shared" si="24"/>
        <v>24397.633499999996</v>
      </c>
      <c r="CD55">
        <v>6</v>
      </c>
      <c r="CE55">
        <v>40.340000000000003</v>
      </c>
      <c r="CF55">
        <v>40.36</v>
      </c>
      <c r="CG55" s="19">
        <f t="shared" si="25"/>
        <v>-4.2499999999989768E-3</v>
      </c>
      <c r="CH55" s="19">
        <f t="shared" si="20"/>
        <v>1.5749999999997044E-2</v>
      </c>
      <c r="CI55" s="22">
        <f t="shared" si="26"/>
        <v>-0.10488433263090399</v>
      </c>
      <c r="CJ55" s="22">
        <f t="shared" si="21"/>
        <v>0.3886889973969001</v>
      </c>
    </row>
    <row r="56" spans="1:88" ht="15" thickBot="1" x14ac:dyDescent="0.35">
      <c r="A56">
        <v>5</v>
      </c>
      <c r="B56">
        <f t="shared" si="17"/>
        <v>31.024664999999999</v>
      </c>
      <c r="L56">
        <v>3.5</v>
      </c>
      <c r="M56">
        <v>26</v>
      </c>
      <c r="Q56" t="s">
        <v>48</v>
      </c>
      <c r="R56">
        <v>3</v>
      </c>
      <c r="S56">
        <v>1045</v>
      </c>
      <c r="T56">
        <f t="shared" si="13"/>
        <v>3135</v>
      </c>
      <c r="U56">
        <f t="shared" si="14"/>
        <v>2580.6399999999953</v>
      </c>
      <c r="V56">
        <f t="shared" si="15"/>
        <v>7741.9199999999855</v>
      </c>
      <c r="Z56" t="s">
        <v>48</v>
      </c>
      <c r="AV56" s="20"/>
      <c r="AW56" t="s">
        <v>8</v>
      </c>
      <c r="AX56" s="10" t="s">
        <v>76</v>
      </c>
      <c r="AY56" s="8">
        <v>20</v>
      </c>
      <c r="AZ56" s="8">
        <v>25</v>
      </c>
      <c r="BA56" s="8">
        <v>30</v>
      </c>
      <c r="BB56" s="8">
        <v>35</v>
      </c>
      <c r="BC56" s="8">
        <v>40</v>
      </c>
      <c r="BD56" s="8">
        <v>0</v>
      </c>
      <c r="BE56" s="8">
        <v>0</v>
      </c>
      <c r="BF56" s="9">
        <v>0</v>
      </c>
      <c r="BG56" s="16" t="s">
        <v>11</v>
      </c>
      <c r="BH56" s="3" t="s">
        <v>14</v>
      </c>
      <c r="BI56" t="s">
        <v>82</v>
      </c>
      <c r="BJ56" t="s">
        <v>83</v>
      </c>
      <c r="BK56" t="s">
        <v>21</v>
      </c>
      <c r="BN56" t="s">
        <v>104</v>
      </c>
      <c r="BV56">
        <v>6</v>
      </c>
      <c r="BW56" t="s">
        <v>147</v>
      </c>
      <c r="BX56">
        <v>16</v>
      </c>
      <c r="BY56">
        <v>40.35</v>
      </c>
      <c r="BZ56">
        <f t="shared" si="22"/>
        <v>645.6</v>
      </c>
      <c r="CA56">
        <f t="shared" si="23"/>
        <v>1628.1225000000002</v>
      </c>
      <c r="CB56" s="19">
        <f t="shared" si="24"/>
        <v>26049.960000000003</v>
      </c>
      <c r="CD56">
        <v>7</v>
      </c>
      <c r="CE56">
        <v>40.36</v>
      </c>
      <c r="CF56">
        <v>40.380000000000003</v>
      </c>
      <c r="CG56" s="19">
        <f t="shared" si="25"/>
        <v>1.5749999999997044E-2</v>
      </c>
      <c r="CH56" s="19">
        <f t="shared" si="20"/>
        <v>3.5750000000000171E-2</v>
      </c>
      <c r="CI56" s="22">
        <f t="shared" si="26"/>
        <v>0.3886889973969001</v>
      </c>
      <c r="CJ56" s="22">
        <f t="shared" si="21"/>
        <v>0.88226232742487953</v>
      </c>
    </row>
    <row r="57" spans="1:88" x14ac:dyDescent="0.3">
      <c r="A57">
        <v>1</v>
      </c>
      <c r="B57">
        <f t="shared" si="17"/>
        <v>11.604225</v>
      </c>
      <c r="L57">
        <v>3.9</v>
      </c>
      <c r="M57">
        <v>26</v>
      </c>
      <c r="R57">
        <f>SUM(R47:R56)</f>
        <v>400</v>
      </c>
      <c r="T57">
        <f>SUM(T47:T56)</f>
        <v>397680</v>
      </c>
      <c r="V57">
        <f>SUM(V47:V56)</f>
        <v>139944</v>
      </c>
      <c r="W57">
        <f>SUM(W47:W56)</f>
        <v>0</v>
      </c>
      <c r="AV57" s="20"/>
      <c r="AW57">
        <v>1</v>
      </c>
      <c r="AX57" s="11">
        <v>16</v>
      </c>
      <c r="AY57">
        <v>4</v>
      </c>
      <c r="AZ57">
        <v>6</v>
      </c>
      <c r="BG57" s="17">
        <v>10</v>
      </c>
      <c r="BH57" s="7">
        <f>BG57*AX57</f>
        <v>160</v>
      </c>
      <c r="BI57">
        <f>AY57*AY56+AZ57*AZ56+BA57*BA56</f>
        <v>230</v>
      </c>
      <c r="BJ57">
        <f>POWER(AX57,2)*SUM(AY57:BF57)</f>
        <v>2560</v>
      </c>
      <c r="BK57">
        <f>BI57*AX57</f>
        <v>3680</v>
      </c>
      <c r="BN57" t="s">
        <v>38</v>
      </c>
      <c r="BO57" t="s">
        <v>98</v>
      </c>
      <c r="BP57" t="s">
        <v>99</v>
      </c>
      <c r="BQ57" t="s">
        <v>94</v>
      </c>
      <c r="BR57" t="s">
        <v>105</v>
      </c>
      <c r="BS57" t="s">
        <v>106</v>
      </c>
      <c r="BT57" s="29" t="s">
        <v>107</v>
      </c>
      <c r="BV57">
        <v>7</v>
      </c>
      <c r="BW57" t="s">
        <v>148</v>
      </c>
      <c r="BX57">
        <v>12</v>
      </c>
      <c r="BY57">
        <v>40.369999999999997</v>
      </c>
      <c r="BZ57">
        <f t="shared" si="22"/>
        <v>484.43999999999994</v>
      </c>
      <c r="CA57">
        <f t="shared" si="23"/>
        <v>1629.7368999999999</v>
      </c>
      <c r="CB57" s="19">
        <f t="shared" si="24"/>
        <v>19556.842799999999</v>
      </c>
      <c r="CD57">
        <v>8</v>
      </c>
      <c r="CE57">
        <v>40.380000000000003</v>
      </c>
      <c r="CF57">
        <v>40.4</v>
      </c>
      <c r="CG57" s="19">
        <f t="shared" si="25"/>
        <v>3.5750000000000171E-2</v>
      </c>
      <c r="CH57" s="19">
        <f>CF57-$BX$63</f>
        <v>5.5749999999996191E-2</v>
      </c>
      <c r="CI57" s="22">
        <f t="shared" si="26"/>
        <v>0.88226232742487953</v>
      </c>
      <c r="CJ57" s="22">
        <f t="shared" si="21"/>
        <v>1.3758356574526838</v>
      </c>
    </row>
    <row r="58" spans="1:88" x14ac:dyDescent="0.3">
      <c r="A58">
        <v>1.5</v>
      </c>
      <c r="B58">
        <f t="shared" si="17"/>
        <v>14.031779999999999</v>
      </c>
      <c r="L58">
        <v>4.3</v>
      </c>
      <c r="M58">
        <v>26</v>
      </c>
      <c r="AV58" s="20"/>
      <c r="AW58">
        <v>2</v>
      </c>
      <c r="AX58" s="11">
        <v>26</v>
      </c>
      <c r="AZ58">
        <v>8</v>
      </c>
      <c r="BA58">
        <v>10</v>
      </c>
      <c r="BG58" s="17">
        <v>18</v>
      </c>
      <c r="BH58" s="7">
        <f t="shared" ref="BH58:BH62" si="28">BG58*AX58</f>
        <v>468</v>
      </c>
      <c r="BI58">
        <f>AZ58*AZ56+BA58*BA56+BB58*BB56</f>
        <v>500</v>
      </c>
      <c r="BJ58">
        <f>POWER(AX58,2)*SUM(AY58:BF58)</f>
        <v>12168</v>
      </c>
      <c r="BK58">
        <f t="shared" ref="BK58:BK61" si="29">BI58*AX58</f>
        <v>13000</v>
      </c>
      <c r="BN58">
        <v>1</v>
      </c>
      <c r="BO58" t="s">
        <v>89</v>
      </c>
      <c r="BP58">
        <v>2.5</v>
      </c>
      <c r="BQ58">
        <v>15</v>
      </c>
      <c r="BR58">
        <f>BQ58*BP58</f>
        <v>37.5</v>
      </c>
      <c r="BS58">
        <f>BP58*BP58</f>
        <v>6.25</v>
      </c>
      <c r="BT58" s="29">
        <f>BQ58*BS58</f>
        <v>93.75</v>
      </c>
      <c r="BV58">
        <v>8</v>
      </c>
      <c r="BW58" t="s">
        <v>149</v>
      </c>
      <c r="BX58">
        <v>7</v>
      </c>
      <c r="BY58">
        <v>40.39</v>
      </c>
      <c r="BZ58">
        <f t="shared" si="22"/>
        <v>282.73</v>
      </c>
      <c r="CA58">
        <f t="shared" si="23"/>
        <v>1631.3521000000001</v>
      </c>
      <c r="CB58" s="19">
        <f t="shared" si="24"/>
        <v>11419.4647</v>
      </c>
      <c r="CD58">
        <v>9</v>
      </c>
      <c r="CE58">
        <v>40.4</v>
      </c>
      <c r="CF58">
        <v>40.42</v>
      </c>
      <c r="CG58" s="19">
        <f t="shared" si="25"/>
        <v>5.5749999999996191E-2</v>
      </c>
      <c r="CH58" s="19">
        <f>CF58-$BX$63</f>
        <v>7.5749999999999318E-2</v>
      </c>
      <c r="CI58" s="22">
        <f t="shared" si="26"/>
        <v>1.3758356574526838</v>
      </c>
      <c r="CJ58" s="22">
        <f t="shared" si="21"/>
        <v>1.8694089874806632</v>
      </c>
    </row>
    <row r="59" spans="1:88" x14ac:dyDescent="0.3">
      <c r="L59">
        <v>3.9</v>
      </c>
      <c r="M59">
        <v>28</v>
      </c>
      <c r="Q59" t="s">
        <v>52</v>
      </c>
      <c r="R59" t="s">
        <v>53</v>
      </c>
      <c r="S59">
        <f>T57/R57</f>
        <v>994.2</v>
      </c>
      <c r="U59" t="s">
        <v>56</v>
      </c>
      <c r="V59" s="19">
        <f>SQRT(0.0025*V57)</f>
        <v>18.704544902242343</v>
      </c>
      <c r="AV59" s="20"/>
      <c r="AW59">
        <v>3</v>
      </c>
      <c r="AX59" s="11">
        <v>36</v>
      </c>
      <c r="BA59">
        <v>32</v>
      </c>
      <c r="BB59">
        <v>3</v>
      </c>
      <c r="BC59">
        <v>9</v>
      </c>
      <c r="BG59" s="17">
        <v>44</v>
      </c>
      <c r="BH59" s="7">
        <f t="shared" si="28"/>
        <v>1584</v>
      </c>
      <c r="BI59">
        <f>BA59*BA56+BB59*BB56+BC59*BC56</f>
        <v>1425</v>
      </c>
      <c r="BJ59">
        <f>POWER(AX59,2)*SUM(AY59:BF59)</f>
        <v>57024</v>
      </c>
      <c r="BK59">
        <f t="shared" si="29"/>
        <v>51300</v>
      </c>
      <c r="BN59">
        <v>2</v>
      </c>
      <c r="BO59" s="26" t="s">
        <v>90</v>
      </c>
      <c r="BP59">
        <v>7.5</v>
      </c>
      <c r="BQ59">
        <v>75</v>
      </c>
      <c r="BR59">
        <f>BQ59*BP59</f>
        <v>562.5</v>
      </c>
      <c r="BS59">
        <f t="shared" ref="BS59:BS66" si="30">BP59*BP59</f>
        <v>56.25</v>
      </c>
      <c r="BT59" s="29">
        <f t="shared" ref="BT59:BT66" si="31">BQ59*BS59</f>
        <v>4218.75</v>
      </c>
      <c r="BV59">
        <v>9</v>
      </c>
      <c r="BW59" t="s">
        <v>150</v>
      </c>
      <c r="BX59">
        <v>5</v>
      </c>
      <c r="BY59">
        <v>40.409999999999997</v>
      </c>
      <c r="BZ59">
        <f t="shared" si="22"/>
        <v>202.04999999999998</v>
      </c>
      <c r="CA59">
        <f t="shared" si="23"/>
        <v>1632.9680999999998</v>
      </c>
      <c r="CB59" s="19">
        <f t="shared" si="24"/>
        <v>8164.8404999999993</v>
      </c>
      <c r="CD59">
        <v>10</v>
      </c>
      <c r="CE59">
        <v>40.42</v>
      </c>
      <c r="CF59">
        <v>40.44</v>
      </c>
      <c r="CG59" s="19">
        <f t="shared" si="25"/>
        <v>7.5749999999999318E-2</v>
      </c>
      <c r="CH59" t="s">
        <v>15</v>
      </c>
      <c r="CI59" s="22">
        <f t="shared" si="26"/>
        <v>1.8694089874806632</v>
      </c>
      <c r="CJ59" t="s">
        <v>15</v>
      </c>
    </row>
    <row r="60" spans="1:88" x14ac:dyDescent="0.3">
      <c r="L60">
        <v>4.3</v>
      </c>
      <c r="M60">
        <v>28</v>
      </c>
      <c r="AV60" s="20"/>
      <c r="AW60">
        <v>4</v>
      </c>
      <c r="AX60" s="11">
        <v>46</v>
      </c>
      <c r="BA60">
        <v>4</v>
      </c>
      <c r="BB60">
        <v>12</v>
      </c>
      <c r="BC60">
        <v>6</v>
      </c>
      <c r="BG60" s="17">
        <v>22</v>
      </c>
      <c r="BH60" s="7">
        <f t="shared" si="28"/>
        <v>1012</v>
      </c>
      <c r="BI60">
        <f>BB60*BB56+BC60*BC56+BD60*BD56+BA60*BA56</f>
        <v>780</v>
      </c>
      <c r="BJ60">
        <f t="shared" ref="BJ59:BJ63" si="32">POWER(AX60,2)*SUM(AY60:BF60)</f>
        <v>46552</v>
      </c>
      <c r="BK60">
        <f t="shared" si="29"/>
        <v>35880</v>
      </c>
      <c r="BN60">
        <v>3</v>
      </c>
      <c r="BO60" s="26" t="s">
        <v>91</v>
      </c>
      <c r="BP60">
        <v>12.5</v>
      </c>
      <c r="BQ60">
        <v>100</v>
      </c>
      <c r="BR60">
        <f t="shared" ref="BR59:BR66" si="33">BQ60*BP60</f>
        <v>1250</v>
      </c>
      <c r="BS60">
        <f t="shared" si="30"/>
        <v>156.25</v>
      </c>
      <c r="BT60" s="30">
        <f>BQ60*BS60</f>
        <v>15625</v>
      </c>
      <c r="BV60">
        <v>10</v>
      </c>
      <c r="BW60" t="s">
        <v>151</v>
      </c>
      <c r="BX60">
        <v>3</v>
      </c>
      <c r="BY60">
        <v>40.43</v>
      </c>
      <c r="BZ60">
        <f t="shared" si="22"/>
        <v>121.28999999999999</v>
      </c>
      <c r="CA60">
        <f t="shared" si="23"/>
        <v>1634.5849000000001</v>
      </c>
      <c r="CB60" s="19">
        <f t="shared" si="24"/>
        <v>4903.7547000000004</v>
      </c>
    </row>
    <row r="61" spans="1:88" x14ac:dyDescent="0.3">
      <c r="L61">
        <v>4.3</v>
      </c>
      <c r="M61">
        <v>30</v>
      </c>
      <c r="AV61" s="20"/>
      <c r="AW61">
        <v>5</v>
      </c>
      <c r="AX61" s="11">
        <v>56</v>
      </c>
      <c r="BB61">
        <v>1</v>
      </c>
      <c r="BC61">
        <v>5</v>
      </c>
      <c r="BG61" s="17">
        <v>6</v>
      </c>
      <c r="BH61" s="7">
        <f t="shared" si="28"/>
        <v>336</v>
      </c>
      <c r="BI61">
        <f>BC61*BC56+BD61*BD56+BE61*BE56+BB61*BB56</f>
        <v>235</v>
      </c>
      <c r="BJ61">
        <f t="shared" si="32"/>
        <v>18816</v>
      </c>
      <c r="BK61">
        <f>BI61*AX61</f>
        <v>13160</v>
      </c>
      <c r="BN61">
        <v>4</v>
      </c>
      <c r="BO61" s="26" t="s">
        <v>92</v>
      </c>
      <c r="BP61">
        <v>17.5</v>
      </c>
      <c r="BQ61">
        <v>50</v>
      </c>
      <c r="BR61">
        <f t="shared" si="33"/>
        <v>875</v>
      </c>
      <c r="BS61">
        <f t="shared" si="30"/>
        <v>306.25</v>
      </c>
      <c r="BT61" s="29">
        <f t="shared" si="31"/>
        <v>15312.5</v>
      </c>
      <c r="BW61" t="s">
        <v>108</v>
      </c>
      <c r="BX61">
        <f>SUM(BX51:BX60)</f>
        <v>80</v>
      </c>
      <c r="BZ61">
        <f>SUM(BZ51:BZ60)</f>
        <v>3227.54</v>
      </c>
      <c r="CB61">
        <f>SUM(CB51:CB60)</f>
        <v>130212.81200000001</v>
      </c>
    </row>
    <row r="62" spans="1:88" ht="15" thickBot="1" x14ac:dyDescent="0.35">
      <c r="AV62" s="20"/>
      <c r="AW62">
        <v>0</v>
      </c>
      <c r="AX62" s="12">
        <v>0</v>
      </c>
      <c r="BG62" s="17">
        <v>0</v>
      </c>
      <c r="BH62" s="7">
        <f t="shared" si="28"/>
        <v>0</v>
      </c>
      <c r="BI62">
        <f>BD62*BD56+BE62*BE56+BF62*BF56</f>
        <v>0</v>
      </c>
      <c r="BJ62">
        <f t="shared" si="32"/>
        <v>0</v>
      </c>
      <c r="BK62">
        <f>AX62*(BD62*BD56+BE62*BE56+BF62*BF56)</f>
        <v>0</v>
      </c>
      <c r="BN62">
        <v>5</v>
      </c>
      <c r="BO62" s="26" t="s">
        <v>93</v>
      </c>
      <c r="BP62">
        <v>22.5</v>
      </c>
      <c r="BQ62">
        <v>10</v>
      </c>
      <c r="BR62">
        <f t="shared" si="33"/>
        <v>225</v>
      </c>
      <c r="BS62">
        <f t="shared" si="30"/>
        <v>506.25</v>
      </c>
      <c r="BT62" s="29">
        <f t="shared" si="31"/>
        <v>5062.5</v>
      </c>
    </row>
    <row r="63" spans="1:88" ht="15" thickBot="1" x14ac:dyDescent="0.35">
      <c r="AV63" s="20"/>
      <c r="AW63" s="2">
        <v>6</v>
      </c>
      <c r="AX63" s="13" t="s">
        <v>10</v>
      </c>
      <c r="AY63" s="14">
        <v>4</v>
      </c>
      <c r="AZ63" s="14">
        <v>14</v>
      </c>
      <c r="BA63" s="14">
        <v>46</v>
      </c>
      <c r="BB63" s="14">
        <v>16</v>
      </c>
      <c r="BC63" s="14">
        <v>20</v>
      </c>
      <c r="BD63" s="14">
        <v>0</v>
      </c>
      <c r="BE63" s="14">
        <v>0</v>
      </c>
      <c r="BF63" s="14">
        <v>0</v>
      </c>
      <c r="BG63" s="15">
        <f>SUM(AY63:BF63)</f>
        <v>100</v>
      </c>
      <c r="BH63" s="3">
        <f>SUM(BH57:BH62)</f>
        <v>3560</v>
      </c>
      <c r="BI63">
        <f>SUM(BI57:BI62)</f>
        <v>3170</v>
      </c>
      <c r="BJ63">
        <f>SUM(BJ57:BJ62)</f>
        <v>137120</v>
      </c>
      <c r="BK63">
        <f>SUM(BK57:BK62)</f>
        <v>117020</v>
      </c>
      <c r="BN63" t="s">
        <v>108</v>
      </c>
      <c r="BQ63">
        <f>SUM(BQ58:BQ62)</f>
        <v>250</v>
      </c>
      <c r="BR63">
        <f>SUM(BR58:BR62)</f>
        <v>2950</v>
      </c>
      <c r="BT63" s="29">
        <f>SUM(BT58:BT62)</f>
        <v>40312.5</v>
      </c>
      <c r="BW63" t="s">
        <v>109</v>
      </c>
      <c r="BX63" s="19">
        <f>BZ61/BX61</f>
        <v>40.344250000000002</v>
      </c>
    </row>
    <row r="64" spans="1:88" ht="15" thickBot="1" x14ac:dyDescent="0.35">
      <c r="AV64" s="20"/>
      <c r="AW64" s="4">
        <v>7</v>
      </c>
      <c r="AX64" s="5" t="s">
        <v>12</v>
      </c>
      <c r="AY64" s="5">
        <f>AY63*AY56</f>
        <v>80</v>
      </c>
      <c r="AZ64" s="5">
        <f>AZ63*AZ56</f>
        <v>350</v>
      </c>
      <c r="BA64" s="5">
        <f>BA63*BA56</f>
        <v>1380</v>
      </c>
      <c r="BB64" s="5">
        <f>BB63*BB56</f>
        <v>560</v>
      </c>
      <c r="BC64" s="5">
        <f>BC63*BC56</f>
        <v>800</v>
      </c>
      <c r="BD64" s="5">
        <f>BD63*BD56</f>
        <v>0</v>
      </c>
      <c r="BE64" s="5">
        <f t="shared" ref="AZ64:BF64" si="34">BE63*BE56</f>
        <v>0</v>
      </c>
      <c r="BF64" s="5">
        <f t="shared" si="34"/>
        <v>0</v>
      </c>
      <c r="BG64" s="4">
        <f>SUM(AY64:BC64)</f>
        <v>3170</v>
      </c>
      <c r="BH64" s="6" t="s">
        <v>15</v>
      </c>
      <c r="BI64" t="s">
        <v>15</v>
      </c>
      <c r="BJ64" t="s">
        <v>15</v>
      </c>
      <c r="BT64" s="31"/>
      <c r="BW64" t="s">
        <v>154</v>
      </c>
      <c r="BX64">
        <f>(CB61)/BX61-POWER(BX63,2)</f>
        <v>1.6419374999259162E-3</v>
      </c>
    </row>
    <row r="65" spans="48:90" x14ac:dyDescent="0.3">
      <c r="AV65" s="20"/>
      <c r="AW65">
        <v>8</v>
      </c>
      <c r="AX65" t="s">
        <v>80</v>
      </c>
      <c r="AY65">
        <f>AY57*AX57</f>
        <v>64</v>
      </c>
      <c r="AZ65">
        <f>AZ57*AX57+AZ58*AX58</f>
        <v>304</v>
      </c>
      <c r="BA65">
        <f>BA57*AX57+BA58*AX58+BA59*AX59+AX60*BA60</f>
        <v>1596</v>
      </c>
      <c r="BB65">
        <f>BB58*AX58+BB59*AX59+BB60*AX60+AX61*BB61</f>
        <v>716</v>
      </c>
      <c r="BC65">
        <f>BC59*AX59+BC60*AX60+BC61*AX61</f>
        <v>880</v>
      </c>
      <c r="BD65">
        <f>BD60*AX60+BD61*AX61+BD62*AX62</f>
        <v>0</v>
      </c>
      <c r="BE65">
        <f>BE61*AX61+BE62*AX62</f>
        <v>0</v>
      </c>
      <c r="BF65">
        <f>BF62*AX62</f>
        <v>0</v>
      </c>
      <c r="BG65">
        <f>SUM(AY65:BF65)</f>
        <v>3560</v>
      </c>
      <c r="BH65" t="s">
        <v>15</v>
      </c>
      <c r="BI65" t="s">
        <v>15</v>
      </c>
      <c r="BJ65" t="s">
        <v>15</v>
      </c>
      <c r="BN65" t="s">
        <v>109</v>
      </c>
      <c r="BO65">
        <f>BR63/BQ63</f>
        <v>11.8</v>
      </c>
      <c r="BT65" s="31"/>
      <c r="BU65" t="s">
        <v>155</v>
      </c>
      <c r="BW65" t="s">
        <v>111</v>
      </c>
      <c r="BX65">
        <f>SQRT(BX64)</f>
        <v>4.0520827976806152E-2</v>
      </c>
      <c r="CD65" t="s">
        <v>8</v>
      </c>
      <c r="CE65" t="s">
        <v>124</v>
      </c>
      <c r="CF65" t="s">
        <v>125</v>
      </c>
      <c r="CG65" t="s">
        <v>126</v>
      </c>
      <c r="CH65" t="s">
        <v>127</v>
      </c>
      <c r="CI65" t="s">
        <v>128</v>
      </c>
      <c r="CJ65" t="s">
        <v>160</v>
      </c>
      <c r="CL65" t="s">
        <v>161</v>
      </c>
    </row>
    <row r="66" spans="48:90" x14ac:dyDescent="0.3">
      <c r="AV66" s="20"/>
      <c r="AW66">
        <v>9</v>
      </c>
      <c r="AX66" t="s">
        <v>81</v>
      </c>
      <c r="AY66">
        <f>POWER(AY56,2)*SUM(AY57:AY62)</f>
        <v>1600</v>
      </c>
      <c r="AZ66">
        <f>POWER(AZ56,2)*SUM(AZ57:AZ62)</f>
        <v>8750</v>
      </c>
      <c r="BA66">
        <f>POWER(BA56,2)*SUM(BA57:BA62)</f>
        <v>41400</v>
      </c>
      <c r="BB66">
        <f t="shared" ref="AZ66:BF66" si="35">POWER(BB56,2)*SUM(BB57:BB62)</f>
        <v>19600</v>
      </c>
      <c r="BC66">
        <f>POWER(BC56,2)*SUM(BC57:BC62)</f>
        <v>32000</v>
      </c>
      <c r="BD66">
        <f t="shared" ref="BD66:BJ66" si="36">POWER(BD56,2)*SUM(BD57:BD62)</f>
        <v>0</v>
      </c>
      <c r="BE66">
        <f>POWER(BE56,2)*SUM(BE57:BE62)</f>
        <v>0</v>
      </c>
      <c r="BF66">
        <f t="shared" ref="BF66:BL66" si="37">POWER(BF56,2)*SUM(BF57:BF62)</f>
        <v>0</v>
      </c>
      <c r="BG66">
        <f>SUM(AY66:BF66)</f>
        <v>103350</v>
      </c>
      <c r="BI66" t="s">
        <v>15</v>
      </c>
      <c r="BJ66" t="s">
        <v>15</v>
      </c>
      <c r="BN66" t="s">
        <v>110</v>
      </c>
      <c r="BO66">
        <f>(BT63)/BQ63-POWER(BO65,2)</f>
        <v>22.009999999999991</v>
      </c>
      <c r="BT66" s="29"/>
      <c r="CD66">
        <v>1</v>
      </c>
      <c r="CE66" t="s">
        <v>15</v>
      </c>
      <c r="CF66" s="22">
        <f>CJ50</f>
        <v>-2.0791776527426467</v>
      </c>
      <c r="CG66" s="22">
        <v>-0.5</v>
      </c>
      <c r="CH66" s="22">
        <f>_xlfn.NORM.S.DIST(CF66,1)-0.5</f>
        <v>-0.4811994875662956</v>
      </c>
      <c r="CI66" s="22">
        <f>CH66-CG66</f>
        <v>1.8800512433704397E-2</v>
      </c>
      <c r="CL66" s="22">
        <f>CI66</f>
        <v>1.8800512433704397E-2</v>
      </c>
    </row>
    <row r="67" spans="48:90" x14ac:dyDescent="0.3">
      <c r="AV67" s="20"/>
      <c r="AW67">
        <v>10</v>
      </c>
      <c r="AX67" t="s">
        <v>19</v>
      </c>
      <c r="AY67">
        <f>AY56*(AY57*AX57)</f>
        <v>1280</v>
      </c>
      <c r="AZ67">
        <f>AZ56*((AX57*AZ57)+(AX58*AZ58))</f>
        <v>7600</v>
      </c>
      <c r="BA67">
        <f>BA56*((AX57*BA57)+(AX58*BA58)+(AX59*BA59)+(BA60*AX60))</f>
        <v>47880</v>
      </c>
      <c r="BB67">
        <f>BB56*(AX58*BB58+AX59*BB59+AX60*BB60+BB61*AX61)</f>
        <v>25060</v>
      </c>
      <c r="BC67">
        <f>BC56*(AX59*BC59+AX60*BC60+AX61*BC61)</f>
        <v>35200</v>
      </c>
      <c r="BD67">
        <f>BD56*(AX60*BD60+AX61*BD61+AX62*BD62)</f>
        <v>0</v>
      </c>
      <c r="BE67">
        <f>BE56*(AX61*BE61+AX62*BE62)</f>
        <v>0</v>
      </c>
      <c r="BF67">
        <f>BF56*BF62*AX62</f>
        <v>0</v>
      </c>
      <c r="BG67">
        <f>SUM(AY67:BF67)</f>
        <v>117020</v>
      </c>
      <c r="BN67" t="s">
        <v>111</v>
      </c>
      <c r="BO67" s="19">
        <f>SQRT(BO66)</f>
        <v>4.6914816422959591</v>
      </c>
      <c r="BT67" s="29"/>
      <c r="BW67">
        <v>0</v>
      </c>
      <c r="BY67" t="s">
        <v>157</v>
      </c>
      <c r="CD67">
        <v>2</v>
      </c>
      <c r="CE67" s="22">
        <f>CI51</f>
        <v>-2.0791776527426467</v>
      </c>
      <c r="CF67">
        <f t="shared" ref="CF67:CF73" si="38">CJ51</f>
        <v>-1.585604322714667</v>
      </c>
      <c r="CG67" s="22">
        <f>_xlfn.NORM.S.DIST(CE67,1)-0.5</f>
        <v>-0.4811994875662956</v>
      </c>
      <c r="CH67" s="22">
        <f t="shared" ref="CH67:CH74" si="39">_xlfn.NORM.S.DIST(CF67,1)-0.5</f>
        <v>-0.44358545247684583</v>
      </c>
      <c r="CI67" s="22">
        <f t="shared" ref="CI67:CI75" si="40">CH67-CG67</f>
        <v>3.7614035089449771E-2</v>
      </c>
      <c r="CL67" s="22">
        <f>CI67+CL66</f>
        <v>5.6414547523154168E-2</v>
      </c>
    </row>
    <row r="68" spans="48:90" x14ac:dyDescent="0.3">
      <c r="AV68" s="20"/>
      <c r="BT68" s="29"/>
      <c r="BU68" t="s">
        <v>158</v>
      </c>
      <c r="BV68">
        <v>40.24</v>
      </c>
      <c r="BW68">
        <f>1/80</f>
        <v>1.2500000000000001E-2</v>
      </c>
      <c r="BX68" s="22">
        <f>CL66</f>
        <v>1.8800512433704397E-2</v>
      </c>
      <c r="BY68">
        <f>ABS(BX68-BW68)</f>
        <v>6.3005124337043965E-3</v>
      </c>
      <c r="CD68">
        <v>3</v>
      </c>
      <c r="CE68">
        <f t="shared" ref="CE68:CE75" si="41">CI52</f>
        <v>-1.585604322714667</v>
      </c>
      <c r="CF68" s="22">
        <f t="shared" si="38"/>
        <v>-1.092030992686863</v>
      </c>
      <c r="CG68" s="22">
        <f t="shared" ref="CG68:CG75" si="42">_xlfn.NORM.S.DIST(CE68,1)-0.5</f>
        <v>-0.44358545247684583</v>
      </c>
      <c r="CH68" s="22">
        <f t="shared" si="39"/>
        <v>-0.36259026057952126</v>
      </c>
      <c r="CI68" s="22">
        <f t="shared" si="40"/>
        <v>8.099519189732457E-2</v>
      </c>
      <c r="CL68" s="22">
        <f>CI68+CL67</f>
        <v>0.13740973942047874</v>
      </c>
    </row>
    <row r="69" spans="48:90" x14ac:dyDescent="0.3">
      <c r="AV69" s="20"/>
      <c r="BT69" s="29"/>
      <c r="BV69">
        <v>40.26</v>
      </c>
      <c r="BW69">
        <f>4/80+BW68</f>
        <v>6.25E-2</v>
      </c>
      <c r="BX69" s="22">
        <f>CL67</f>
        <v>5.6414547523154168E-2</v>
      </c>
      <c r="BY69">
        <f t="shared" ref="BY69:BY77" si="43">ABS(BX69-BW69)</f>
        <v>6.0854524768458318E-3</v>
      </c>
      <c r="CD69">
        <v>4</v>
      </c>
      <c r="CE69" s="22">
        <f t="shared" si="41"/>
        <v>-1.092030992686863</v>
      </c>
      <c r="CF69" s="22">
        <f t="shared" si="38"/>
        <v>-0.59845766265888345</v>
      </c>
      <c r="CG69" s="22">
        <f t="shared" si="42"/>
        <v>-0.36259026057952126</v>
      </c>
      <c r="CH69" s="22">
        <f t="shared" si="39"/>
        <v>-0.22523269982958721</v>
      </c>
      <c r="CI69" s="22">
        <f t="shared" si="40"/>
        <v>0.13735756074993405</v>
      </c>
      <c r="CL69" s="22">
        <f>CI69+CL68</f>
        <v>0.27476730017041279</v>
      </c>
    </row>
    <row r="70" spans="48:90" x14ac:dyDescent="0.3">
      <c r="AV70" s="20"/>
      <c r="AX70" t="s">
        <v>23</v>
      </c>
      <c r="AY70">
        <f>BH63/100</f>
        <v>35.6</v>
      </c>
      <c r="BN70" t="s">
        <v>112</v>
      </c>
      <c r="BT70" s="29"/>
      <c r="BV70">
        <v>40.28</v>
      </c>
      <c r="BW70">
        <f>6/80+BW69</f>
        <v>0.13750000000000001</v>
      </c>
      <c r="BX70" s="22">
        <f t="shared" ref="BX69:BX77" si="44">CL68</f>
        <v>0.13740973942047874</v>
      </c>
      <c r="BY70">
        <f t="shared" si="43"/>
        <v>9.0260579521272977E-5</v>
      </c>
      <c r="CD70">
        <v>5</v>
      </c>
      <c r="CE70" s="22">
        <f t="shared" si="41"/>
        <v>-0.59845766265888345</v>
      </c>
      <c r="CF70" s="22">
        <f t="shared" si="38"/>
        <v>-0.10488433263090399</v>
      </c>
      <c r="CG70" s="22">
        <f t="shared" si="42"/>
        <v>-0.22523269982958721</v>
      </c>
      <c r="CH70" s="22">
        <f t="shared" si="39"/>
        <v>-4.1766204429439124E-2</v>
      </c>
      <c r="CI70" s="22">
        <f t="shared" si="40"/>
        <v>0.18346649540014809</v>
      </c>
      <c r="CL70" s="22">
        <f>CI70+CL69</f>
        <v>0.45823379557056088</v>
      </c>
    </row>
    <row r="71" spans="48:90" x14ac:dyDescent="0.3">
      <c r="AV71" s="20"/>
      <c r="AX71" t="s">
        <v>22</v>
      </c>
      <c r="AY71">
        <f>BI63/100</f>
        <v>31.7</v>
      </c>
      <c r="BN71" t="s">
        <v>113</v>
      </c>
      <c r="BO71" s="19">
        <f>250/249*BO66</f>
        <v>22.09839357429718</v>
      </c>
      <c r="BS71" s="26"/>
      <c r="BT71" s="29"/>
      <c r="BV71">
        <v>40.299999999999997</v>
      </c>
      <c r="BW71">
        <f>11/80+BW70</f>
        <v>0.27500000000000002</v>
      </c>
      <c r="BX71" s="22">
        <f t="shared" si="44"/>
        <v>0.27476730017041279</v>
      </c>
      <c r="BY71">
        <f t="shared" si="43"/>
        <v>2.3269982958723512E-4</v>
      </c>
      <c r="CD71">
        <v>6</v>
      </c>
      <c r="CE71" s="22">
        <f t="shared" si="41"/>
        <v>-0.10488433263090399</v>
      </c>
      <c r="CF71" s="22">
        <f t="shared" si="38"/>
        <v>0.3886889973969001</v>
      </c>
      <c r="CG71" s="22">
        <f t="shared" si="42"/>
        <v>-4.1766204429439124E-2</v>
      </c>
      <c r="CH71" s="22">
        <f t="shared" si="39"/>
        <v>0.15124688878250903</v>
      </c>
      <c r="CI71" s="22">
        <f t="shared" si="40"/>
        <v>0.19301309321194815</v>
      </c>
      <c r="CL71" s="22">
        <f>CI71+CL70</f>
        <v>0.65124688878250903</v>
      </c>
    </row>
    <row r="72" spans="48:90" x14ac:dyDescent="0.3">
      <c r="AV72" s="20"/>
      <c r="BN72" t="s">
        <v>114</v>
      </c>
      <c r="BO72" s="19">
        <f>SQRT(BO71)</f>
        <v>4.7008928486296284</v>
      </c>
      <c r="BS72" s="26"/>
      <c r="BT72" s="29"/>
      <c r="BV72">
        <v>40.32</v>
      </c>
      <c r="BW72">
        <f>15/80+BW71</f>
        <v>0.46250000000000002</v>
      </c>
      <c r="BX72" s="22">
        <f t="shared" si="44"/>
        <v>0.45823379557056088</v>
      </c>
      <c r="BY72">
        <f t="shared" si="43"/>
        <v>4.2662044294391466E-3</v>
      </c>
      <c r="CD72">
        <v>7</v>
      </c>
      <c r="CE72" s="22">
        <f t="shared" si="41"/>
        <v>0.3886889973969001</v>
      </c>
      <c r="CF72" s="22">
        <f t="shared" si="38"/>
        <v>0.88226232742487953</v>
      </c>
      <c r="CG72" s="22">
        <f t="shared" si="42"/>
        <v>0.15124688878250903</v>
      </c>
      <c r="CH72" s="22">
        <f t="shared" si="39"/>
        <v>0.31118251811881525</v>
      </c>
      <c r="CI72" s="22">
        <f t="shared" si="40"/>
        <v>0.15993562933630623</v>
      </c>
      <c r="CL72" s="22">
        <f t="shared" ref="CL72:CL75" si="45">CI72+CL71</f>
        <v>0.81118251811881525</v>
      </c>
    </row>
    <row r="73" spans="48:90" x14ac:dyDescent="0.3">
      <c r="AV73" s="20"/>
      <c r="AX73" t="s">
        <v>25</v>
      </c>
      <c r="AY73" s="23">
        <f>(1/99)*(BJ63-0.01*(BH63*BH63))</f>
        <v>104.8888888888889</v>
      </c>
      <c r="BS73" s="26"/>
      <c r="BT73" s="29"/>
      <c r="BV73">
        <v>40.340000000000003</v>
      </c>
      <c r="BW73">
        <f>16/80+BW72</f>
        <v>0.66250000000000009</v>
      </c>
      <c r="BX73" s="22">
        <f t="shared" si="44"/>
        <v>0.65124688878250903</v>
      </c>
      <c r="BY73">
        <f t="shared" si="43"/>
        <v>1.1253111217491063E-2</v>
      </c>
      <c r="CD73">
        <v>8</v>
      </c>
      <c r="CE73" s="22">
        <f t="shared" si="41"/>
        <v>0.88226232742487953</v>
      </c>
      <c r="CF73" s="22">
        <f t="shared" si="38"/>
        <v>1.3758356574526838</v>
      </c>
      <c r="CG73" s="22">
        <f t="shared" si="42"/>
        <v>0.31118251811881525</v>
      </c>
      <c r="CH73" s="22">
        <f t="shared" si="39"/>
        <v>0.41556374039601063</v>
      </c>
      <c r="CI73" s="22">
        <f t="shared" si="40"/>
        <v>0.10438122227719537</v>
      </c>
      <c r="CL73" s="22">
        <f t="shared" si="45"/>
        <v>0.91556374039601063</v>
      </c>
    </row>
    <row r="74" spans="48:90" x14ac:dyDescent="0.3">
      <c r="AV74" s="20"/>
      <c r="BN74" t="s">
        <v>115</v>
      </c>
      <c r="BS74" s="26"/>
      <c r="BT74" s="29"/>
      <c r="BV74">
        <v>40.36</v>
      </c>
      <c r="BW74">
        <f>12/80+BW73</f>
        <v>0.81250000000000011</v>
      </c>
      <c r="BX74" s="22">
        <f t="shared" si="44"/>
        <v>0.81118251811881525</v>
      </c>
      <c r="BY74">
        <f t="shared" si="43"/>
        <v>1.3174818811848565E-3</v>
      </c>
      <c r="CD74">
        <v>9</v>
      </c>
      <c r="CE74" s="22">
        <f t="shared" si="41"/>
        <v>1.3758356574526838</v>
      </c>
      <c r="CF74" s="22">
        <f>CJ58</f>
        <v>1.8694089874806632</v>
      </c>
      <c r="CG74" s="22">
        <f t="shared" si="42"/>
        <v>0.41556374039601063</v>
      </c>
      <c r="CH74" s="22">
        <f t="shared" si="39"/>
        <v>0.46921703243185309</v>
      </c>
      <c r="CI74" s="22">
        <f t="shared" si="40"/>
        <v>5.3653292035842459E-2</v>
      </c>
      <c r="CL74" s="22">
        <f t="shared" si="45"/>
        <v>0.96921703243185309</v>
      </c>
    </row>
    <row r="75" spans="48:90" x14ac:dyDescent="0.3">
      <c r="AV75" s="20"/>
      <c r="AX75" t="s">
        <v>24</v>
      </c>
      <c r="AY75" s="23">
        <f>(1/99)*(BG66-0.01*BG64*BG64)</f>
        <v>28.8989898989899</v>
      </c>
      <c r="BN75" t="s">
        <v>8</v>
      </c>
      <c r="BO75" t="s">
        <v>61</v>
      </c>
      <c r="BP75" t="s">
        <v>116</v>
      </c>
      <c r="BQ75" t="s">
        <v>117</v>
      </c>
      <c r="BR75" t="s">
        <v>118</v>
      </c>
      <c r="BS75" t="s">
        <v>119</v>
      </c>
      <c r="BT75" s="29" t="s">
        <v>120</v>
      </c>
      <c r="BV75">
        <v>40.380000000000003</v>
      </c>
      <c r="BW75">
        <f>7/80+BW74</f>
        <v>0.90000000000000013</v>
      </c>
      <c r="BX75" s="22">
        <f t="shared" si="44"/>
        <v>0.91556374039601063</v>
      </c>
      <c r="BY75">
        <f t="shared" si="43"/>
        <v>1.5563740396010495E-2</v>
      </c>
      <c r="CD75">
        <v>10</v>
      </c>
      <c r="CE75" s="22">
        <f t="shared" si="41"/>
        <v>1.8694089874806632</v>
      </c>
      <c r="CF75" t="s">
        <v>15</v>
      </c>
      <c r="CG75" s="22">
        <f t="shared" si="42"/>
        <v>0.46921703243185309</v>
      </c>
      <c r="CH75" s="22">
        <v>0.5</v>
      </c>
      <c r="CI75" s="22">
        <f t="shared" si="40"/>
        <v>3.0782967568146913E-2</v>
      </c>
      <c r="CL75" s="22">
        <f t="shared" si="45"/>
        <v>1</v>
      </c>
    </row>
    <row r="76" spans="48:90" x14ac:dyDescent="0.3">
      <c r="AV76" s="20"/>
      <c r="BN76">
        <v>1</v>
      </c>
      <c r="BO76">
        <v>0</v>
      </c>
      <c r="BP76">
        <v>5</v>
      </c>
      <c r="BQ76" t="s">
        <v>15</v>
      </c>
      <c r="BR76" s="27">
        <f>BP76-$BO$65</f>
        <v>-6.8000000000000007</v>
      </c>
      <c r="BS76" t="s">
        <v>15</v>
      </c>
      <c r="BT76" s="32">
        <f>(BR76)/$BO$67</f>
        <v>-1.4494354914862582</v>
      </c>
      <c r="BV76">
        <v>40.4</v>
      </c>
      <c r="BW76">
        <f>5/80+BW75</f>
        <v>0.96250000000000013</v>
      </c>
      <c r="BX76" s="22">
        <f t="shared" si="44"/>
        <v>0.96921703243185309</v>
      </c>
      <c r="BY76">
        <f t="shared" si="43"/>
        <v>6.717032431852954E-3</v>
      </c>
      <c r="CA76" s="22"/>
      <c r="CI76">
        <f>SUM(CI66:CI75)</f>
        <v>1</v>
      </c>
    </row>
    <row r="77" spans="48:90" x14ac:dyDescent="0.3">
      <c r="AV77" s="20"/>
      <c r="AX77" t="s">
        <v>84</v>
      </c>
      <c r="AY77" s="23">
        <f>(1/99)*(BK63-0.01*BG65*BG64)</f>
        <v>42.101010101010104</v>
      </c>
      <c r="BN77">
        <v>2</v>
      </c>
      <c r="BO77">
        <v>5</v>
      </c>
      <c r="BP77">
        <v>10</v>
      </c>
      <c r="BQ77">
        <f>BO77-$BO$65</f>
        <v>-6.8000000000000007</v>
      </c>
      <c r="BR77" s="27">
        <f t="shared" ref="BR77:BR80" si="46">BP77-$BO$65</f>
        <v>-1.8000000000000007</v>
      </c>
      <c r="BS77" s="19">
        <f>(BQ77)/$BO$67</f>
        <v>-1.4494354914862582</v>
      </c>
      <c r="BT77" s="32">
        <f t="shared" ref="BT77:BT80" si="47">(BR77)/$BO$67</f>
        <v>-0.38367410068753899</v>
      </c>
      <c r="BV77">
        <v>40.42</v>
      </c>
      <c r="BW77">
        <f>3/80+BW76</f>
        <v>1.0000000000000002</v>
      </c>
      <c r="BX77" s="22">
        <f t="shared" si="44"/>
        <v>1</v>
      </c>
      <c r="BY77">
        <f t="shared" si="43"/>
        <v>2.2204460492503131E-16</v>
      </c>
      <c r="CA77" s="22"/>
    </row>
    <row r="78" spans="48:90" x14ac:dyDescent="0.3">
      <c r="AV78" s="20"/>
      <c r="BN78">
        <v>3</v>
      </c>
      <c r="BO78">
        <v>10</v>
      </c>
      <c r="BP78">
        <v>15</v>
      </c>
      <c r="BQ78">
        <f t="shared" ref="BQ78:BQ80" si="48">BO78-$BO$65</f>
        <v>-1.8000000000000007</v>
      </c>
      <c r="BR78" s="27">
        <f t="shared" si="46"/>
        <v>3.1999999999999993</v>
      </c>
      <c r="BS78" s="19">
        <f>(BQ78)/$BO$67</f>
        <v>-0.38367410068753899</v>
      </c>
      <c r="BT78" s="32">
        <f t="shared" si="47"/>
        <v>0.68208729011118008</v>
      </c>
      <c r="BV78">
        <v>40.44</v>
      </c>
      <c r="CA78" s="22"/>
    </row>
    <row r="79" spans="48:90" x14ac:dyDescent="0.3">
      <c r="AX79" t="s">
        <v>27</v>
      </c>
      <c r="AY79" s="23">
        <f>SQRT(AY73)</f>
        <v>10.241527663824812</v>
      </c>
      <c r="BN79">
        <v>4</v>
      </c>
      <c r="BO79">
        <v>15</v>
      </c>
      <c r="BP79">
        <v>20</v>
      </c>
      <c r="BQ79">
        <f t="shared" si="48"/>
        <v>3.1999999999999993</v>
      </c>
      <c r="BR79" s="27">
        <f t="shared" si="46"/>
        <v>8.1999999999999993</v>
      </c>
      <c r="BS79" s="19">
        <f t="shared" ref="BS78:BS80" si="49">(BQ79)/$BO$67</f>
        <v>0.68208729011118008</v>
      </c>
      <c r="BT79" s="32">
        <f t="shared" si="47"/>
        <v>1.7478486809098992</v>
      </c>
      <c r="BW79" t="s">
        <v>159</v>
      </c>
      <c r="CA79" s="22"/>
    </row>
    <row r="80" spans="48:90" x14ac:dyDescent="0.3">
      <c r="AX80" t="s">
        <v>26</v>
      </c>
      <c r="AY80" s="23">
        <f>SQRT(AY75)</f>
        <v>5.3757780738224215</v>
      </c>
      <c r="BN80">
        <v>5</v>
      </c>
      <c r="BO80">
        <v>20</v>
      </c>
      <c r="BP80">
        <v>25</v>
      </c>
      <c r="BQ80">
        <f t="shared" si="48"/>
        <v>8.1999999999999993</v>
      </c>
      <c r="BR80" s="27" t="s">
        <v>15</v>
      </c>
      <c r="BS80" s="19">
        <f>(BQ80)/$BO$67</f>
        <v>1.7478486809098992</v>
      </c>
      <c r="BT80" s="29" t="s">
        <v>15</v>
      </c>
      <c r="BX80" t="s">
        <v>156</v>
      </c>
      <c r="BY80" s="22">
        <f>MAX(BY68:BY77)</f>
        <v>1.5563740396010495E-2</v>
      </c>
      <c r="CA80" s="22" t="s">
        <v>162</v>
      </c>
      <c r="CB80" s="22">
        <f>BY80*SQRT(80)</f>
        <v>0.13920632603855587</v>
      </c>
    </row>
    <row r="81" spans="50:79" x14ac:dyDescent="0.3">
      <c r="BR81" s="18"/>
      <c r="BT81" s="29"/>
    </row>
    <row r="82" spans="50:79" x14ac:dyDescent="0.3">
      <c r="BR82" s="18"/>
      <c r="CA82" s="22"/>
    </row>
    <row r="83" spans="50:79" x14ac:dyDescent="0.3">
      <c r="AX83" t="s">
        <v>28</v>
      </c>
      <c r="AY83" s="23">
        <f>AY77/(AY79*AY80)</f>
        <v>0.76469181497654415</v>
      </c>
      <c r="BN83" t="s">
        <v>122</v>
      </c>
      <c r="BQ83" t="s">
        <v>123</v>
      </c>
      <c r="CA83" s="22"/>
    </row>
    <row r="84" spans="50:79" x14ac:dyDescent="0.3">
      <c r="AX84" t="s">
        <v>85</v>
      </c>
      <c r="BN84" t="s">
        <v>8</v>
      </c>
      <c r="BO84" t="s">
        <v>124</v>
      </c>
      <c r="BP84" t="s">
        <v>125</v>
      </c>
      <c r="BQ84" t="s">
        <v>126</v>
      </c>
      <c r="BR84" t="s">
        <v>127</v>
      </c>
      <c r="BS84" t="s">
        <v>128</v>
      </c>
      <c r="BT84" t="s">
        <v>139</v>
      </c>
      <c r="CA84" s="22"/>
    </row>
    <row r="85" spans="50:79" x14ac:dyDescent="0.3">
      <c r="BN85">
        <v>1</v>
      </c>
      <c r="BO85" t="s">
        <v>15</v>
      </c>
      <c r="BP85" s="19">
        <f>BT76</f>
        <v>-1.4494354914862582</v>
      </c>
      <c r="BQ85">
        <v>-0.5</v>
      </c>
      <c r="BR85" s="19">
        <f>_xlfn.NORM.S.DIST(BP85,1)-0.5</f>
        <v>-0.4263919984304777</v>
      </c>
      <c r="BS85" s="19">
        <f>BR85-BQ85</f>
        <v>7.3608001569522297E-2</v>
      </c>
      <c r="BT85" s="19">
        <f>250*BS85</f>
        <v>18.402000392380575</v>
      </c>
      <c r="CA85" s="22"/>
    </row>
    <row r="86" spans="50:79" x14ac:dyDescent="0.3">
      <c r="BN86">
        <v>2</v>
      </c>
      <c r="BO86" s="19">
        <f>BS77</f>
        <v>-1.4494354914862582</v>
      </c>
      <c r="BP86" s="19">
        <f t="shared" ref="BP86:BP88" si="50">BT77</f>
        <v>-0.38367410068753899</v>
      </c>
      <c r="BQ86" s="19">
        <f>_xlfn.NORM.S.DIST(BO86,1)-0.5</f>
        <v>-0.4263919984304777</v>
      </c>
      <c r="BR86" s="19">
        <f>_xlfn.NORM.S.DIST(BP86,1)-0.5</f>
        <v>-0.14938999458527846</v>
      </c>
      <c r="BS86" s="19">
        <f>BR86-BQ86</f>
        <v>0.27700200384519924</v>
      </c>
      <c r="BT86" s="19">
        <f t="shared" ref="BT86:BT89" si="51">250*BS86</f>
        <v>69.250500961299807</v>
      </c>
      <c r="CA86" s="22"/>
    </row>
    <row r="87" spans="50:79" x14ac:dyDescent="0.3">
      <c r="BN87">
        <v>3</v>
      </c>
      <c r="BO87" s="19">
        <f t="shared" ref="BO87:BO89" si="52">BS78</f>
        <v>-0.38367410068753899</v>
      </c>
      <c r="BP87" s="19">
        <f t="shared" si="50"/>
        <v>0.68208729011118008</v>
      </c>
      <c r="BQ87" s="19">
        <f t="shared" ref="BQ87:BQ93" si="53">_xlfn.NORM.S.DIST(BO87,1)-0.5</f>
        <v>-0.14938999458527846</v>
      </c>
      <c r="BR87" s="19">
        <f>_xlfn.NORM.S.DIST(BP87,1)-0.5</f>
        <v>0.25240812156371173</v>
      </c>
      <c r="BS87" s="19">
        <f>BR87-BQ87</f>
        <v>0.40179811614899019</v>
      </c>
      <c r="BT87" s="19">
        <f t="shared" si="51"/>
        <v>100.44952903724754</v>
      </c>
    </row>
    <row r="88" spans="50:79" x14ac:dyDescent="0.3">
      <c r="BN88">
        <v>4</v>
      </c>
      <c r="BO88" s="19">
        <f t="shared" si="52"/>
        <v>0.68208729011118008</v>
      </c>
      <c r="BP88" s="19">
        <f t="shared" si="50"/>
        <v>1.7478486809098992</v>
      </c>
      <c r="BQ88" s="19">
        <f t="shared" si="53"/>
        <v>0.25240812156371173</v>
      </c>
      <c r="BR88" s="19">
        <f t="shared" ref="BR86:BR92" si="54">_xlfn.NORM.S.DIST(BP88,1)-0.5</f>
        <v>0.45975488340472181</v>
      </c>
      <c r="BS88" s="19">
        <f t="shared" ref="BS87:BS93" si="55">BR88-BQ88</f>
        <v>0.20734676184101009</v>
      </c>
      <c r="BT88" s="19">
        <f t="shared" si="51"/>
        <v>51.83669046025252</v>
      </c>
    </row>
    <row r="89" spans="50:79" x14ac:dyDescent="0.3">
      <c r="BN89">
        <v>5</v>
      </c>
      <c r="BO89" s="19">
        <f t="shared" si="52"/>
        <v>1.7478486809098992</v>
      </c>
      <c r="BP89" t="s">
        <v>15</v>
      </c>
      <c r="BQ89" s="19">
        <f t="shared" si="53"/>
        <v>0.45975488340472181</v>
      </c>
      <c r="BR89" s="19">
        <v>0.5</v>
      </c>
      <c r="BS89" s="19">
        <f>BR89-BQ89</f>
        <v>4.0245116595278185E-2</v>
      </c>
      <c r="BT89" s="19">
        <f t="shared" si="51"/>
        <v>10.061279148819546</v>
      </c>
    </row>
    <row r="90" spans="50:79" x14ac:dyDescent="0.3">
      <c r="BN90" t="s">
        <v>68</v>
      </c>
      <c r="BO90" s="18"/>
      <c r="BQ90" s="18"/>
      <c r="BR90" s="18"/>
      <c r="BS90" s="19">
        <v>1</v>
      </c>
      <c r="BT90" s="19">
        <v>250</v>
      </c>
    </row>
    <row r="91" spans="50:79" x14ac:dyDescent="0.3">
      <c r="BO91" s="18"/>
      <c r="BQ91" s="18"/>
      <c r="BR91" s="18"/>
      <c r="BS91" s="21"/>
      <c r="BT91" s="21"/>
    </row>
    <row r="92" spans="50:79" x14ac:dyDescent="0.3">
      <c r="BO92" s="18"/>
      <c r="BQ92" s="18"/>
      <c r="BR92" s="18"/>
      <c r="BS92" s="21"/>
      <c r="BT92" s="21"/>
    </row>
    <row r="93" spans="50:79" x14ac:dyDescent="0.3">
      <c r="BN93" t="s">
        <v>129</v>
      </c>
    </row>
    <row r="94" spans="50:79" x14ac:dyDescent="0.3">
      <c r="BN94" t="s">
        <v>8</v>
      </c>
      <c r="BO94" t="s">
        <v>94</v>
      </c>
      <c r="BP94" t="s">
        <v>95</v>
      </c>
      <c r="BQ94" t="s">
        <v>96</v>
      </c>
      <c r="BR94" t="s">
        <v>130</v>
      </c>
      <c r="BS94" t="s">
        <v>131</v>
      </c>
      <c r="BT94" t="s">
        <v>132</v>
      </c>
      <c r="BU94" t="s">
        <v>133</v>
      </c>
    </row>
    <row r="95" spans="50:79" x14ac:dyDescent="0.3">
      <c r="BN95">
        <v>1</v>
      </c>
      <c r="BO95">
        <v>15</v>
      </c>
      <c r="BP95" s="19">
        <f>BT85</f>
        <v>18.402000392380575</v>
      </c>
      <c r="BQ95" s="19">
        <f>BO95-BP95</f>
        <v>-3.4020003923805753</v>
      </c>
      <c r="BR95" s="19">
        <f>POWER(BQ95,2)</f>
        <v>11.573606669757588</v>
      </c>
      <c r="BS95" s="19">
        <f>BR95/BP95</f>
        <v>0.62893198690234176</v>
      </c>
      <c r="BT95">
        <f>BO95*BO95</f>
        <v>225</v>
      </c>
      <c r="BU95" s="19">
        <f>BT95/BP95</f>
        <v>12.226931594521767</v>
      </c>
    </row>
    <row r="96" spans="50:79" x14ac:dyDescent="0.3">
      <c r="BN96">
        <v>2</v>
      </c>
      <c r="BO96">
        <v>75</v>
      </c>
      <c r="BP96" s="19">
        <f>BT86</f>
        <v>69.250500961299807</v>
      </c>
      <c r="BQ96" s="19">
        <f t="shared" ref="BQ96:BQ103" si="56">BO96-BP96</f>
        <v>5.7494990387001934</v>
      </c>
      <c r="BR96" s="19">
        <f t="shared" ref="BR96:BR103" si="57">POWER(BQ96,2)</f>
        <v>33.056739196014448</v>
      </c>
      <c r="BS96" s="19">
        <f t="shared" ref="BS96:BS103" si="58">BR96/BP96</f>
        <v>0.47735018140140228</v>
      </c>
      <c r="BT96">
        <f t="shared" ref="BT96:BT103" si="59">BO96*BO96</f>
        <v>5625</v>
      </c>
      <c r="BU96" s="19">
        <f t="shared" ref="BU96:BU103" si="60">BT96/BP96</f>
        <v>81.226849220101599</v>
      </c>
    </row>
    <row r="97" spans="66:73" x14ac:dyDescent="0.3">
      <c r="BN97">
        <v>3</v>
      </c>
      <c r="BO97">
        <v>100</v>
      </c>
      <c r="BP97" s="19">
        <f>BT87</f>
        <v>100.44952903724754</v>
      </c>
      <c r="BQ97" s="19">
        <f t="shared" si="56"/>
        <v>-0.44952903724754378</v>
      </c>
      <c r="BR97" s="19">
        <f t="shared" si="57"/>
        <v>0.20207635532870361</v>
      </c>
      <c r="BS97" s="22">
        <f>BR97/BP97</f>
        <v>2.0117202864512384E-3</v>
      </c>
      <c r="BT97">
        <f>BO97*BO97</f>
        <v>10000</v>
      </c>
      <c r="BU97" s="19">
        <f t="shared" si="60"/>
        <v>99.552482683038903</v>
      </c>
    </row>
    <row r="98" spans="66:73" x14ac:dyDescent="0.3">
      <c r="BN98">
        <v>4</v>
      </c>
      <c r="BO98">
        <v>50</v>
      </c>
      <c r="BP98" s="19">
        <f t="shared" ref="BP96:BP99" si="61">BT88</f>
        <v>51.83669046025252</v>
      </c>
      <c r="BQ98" s="19">
        <f t="shared" si="56"/>
        <v>-1.8366904602525196</v>
      </c>
      <c r="BR98" s="19">
        <f t="shared" si="57"/>
        <v>3.3734318467826121</v>
      </c>
      <c r="BS98" s="19">
        <f t="shared" si="58"/>
        <v>6.5078071474669111E-2</v>
      </c>
      <c r="BT98">
        <f t="shared" si="59"/>
        <v>2500</v>
      </c>
      <c r="BU98" s="19">
        <f>BT98/BP98</f>
        <v>48.228387611222146</v>
      </c>
    </row>
    <row r="99" spans="66:73" x14ac:dyDescent="0.3">
      <c r="BN99">
        <v>5</v>
      </c>
      <c r="BO99">
        <v>10</v>
      </c>
      <c r="BP99" s="19">
        <f>BT89</f>
        <v>10.061279148819546</v>
      </c>
      <c r="BQ99" s="19">
        <f t="shared" si="56"/>
        <v>-6.1279148819545881E-2</v>
      </c>
      <c r="BR99" s="23">
        <f>POWER(BQ99,2)</f>
        <v>3.7551340800480513E-3</v>
      </c>
      <c r="BS99" s="22">
        <f t="shared" si="58"/>
        <v>3.7322630895184219E-4</v>
      </c>
      <c r="BT99">
        <f t="shared" si="59"/>
        <v>100</v>
      </c>
      <c r="BU99" s="19">
        <f t="shared" si="60"/>
        <v>9.9390940774894059</v>
      </c>
    </row>
    <row r="100" spans="66:73" x14ac:dyDescent="0.3">
      <c r="BN100" s="28"/>
      <c r="BO100" s="28"/>
      <c r="BP100" s="18"/>
      <c r="BQ100" s="18"/>
      <c r="BR100" s="18"/>
      <c r="BS100" s="18"/>
      <c r="BT100" s="28"/>
      <c r="BU100" s="18"/>
    </row>
    <row r="101" spans="66:73" x14ac:dyDescent="0.3">
      <c r="BP101" s="18"/>
      <c r="BQ101" s="18"/>
      <c r="BR101" s="18"/>
      <c r="BS101" s="18"/>
      <c r="BU101" s="18"/>
    </row>
    <row r="102" spans="66:73" x14ac:dyDescent="0.3">
      <c r="BQ102" s="18"/>
      <c r="BR102" s="18"/>
      <c r="BS102" s="18"/>
      <c r="BU102" s="18"/>
    </row>
    <row r="103" spans="66:73" x14ac:dyDescent="0.3">
      <c r="BQ103" s="18"/>
      <c r="BR103" s="18"/>
      <c r="BS103" s="18"/>
      <c r="BU103" s="18"/>
    </row>
    <row r="104" spans="66:73" x14ac:dyDescent="0.3">
      <c r="BN104" t="s">
        <v>108</v>
      </c>
      <c r="BO104">
        <f>SUM(BO95:BO103)</f>
        <v>250</v>
      </c>
      <c r="BP104">
        <f>SUM(BP95:BP103)</f>
        <v>250</v>
      </c>
      <c r="BS104" s="23">
        <f>SUM(BS95:BS103)</f>
        <v>1.173745186373816</v>
      </c>
      <c r="BU104" s="23">
        <f>SUM(BU95:BU103)</f>
        <v>251.17374518637382</v>
      </c>
    </row>
    <row r="105" spans="66:73" x14ac:dyDescent="0.3">
      <c r="BS105" t="s">
        <v>134</v>
      </c>
    </row>
    <row r="106" spans="66:73" x14ac:dyDescent="0.3">
      <c r="BT106" t="s">
        <v>135</v>
      </c>
      <c r="BU106" s="18">
        <f>BU104-250</f>
        <v>1.1737451863738215</v>
      </c>
    </row>
  </sheetData>
  <pageMargins left="0.7" right="0.7" top="0.75" bottom="0.75" header="0.3" footer="0.3"/>
  <ignoredErrors>
    <ignoredError sqref="BQ42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Раевский</dc:creator>
  <cp:lastModifiedBy>Григорий Раевский</cp:lastModifiedBy>
  <cp:lastPrinted>2023-12-03T15:28:38Z</cp:lastPrinted>
  <dcterms:created xsi:type="dcterms:W3CDTF">2023-11-21T08:23:24Z</dcterms:created>
  <dcterms:modified xsi:type="dcterms:W3CDTF">2023-12-10T16:31:15Z</dcterms:modified>
</cp:coreProperties>
</file>