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evsky/Desktop/ITMO/2COURSE/2SEM/MathStat/tasks/task5/"/>
    </mc:Choice>
  </mc:AlternateContent>
  <xr:revisionPtr revIDLastSave="0" documentId="13_ncr:1_{869F4EA6-6E80-2E4C-AACA-E255B24A9679}" xr6:coauthVersionLast="47" xr6:coauthVersionMax="47" xr10:uidLastSave="{00000000-0000-0000-0000-000000000000}"/>
  <bookViews>
    <workbookView xWindow="0" yWindow="0" windowWidth="28800" windowHeight="18000" xr2:uid="{32CC6188-2725-4CF5-B55F-61B73774C570}"/>
  </bookViews>
  <sheets>
    <sheet name="Лист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1" l="1"/>
  <c r="F66" i="1"/>
  <c r="L98" i="1"/>
  <c r="L97" i="1"/>
  <c r="I99" i="1"/>
  <c r="I97" i="1"/>
  <c r="J94" i="1"/>
  <c r="K94" i="1"/>
  <c r="L94" i="1"/>
  <c r="M94" i="1"/>
  <c r="N94" i="1"/>
  <c r="I94" i="1"/>
  <c r="J93" i="1"/>
  <c r="K93" i="1"/>
  <c r="L93" i="1"/>
  <c r="M93" i="1"/>
  <c r="N93" i="1"/>
  <c r="I93" i="1"/>
  <c r="J92" i="1"/>
  <c r="K92" i="1"/>
  <c r="L92" i="1"/>
  <c r="M92" i="1"/>
  <c r="N92" i="1"/>
  <c r="I92" i="1"/>
  <c r="J91" i="1"/>
  <c r="K91" i="1"/>
  <c r="L91" i="1"/>
  <c r="M91" i="1"/>
  <c r="N91" i="1"/>
  <c r="I91" i="1"/>
  <c r="H82" i="1"/>
  <c r="N17" i="1"/>
  <c r="C89" i="1"/>
  <c r="B88" i="1"/>
  <c r="H84" i="1"/>
  <c r="H83" i="1"/>
  <c r="D84" i="1"/>
  <c r="C84" i="1"/>
  <c r="B84" i="1"/>
  <c r="D83" i="1"/>
  <c r="C83" i="1"/>
  <c r="B83" i="1"/>
  <c r="D82" i="1"/>
  <c r="C82" i="1"/>
  <c r="B82" i="1"/>
  <c r="C79" i="1"/>
  <c r="D79" i="1"/>
  <c r="E79" i="1"/>
  <c r="F79" i="1"/>
  <c r="G79" i="1"/>
  <c r="C78" i="1"/>
  <c r="D78" i="1"/>
  <c r="E78" i="1"/>
  <c r="F78" i="1"/>
  <c r="G78" i="1"/>
  <c r="C77" i="1"/>
  <c r="D77" i="1"/>
  <c r="E77" i="1"/>
  <c r="F77" i="1"/>
  <c r="G77" i="1"/>
  <c r="C76" i="1"/>
  <c r="D76" i="1"/>
  <c r="E76" i="1"/>
  <c r="F76" i="1"/>
  <c r="G76" i="1"/>
  <c r="C75" i="1"/>
  <c r="D75" i="1"/>
  <c r="E75" i="1"/>
  <c r="F75" i="1"/>
  <c r="G75" i="1"/>
  <c r="B79" i="1"/>
  <c r="B78" i="1"/>
  <c r="B77" i="1"/>
  <c r="B76" i="1"/>
  <c r="B75" i="1"/>
  <c r="E72" i="1"/>
  <c r="F61" i="1"/>
  <c r="F62" i="1"/>
  <c r="F63" i="1"/>
  <c r="F64" i="1"/>
  <c r="F65" i="1"/>
  <c r="F60" i="1"/>
  <c r="F53" i="1"/>
  <c r="F52" i="1"/>
  <c r="J37" i="1"/>
  <c r="I37" i="1"/>
  <c r="H37" i="1"/>
  <c r="H36" i="1"/>
  <c r="E39" i="1"/>
  <c r="E36" i="1"/>
  <c r="H33" i="1"/>
  <c r="H32" i="1"/>
  <c r="B36" i="1"/>
  <c r="C7" i="1"/>
  <c r="D7" i="1"/>
  <c r="E7" i="1"/>
  <c r="F7" i="1"/>
  <c r="G7" i="1"/>
  <c r="B7" i="1"/>
  <c r="E33" i="1"/>
  <c r="E32" i="1"/>
  <c r="B35" i="1"/>
  <c r="B34" i="1"/>
  <c r="B33" i="1"/>
  <c r="B32" i="1"/>
  <c r="C25" i="1" a="1"/>
  <c r="C25" i="1" s="1"/>
  <c r="AA33" i="1" s="1" a="1"/>
  <c r="D10" i="1" l="1"/>
  <c r="AF51" i="1"/>
  <c r="AB51" i="1"/>
  <c r="AC51" i="1"/>
  <c r="AD51" i="1"/>
  <c r="AE51" i="1"/>
  <c r="AA51" i="1"/>
  <c r="C21" i="1"/>
  <c r="C22" i="1"/>
  <c r="N18" i="1"/>
  <c r="D16" i="1"/>
  <c r="C10" i="1"/>
  <c r="AA37" i="1" l="1" a="1"/>
  <c r="AA37" i="1" s="1"/>
  <c r="J6" i="1"/>
  <c r="AB17" i="1"/>
  <c r="AC17" i="1"/>
  <c r="AD17" i="1"/>
  <c r="AE17" i="1"/>
  <c r="AF17" i="1"/>
  <c r="AA17" i="1"/>
  <c r="D11" i="1"/>
  <c r="AE18" i="1"/>
  <c r="AE21" i="1" s="1"/>
  <c r="AE22" i="1" s="1"/>
  <c r="D22" i="1"/>
  <c r="D21" i="1"/>
  <c r="D17" i="1"/>
  <c r="L11" i="1"/>
  <c r="L10" i="1"/>
  <c r="C5" i="1"/>
  <c r="D5" i="1"/>
  <c r="E5" i="1"/>
  <c r="F5" i="1"/>
  <c r="G5" i="1"/>
  <c r="B5" i="1"/>
  <c r="C11" i="1"/>
  <c r="C4" i="1"/>
  <c r="D4" i="1"/>
  <c r="E4" i="1"/>
  <c r="F4" i="1"/>
  <c r="G4" i="1"/>
  <c r="B4" i="1"/>
  <c r="AD18" i="1" l="1"/>
  <c r="AD21" i="1" s="1"/>
  <c r="AD22" i="1" s="1"/>
  <c r="AB18" i="1"/>
  <c r="AB21" i="1" s="1"/>
  <c r="AB22" i="1" s="1"/>
  <c r="AF18" i="1"/>
  <c r="AF21" i="1" s="1"/>
  <c r="AF22" i="1" s="1"/>
  <c r="AC18" i="1"/>
  <c r="AC21" i="1" s="1"/>
  <c r="AC22" i="1" s="1"/>
  <c r="AA18" i="1"/>
  <c r="AF37" i="1"/>
  <c r="AE37" i="1"/>
  <c r="AD37" i="1"/>
  <c r="AC37" i="1"/>
  <c r="AB37" i="1"/>
  <c r="D26" i="1"/>
  <c r="C26" i="1"/>
  <c r="D25" i="1"/>
  <c r="AA21" i="1" l="1"/>
  <c r="AA22" i="1" s="1"/>
  <c r="AA25" i="1" s="1"/>
  <c r="AA29" i="1" s="1"/>
  <c r="AA33" i="1" l="1"/>
  <c r="AB33" i="1"/>
  <c r="AB34" i="1"/>
  <c r="AA34" i="1"/>
  <c r="AA38" i="1" l="1"/>
  <c r="AC38" i="1"/>
  <c r="AB38" i="1"/>
  <c r="AF38" i="1"/>
  <c r="AE38" i="1"/>
  <c r="AD38" i="1"/>
  <c r="AB53" i="1" l="1"/>
  <c r="AB52" i="1"/>
  <c r="AD53" i="1"/>
  <c r="AD52" i="1"/>
  <c r="AE52" i="1"/>
  <c r="AE53" i="1"/>
  <c r="AF53" i="1"/>
  <c r="AF52" i="1"/>
  <c r="AC53" i="1"/>
  <c r="AC52" i="1"/>
  <c r="AA52" i="1"/>
  <c r="AA5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<sst xmlns="http://schemas.openxmlformats.org/spreadsheetml/2006/main" count="122" uniqueCount="99">
  <si>
    <t>Нужно</t>
  </si>
  <si>
    <t>2. Найти alpha_1</t>
  </si>
  <si>
    <t>1. Найти alpha_0</t>
  </si>
  <si>
    <t>3. Найти оценку фукнции регрессии</t>
  </si>
  <si>
    <t>4. Оценить точность оценок</t>
  </si>
  <si>
    <t>x измерены без ошибки, y_i с ошибкой eps_i</t>
  </si>
  <si>
    <t>y_i = alpha_0+alpha_1 * x_i + eps_i</t>
  </si>
  <si>
    <t>alpha ищутся с помощью МНК</t>
  </si>
  <si>
    <t>n</t>
  </si>
  <si>
    <t>Матрицы</t>
  </si>
  <si>
    <t>P</t>
  </si>
  <si>
    <t>x^2</t>
  </si>
  <si>
    <t>a</t>
  </si>
  <si>
    <t>&lt;- a_0</t>
  </si>
  <si>
    <t>&lt;- a_1</t>
  </si>
  <si>
    <t>b</t>
  </si>
  <si>
    <t>x*y</t>
  </si>
  <si>
    <t>y</t>
  </si>
  <si>
    <t>x</t>
  </si>
  <si>
    <t>detP</t>
  </si>
  <si>
    <t>1/detP</t>
  </si>
  <si>
    <t>ДопP</t>
  </si>
  <si>
    <t>форм</t>
  </si>
  <si>
    <t>P^{-1}</t>
  </si>
  <si>
    <t>Оценки</t>
  </si>
  <si>
    <t>a_0</t>
  </si>
  <si>
    <t>a_1</t>
  </si>
  <si>
    <t>Оценка ф регрессии</t>
  </si>
  <si>
    <t>\over{y}</t>
  </si>
  <si>
    <t>S_min</t>
  </si>
  <si>
    <t>Y-\over{y}</t>
  </si>
  <si>
    <t>(Y-\over{y})^{2}</t>
  </si>
  <si>
    <t xml:space="preserve">m </t>
  </si>
  <si>
    <t>r</t>
  </si>
  <si>
    <t>sigma^2</t>
  </si>
  <si>
    <t>\Over{K}</t>
  </si>
  <si>
    <t>Оценка дисперсии оценкци функции регрессии</t>
  </si>
  <si>
    <t>x_i</t>
  </si>
  <si>
    <t>вар</t>
  </si>
  <si>
    <t>(в формуле в методе опечатка в расчете определи</t>
  </si>
  <si>
    <t>теля)</t>
  </si>
  <si>
    <t>несм оценка дисперсии измерений Y_i</t>
  </si>
  <si>
    <t>Доверительные интервалы для оценивания a_0 и a_1</t>
  </si>
  <si>
    <t>\over a_0</t>
  </si>
  <si>
    <t>\over a_1</t>
  </si>
  <si>
    <t>Крит точка студента</t>
  </si>
  <si>
    <t>alpha=0.95</t>
  </si>
  <si>
    <t>r=6-m=4</t>
  </si>
  <si>
    <t>21,044-0,0195 &lt; a_0 &lt; 21,044+0,0195</t>
  </si>
  <si>
    <t>21,025 &lt; a_0 &lt; 21,063</t>
  </si>
  <si>
    <t>-10,887 &lt; a_1 &lt; 7,145</t>
  </si>
  <si>
    <t>Доверительный интервал для функции регрессии</t>
  </si>
  <si>
    <t>\over sigma^2_1(x)</t>
  </si>
  <si>
    <t>\ov{y}-\gamma\sigma(y)</t>
  </si>
  <si>
    <t>\ov{y}+\gamma\sigma(y)</t>
  </si>
  <si>
    <t>21,044-2,78*sqrt{3,243}</t>
  </si>
  <si>
    <t>&lt; a_0 &lt;</t>
  </si>
  <si>
    <t>21,044+2,78*sqrt{3,243}</t>
  </si>
  <si>
    <t>-1,871-2,78*sqrt{0,007}</t>
  </si>
  <si>
    <t>&lt; a_1 &lt;</t>
  </si>
  <si>
    <t>-1,871+2,78*sqrt{0,007}</t>
  </si>
  <si>
    <t>over{y]</t>
  </si>
  <si>
    <t>over{x}</t>
  </si>
  <si>
    <t>over{xy}</t>
  </si>
  <si>
    <t>over{x^2}</t>
  </si>
  <si>
    <t>S^2_x</t>
  </si>
  <si>
    <t>s_x</t>
  </si>
  <si>
    <t>S^2_y</t>
  </si>
  <si>
    <t>y*y</t>
  </si>
  <si>
    <t>over{y^2}</t>
  </si>
  <si>
    <t>s_y</t>
  </si>
  <si>
    <t>l_xy</t>
  </si>
  <si>
    <t>11,1=a_0+a_1*5</t>
  </si>
  <si>
    <t>0.5=a_0+a_1*12</t>
  </si>
  <si>
    <t>-14.9=a_0+a_1*18</t>
  </si>
  <si>
    <t>\-20,2=a_0+a_1*23</t>
  </si>
  <si>
    <t>-32.8=a_0+a_1*28</t>
  </si>
  <si>
    <t>-42=a_0+a_1*34</t>
  </si>
  <si>
    <t>Для первой функции</t>
  </si>
  <si>
    <t>-3,3=3a_0+a_1*35</t>
  </si>
  <si>
    <t>-95=3a_0+a_1*85</t>
  </si>
  <si>
    <t>y=20,297-1.834x</t>
  </si>
  <si>
    <t>3 параметра</t>
  </si>
  <si>
    <t>x^3</t>
  </si>
  <si>
    <t>x^4</t>
  </si>
  <si>
    <t>x^2*y</t>
  </si>
  <si>
    <t>b=</t>
  </si>
  <si>
    <t>P-1</t>
  </si>
  <si>
    <t>y теор</t>
  </si>
  <si>
    <t>delta</t>
  </si>
  <si>
    <t>delta^2</t>
  </si>
  <si>
    <t>smin</t>
  </si>
  <si>
    <t>Фишера</t>
  </si>
  <si>
    <t>Fкр =</t>
  </si>
  <si>
    <t>r1</t>
  </si>
  <si>
    <t>r2</t>
  </si>
  <si>
    <t>k</t>
  </si>
  <si>
    <t>m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</si>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</sst>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Лист1!$B$46:$G$46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Лист1!$B$47:$G$47</c:f>
              <c:numCache>
                <c:formatCode>General</c:formatCode>
                <c:ptCount val="6"/>
                <c:pt idx="0">
                  <c:v>11.1</c:v>
                </c:pt>
                <c:pt idx="1">
                  <c:v>0.5</c:v>
                </c:pt>
                <c:pt idx="2">
                  <c:v>-14.9</c:v>
                </c:pt>
                <c:pt idx="3">
                  <c:v>-20.2</c:v>
                </c:pt>
                <c:pt idx="4">
                  <c:v>-32.799999999999997</c:v>
                </c:pt>
                <c:pt idx="5">
                  <c:v>-42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96-C542-B57B-C3F5ADF62554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Лист1!$E$60:$E$67</c:f>
              <c:numCache>
                <c:formatCode>General</c:formatCode>
                <c:ptCount val="8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23</c:v>
                </c:pt>
                <c:pt idx="6">
                  <c:v>28</c:v>
                </c:pt>
                <c:pt idx="7">
                  <c:v>34</c:v>
                </c:pt>
              </c:numCache>
            </c:numRef>
          </c:xVal>
          <c:yVal>
            <c:numRef>
              <c:f>Лист1!$F$60:$F$67</c:f>
              <c:numCache>
                <c:formatCode>General</c:formatCode>
                <c:ptCount val="8"/>
                <c:pt idx="0">
                  <c:v>11.127000000000001</c:v>
                </c:pt>
                <c:pt idx="1">
                  <c:v>-1.7110000000000021</c:v>
                </c:pt>
                <c:pt idx="2">
                  <c:v>-12.715</c:v>
                </c:pt>
                <c:pt idx="3">
                  <c:v>-21.885000000000002</c:v>
                </c:pt>
                <c:pt idx="4">
                  <c:v>-31.055000000000003</c:v>
                </c:pt>
                <c:pt idx="5">
                  <c:v>-21.885000000000002</c:v>
                </c:pt>
                <c:pt idx="6">
                  <c:v>-31.055000000000003</c:v>
                </c:pt>
                <c:pt idx="7">
                  <c:v>-42.058999999999997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96-C542-B57B-C3F5ADF62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872720"/>
        <c:axId val="695291152"/>
      </c:scatterChart>
      <c:valAx>
        <c:axId val="97587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5291152"/>
        <c:crosses val="autoZero"/>
        <c:crossBetween val="midCat"/>
      </c:valAx>
      <c:valAx>
        <c:axId val="69529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87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Лист1!$B$46:$G$46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Лист1!$B$47:$G$47</c:f>
              <c:numCache>
                <c:formatCode>General</c:formatCode>
                <c:ptCount val="6"/>
                <c:pt idx="0">
                  <c:v>11.1</c:v>
                </c:pt>
                <c:pt idx="1">
                  <c:v>0.5</c:v>
                </c:pt>
                <c:pt idx="2">
                  <c:v>-14.9</c:v>
                </c:pt>
                <c:pt idx="3">
                  <c:v>-20.2</c:v>
                </c:pt>
                <c:pt idx="4">
                  <c:v>-32.799999999999997</c:v>
                </c:pt>
                <c:pt idx="5">
                  <c:v>-42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13-5648-ACB7-CE6892236B57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Лист1!$B$73:$G$73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Лист1!$I$92:$N$92</c:f>
              <c:numCache>
                <c:formatCode>General</c:formatCode>
                <c:ptCount val="6"/>
                <c:pt idx="0">
                  <c:v>11.737850000000002</c:v>
                </c:pt>
                <c:pt idx="1">
                  <c:v>-1.4265039999999973</c:v>
                </c:pt>
                <c:pt idx="2">
                  <c:v>-12.676383999999993</c:v>
                </c:pt>
                <c:pt idx="3">
                  <c:v>-22.027413999999997</c:v>
                </c:pt>
                <c:pt idx="4">
                  <c:v>-31.356743999999996</c:v>
                </c:pt>
                <c:pt idx="5">
                  <c:v>-42.523295999999995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13-5648-ACB7-CE6892236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872720"/>
        <c:axId val="695291152"/>
      </c:scatterChart>
      <c:valAx>
        <c:axId val="97587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95291152"/>
        <c:crosses val="autoZero"/>
        <c:crossBetween val="midCat"/>
      </c:valAx>
      <c:valAx>
        <c:axId val="69529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587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spc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доверительного интервала</a:t>
            </a:r>
          </a:p>
        </c:rich>
      </c:tx>
      <c:overlay val="0"/>
      <c:spPr>
        <a:prstGeom prst="rect">
          <a:avLst/>
        </a:prstGeom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prstGeom prst="rect">
              <a:avLst/>
            </a:prstGeom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prstGeom prst="rect">
                <a:avLst/>
              </a:prstGeom>
              <a:solidFill>
                <a:schemeClr val="accent1"/>
              </a:solidFill>
              <a:ln w="9525">
                <a:solidFill>
                  <a:schemeClr val="accent1"/>
                </a:solidFill>
              </a:ln>
            </c:spPr>
          </c:marker>
          <c:xVal>
            <c:numRef>
              <c:f>[1]Лист1!$AA$51:$AF$51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[1]Лист1!$AA$52:$AF$52</c:f>
              <c:numCache>
                <c:formatCode>General</c:formatCode>
                <c:ptCount val="6"/>
                <c:pt idx="0">
                  <c:v>7.6647607229927202</c:v>
                </c:pt>
                <c:pt idx="1">
                  <c:v>-4.2417189059098126</c:v>
                </c:pt>
                <c:pt idx="2">
                  <c:v>-14.867358475904695</c:v>
                </c:pt>
                <c:pt idx="3">
                  <c:v>-24.280406841170681</c:v>
                </c:pt>
                <c:pt idx="4">
                  <c:v>-34.18335591658596</c:v>
                </c:pt>
                <c:pt idx="5">
                  <c:v>-46.417073439862996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EF-D440-8A53-CBAFEE12CA25}"/>
            </c:ext>
          </c:extLst>
        </c:ser>
        <c:ser>
          <c:idx val="1"/>
          <c:order val="1"/>
          <c:spPr>
            <a:prstGeom prst="rect">
              <a:avLst/>
            </a:prstGeom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prstGeom prst="rect">
                <a:avLst/>
              </a:prstGeom>
              <a:solidFill>
                <a:schemeClr val="accent2"/>
              </a:solidFill>
              <a:ln w="9525">
                <a:solidFill>
                  <a:schemeClr val="accent2"/>
                </a:solidFill>
              </a:ln>
            </c:spPr>
          </c:marker>
          <c:xVal>
            <c:numRef>
              <c:f>[1]Лист1!$AA$51:$AF$51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[1]Лист1!$AA$53:$AF$53</c:f>
              <c:numCache>
                <c:formatCode>General</c:formatCode>
                <c:ptCount val="6"/>
                <c:pt idx="0">
                  <c:v>15.70914200535843</c:v>
                </c:pt>
                <c:pt idx="1">
                  <c:v>1.4166892499193358</c:v>
                </c:pt>
                <c:pt idx="2">
                  <c:v>-10.413898938092885</c:v>
                </c:pt>
                <c:pt idx="3">
                  <c:v>-19.714373704499501</c:v>
                </c:pt>
                <c:pt idx="4">
                  <c:v>-28.52494776075681</c:v>
                </c:pt>
                <c:pt idx="5">
                  <c:v>-38.747457995486876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EF-D440-8A53-CBAFEE12CA25}"/>
            </c:ext>
          </c:extLst>
        </c:ser>
        <c:ser>
          <c:idx val="2"/>
          <c:order val="2"/>
          <c:spPr>
            <a:prstGeom prst="rect">
              <a:avLst/>
            </a:prstGeom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prstGeom prst="rect">
                <a:avLst/>
              </a:prstGeom>
              <a:solidFill>
                <a:schemeClr val="accent3"/>
              </a:solidFill>
              <a:ln w="9525">
                <a:solidFill>
                  <a:schemeClr val="accent3"/>
                </a:solidFill>
              </a:ln>
            </c:spPr>
          </c:marker>
          <c:xVal>
            <c:numRef>
              <c:f>[1]Лист1!$AA$51:$AF$51</c:f>
              <c:numCache>
                <c:formatCode>General</c:formatCode>
                <c:ptCount val="6"/>
                <c:pt idx="0">
                  <c:v>5</c:v>
                </c:pt>
                <c:pt idx="1">
                  <c:v>12</c:v>
                </c:pt>
                <c:pt idx="2">
                  <c:v>18</c:v>
                </c:pt>
                <c:pt idx="3">
                  <c:v>23</c:v>
                </c:pt>
                <c:pt idx="4">
                  <c:v>28</c:v>
                </c:pt>
                <c:pt idx="5">
                  <c:v>34</c:v>
                </c:pt>
              </c:numCache>
            </c:numRef>
          </c:xVal>
          <c:yVal>
            <c:numRef>
              <c:f>[1]Лист1!$AA$54:$AF$54</c:f>
              <c:numCache>
                <c:formatCode>General</c:formatCode>
                <c:ptCount val="6"/>
                <c:pt idx="0">
                  <c:v>11.686951364175576</c:v>
                </c:pt>
                <c:pt idx="1">
                  <c:v>-1.4125148279952384</c:v>
                </c:pt>
                <c:pt idx="2">
                  <c:v>-12.64062870699879</c:v>
                </c:pt>
                <c:pt idx="3">
                  <c:v>-21.997390272835091</c:v>
                </c:pt>
                <c:pt idx="4">
                  <c:v>-31.354151838671385</c:v>
                </c:pt>
                <c:pt idx="5">
                  <c:v>-42.582265717674936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0EF-D440-8A53-CBAFEE12C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417039"/>
        <c:axId val="307439119"/>
      </c:scatterChart>
      <c:valAx>
        <c:axId val="307417039"/>
        <c:scaling>
          <c:orientation val="minMax"/>
        </c:scaling>
        <c:delete val="0"/>
        <c:axPos val="b"/>
        <c:majorGridlines>
          <c:spPr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439119"/>
        <c:crosses val="autoZero"/>
        <c:crossBetween val="midCat"/>
      </c:valAx>
      <c:valAx>
        <c:axId val="307439119"/>
        <c:scaling>
          <c:orientation val="minMax"/>
        </c:scaling>
        <c:delete val="0"/>
        <c:axPos val="l"/>
        <c:majorGridlines>
          <c:spPr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7417039"/>
        <c:crosses val="autoZero"/>
        <c:crossBetween val="midCat"/>
      </c:valAx>
      <c:spPr>
        <a:prstGeom prst="rect">
          <a:avLst/>
        </a:prstGeom>
        <a:noFill/>
        <a:ln>
          <a:noFill/>
        </a:ln>
        <a:effectLst/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xfrm>
      <a:off x="0" y="0"/>
      <a:ext cx="0" cy="0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44</xdr:row>
      <xdr:rowOff>133350</xdr:rowOff>
    </xdr:from>
    <xdr:to>
      <xdr:col>13</xdr:col>
      <xdr:colOff>577850</xdr:colOff>
      <xdr:row>59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6BB8411-4B36-464E-AEB8-3E495D5655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93</xdr:row>
      <xdr:rowOff>0</xdr:rowOff>
    </xdr:from>
    <xdr:to>
      <xdr:col>21</xdr:col>
      <xdr:colOff>520700</xdr:colOff>
      <xdr:row>107</xdr:row>
      <xdr:rowOff>76200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AF404B17-7871-8248-8916-C753AA368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1016000</xdr:colOff>
      <xdr:row>58</xdr:row>
      <xdr:rowOff>177800</xdr:rowOff>
    </xdr:from>
    <xdr:to>
      <xdr:col>30</xdr:col>
      <xdr:colOff>868680</xdr:colOff>
      <xdr:row>73</xdr:row>
      <xdr:rowOff>177800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3D8E599-2A28-C241-BF52-CE5A880BAD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aevsky/Downloads/data_n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51">
          <cell r="AA51">
            <v>5</v>
          </cell>
          <cell r="AB51">
            <v>12</v>
          </cell>
          <cell r="AC51">
            <v>18</v>
          </cell>
          <cell r="AD51">
            <v>23</v>
          </cell>
          <cell r="AE51">
            <v>28</v>
          </cell>
          <cell r="AF51">
            <v>34</v>
          </cell>
        </row>
        <row r="52">
          <cell r="AA52">
            <v>7.6647607229927202</v>
          </cell>
          <cell r="AB52">
            <v>-4.2417189059098126</v>
          </cell>
          <cell r="AC52">
            <v>-14.867358475904695</v>
          </cell>
          <cell r="AD52">
            <v>-24.280406841170681</v>
          </cell>
          <cell r="AE52">
            <v>-34.18335591658596</v>
          </cell>
          <cell r="AF52">
            <v>-46.417073439862996</v>
          </cell>
        </row>
        <row r="53">
          <cell r="AA53">
            <v>15.70914200535843</v>
          </cell>
          <cell r="AB53">
            <v>1.4166892499193358</v>
          </cell>
          <cell r="AC53">
            <v>-10.413898938092885</v>
          </cell>
          <cell r="AD53">
            <v>-19.714373704499501</v>
          </cell>
          <cell r="AE53">
            <v>-28.52494776075681</v>
          </cell>
          <cell r="AF53">
            <v>-38.747457995486876</v>
          </cell>
        </row>
        <row r="54">
          <cell r="AA54">
            <v>11.686951364175576</v>
          </cell>
          <cell r="AB54">
            <v>-1.4125148279952384</v>
          </cell>
          <cell r="AC54">
            <v>-12.64062870699879</v>
          </cell>
          <cell r="AD54">
            <v>-21.997390272835091</v>
          </cell>
          <cell r="AE54">
            <v>-31.354151838671385</v>
          </cell>
          <cell r="AF54">
            <v>-42.582265717674936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C99B-EDBB-481C-8A26-B6D3FDF71907}">
  <dimension ref="A1:AI102"/>
  <sheetViews>
    <sheetView tabSelected="1" topLeftCell="Q53" zoomScale="130" zoomScaleNormal="130" workbookViewId="0">
      <selection activeCell="J99" sqref="J99"/>
    </sheetView>
  </sheetViews>
  <sheetFormatPr baseColWidth="10" defaultColWidth="8.83203125" defaultRowHeight="15" x14ac:dyDescent="0.2"/>
  <cols>
    <col min="2" max="2" width="11.83203125" bestFit="1" customWidth="1"/>
    <col min="3" max="3" width="9.5" bestFit="1" customWidth="1"/>
    <col min="4" max="4" width="12.1640625" bestFit="1" customWidth="1"/>
    <col min="11" max="11" width="12" bestFit="1" customWidth="1"/>
    <col min="14" max="14" width="13.5" bestFit="1" customWidth="1"/>
    <col min="18" max="18" width="14.6640625" customWidth="1"/>
    <col min="19" max="19" width="12" bestFit="1" customWidth="1"/>
    <col min="26" max="26" width="21.33203125" customWidth="1"/>
    <col min="27" max="27" width="13" bestFit="1" customWidth="1"/>
    <col min="28" max="28" width="11.5" bestFit="1" customWidth="1"/>
    <col min="29" max="29" width="9.6640625" customWidth="1"/>
    <col min="30" max="32" width="12.5" bestFit="1" customWidth="1"/>
  </cols>
  <sheetData>
    <row r="1" spans="1:35" x14ac:dyDescent="0.2">
      <c r="A1" t="s">
        <v>38</v>
      </c>
      <c r="B1">
        <v>93</v>
      </c>
    </row>
    <row r="2" spans="1:35" x14ac:dyDescent="0.2">
      <c r="A2" t="s">
        <v>18</v>
      </c>
      <c r="B2">
        <v>5</v>
      </c>
      <c r="C2">
        <v>12</v>
      </c>
      <c r="D2">
        <v>18</v>
      </c>
      <c r="E2">
        <v>23</v>
      </c>
      <c r="F2">
        <v>28</v>
      </c>
      <c r="G2">
        <v>34</v>
      </c>
      <c r="I2" t="s">
        <v>32</v>
      </c>
      <c r="J2">
        <v>2</v>
      </c>
      <c r="L2" t="s">
        <v>0</v>
      </c>
      <c r="S2" t="s">
        <v>5</v>
      </c>
    </row>
    <row r="3" spans="1:35" x14ac:dyDescent="0.2">
      <c r="A3" t="s">
        <v>17</v>
      </c>
      <c r="B3">
        <v>11.1</v>
      </c>
      <c r="C3">
        <v>0.5</v>
      </c>
      <c r="D3">
        <v>-14.9</v>
      </c>
      <c r="E3">
        <v>-20.2</v>
      </c>
      <c r="F3">
        <v>-32.799999999999997</v>
      </c>
      <c r="G3">
        <v>-42</v>
      </c>
      <c r="L3" t="s">
        <v>2</v>
      </c>
      <c r="S3" t="s">
        <v>6</v>
      </c>
    </row>
    <row r="4" spans="1:35" x14ac:dyDescent="0.2">
      <c r="A4" t="s">
        <v>11</v>
      </c>
      <c r="B4">
        <f>B2*B2</f>
        <v>25</v>
      </c>
      <c r="C4">
        <f t="shared" ref="C4:G4" si="0">C2*C2</f>
        <v>144</v>
      </c>
      <c r="D4">
        <f t="shared" si="0"/>
        <v>324</v>
      </c>
      <c r="E4">
        <f t="shared" si="0"/>
        <v>529</v>
      </c>
      <c r="F4">
        <f t="shared" si="0"/>
        <v>784</v>
      </c>
      <c r="G4">
        <f t="shared" si="0"/>
        <v>1156</v>
      </c>
      <c r="L4" t="s">
        <v>1</v>
      </c>
      <c r="S4" t="s">
        <v>7</v>
      </c>
    </row>
    <row r="5" spans="1:35" x14ac:dyDescent="0.2">
      <c r="A5" t="s">
        <v>16</v>
      </c>
      <c r="B5">
        <f>B2*B3</f>
        <v>55.5</v>
      </c>
      <c r="C5">
        <f t="shared" ref="C5:G5" si="1">C2*C3</f>
        <v>6</v>
      </c>
      <c r="D5">
        <f t="shared" si="1"/>
        <v>-268.2</v>
      </c>
      <c r="E5">
        <f t="shared" si="1"/>
        <v>-464.59999999999997</v>
      </c>
      <c r="F5">
        <f t="shared" si="1"/>
        <v>-918.39999999999986</v>
      </c>
      <c r="G5">
        <f t="shared" si="1"/>
        <v>-1428</v>
      </c>
      <c r="L5" t="s">
        <v>3</v>
      </c>
    </row>
    <row r="6" spans="1:35" x14ac:dyDescent="0.2">
      <c r="A6" t="s">
        <v>8</v>
      </c>
      <c r="B6">
        <v>6</v>
      </c>
      <c r="I6" t="s">
        <v>33</v>
      </c>
      <c r="J6">
        <f>B6-J2</f>
        <v>4</v>
      </c>
      <c r="L6" t="s">
        <v>4</v>
      </c>
    </row>
    <row r="7" spans="1:35" x14ac:dyDescent="0.2">
      <c r="A7" t="s">
        <v>68</v>
      </c>
      <c r="B7">
        <f>B3*B3</f>
        <v>123.21</v>
      </c>
      <c r="C7">
        <f t="shared" ref="C7:G7" si="2">C3*C3</f>
        <v>0.25</v>
      </c>
      <c r="D7">
        <f t="shared" si="2"/>
        <v>222.01000000000002</v>
      </c>
      <c r="E7">
        <f t="shared" si="2"/>
        <v>408.03999999999996</v>
      </c>
      <c r="F7">
        <f t="shared" si="2"/>
        <v>1075.8399999999999</v>
      </c>
      <c r="G7">
        <f t="shared" si="2"/>
        <v>1764</v>
      </c>
    </row>
    <row r="10" spans="1:35" x14ac:dyDescent="0.2">
      <c r="A10" t="s">
        <v>9</v>
      </c>
      <c r="B10" t="s">
        <v>10</v>
      </c>
      <c r="C10">
        <f>B6</f>
        <v>6</v>
      </c>
      <c r="D10">
        <f>SUM(B2:G2)</f>
        <v>120</v>
      </c>
      <c r="G10" t="s">
        <v>12</v>
      </c>
      <c r="I10" t="s">
        <v>13</v>
      </c>
      <c r="K10" t="s">
        <v>15</v>
      </c>
      <c r="L10">
        <f>SUM(B3:G3)</f>
        <v>-98.3</v>
      </c>
    </row>
    <row r="11" spans="1:35" x14ac:dyDescent="0.2">
      <c r="C11">
        <f>SUM(B2:G2)</f>
        <v>120</v>
      </c>
      <c r="D11">
        <f>SUM(B4:G4)</f>
        <v>2962</v>
      </c>
      <c r="I11" t="s">
        <v>14</v>
      </c>
      <c r="L11">
        <f>SUM(B5:G5)</f>
        <v>-3017.7</v>
      </c>
    </row>
    <row r="14" spans="1:35" x14ac:dyDescent="0.2"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">
      <c r="D15" t="s">
        <v>22</v>
      </c>
      <c r="E15" t="s">
        <v>39</v>
      </c>
      <c r="M15" t="s">
        <v>22</v>
      </c>
      <c r="Y15" s="2"/>
      <c r="Z15" s="2" t="s">
        <v>22</v>
      </c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">
      <c r="B16" t="s">
        <v>19</v>
      </c>
      <c r="D16">
        <f>B6*SUM(B4:G4)-SUM(B2:G2)*SUM(B2:G2)</f>
        <v>3372</v>
      </c>
      <c r="E16" t="s">
        <v>40</v>
      </c>
      <c r="M16" t="s">
        <v>24</v>
      </c>
      <c r="Y16" s="2"/>
      <c r="Z16" s="2" t="s">
        <v>27</v>
      </c>
      <c r="AA16" s="2"/>
      <c r="AB16" s="2"/>
      <c r="AC16" s="2"/>
      <c r="AD16" s="2"/>
      <c r="AE16" s="2"/>
      <c r="AF16" s="2"/>
      <c r="AG16" s="2"/>
      <c r="AH16" s="2"/>
      <c r="AI16" s="2"/>
    </row>
    <row r="17" spans="1:35" x14ac:dyDescent="0.2">
      <c r="B17" t="s">
        <v>20</v>
      </c>
      <c r="D17">
        <f>1/D16</f>
        <v>2.9655990510083039E-4</v>
      </c>
      <c r="M17" t="s">
        <v>43</v>
      </c>
      <c r="N17" s="1">
        <f>(SUM(B4:G4)*SUM(B3:G3)-(SUM(B2:G2)*SUM(B5:G5)))*D17</f>
        <v>21.043712930011871</v>
      </c>
      <c r="Y17" s="2"/>
      <c r="Z17" s="2" t="s">
        <v>18</v>
      </c>
      <c r="AA17" s="2">
        <f>B2</f>
        <v>5</v>
      </c>
      <c r="AB17" s="2">
        <f t="shared" ref="AB17:AF17" si="3">C2</f>
        <v>12</v>
      </c>
      <c r="AC17" s="2">
        <f t="shared" si="3"/>
        <v>18</v>
      </c>
      <c r="AD17" s="2">
        <f t="shared" si="3"/>
        <v>23</v>
      </c>
      <c r="AE17" s="2">
        <f t="shared" si="3"/>
        <v>28</v>
      </c>
      <c r="AF17" s="2">
        <f t="shared" si="3"/>
        <v>34</v>
      </c>
      <c r="AG17" s="2"/>
      <c r="AH17" s="2"/>
      <c r="AI17" s="2"/>
    </row>
    <row r="18" spans="1:35" x14ac:dyDescent="0.2">
      <c r="M18" t="s">
        <v>44</v>
      </c>
      <c r="N18" s="1">
        <f>(B6*SUM(B5:G5)-SUM(B2:G2)*SUM(B3:G3))*D17</f>
        <v>-1.8713523131672591</v>
      </c>
      <c r="Y18" s="2"/>
      <c r="Z18" s="2" t="s">
        <v>28</v>
      </c>
      <c r="AA18" s="3">
        <f>$N$17+$N$18*AA17</f>
        <v>11.686951364175576</v>
      </c>
      <c r="AB18" s="3">
        <f t="shared" ref="AB18:AF18" si="4">$N$17+$N$18*AB17</f>
        <v>-1.4125148279952384</v>
      </c>
      <c r="AC18" s="3">
        <f t="shared" si="4"/>
        <v>-12.64062870699879</v>
      </c>
      <c r="AD18" s="3">
        <f t="shared" si="4"/>
        <v>-21.997390272835091</v>
      </c>
      <c r="AE18" s="3">
        <f t="shared" si="4"/>
        <v>-31.354151838671385</v>
      </c>
      <c r="AF18" s="3">
        <f t="shared" si="4"/>
        <v>-42.582265717674936</v>
      </c>
      <c r="AG18" s="2"/>
      <c r="AH18" s="2"/>
      <c r="AI18" s="2"/>
    </row>
    <row r="19" spans="1:35" x14ac:dyDescent="0.2"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"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">
      <c r="B21" t="s">
        <v>21</v>
      </c>
      <c r="C21">
        <f>SUM(B4:G4)</f>
        <v>2962</v>
      </c>
      <c r="D21">
        <f>-SUM(B2:G2)</f>
        <v>-120</v>
      </c>
      <c r="Y21" s="2"/>
      <c r="Z21" s="2" t="s">
        <v>30</v>
      </c>
      <c r="AA21" s="3">
        <f>B3-AA18</f>
        <v>-0.58695136417557592</v>
      </c>
      <c r="AB21" s="3">
        <f t="shared" ref="AB21:AF21" si="5">C3-AB18</f>
        <v>1.9125148279952384</v>
      </c>
      <c r="AC21" s="3">
        <f t="shared" si="5"/>
        <v>-2.2593712930012106</v>
      </c>
      <c r="AD21" s="3">
        <f t="shared" si="5"/>
        <v>1.7973902728350915</v>
      </c>
      <c r="AE21" s="3">
        <f t="shared" si="5"/>
        <v>-1.4458481613286125</v>
      </c>
      <c r="AF21" s="3">
        <f t="shared" si="5"/>
        <v>0.58226571767493596</v>
      </c>
      <c r="AG21" s="3"/>
      <c r="AH21" s="2"/>
      <c r="AI21" s="2"/>
    </row>
    <row r="22" spans="1:35" x14ac:dyDescent="0.2">
      <c r="C22">
        <f>-SUM(B2:G2)</f>
        <v>-120</v>
      </c>
      <c r="D22">
        <f>B6</f>
        <v>6</v>
      </c>
      <c r="Y22" s="2"/>
      <c r="Z22" s="2" t="s">
        <v>31</v>
      </c>
      <c r="AA22" s="3">
        <f>AA21*AA21</f>
        <v>0.34451190390756953</v>
      </c>
      <c r="AB22" s="3">
        <f t="shared" ref="AB22:AF22" si="6">AB21*AB21</f>
        <v>3.6577129673016562</v>
      </c>
      <c r="AC22" s="3">
        <f t="shared" si="6"/>
        <v>5.1047586396379625</v>
      </c>
      <c r="AD22" s="3">
        <f t="shared" si="6"/>
        <v>3.2306117928822045</v>
      </c>
      <c r="AE22" s="3">
        <f t="shared" si="6"/>
        <v>2.0904769056173294</v>
      </c>
      <c r="AF22" s="3">
        <f t="shared" si="6"/>
        <v>0.33903336597950823</v>
      </c>
      <c r="AG22" s="3"/>
      <c r="AH22" s="2"/>
      <c r="AI22" s="2"/>
    </row>
    <row r="23" spans="1:35" x14ac:dyDescent="0.2"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">
      <c r="B24" t="s">
        <v>22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">
      <c r="B25" t="s">
        <v>23</v>
      </c>
      <c r="C25" s="1" cm="1">
        <f t="array" ref="C25:D26">C21:D22*D17</f>
        <v>0.87841043890865966</v>
      </c>
      <c r="D25" s="1">
        <v>-3.5587188612099648E-2</v>
      </c>
      <c r="Y25" s="2"/>
      <c r="Z25" s="2" t="s">
        <v>29</v>
      </c>
      <c r="AA25" s="3">
        <f>SUM(AA22:AF22)</f>
        <v>14.76710557532623</v>
      </c>
      <c r="AB25" s="2"/>
      <c r="AC25" s="2"/>
      <c r="AD25" s="2"/>
      <c r="AE25" s="2"/>
      <c r="AF25" s="2"/>
      <c r="AG25" s="2"/>
      <c r="AH25" s="2"/>
      <c r="AI25" s="2"/>
    </row>
    <row r="26" spans="1:35" x14ac:dyDescent="0.2">
      <c r="C26" s="1">
        <v>-3.5587188612099648E-2</v>
      </c>
      <c r="D26" s="1">
        <v>1.7793594306049823E-3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">
      <c r="Q27" s="2"/>
      <c r="R27" s="2"/>
      <c r="S27" s="2"/>
      <c r="T27" s="2"/>
      <c r="U27" s="2"/>
      <c r="V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">
      <c r="Q28" s="2"/>
      <c r="R28" s="2"/>
      <c r="S28" s="2"/>
      <c r="T28" s="2"/>
      <c r="U28" s="2"/>
      <c r="V28" s="2"/>
      <c r="Y28" s="2"/>
      <c r="Z28" s="2" t="s">
        <v>41</v>
      </c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">
      <c r="Q29" s="2"/>
      <c r="R29" s="2"/>
      <c r="S29" s="2"/>
      <c r="T29" s="2"/>
      <c r="U29" s="2"/>
      <c r="V29" s="2"/>
      <c r="Y29" s="2"/>
      <c r="Z29" s="2" t="s">
        <v>34</v>
      </c>
      <c r="AA29" s="3">
        <f>AA25/J6</f>
        <v>3.6917763938315575</v>
      </c>
      <c r="AB29" s="2"/>
      <c r="AC29" s="2"/>
      <c r="AD29" s="2"/>
      <c r="AE29" s="2"/>
      <c r="AF29" s="2"/>
      <c r="AG29" s="2"/>
      <c r="AH29" s="2"/>
      <c r="AI29" s="2"/>
    </row>
    <row r="30" spans="1:35" x14ac:dyDescent="0.2">
      <c r="Q30" s="2"/>
      <c r="R30" s="2" t="s">
        <v>46</v>
      </c>
      <c r="S30" s="2" t="s">
        <v>47</v>
      </c>
      <c r="T30" s="2"/>
      <c r="U30" s="2"/>
      <c r="V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">
      <c r="Q31" s="2"/>
      <c r="R31" s="2" t="s">
        <v>45</v>
      </c>
      <c r="S31" s="2"/>
      <c r="T31" s="2"/>
      <c r="U31" s="2"/>
      <c r="V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">
      <c r="A32" t="s">
        <v>61</v>
      </c>
      <c r="B32">
        <f>1/B6*SUM(B3:G3)</f>
        <v>-16.383333333333333</v>
      </c>
      <c r="D32" t="s">
        <v>65</v>
      </c>
      <c r="E32">
        <f>B35-B33*B33</f>
        <v>93.666666666666629</v>
      </c>
      <c r="G32" t="s">
        <v>67</v>
      </c>
      <c r="H32">
        <f>B36-B32*B32</f>
        <v>330.47805555555556</v>
      </c>
      <c r="Q32" s="2"/>
      <c r="R32" s="2">
        <v>2.78</v>
      </c>
      <c r="S32" s="2"/>
      <c r="T32" s="2"/>
      <c r="U32" s="2"/>
      <c r="V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">
      <c r="A33" t="s">
        <v>62</v>
      </c>
      <c r="B33">
        <f>1/B6*SUM(B2:G2)</f>
        <v>20</v>
      </c>
      <c r="D33" t="s">
        <v>66</v>
      </c>
      <c r="E33">
        <f>SQRT(E32)</f>
        <v>9.6781540939719815</v>
      </c>
      <c r="G33" t="s">
        <v>70</v>
      </c>
      <c r="H33">
        <f>SQRT(H32)</f>
        <v>18.179055408781711</v>
      </c>
      <c r="Q33" s="2"/>
      <c r="R33" s="2"/>
      <c r="S33" s="2"/>
      <c r="T33" s="2"/>
      <c r="U33" s="2"/>
      <c r="V33" s="2"/>
      <c r="Y33" s="2"/>
      <c r="Z33" s="2" t="s">
        <v>35</v>
      </c>
      <c r="AA33" s="3" cm="1">
        <f t="array" ref="AA33:AB34">AA29*C25:D26</f>
        <v>3.2428949224582073</v>
      </c>
      <c r="AB33" s="3">
        <v>-0.1313799428409807</v>
      </c>
      <c r="AC33" s="2"/>
      <c r="AD33" s="2"/>
      <c r="AE33" s="2"/>
      <c r="AF33" s="2"/>
      <c r="AG33" s="2"/>
      <c r="AH33" s="2"/>
      <c r="AI33" s="2"/>
    </row>
    <row r="34" spans="1:35" x14ac:dyDescent="0.2">
      <c r="A34" t="s">
        <v>63</v>
      </c>
      <c r="B34">
        <f>1/B6*SUM(B5:G5)</f>
        <v>-502.94999999999993</v>
      </c>
      <c r="Q34" s="2"/>
      <c r="R34" s="2"/>
      <c r="S34" s="2"/>
      <c r="T34" s="2"/>
      <c r="U34" s="2"/>
      <c r="V34" s="2"/>
      <c r="Y34" s="2"/>
      <c r="Z34" s="2"/>
      <c r="AA34" s="3">
        <v>-0.1313799428409807</v>
      </c>
      <c r="AB34" s="3">
        <v>6.5689971420490349E-3</v>
      </c>
      <c r="AC34" s="2"/>
      <c r="AD34" s="2"/>
      <c r="AE34" s="2"/>
      <c r="AF34" s="2"/>
      <c r="AG34" s="2"/>
      <c r="AH34" s="2"/>
      <c r="AI34" s="2"/>
    </row>
    <row r="35" spans="1:35" x14ac:dyDescent="0.2">
      <c r="A35" t="s">
        <v>64</v>
      </c>
      <c r="B35">
        <f>1/B6*SUM(B4:G4)</f>
        <v>493.66666666666663</v>
      </c>
      <c r="Q35" s="2"/>
      <c r="R35" s="2"/>
      <c r="S35" s="2"/>
      <c r="T35" s="2"/>
      <c r="U35" s="2"/>
      <c r="V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">
      <c r="A36" t="s">
        <v>69</v>
      </c>
      <c r="B36">
        <f>1/B6*SUM(B7:G7)</f>
        <v>598.89166666666665</v>
      </c>
      <c r="D36" t="s">
        <v>71</v>
      </c>
      <c r="E36">
        <f>B34-B32*B33</f>
        <v>-175.2833333333333</v>
      </c>
      <c r="G36" t="s">
        <v>25</v>
      </c>
      <c r="H36">
        <f>B32-(E39*H33)/(E33)*B33</f>
        <v>21.043712930011871</v>
      </c>
      <c r="Q36" s="2"/>
      <c r="R36" s="2"/>
      <c r="S36" s="2"/>
      <c r="T36" s="2"/>
      <c r="U36" s="2"/>
      <c r="V36" s="2"/>
      <c r="Y36" s="2"/>
      <c r="Z36" s="2" t="s">
        <v>36</v>
      </c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">
      <c r="G37" t="s">
        <v>26</v>
      </c>
      <c r="H37">
        <f>E36/(E32)</f>
        <v>-1.8713523131672603</v>
      </c>
      <c r="I37">
        <f>E36/(E33*H33) *(H33/E33)</f>
        <v>-1.87135231316726</v>
      </c>
      <c r="J37">
        <f>E39*(H33/E33)</f>
        <v>-1.87135231316726</v>
      </c>
      <c r="Q37" s="2"/>
      <c r="R37" s="2"/>
      <c r="S37" s="2"/>
      <c r="T37" s="2"/>
      <c r="U37" s="2"/>
      <c r="V37" s="2"/>
      <c r="Y37" s="2"/>
      <c r="Z37" s="2" t="s">
        <v>37</v>
      </c>
      <c r="AA37" s="2" cm="1">
        <f t="array" ref="AA37:AF37">B2:G2</f>
        <v>5</v>
      </c>
      <c r="AB37" s="2">
        <v>12</v>
      </c>
      <c r="AC37" s="2">
        <v>18</v>
      </c>
      <c r="AD37" s="2">
        <v>23</v>
      </c>
      <c r="AE37" s="2">
        <v>28</v>
      </c>
      <c r="AF37" s="2">
        <v>34</v>
      </c>
      <c r="AG37" s="2"/>
      <c r="AH37" s="2"/>
      <c r="AI37" s="2"/>
    </row>
    <row r="38" spans="1:35" x14ac:dyDescent="0.2">
      <c r="Y38" s="2"/>
      <c r="Z38" s="2" t="s">
        <v>52</v>
      </c>
      <c r="AA38" s="3">
        <f>$AA$33+2*$AB$33*AA37+$AB$34*AA37*AA37</f>
        <v>2.0933204225996263</v>
      </c>
      <c r="AB38" s="3">
        <f>$AA$33+2*$AB$33*AB37+$AB$34*AB37*AB37</f>
        <v>1.0357118827297316</v>
      </c>
      <c r="AC38" s="3">
        <f t="shared" ref="AC38:AF38" si="7">$AA$33+2*$AB$33*AC37+$AB$34*AC37*AC37</f>
        <v>0.64157205420678887</v>
      </c>
      <c r="AD38" s="3">
        <f t="shared" si="7"/>
        <v>0.67441703991703461</v>
      </c>
      <c r="AE38" s="3">
        <f t="shared" si="7"/>
        <v>1.035711882729732</v>
      </c>
      <c r="AF38" s="3">
        <f t="shared" si="7"/>
        <v>1.9028195054802035</v>
      </c>
      <c r="AG38" s="2"/>
      <c r="AH38" s="2"/>
      <c r="AI38" s="2"/>
    </row>
    <row r="39" spans="1:35" x14ac:dyDescent="0.2">
      <c r="D39" t="s">
        <v>33</v>
      </c>
      <c r="E39">
        <f>E36/(E33*H33)</f>
        <v>-0.99626936844005143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1" spans="1:35" x14ac:dyDescent="0.2">
      <c r="Z41" s="2" t="s">
        <v>42</v>
      </c>
      <c r="AA41" s="2"/>
      <c r="AB41" s="2"/>
      <c r="AC41" s="2"/>
    </row>
    <row r="42" spans="1:35" x14ac:dyDescent="0.2">
      <c r="Z42" s="2"/>
      <c r="AA42" s="2"/>
      <c r="AB42" s="2"/>
      <c r="AC42" s="2"/>
    </row>
    <row r="43" spans="1:35" x14ac:dyDescent="0.2">
      <c r="Z43" s="2" t="s">
        <v>25</v>
      </c>
      <c r="AA43" s="2" t="s">
        <v>48</v>
      </c>
      <c r="AB43" s="2"/>
      <c r="AC43" s="2"/>
      <c r="AD43" s="5" t="s">
        <v>55</v>
      </c>
      <c r="AF43" t="s">
        <v>56</v>
      </c>
      <c r="AG43" t="s">
        <v>57</v>
      </c>
    </row>
    <row r="44" spans="1:35" x14ac:dyDescent="0.2">
      <c r="Z44" s="2"/>
      <c r="AA44" s="2" t="s">
        <v>49</v>
      </c>
      <c r="AB44" s="2"/>
      <c r="AC44" s="2"/>
      <c r="AE44">
        <v>16.038</v>
      </c>
      <c r="AF44" t="s">
        <v>56</v>
      </c>
      <c r="AG44">
        <v>26.05</v>
      </c>
    </row>
    <row r="45" spans="1:35" x14ac:dyDescent="0.2">
      <c r="Z45" s="2"/>
      <c r="AA45" s="2"/>
      <c r="AB45" s="2"/>
      <c r="AC45" s="2"/>
    </row>
    <row r="46" spans="1:35" x14ac:dyDescent="0.2">
      <c r="A46" t="s">
        <v>18</v>
      </c>
      <c r="B46">
        <v>5</v>
      </c>
      <c r="C46">
        <v>12</v>
      </c>
      <c r="D46">
        <v>18</v>
      </c>
      <c r="E46">
        <v>23</v>
      </c>
      <c r="F46">
        <v>28</v>
      </c>
      <c r="G46">
        <v>34</v>
      </c>
      <c r="Z46" s="2"/>
      <c r="AA46" s="2"/>
      <c r="AB46" s="2"/>
      <c r="AC46" s="2"/>
    </row>
    <row r="47" spans="1:35" x14ac:dyDescent="0.2">
      <c r="A47" t="s">
        <v>17</v>
      </c>
      <c r="B47">
        <v>11.1</v>
      </c>
      <c r="C47">
        <v>0.5</v>
      </c>
      <c r="D47">
        <v>-14.9</v>
      </c>
      <c r="E47">
        <v>-20.2</v>
      </c>
      <c r="F47">
        <v>-32.799999999999997</v>
      </c>
      <c r="G47">
        <v>-42</v>
      </c>
      <c r="Z47" s="2" t="s">
        <v>26</v>
      </c>
      <c r="AA47" s="4" t="s">
        <v>50</v>
      </c>
      <c r="AB47" s="2"/>
      <c r="AC47" s="2"/>
      <c r="AD47" s="5" t="s">
        <v>58</v>
      </c>
      <c r="AF47" t="s">
        <v>59</v>
      </c>
      <c r="AG47" s="5" t="s">
        <v>60</v>
      </c>
    </row>
    <row r="48" spans="1:35" x14ac:dyDescent="0.2">
      <c r="AE48">
        <v>-2.1040000000000001</v>
      </c>
      <c r="AF48" t="s">
        <v>59</v>
      </c>
      <c r="AG48">
        <v>-1.6379999999999999</v>
      </c>
    </row>
    <row r="49" spans="1:32" x14ac:dyDescent="0.2">
      <c r="A49" t="s">
        <v>78</v>
      </c>
      <c r="Z49" s="2" t="s">
        <v>51</v>
      </c>
      <c r="AA49" s="2"/>
      <c r="AB49" s="2"/>
      <c r="AC49" s="2"/>
      <c r="AD49" s="2"/>
      <c r="AE49" s="2"/>
      <c r="AF49" s="2"/>
    </row>
    <row r="50" spans="1:32" x14ac:dyDescent="0.2">
      <c r="A50" t="s">
        <v>72</v>
      </c>
      <c r="Z50" s="2"/>
      <c r="AA50" s="2"/>
      <c r="AB50" s="2"/>
      <c r="AC50" s="2"/>
      <c r="AD50" s="2"/>
      <c r="AE50" s="2"/>
      <c r="AF50" s="2"/>
    </row>
    <row r="51" spans="1:32" x14ac:dyDescent="0.2">
      <c r="A51" t="s">
        <v>73</v>
      </c>
      <c r="C51" s="5" t="s">
        <v>79</v>
      </c>
      <c r="Z51" s="2" t="s">
        <v>37</v>
      </c>
      <c r="AA51" s="2">
        <f>AA37</f>
        <v>5</v>
      </c>
      <c r="AB51" s="2">
        <f t="shared" ref="AB51:AE51" si="8">AB37</f>
        <v>12</v>
      </c>
      <c r="AC51" s="2">
        <f t="shared" si="8"/>
        <v>18</v>
      </c>
      <c r="AD51" s="2">
        <f t="shared" si="8"/>
        <v>23</v>
      </c>
      <c r="AE51" s="2">
        <f t="shared" si="8"/>
        <v>28</v>
      </c>
      <c r="AF51" s="2">
        <f>AF37</f>
        <v>34</v>
      </c>
    </row>
    <row r="52" spans="1:32" x14ac:dyDescent="0.2">
      <c r="A52" s="5" t="s">
        <v>74</v>
      </c>
      <c r="E52" t="s">
        <v>25</v>
      </c>
      <c r="F52">
        <f>6089/300</f>
        <v>20.296666666666667</v>
      </c>
      <c r="Z52" s="2" t="s">
        <v>53</v>
      </c>
      <c r="AA52" s="3">
        <f>AA18-$R$32*SQRT(AA38)</f>
        <v>7.6647607229927202</v>
      </c>
      <c r="AB52" s="3">
        <f t="shared" ref="AB52:AF52" si="9">AB18-$R$32*SQRT(AB38)</f>
        <v>-4.2417189059098126</v>
      </c>
      <c r="AC52" s="3">
        <f t="shared" si="9"/>
        <v>-14.867358475904695</v>
      </c>
      <c r="AD52" s="3">
        <f t="shared" si="9"/>
        <v>-24.280406841170681</v>
      </c>
      <c r="AE52" s="3">
        <f t="shared" si="9"/>
        <v>-34.18335591658596</v>
      </c>
      <c r="AF52" s="3">
        <f t="shared" si="9"/>
        <v>-46.417073439862996</v>
      </c>
    </row>
    <row r="53" spans="1:32" x14ac:dyDescent="0.2">
      <c r="A53" t="s">
        <v>75</v>
      </c>
      <c r="C53" s="5"/>
      <c r="E53" s="5" t="s">
        <v>98</v>
      </c>
      <c r="F53">
        <f>-917/500</f>
        <v>-1.8340000000000001</v>
      </c>
      <c r="Z53" s="2" t="s">
        <v>54</v>
      </c>
      <c r="AA53" s="3">
        <f>AA18+$R$32*SQRT(AA38)</f>
        <v>15.70914200535843</v>
      </c>
      <c r="AB53" s="3">
        <f t="shared" ref="AB53:AF53" si="10">AB18+$R$32*SQRT(AB38)</f>
        <v>1.4166892499193358</v>
      </c>
      <c r="AC53" s="3">
        <f t="shared" si="10"/>
        <v>-10.413898938092885</v>
      </c>
      <c r="AD53" s="3">
        <f t="shared" si="10"/>
        <v>-19.714373704499501</v>
      </c>
      <c r="AE53" s="3">
        <f t="shared" si="10"/>
        <v>-28.52494776075681</v>
      </c>
      <c r="AF53" s="3">
        <f t="shared" si="10"/>
        <v>-38.747457995486876</v>
      </c>
    </row>
    <row r="54" spans="1:32" x14ac:dyDescent="0.2">
      <c r="A54" s="5" t="s">
        <v>76</v>
      </c>
      <c r="C54" s="5" t="s">
        <v>80</v>
      </c>
    </row>
    <row r="55" spans="1:32" x14ac:dyDescent="0.2">
      <c r="A55" s="5" t="s">
        <v>77</v>
      </c>
      <c r="C55" s="5"/>
    </row>
    <row r="57" spans="1:32" x14ac:dyDescent="0.2">
      <c r="E57" t="s">
        <v>81</v>
      </c>
      <c r="AC57" s="2"/>
      <c r="AD57" s="2"/>
    </row>
    <row r="60" spans="1:32" x14ac:dyDescent="0.2">
      <c r="E60">
        <v>5</v>
      </c>
      <c r="F60">
        <f>20.297-1.834*E60</f>
        <v>11.127000000000001</v>
      </c>
    </row>
    <row r="61" spans="1:32" x14ac:dyDescent="0.2">
      <c r="E61">
        <v>12</v>
      </c>
      <c r="F61">
        <f t="shared" ref="F61:F67" si="11">20.297-1.834*E61</f>
        <v>-1.7110000000000021</v>
      </c>
    </row>
    <row r="62" spans="1:32" x14ac:dyDescent="0.2">
      <c r="E62">
        <v>18</v>
      </c>
      <c r="F62">
        <f t="shared" si="11"/>
        <v>-12.715</v>
      </c>
    </row>
    <row r="63" spans="1:32" x14ac:dyDescent="0.2">
      <c r="E63">
        <v>23</v>
      </c>
      <c r="F63">
        <f t="shared" si="11"/>
        <v>-21.885000000000002</v>
      </c>
    </row>
    <row r="64" spans="1:32" x14ac:dyDescent="0.2">
      <c r="E64">
        <v>28</v>
      </c>
      <c r="F64">
        <f t="shared" si="11"/>
        <v>-31.055000000000003</v>
      </c>
    </row>
    <row r="65" spans="1:7" x14ac:dyDescent="0.2">
      <c r="E65">
        <v>23</v>
      </c>
      <c r="F65">
        <f t="shared" si="11"/>
        <v>-21.885000000000002</v>
      </c>
    </row>
    <row r="66" spans="1:7" x14ac:dyDescent="0.2">
      <c r="E66">
        <v>28</v>
      </c>
      <c r="F66">
        <f t="shared" si="11"/>
        <v>-31.055000000000003</v>
      </c>
    </row>
    <row r="67" spans="1:7" x14ac:dyDescent="0.2">
      <c r="E67">
        <v>34</v>
      </c>
      <c r="F67">
        <f t="shared" si="11"/>
        <v>-42.058999999999997</v>
      </c>
    </row>
    <row r="72" spans="1:7" x14ac:dyDescent="0.2">
      <c r="B72" t="s">
        <v>82</v>
      </c>
      <c r="D72" t="s">
        <v>8</v>
      </c>
      <c r="E72">
        <f>COUNT(B73:G73)</f>
        <v>6</v>
      </c>
    </row>
    <row r="73" spans="1:7" x14ac:dyDescent="0.2">
      <c r="A73" t="s">
        <v>18</v>
      </c>
      <c r="B73">
        <v>5</v>
      </c>
      <c r="C73">
        <v>12</v>
      </c>
      <c r="D73">
        <v>18</v>
      </c>
      <c r="E73">
        <v>23</v>
      </c>
      <c r="F73">
        <v>28</v>
      </c>
      <c r="G73">
        <v>34</v>
      </c>
    </row>
    <row r="74" spans="1:7" x14ac:dyDescent="0.2">
      <c r="A74" t="s">
        <v>17</v>
      </c>
      <c r="B74">
        <v>11.1</v>
      </c>
      <c r="C74">
        <v>0.5</v>
      </c>
      <c r="D74">
        <v>-14.9</v>
      </c>
      <c r="E74">
        <v>-20.2</v>
      </c>
      <c r="F74">
        <v>-32.799999999999997</v>
      </c>
      <c r="G74">
        <v>-42</v>
      </c>
    </row>
    <row r="75" spans="1:7" x14ac:dyDescent="0.2">
      <c r="A75" t="s">
        <v>11</v>
      </c>
      <c r="B75">
        <f>B73*B73</f>
        <v>25</v>
      </c>
      <c r="C75">
        <f t="shared" ref="C75:G75" si="12">C73*C73</f>
        <v>144</v>
      </c>
      <c r="D75">
        <f t="shared" si="12"/>
        <v>324</v>
      </c>
      <c r="E75">
        <f t="shared" si="12"/>
        <v>529</v>
      </c>
      <c r="F75">
        <f t="shared" si="12"/>
        <v>784</v>
      </c>
      <c r="G75">
        <f t="shared" si="12"/>
        <v>1156</v>
      </c>
    </row>
    <row r="76" spans="1:7" x14ac:dyDescent="0.2">
      <c r="A76" t="s">
        <v>83</v>
      </c>
      <c r="B76">
        <f>B73*B73*B73</f>
        <v>125</v>
      </c>
      <c r="C76">
        <f t="shared" ref="C76:G76" si="13">C73*C73*C73</f>
        <v>1728</v>
      </c>
      <c r="D76">
        <f t="shared" si="13"/>
        <v>5832</v>
      </c>
      <c r="E76">
        <f t="shared" si="13"/>
        <v>12167</v>
      </c>
      <c r="F76">
        <f t="shared" si="13"/>
        <v>21952</v>
      </c>
      <c r="G76">
        <f t="shared" si="13"/>
        <v>39304</v>
      </c>
    </row>
    <row r="77" spans="1:7" x14ac:dyDescent="0.2">
      <c r="A77" t="s">
        <v>84</v>
      </c>
      <c r="B77">
        <f>B73*B73*B73*B73</f>
        <v>625</v>
      </c>
      <c r="C77">
        <f t="shared" ref="C77:G77" si="14">C73*C73*C73*C73</f>
        <v>20736</v>
      </c>
      <c r="D77">
        <f t="shared" si="14"/>
        <v>104976</v>
      </c>
      <c r="E77">
        <f t="shared" si="14"/>
        <v>279841</v>
      </c>
      <c r="F77">
        <f t="shared" si="14"/>
        <v>614656</v>
      </c>
      <c r="G77">
        <f t="shared" si="14"/>
        <v>1336336</v>
      </c>
    </row>
    <row r="78" spans="1:7" x14ac:dyDescent="0.2">
      <c r="A78" t="s">
        <v>16</v>
      </c>
      <c r="B78">
        <f>B73*B74</f>
        <v>55.5</v>
      </c>
      <c r="C78">
        <f t="shared" ref="C78:G78" si="15">C73*C74</f>
        <v>6</v>
      </c>
      <c r="D78">
        <f t="shared" si="15"/>
        <v>-268.2</v>
      </c>
      <c r="E78">
        <f t="shared" si="15"/>
        <v>-464.59999999999997</v>
      </c>
      <c r="F78">
        <f t="shared" si="15"/>
        <v>-918.39999999999986</v>
      </c>
      <c r="G78">
        <f t="shared" si="15"/>
        <v>-1428</v>
      </c>
    </row>
    <row r="79" spans="1:7" x14ac:dyDescent="0.2">
      <c r="A79" t="s">
        <v>85</v>
      </c>
      <c r="B79">
        <f>B75*B74</f>
        <v>277.5</v>
      </c>
      <c r="C79">
        <f t="shared" ref="C79:G79" si="16">C75*C74</f>
        <v>72</v>
      </c>
      <c r="D79">
        <f t="shared" si="16"/>
        <v>-4827.6000000000004</v>
      </c>
      <c r="E79">
        <f t="shared" si="16"/>
        <v>-10685.8</v>
      </c>
      <c r="F79">
        <f t="shared" si="16"/>
        <v>-25715.199999999997</v>
      </c>
      <c r="G79">
        <f t="shared" si="16"/>
        <v>-48552</v>
      </c>
    </row>
    <row r="82" spans="1:14" x14ac:dyDescent="0.2">
      <c r="A82" t="s">
        <v>10</v>
      </c>
      <c r="B82">
        <f>E72</f>
        <v>6</v>
      </c>
      <c r="C82">
        <f>SUM(B73:G73)</f>
        <v>120</v>
      </c>
      <c r="D82">
        <f>SUM(B75:G75)</f>
        <v>2962</v>
      </c>
      <c r="G82" t="s">
        <v>86</v>
      </c>
      <c r="H82">
        <f>SUM(B74:G74)</f>
        <v>-98.3</v>
      </c>
    </row>
    <row r="83" spans="1:14" x14ac:dyDescent="0.2">
      <c r="B83">
        <f>SUM(B73:G73)</f>
        <v>120</v>
      </c>
      <c r="C83">
        <f>SUM(B75:G75)</f>
        <v>2962</v>
      </c>
      <c r="D83">
        <f>SUM(B76:G76)</f>
        <v>81108</v>
      </c>
      <c r="H83">
        <f>SUM(B78:G78)</f>
        <v>-3017.7</v>
      </c>
    </row>
    <row r="84" spans="1:14" x14ac:dyDescent="0.2">
      <c r="B84">
        <f>SUM(B75:G75)</f>
        <v>2962</v>
      </c>
      <c r="C84">
        <f>SUM(B76:G76)</f>
        <v>81108</v>
      </c>
      <c r="D84">
        <f>SUM(B77:G77)</f>
        <v>2357170</v>
      </c>
      <c r="H84">
        <f>SUM(B79:G79)</f>
        <v>-89431.1</v>
      </c>
    </row>
    <row r="87" spans="1:14" x14ac:dyDescent="0.2">
      <c r="A87" t="s">
        <v>19</v>
      </c>
      <c r="B87">
        <v>148445168</v>
      </c>
    </row>
    <row r="88" spans="1:14" x14ac:dyDescent="0.2">
      <c r="A88" t="s">
        <v>20</v>
      </c>
      <c r="B88">
        <f>1/B87</f>
        <v>6.7364941107412805E-9</v>
      </c>
    </row>
    <row r="89" spans="1:14" x14ac:dyDescent="0.2">
      <c r="C89">
        <f>1/2</f>
        <v>0.5</v>
      </c>
    </row>
    <row r="91" spans="1:14" x14ac:dyDescent="0.2">
      <c r="A91" t="s">
        <v>87</v>
      </c>
      <c r="B91">
        <v>2.7177029837700002</v>
      </c>
      <c r="C91">
        <v>-0.28709930119999999</v>
      </c>
      <c r="D91">
        <v>6.4637738799999999E-3</v>
      </c>
      <c r="H91" t="s">
        <v>17</v>
      </c>
      <c r="I91">
        <f>B74</f>
        <v>11.1</v>
      </c>
      <c r="J91">
        <f t="shared" ref="J91:N91" si="17">C74</f>
        <v>0.5</v>
      </c>
      <c r="K91">
        <f t="shared" si="17"/>
        <v>-14.9</v>
      </c>
      <c r="L91">
        <f t="shared" si="17"/>
        <v>-20.2</v>
      </c>
      <c r="M91">
        <f t="shared" si="17"/>
        <v>-32.799999999999997</v>
      </c>
      <c r="N91">
        <f t="shared" si="17"/>
        <v>-42</v>
      </c>
    </row>
    <row r="92" spans="1:14" x14ac:dyDescent="0.2">
      <c r="B92">
        <v>-0.28709930119999999</v>
      </c>
      <c r="C92">
        <v>3.6172117099999998E-2</v>
      </c>
      <c r="D92">
        <v>-8.8388191000000004E-4</v>
      </c>
      <c r="H92" t="s">
        <v>88</v>
      </c>
      <c r="I92">
        <f>$B$96+$B$97*B73+$B$98*B73*B73</f>
        <v>11.737850000000002</v>
      </c>
      <c r="J92">
        <f t="shared" ref="J92:N92" si="18">$B$96+$B$97*C73+$B$98*C73*C73</f>
        <v>-1.4265039999999973</v>
      </c>
      <c r="K92">
        <f t="shared" si="18"/>
        <v>-12.676383999999993</v>
      </c>
      <c r="L92">
        <f t="shared" si="18"/>
        <v>-22.027413999999997</v>
      </c>
      <c r="M92">
        <f t="shared" si="18"/>
        <v>-31.356743999999996</v>
      </c>
      <c r="N92">
        <f t="shared" si="18"/>
        <v>-42.523295999999995</v>
      </c>
    </row>
    <row r="93" spans="1:14" x14ac:dyDescent="0.2">
      <c r="B93">
        <v>6.4637738799999999E-3</v>
      </c>
      <c r="C93">
        <v>-8.8388191000000004E-4</v>
      </c>
      <c r="D93">
        <v>2.2715449999999999E-5</v>
      </c>
      <c r="H93" t="s">
        <v>89</v>
      </c>
      <c r="I93">
        <f>I91-I92</f>
        <v>-0.63785000000000203</v>
      </c>
      <c r="J93">
        <f t="shared" ref="J93:N93" si="19">J91-J92</f>
        <v>1.9265039999999973</v>
      </c>
      <c r="K93">
        <f t="shared" si="19"/>
        <v>-2.2236160000000069</v>
      </c>
      <c r="L93">
        <f t="shared" si="19"/>
        <v>1.8274139999999974</v>
      </c>
      <c r="M93">
        <f t="shared" si="19"/>
        <v>-1.4432560000000016</v>
      </c>
      <c r="N93">
        <f t="shared" si="19"/>
        <v>0.52329599999999488</v>
      </c>
    </row>
    <row r="94" spans="1:14" x14ac:dyDescent="0.2">
      <c r="H94" t="s">
        <v>90</v>
      </c>
      <c r="I94">
        <f>I93*I93</f>
        <v>0.40685262250000259</v>
      </c>
      <c r="J94">
        <f t="shared" ref="J94:N94" si="20">J93*J93</f>
        <v>3.7114176620159895</v>
      </c>
      <c r="K94">
        <f t="shared" si="20"/>
        <v>4.944468115456031</v>
      </c>
      <c r="L94">
        <f t="shared" si="20"/>
        <v>3.3394419273959906</v>
      </c>
      <c r="M94">
        <f t="shared" si="20"/>
        <v>2.0829878815360048</v>
      </c>
      <c r="N94">
        <f t="shared" si="20"/>
        <v>0.27383870361599466</v>
      </c>
    </row>
    <row r="96" spans="1:14" x14ac:dyDescent="0.2">
      <c r="A96" t="s">
        <v>12</v>
      </c>
      <c r="B96">
        <v>21.167000000000002</v>
      </c>
    </row>
    <row r="97" spans="2:12" x14ac:dyDescent="0.2">
      <c r="B97">
        <v>-1.8879999999999999</v>
      </c>
      <c r="H97" t="s">
        <v>91</v>
      </c>
      <c r="I97">
        <f>SUM(I94:N94)</f>
        <v>14.759006912520013</v>
      </c>
      <c r="K97" t="s">
        <v>94</v>
      </c>
      <c r="L97">
        <f>I102-I101</f>
        <v>1</v>
      </c>
    </row>
    <row r="98" spans="2:12" x14ac:dyDescent="0.2">
      <c r="B98">
        <v>4.3399999999999998E-4</v>
      </c>
      <c r="K98" t="s">
        <v>95</v>
      </c>
      <c r="L98">
        <f>E72-I102-1</f>
        <v>3</v>
      </c>
    </row>
    <row r="99" spans="2:12" x14ac:dyDescent="0.2">
      <c r="H99" t="s">
        <v>92</v>
      </c>
      <c r="I99">
        <f>(AA25-I97)/I97 * (E72-2-1)/(2-1)</f>
        <v>1.6461804349479647E-3</v>
      </c>
    </row>
    <row r="100" spans="2:12" x14ac:dyDescent="0.2">
      <c r="H100" t="s">
        <v>93</v>
      </c>
      <c r="I100">
        <v>18.510000000000002</v>
      </c>
    </row>
    <row r="101" spans="2:12" x14ac:dyDescent="0.2">
      <c r="H101" t="s">
        <v>97</v>
      </c>
      <c r="I101">
        <v>1</v>
      </c>
    </row>
    <row r="102" spans="2:12" x14ac:dyDescent="0.2">
      <c r="H102" t="s">
        <v>96</v>
      </c>
      <c r="I10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Раевский</dc:creator>
  <cp:lastModifiedBy>Microsoft Office User</cp:lastModifiedBy>
  <dcterms:created xsi:type="dcterms:W3CDTF">2024-04-03T17:20:03Z</dcterms:created>
  <dcterms:modified xsi:type="dcterms:W3CDTF">2024-05-16T21:44:11Z</dcterms:modified>
</cp:coreProperties>
</file>