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raev\OneDrive\Рабочий стол\ITMO\2COURSE\2SEM\Physics\lab_3_06\"/>
    </mc:Choice>
  </mc:AlternateContent>
  <xr:revisionPtr revIDLastSave="0" documentId="13_ncr:1_{9D8C1D59-7218-4FF3-BC70-D7BAD76010D5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1" l="1"/>
  <c r="S11" i="1"/>
  <c r="Q11" i="1"/>
  <c r="P4" i="1"/>
  <c r="B31" i="1"/>
  <c r="B18" i="1"/>
  <c r="B15" i="1"/>
  <c r="B33" i="1"/>
  <c r="B32" i="1" l="1"/>
  <c r="B25" i="1"/>
  <c r="B22" i="1"/>
  <c r="B19" i="1"/>
  <c r="P18" i="1"/>
  <c r="P17" i="1"/>
  <c r="P16" i="1"/>
  <c r="B16" i="1"/>
  <c r="P15" i="1"/>
  <c r="P14" i="1"/>
  <c r="P13" i="1"/>
  <c r="P12" i="1"/>
  <c r="Q12" i="1" s="1"/>
  <c r="P11" i="1"/>
  <c r="P10" i="1"/>
  <c r="P9" i="1"/>
  <c r="B9" i="1"/>
  <c r="L10" i="1" s="1"/>
  <c r="P8" i="1"/>
  <c r="P7" i="1"/>
  <c r="B7" i="1"/>
  <c r="B8" i="1" s="1"/>
  <c r="P6" i="1"/>
  <c r="P5" i="1"/>
  <c r="B5" i="1"/>
  <c r="M12" i="1" s="1"/>
  <c r="B3" i="1"/>
  <c r="B4" i="1" s="1"/>
  <c r="B1" i="1"/>
  <c r="B2" i="1" s="1"/>
  <c r="Q13" i="1" l="1"/>
  <c r="Q17" i="1"/>
  <c r="N12" i="1"/>
  <c r="T10" i="1"/>
  <c r="Q15" i="1"/>
  <c r="Q5" i="1"/>
  <c r="B24" i="1"/>
  <c r="B26" i="1" s="1"/>
  <c r="M6" i="1"/>
  <c r="N6" i="1" s="1"/>
  <c r="M10" i="1"/>
  <c r="N10" i="1" s="1"/>
  <c r="S16" i="1"/>
  <c r="S18" i="1"/>
  <c r="S6" i="1"/>
  <c r="S10" i="1"/>
  <c r="L15" i="1"/>
  <c r="M8" i="1"/>
  <c r="S14" i="1"/>
  <c r="S12" i="1"/>
  <c r="S4" i="1"/>
  <c r="L17" i="1"/>
  <c r="L9" i="1"/>
  <c r="M9" i="1"/>
  <c r="N9" i="1" s="1"/>
  <c r="S15" i="1"/>
  <c r="S5" i="1"/>
  <c r="L14" i="1"/>
  <c r="T14" i="1" s="1"/>
  <c r="L16" i="1"/>
  <c r="L18" i="1"/>
  <c r="T18" i="1" s="1"/>
  <c r="M4" i="1"/>
  <c r="N4" i="1" s="1"/>
  <c r="S8" i="1"/>
  <c r="B17" i="1"/>
  <c r="L13" i="1"/>
  <c r="M15" i="1"/>
  <c r="M17" i="1"/>
  <c r="B21" i="1"/>
  <c r="M13" i="1"/>
  <c r="N13" i="1" s="1"/>
  <c r="L12" i="1"/>
  <c r="L11" i="1"/>
  <c r="L7" i="1"/>
  <c r="M11" i="1"/>
  <c r="N11" i="1" s="1"/>
  <c r="M5" i="1"/>
  <c r="S17" i="1"/>
  <c r="S7" i="1"/>
  <c r="B20" i="1"/>
  <c r="L5" i="1"/>
  <c r="M7" i="1"/>
  <c r="N7" i="1" s="1"/>
  <c r="S13" i="1"/>
  <c r="S9" i="1"/>
  <c r="M14" i="1"/>
  <c r="N14" i="1" s="1"/>
  <c r="M16" i="1"/>
  <c r="N16" i="1" s="1"/>
  <c r="M18" i="1"/>
  <c r="N18" i="1" s="1"/>
  <c r="B6" i="1"/>
  <c r="B10" i="1"/>
  <c r="L4" i="1"/>
  <c r="L6" i="1"/>
  <c r="T6" i="1" s="1"/>
  <c r="L8" i="1"/>
  <c r="V14" i="1" l="1"/>
  <c r="W14" i="1" s="1"/>
  <c r="Q16" i="1"/>
  <c r="Q6" i="1"/>
  <c r="T12" i="1"/>
  <c r="V12" i="1" s="1"/>
  <c r="W12" i="1" s="1"/>
  <c r="T8" i="1"/>
  <c r="N8" i="1"/>
  <c r="Q8" i="1"/>
  <c r="T16" i="1"/>
  <c r="V16" i="1" s="1"/>
  <c r="W16" i="1" s="1"/>
  <c r="Q4" i="1"/>
  <c r="T5" i="1"/>
  <c r="V5" i="1" s="1"/>
  <c r="Q18" i="1"/>
  <c r="V18" i="1" s="1"/>
  <c r="W18" i="1" s="1"/>
  <c r="Q14" i="1"/>
  <c r="N5" i="1"/>
  <c r="T9" i="1"/>
  <c r="T17" i="1"/>
  <c r="V17" i="1" s="1"/>
  <c r="T7" i="1"/>
  <c r="V7" i="1" s="1"/>
  <c r="W7" i="1" s="1"/>
  <c r="T11" i="1"/>
  <c r="W13" i="1"/>
  <c r="V6" i="1"/>
  <c r="W6" i="1" s="1"/>
  <c r="B23" i="1"/>
  <c r="B28" i="1"/>
  <c r="T15" i="1"/>
  <c r="V15" i="1" s="1"/>
  <c r="Q10" i="1"/>
  <c r="V10" i="1" s="1"/>
  <c r="W10" i="1" s="1"/>
  <c r="T4" i="1"/>
  <c r="N17" i="1"/>
  <c r="W17" i="1" s="1"/>
  <c r="Q9" i="1"/>
  <c r="N15" i="1"/>
  <c r="W15" i="1" s="1"/>
  <c r="T13" i="1"/>
  <c r="V13" i="1" s="1"/>
  <c r="Q7" i="1"/>
  <c r="V4" i="1" l="1"/>
  <c r="V8" i="1"/>
  <c r="W8" i="1" s="1"/>
  <c r="V11" i="1"/>
  <c r="W11" i="1" s="1"/>
  <c r="V9" i="1"/>
  <c r="W5" i="1"/>
  <c r="V26" i="1" l="1"/>
  <c r="V21" i="1"/>
  <c r="V22" i="1" s="1"/>
  <c r="W4" i="1"/>
  <c r="V27" i="1" s="1"/>
</calcChain>
</file>

<file path=xl/sharedStrings.xml><?xml version="1.0" encoding="utf-8"?>
<sst xmlns="http://schemas.openxmlformats.org/spreadsheetml/2006/main" count="57" uniqueCount="48">
  <si>
    <t>R1,Ом</t>
  </si>
  <si>
    <t>ΔR1</t>
  </si>
  <si>
    <t>Физические величины</t>
  </si>
  <si>
    <t>D=Y*Ky*C/S</t>
  </si>
  <si>
    <t>E=X*Kx*11/d</t>
  </si>
  <si>
    <t>ε=D/(Eε0)</t>
  </si>
  <si>
    <t>R2,Ом</t>
  </si>
  <si>
    <t>№</t>
  </si>
  <si>
    <t>U, В</t>
  </si>
  <si>
    <t>Кх, В/дел</t>
  </si>
  <si>
    <t>Ку, В/дел</t>
  </si>
  <si>
    <t>Х, дел</t>
  </si>
  <si>
    <t>Y, дел</t>
  </si>
  <si>
    <t>E, В/м</t>
  </si>
  <si>
    <t>D, Кл/м^2</t>
  </si>
  <si>
    <t>ε</t>
  </si>
  <si>
    <t>εD,%</t>
  </si>
  <si>
    <t>ΔD</t>
  </si>
  <si>
    <t>εE,%</t>
  </si>
  <si>
    <t>ΔE</t>
  </si>
  <si>
    <t>εε,%</t>
  </si>
  <si>
    <t>Δε</t>
  </si>
  <si>
    <t>ΔR2</t>
  </si>
  <si>
    <t xml:space="preserve">С1, Ф </t>
  </si>
  <si>
    <t>ΔC1</t>
  </si>
  <si>
    <t>S, м^2</t>
  </si>
  <si>
    <t>ΔS</t>
  </si>
  <si>
    <t>d, м</t>
  </si>
  <si>
    <t>Δd</t>
  </si>
  <si>
    <t>U1 - X</t>
  </si>
  <si>
    <t>напряжение на резисторах</t>
  </si>
  <si>
    <t>U2 - Y</t>
  </si>
  <si>
    <t>напряжение на конденсаторах</t>
  </si>
  <si>
    <t>Eс = 0,6 дел</t>
  </si>
  <si>
    <t>%</t>
  </si>
  <si>
    <t>Δ</t>
  </si>
  <si>
    <t>Es = 2,9 дел</t>
  </si>
  <si>
    <t>ε нач.</t>
  </si>
  <si>
    <t>Dr = 0,8 дел</t>
  </si>
  <si>
    <t>εε</t>
  </si>
  <si>
    <t>Ds = 3,3 дел</t>
  </si>
  <si>
    <t>εmax</t>
  </si>
  <si>
    <t>Pr = Dr</t>
  </si>
  <si>
    <t>E(εmax)</t>
  </si>
  <si>
    <t>s</t>
  </si>
  <si>
    <t>ε tgδ</t>
  </si>
  <si>
    <t>Δ tgδ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</si>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</sst>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0" xfId="0" applyFill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3" fillId="0" borderId="0" xfId="0" applyFont="1"/>
    <xf numFmtId="0" fontId="1" fillId="0" borderId="0" xfId="0" applyFont="1"/>
    <xf numFmtId="0" fontId="3" fillId="0" borderId="5" xfId="0" applyFont="1" applyBorder="1" applyAlignment="1">
      <alignment horizontal="center" vertical="center"/>
    </xf>
    <xf numFmtId="165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0" fontId="4" fillId="0" borderId="0" xfId="0" applyFont="1"/>
    <xf numFmtId="166" fontId="3" fillId="0" borderId="0" xfId="0" applyNumberFormat="1" applyFont="1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5" fontId="3" fillId="3" borderId="0" xfId="0" applyNumberFormat="1" applyFont="1" applyFill="1"/>
    <xf numFmtId="164" fontId="3" fillId="3" borderId="0" xfId="0" applyNumberFormat="1" applyFont="1" applyFill="1"/>
    <xf numFmtId="0" fontId="3" fillId="3" borderId="0" xfId="0" applyFont="1" applyFill="1"/>
    <xf numFmtId="1" fontId="3" fillId="3" borderId="0" xfId="0" applyNumberFormat="1" applyFont="1" applyFill="1"/>
    <xf numFmtId="0" fontId="0" fillId="4" borderId="0" xfId="0" applyFill="1"/>
    <xf numFmtId="0" fontId="3" fillId="4" borderId="0" xfId="0" applyFont="1" applyFill="1"/>
    <xf numFmtId="0" fontId="4" fillId="4" borderId="0" xfId="0" applyFont="1" applyFill="1"/>
    <xf numFmtId="0" fontId="3" fillId="4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95312769536541"/>
          <c:y val="7.3671662481172476E-2"/>
          <c:w val="0.80260964146802305"/>
          <c:h val="0.89840831137915245"/>
        </c:manualLayout>
      </c:layout>
      <c:scatterChart>
        <c:scatterStyle val="smoothMarker"/>
        <c:varyColors val="0"/>
        <c:ser>
          <c:idx val="0"/>
          <c:order val="0"/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5.2490000000000002E-2"/>
                  <c:y val="0.2257879999999999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Лист1!$L$4:$L$18</c:f>
              <c:numCache>
                <c:formatCode>General</c:formatCode>
                <c:ptCount val="15"/>
                <c:pt idx="0">
                  <c:v>319000</c:v>
                </c:pt>
                <c:pt idx="1">
                  <c:v>286000</c:v>
                </c:pt>
                <c:pt idx="2">
                  <c:v>252999.99999999997</c:v>
                </c:pt>
                <c:pt idx="3">
                  <c:v>209000</c:v>
                </c:pt>
                <c:pt idx="4">
                  <c:v>176000</c:v>
                </c:pt>
                <c:pt idx="5">
                  <c:v>143000</c:v>
                </c:pt>
                <c:pt idx="6">
                  <c:v>88000</c:v>
                </c:pt>
                <c:pt idx="7">
                  <c:v>85800</c:v>
                </c:pt>
                <c:pt idx="8">
                  <c:v>72600</c:v>
                </c:pt>
                <c:pt idx="9">
                  <c:v>61599.999999999993</c:v>
                </c:pt>
                <c:pt idx="10">
                  <c:v>50599.999999999993</c:v>
                </c:pt>
                <c:pt idx="11">
                  <c:v>37400</c:v>
                </c:pt>
                <c:pt idx="12">
                  <c:v>26399.999999999996</c:v>
                </c:pt>
                <c:pt idx="13">
                  <c:v>15399.999999999998</c:v>
                </c:pt>
                <c:pt idx="14">
                  <c:v>3410.0000000000005</c:v>
                </c:pt>
              </c:numCache>
            </c:numRef>
          </c:xVal>
          <c:yVal>
            <c:numRef>
              <c:f>Лист1!$M$4:$M$18</c:f>
              <c:numCache>
                <c:formatCode>0.0000</c:formatCode>
                <c:ptCount val="15"/>
                <c:pt idx="0">
                  <c:v>3.2999999999999995E-2</c:v>
                </c:pt>
                <c:pt idx="1">
                  <c:v>3.1E-2</c:v>
                </c:pt>
                <c:pt idx="2">
                  <c:v>2.7E-2</c:v>
                </c:pt>
                <c:pt idx="3">
                  <c:v>2.1999999999999999E-2</c:v>
                </c:pt>
                <c:pt idx="4">
                  <c:v>1.7000000000000001E-2</c:v>
                </c:pt>
                <c:pt idx="5">
                  <c:v>9.9999999999999985E-3</c:v>
                </c:pt>
                <c:pt idx="6">
                  <c:v>4.0000000000000001E-3</c:v>
                </c:pt>
                <c:pt idx="7">
                  <c:v>3.3999999999999994E-3</c:v>
                </c:pt>
                <c:pt idx="8">
                  <c:v>2.3999999999999998E-3</c:v>
                </c:pt>
                <c:pt idx="9">
                  <c:v>1.8E-3</c:v>
                </c:pt>
                <c:pt idx="10">
                  <c:v>1.1999999999999999E-3</c:v>
                </c:pt>
                <c:pt idx="11">
                  <c:v>7.9999999999999993E-4</c:v>
                </c:pt>
                <c:pt idx="12">
                  <c:v>3.9999999999999996E-4</c:v>
                </c:pt>
                <c:pt idx="13">
                  <c:v>1.6000000000000001E-4</c:v>
                </c:pt>
                <c:pt idx="14">
                  <c:v>3.1999999999999999E-5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4-4D2F-B70B-DFA9B7A2D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3232"/>
        <c:axId val="180144768"/>
      </c:scatterChart>
      <c:valAx>
        <c:axId val="1801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144768"/>
        <c:crosses val="autoZero"/>
        <c:crossBetween val="midCat"/>
      </c:valAx>
      <c:valAx>
        <c:axId val="18014476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8014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4949686143989"/>
          <c:y val="4.6220680676274023E-2"/>
          <c:w val="0.81295607765615097"/>
          <c:h val="0.83458874142291917"/>
        </c:manualLayout>
      </c:layout>
      <c:scatterChart>
        <c:scatterStyle val="smoothMarker"/>
        <c:varyColors val="0"/>
        <c:ser>
          <c:idx val="0"/>
          <c:order val="0"/>
          <c:trendline>
            <c:trendlineType val="poly"/>
            <c:order val="6"/>
            <c:backward val="3190"/>
            <c:dispRSqr val="0"/>
            <c:dispEq val="1"/>
            <c:trendlineLbl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-4E-29x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6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+ 7E-23x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5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- 4E-17x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4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+ 7E-12x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- 3E-07x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+ 0,0429x + 787,62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Лист1!$L$4:$L$18</c:f>
              <c:numCache>
                <c:formatCode>General</c:formatCode>
                <c:ptCount val="15"/>
                <c:pt idx="0">
                  <c:v>319000</c:v>
                </c:pt>
                <c:pt idx="1">
                  <c:v>286000</c:v>
                </c:pt>
                <c:pt idx="2">
                  <c:v>252999.99999999997</c:v>
                </c:pt>
                <c:pt idx="3">
                  <c:v>209000</c:v>
                </c:pt>
                <c:pt idx="4">
                  <c:v>176000</c:v>
                </c:pt>
                <c:pt idx="5">
                  <c:v>143000</c:v>
                </c:pt>
                <c:pt idx="6">
                  <c:v>88000</c:v>
                </c:pt>
                <c:pt idx="7">
                  <c:v>85800</c:v>
                </c:pt>
                <c:pt idx="8">
                  <c:v>72600</c:v>
                </c:pt>
                <c:pt idx="9">
                  <c:v>61599.999999999993</c:v>
                </c:pt>
                <c:pt idx="10">
                  <c:v>50599.999999999993</c:v>
                </c:pt>
                <c:pt idx="11">
                  <c:v>37400</c:v>
                </c:pt>
                <c:pt idx="12">
                  <c:v>26399.999999999996</c:v>
                </c:pt>
                <c:pt idx="13">
                  <c:v>15399.999999999998</c:v>
                </c:pt>
                <c:pt idx="14">
                  <c:v>3410.0000000000005</c:v>
                </c:pt>
              </c:numCache>
            </c:numRef>
          </c:xVal>
          <c:yVal>
            <c:numRef>
              <c:f>Лист1!$N$4:$N$18</c:f>
              <c:numCache>
                <c:formatCode>0</c:formatCode>
                <c:ptCount val="15"/>
                <c:pt idx="0">
                  <c:v>11675.877636802365</c:v>
                </c:pt>
                <c:pt idx="1">
                  <c:v>12233.815845553996</c:v>
                </c:pt>
                <c:pt idx="2">
                  <c:v>12045.075348638018</c:v>
                </c:pt>
                <c:pt idx="3">
                  <c:v>11880.71759534276</c:v>
                </c:pt>
                <c:pt idx="4">
                  <c:v>10901.908475271908</c:v>
                </c:pt>
                <c:pt idx="5">
                  <c:v>7892.7844164864482</c:v>
                </c:pt>
                <c:pt idx="6">
                  <c:v>5130.3098707161917</c:v>
                </c:pt>
                <c:pt idx="7">
                  <c:v>4472.5778360089871</c:v>
                </c:pt>
                <c:pt idx="8">
                  <c:v>3731.1344514299572</c:v>
                </c:pt>
                <c:pt idx="9">
                  <c:v>3298.0563454604094</c:v>
                </c:pt>
                <c:pt idx="10">
                  <c:v>2676.6834108084481</c:v>
                </c:pt>
                <c:pt idx="11">
                  <c:v>2414.2634685723251</c:v>
                </c:pt>
                <c:pt idx="12">
                  <c:v>1710.1032902387306</c:v>
                </c:pt>
                <c:pt idx="13">
                  <c:v>1172.6422561637012</c:v>
                </c:pt>
                <c:pt idx="14">
                  <c:v>1059.1607475026976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D8-4AC1-AD6E-F42707A5E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90240"/>
        <c:axId val="180908416"/>
      </c:scatterChart>
      <c:valAx>
        <c:axId val="18089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908416"/>
        <c:crosses val="autoZero"/>
        <c:crossBetween val="midCat"/>
      </c:valAx>
      <c:valAx>
        <c:axId val="1809084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089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581693</xdr:colOff>
      <xdr:row>30</xdr:row>
      <xdr:rowOff>28205</xdr:rowOff>
    </xdr:from>
    <xdr:to>
      <xdr:col>12</xdr:col>
      <xdr:colOff>242256</xdr:colOff>
      <xdr:row>45</xdr:row>
      <xdr:rowOff>28205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290944</xdr:colOff>
      <xdr:row>30</xdr:row>
      <xdr:rowOff>11775</xdr:rowOff>
    </xdr:from>
    <xdr:to>
      <xdr:col>19</xdr:col>
      <xdr:colOff>595745</xdr:colOff>
      <xdr:row>45</xdr:row>
      <xdr:rowOff>11775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277090</xdr:colOff>
      <xdr:row>25</xdr:row>
      <xdr:rowOff>83127</xdr:rowOff>
    </xdr:from>
    <xdr:ext cx="91440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 bwMode="auto">
        <a:xfrm>
          <a:off x="6109854" y="4585854"/>
          <a:ext cx="914400" cy="2645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pPr>
            <a:defRPr/>
          </a:pPr>
          <a:endParaRPr lang="ru-RU" sz="1100"/>
        </a:p>
      </xdr:txBody>
    </xdr:sp>
    <xdr:clientData/>
  </xdr:oneCellAnchor>
  <xdr:twoCellAnchor editAs="oneCell">
    <xdr:from>
      <xdr:col>2</xdr:col>
      <xdr:colOff>53339</xdr:colOff>
      <xdr:row>15</xdr:row>
      <xdr:rowOff>68579</xdr:rowOff>
    </xdr:from>
    <xdr:to>
      <xdr:col>4</xdr:col>
      <xdr:colOff>548639</xdr:colOff>
      <xdr:row>17</xdr:row>
      <xdr:rowOff>97630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1463039" y="2711767"/>
          <a:ext cx="1790699" cy="381475"/>
        </a:xfrm>
        <a:prstGeom prst="rect">
          <a:avLst/>
        </a:prstGeom>
      </xdr:spPr>
    </xdr:pic>
    <xdr:clientData/>
  </xdr:twoCellAnchor>
  <xdr:twoCellAnchor editAs="oneCell">
    <xdr:from>
      <xdr:col>2</xdr:col>
      <xdr:colOff>53339</xdr:colOff>
      <xdr:row>20</xdr:row>
      <xdr:rowOff>106679</xdr:rowOff>
    </xdr:from>
    <xdr:to>
      <xdr:col>4</xdr:col>
      <xdr:colOff>548639</xdr:colOff>
      <xdr:row>22</xdr:row>
      <xdr:rowOff>85724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1463039" y="3630929"/>
          <a:ext cx="1790699" cy="33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6"/>
  <sheetViews>
    <sheetView tabSelected="1" zoomScale="70" zoomScaleNormal="70" workbookViewId="0">
      <selection activeCell="I24" sqref="I24"/>
    </sheetView>
  </sheetViews>
  <sheetFormatPr defaultRowHeight="14.4" x14ac:dyDescent="0.3"/>
  <cols>
    <col min="1" max="1" width="12.109375" customWidth="1"/>
    <col min="2" max="2" width="9" customWidth="1"/>
    <col min="3" max="3" width="8.88671875" customWidth="1"/>
    <col min="4" max="4" width="10.5546875" customWidth="1"/>
    <col min="5" max="5" width="10" bestFit="1" customWidth="1"/>
    <col min="10" max="10" width="10" customWidth="1"/>
  </cols>
  <sheetData>
    <row r="1" spans="1:24" x14ac:dyDescent="0.3">
      <c r="A1" t="s">
        <v>0</v>
      </c>
      <c r="B1">
        <f>47*10^3</f>
        <v>47000</v>
      </c>
    </row>
    <row r="2" spans="1:24" x14ac:dyDescent="0.3">
      <c r="A2" s="1" t="s">
        <v>1</v>
      </c>
      <c r="B2">
        <f>B1/10</f>
        <v>4700</v>
      </c>
      <c r="F2" s="2"/>
      <c r="G2" s="33" t="s">
        <v>2</v>
      </c>
      <c r="H2" s="34"/>
      <c r="I2" s="34"/>
      <c r="J2" s="34"/>
      <c r="K2" s="34"/>
      <c r="L2" s="34"/>
      <c r="M2" s="34"/>
      <c r="N2" s="35"/>
      <c r="P2" s="36" t="s">
        <v>3</v>
      </c>
      <c r="Q2" s="36"/>
      <c r="R2" s="11"/>
      <c r="S2" s="36" t="s">
        <v>4</v>
      </c>
      <c r="T2" s="36"/>
      <c r="U2" s="11"/>
      <c r="V2" s="37" t="s">
        <v>5</v>
      </c>
      <c r="W2" s="36"/>
      <c r="X2" s="11"/>
    </row>
    <row r="3" spans="1:24" x14ac:dyDescent="0.3">
      <c r="A3" t="s">
        <v>6</v>
      </c>
      <c r="B3">
        <f>47*10^4</f>
        <v>470000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3" t="s">
        <v>15</v>
      </c>
      <c r="P3" s="13" t="s">
        <v>16</v>
      </c>
      <c r="Q3" s="13" t="s">
        <v>17</v>
      </c>
      <c r="R3" s="11"/>
      <c r="S3" s="13" t="s">
        <v>18</v>
      </c>
      <c r="T3" s="13" t="s">
        <v>19</v>
      </c>
      <c r="U3" s="11"/>
      <c r="V3" s="13" t="s">
        <v>20</v>
      </c>
      <c r="W3" s="13" t="s">
        <v>21</v>
      </c>
      <c r="X3" s="11"/>
    </row>
    <row r="4" spans="1:24" x14ac:dyDescent="0.3">
      <c r="A4" t="s">
        <v>22</v>
      </c>
      <c r="B4">
        <f>B3/10</f>
        <v>47000</v>
      </c>
      <c r="F4" s="2">
        <v>1</v>
      </c>
      <c r="G4" s="2">
        <v>17</v>
      </c>
      <c r="H4" s="2">
        <v>5</v>
      </c>
      <c r="I4" s="2">
        <v>5</v>
      </c>
      <c r="J4" s="2">
        <v>2.9</v>
      </c>
      <c r="K4" s="2">
        <v>3.3</v>
      </c>
      <c r="L4" s="2">
        <f t="shared" ref="L4:L18" si="0">11*H4*J4/$B$9</f>
        <v>319000</v>
      </c>
      <c r="M4" s="4">
        <f t="shared" ref="M4:M18" si="1">I4*K4*$B$5/$B$7</f>
        <v>3.2999999999999995E-2</v>
      </c>
      <c r="N4" s="5">
        <f t="shared" ref="N4:N18" si="2">M4/(8.86*10^-12*L4)</f>
        <v>11675.877636802365</v>
      </c>
      <c r="P4" s="14">
        <f>SQRT((0.1/K4)^2+(0.1)^2+(0.1)^2)*100</f>
        <v>14.46315098640209</v>
      </c>
      <c r="Q4" s="15">
        <f t="shared" ref="Q4:Q18" si="3">P4*M4/100</f>
        <v>4.7728398255126887E-3</v>
      </c>
      <c r="R4" s="11"/>
      <c r="S4" s="14">
        <f t="shared" ref="S4:S18" si="4">SQRT((0.1*($B$3/($B$1+$B$3)))^2+($B$4/($B$3+$B$1))^2+(0.1/J4)^2+(0.1)^2)*100</f>
        <v>16.64871954894053</v>
      </c>
      <c r="T4" s="16">
        <f t="shared" ref="T4:T18" si="5">L4*S4/100</f>
        <v>53109.415361120293</v>
      </c>
      <c r="U4" s="11"/>
      <c r="V4" s="14">
        <f t="shared" ref="V4:V18" si="6">SQRT((T4/L4)^2+(Q4/M4)^2)*100</f>
        <v>22.053630065699803</v>
      </c>
      <c r="W4" s="16">
        <f t="shared" ref="W4:W18" si="7">N4*V4/100</f>
        <v>2574.9548609441658</v>
      </c>
      <c r="X4" s="11"/>
    </row>
    <row r="5" spans="1:24" x14ac:dyDescent="0.3">
      <c r="A5" t="s">
        <v>23</v>
      </c>
      <c r="B5">
        <f>10^-6</f>
        <v>9.9999999999999995E-7</v>
      </c>
      <c r="F5" s="2">
        <v>2</v>
      </c>
      <c r="G5" s="2">
        <v>15</v>
      </c>
      <c r="H5" s="2">
        <v>5</v>
      </c>
      <c r="I5" s="2">
        <v>5</v>
      </c>
      <c r="J5" s="2">
        <v>2.6</v>
      </c>
      <c r="K5" s="2">
        <v>3.1</v>
      </c>
      <c r="L5" s="2">
        <f t="shared" si="0"/>
        <v>286000</v>
      </c>
      <c r="M5" s="4">
        <f t="shared" si="1"/>
        <v>3.1E-2</v>
      </c>
      <c r="N5" s="5">
        <f t="shared" si="2"/>
        <v>12233.815845553996</v>
      </c>
      <c r="P5" s="14">
        <f t="shared" ref="P5:P18" si="8">SQRT((0.1/K5)^2+(0.1)^2+(0.1)^2)*100</f>
        <v>14.505372358656205</v>
      </c>
      <c r="Q5" s="15">
        <f t="shared" si="3"/>
        <v>4.4966654311834236E-3</v>
      </c>
      <c r="R5" s="11"/>
      <c r="S5" s="14">
        <f t="shared" si="4"/>
        <v>16.735655218921998</v>
      </c>
      <c r="T5" s="16">
        <f t="shared" si="5"/>
        <v>47863.973926116916</v>
      </c>
      <c r="U5" s="11"/>
      <c r="V5" s="14">
        <f t="shared" si="6"/>
        <v>22.146963287771502</v>
      </c>
      <c r="W5" s="16">
        <f t="shared" si="7"/>
        <v>2709.4187040084162</v>
      </c>
      <c r="X5" s="11"/>
    </row>
    <row r="6" spans="1:24" x14ac:dyDescent="0.3">
      <c r="A6" t="s">
        <v>24</v>
      </c>
      <c r="B6">
        <f>B5/10</f>
        <v>9.9999999999999995E-8</v>
      </c>
      <c r="F6" s="2">
        <v>3</v>
      </c>
      <c r="G6" s="2">
        <v>13</v>
      </c>
      <c r="H6" s="2">
        <v>5</v>
      </c>
      <c r="I6" s="2">
        <v>5</v>
      </c>
      <c r="J6" s="2">
        <v>2.2999999999999998</v>
      </c>
      <c r="K6" s="2">
        <v>2.7</v>
      </c>
      <c r="L6" s="2">
        <f t="shared" si="0"/>
        <v>252999.99999999997</v>
      </c>
      <c r="M6" s="4">
        <f t="shared" si="1"/>
        <v>2.7E-2</v>
      </c>
      <c r="N6" s="5">
        <f t="shared" si="2"/>
        <v>12045.075348638018</v>
      </c>
      <c r="P6" s="14">
        <f t="shared" si="8"/>
        <v>14.619077300733743</v>
      </c>
      <c r="Q6" s="15">
        <f t="shared" si="3"/>
        <v>3.947150871198111E-3</v>
      </c>
      <c r="R6" s="11"/>
      <c r="S6" s="14">
        <f t="shared" si="4"/>
        <v>16.858020283555444</v>
      </c>
      <c r="T6" s="16">
        <f t="shared" si="5"/>
        <v>42650.791317395269</v>
      </c>
      <c r="U6" s="11"/>
      <c r="V6" s="14">
        <f t="shared" si="6"/>
        <v>22.313903042847421</v>
      </c>
      <c r="W6" s="16">
        <f t="shared" si="7"/>
        <v>2687.7264347330033</v>
      </c>
      <c r="X6" s="11"/>
    </row>
    <row r="7" spans="1:24" x14ac:dyDescent="0.3">
      <c r="A7" t="s">
        <v>25</v>
      </c>
      <c r="B7">
        <f>5*10^-4</f>
        <v>5.0000000000000001E-4</v>
      </c>
      <c r="F7" s="2">
        <v>4</v>
      </c>
      <c r="G7" s="2">
        <v>11</v>
      </c>
      <c r="H7" s="2">
        <v>5</v>
      </c>
      <c r="I7" s="2">
        <v>5</v>
      </c>
      <c r="J7" s="2">
        <v>1.9</v>
      </c>
      <c r="K7" s="2">
        <v>2.2000000000000002</v>
      </c>
      <c r="L7" s="2">
        <f t="shared" si="0"/>
        <v>209000</v>
      </c>
      <c r="M7" s="4">
        <f t="shared" si="1"/>
        <v>2.1999999999999999E-2</v>
      </c>
      <c r="N7" s="5">
        <f t="shared" si="2"/>
        <v>11880.71759534276</v>
      </c>
      <c r="P7" s="14">
        <f t="shared" si="8"/>
        <v>14.854667853061995</v>
      </c>
      <c r="Q7" s="15">
        <f t="shared" si="3"/>
        <v>3.2680269276736391E-3</v>
      </c>
      <c r="R7" s="11"/>
      <c r="S7" s="14">
        <f t="shared" si="4"/>
        <v>17.116953210874822</v>
      </c>
      <c r="T7" s="16">
        <f t="shared" si="5"/>
        <v>35774.432210728381</v>
      </c>
      <c r="U7" s="11"/>
      <c r="V7" s="14">
        <f t="shared" si="6"/>
        <v>22.663875313989696</v>
      </c>
      <c r="W7" s="16">
        <f t="shared" si="7"/>
        <v>2692.6310222157176</v>
      </c>
      <c r="X7" s="11"/>
    </row>
    <row r="8" spans="1:24" x14ac:dyDescent="0.3">
      <c r="A8" t="s">
        <v>26</v>
      </c>
      <c r="B8">
        <f>B7/10</f>
        <v>5.0000000000000002E-5</v>
      </c>
      <c r="F8" s="2">
        <v>5</v>
      </c>
      <c r="G8" s="2">
        <v>9</v>
      </c>
      <c r="H8" s="2">
        <v>5</v>
      </c>
      <c r="I8" s="2">
        <v>5</v>
      </c>
      <c r="J8" s="2">
        <v>1.6</v>
      </c>
      <c r="K8" s="2">
        <v>1.7</v>
      </c>
      <c r="L8" s="2">
        <f t="shared" si="0"/>
        <v>176000</v>
      </c>
      <c r="M8" s="4">
        <f t="shared" si="1"/>
        <v>1.7000000000000001E-2</v>
      </c>
      <c r="N8" s="5">
        <f t="shared" si="2"/>
        <v>10901.908475271908</v>
      </c>
      <c r="P8" s="14">
        <f t="shared" si="8"/>
        <v>15.316725372107692</v>
      </c>
      <c r="Q8" s="15">
        <f t="shared" si="3"/>
        <v>2.603843313258308E-3</v>
      </c>
      <c r="R8" s="11"/>
      <c r="S8" s="14">
        <f t="shared" si="4"/>
        <v>17.445680158662405</v>
      </c>
      <c r="T8" s="16">
        <f t="shared" si="5"/>
        <v>30704.397079245835</v>
      </c>
      <c r="U8" s="11"/>
      <c r="V8" s="14">
        <f t="shared" si="6"/>
        <v>23.215379219881694</v>
      </c>
      <c r="W8" s="16">
        <f t="shared" si="7"/>
        <v>2530.9193947387957</v>
      </c>
      <c r="X8" s="11"/>
    </row>
    <row r="9" spans="1:24" x14ac:dyDescent="0.3">
      <c r="A9" t="s">
        <v>27</v>
      </c>
      <c r="B9">
        <f>5*10^-4</f>
        <v>5.0000000000000001E-4</v>
      </c>
      <c r="F9" s="2">
        <v>6</v>
      </c>
      <c r="G9" s="2">
        <v>7</v>
      </c>
      <c r="H9" s="2">
        <v>5</v>
      </c>
      <c r="I9" s="2">
        <v>5</v>
      </c>
      <c r="J9" s="2">
        <v>1.3</v>
      </c>
      <c r="K9" s="2">
        <v>1</v>
      </c>
      <c r="L9" s="2">
        <f t="shared" si="0"/>
        <v>143000</v>
      </c>
      <c r="M9" s="4">
        <f t="shared" si="1"/>
        <v>9.9999999999999985E-3</v>
      </c>
      <c r="N9" s="5">
        <f t="shared" si="2"/>
        <v>7892.7844164864482</v>
      </c>
      <c r="P9" s="14">
        <f t="shared" si="8"/>
        <v>17.320508075688775</v>
      </c>
      <c r="Q9" s="15">
        <f t="shared" si="3"/>
        <v>1.7320508075688774E-3</v>
      </c>
      <c r="R9" s="11"/>
      <c r="S9" s="14">
        <f t="shared" si="4"/>
        <v>18.012796946379073</v>
      </c>
      <c r="T9" s="16">
        <f t="shared" si="5"/>
        <v>25758.299633322073</v>
      </c>
      <c r="U9" s="11"/>
      <c r="V9" s="14">
        <f t="shared" si="6"/>
        <v>24.989214750197402</v>
      </c>
      <c r="W9" s="16">
        <f>N9*V9/100</f>
        <v>1972.3448476059136</v>
      </c>
      <c r="X9" s="11"/>
    </row>
    <row r="10" spans="1:24" x14ac:dyDescent="0.3">
      <c r="A10" t="s">
        <v>28</v>
      </c>
      <c r="B10">
        <f>B9/10</f>
        <v>5.0000000000000002E-5</v>
      </c>
      <c r="F10" s="2">
        <v>7</v>
      </c>
      <c r="G10" s="2">
        <v>5</v>
      </c>
      <c r="H10" s="2">
        <v>5</v>
      </c>
      <c r="I10" s="2">
        <v>5</v>
      </c>
      <c r="J10" s="2">
        <v>0.8</v>
      </c>
      <c r="K10" s="2">
        <v>0.4</v>
      </c>
      <c r="L10" s="2">
        <f t="shared" si="0"/>
        <v>88000</v>
      </c>
      <c r="M10" s="4">
        <f t="shared" si="1"/>
        <v>4.0000000000000001E-3</v>
      </c>
      <c r="N10" s="5">
        <f t="shared" si="2"/>
        <v>5130.3098707161917</v>
      </c>
      <c r="P10" s="14">
        <f t="shared" si="8"/>
        <v>28.722813232690147</v>
      </c>
      <c r="Q10" s="15">
        <f t="shared" si="3"/>
        <v>1.148912529307606E-3</v>
      </c>
      <c r="R10" s="11"/>
      <c r="S10" s="14">
        <f t="shared" si="4"/>
        <v>20.531421192853337</v>
      </c>
      <c r="T10" s="16">
        <f t="shared" si="5"/>
        <v>18067.650649710937</v>
      </c>
      <c r="U10" s="11"/>
      <c r="V10" s="14">
        <f t="shared" si="6"/>
        <v>35.306362828792594</v>
      </c>
      <c r="W10" s="16">
        <f t="shared" si="7"/>
        <v>1811.3258171964189</v>
      </c>
      <c r="X10" s="11"/>
    </row>
    <row r="11" spans="1:24" s="19" customFormat="1" x14ac:dyDescent="0.3">
      <c r="F11" s="20">
        <v>8</v>
      </c>
      <c r="G11" s="20">
        <v>4.4000000000000004</v>
      </c>
      <c r="H11" s="20">
        <v>1</v>
      </c>
      <c r="I11" s="20">
        <v>1</v>
      </c>
      <c r="J11" s="20">
        <v>3.9</v>
      </c>
      <c r="K11" s="20">
        <v>1.7</v>
      </c>
      <c r="L11" s="20">
        <f t="shared" si="0"/>
        <v>85800</v>
      </c>
      <c r="M11" s="21">
        <f t="shared" si="1"/>
        <v>3.3999999999999994E-3</v>
      </c>
      <c r="N11" s="22">
        <f t="shared" si="2"/>
        <v>4472.5778360089871</v>
      </c>
      <c r="P11" s="23">
        <f t="shared" si="8"/>
        <v>15.316725372107692</v>
      </c>
      <c r="Q11" s="24">
        <f>P11*M11/100</f>
        <v>5.2076866265166142E-4</v>
      </c>
      <c r="R11" s="25"/>
      <c r="S11" s="23">
        <f>SQRT((0.1*($B$3/($B$1+$B$3)))^2+($B$4/($B$3+$B$1))^2+(0.1/J11)^2+(0.1)^2)*100</f>
        <v>16.4882951865129</v>
      </c>
      <c r="T11" s="26">
        <f t="shared" si="5"/>
        <v>14146.957270028068</v>
      </c>
      <c r="U11" s="25"/>
      <c r="V11" s="23">
        <f t="shared" si="6"/>
        <v>22.504798472373665</v>
      </c>
      <c r="W11" s="26">
        <f t="shared" si="7"/>
        <v>1006.5446285138736</v>
      </c>
      <c r="X11" s="25"/>
    </row>
    <row r="12" spans="1:24" x14ac:dyDescent="0.3">
      <c r="A12" t="s">
        <v>29</v>
      </c>
      <c r="B12" s="31" t="s">
        <v>30</v>
      </c>
      <c r="C12" s="31"/>
      <c r="D12" s="32"/>
      <c r="F12" s="2">
        <v>9</v>
      </c>
      <c r="G12" s="2">
        <v>3.8</v>
      </c>
      <c r="H12" s="2">
        <v>1</v>
      </c>
      <c r="I12" s="2">
        <v>1</v>
      </c>
      <c r="J12" s="2">
        <v>3.3</v>
      </c>
      <c r="K12" s="2">
        <v>1.2</v>
      </c>
      <c r="L12" s="2">
        <f t="shared" si="0"/>
        <v>72600</v>
      </c>
      <c r="M12" s="4">
        <f t="shared" si="1"/>
        <v>2.3999999999999998E-3</v>
      </c>
      <c r="N12" s="5">
        <f t="shared" si="2"/>
        <v>3731.1344514299572</v>
      </c>
      <c r="P12" s="14">
        <f t="shared" si="8"/>
        <v>16.41476300299351</v>
      </c>
      <c r="Q12" s="15">
        <f t="shared" si="3"/>
        <v>3.9395431207184424E-4</v>
      </c>
      <c r="R12" s="11"/>
      <c r="S12" s="14">
        <f t="shared" si="4"/>
        <v>16.567196282226238</v>
      </c>
      <c r="T12" s="16">
        <f t="shared" si="5"/>
        <v>12027.784500896249</v>
      </c>
      <c r="U12" s="11"/>
      <c r="V12" s="14">
        <f t="shared" si="6"/>
        <v>23.322016145656349</v>
      </c>
      <c r="W12" s="16">
        <f t="shared" si="7"/>
        <v>870.17577917864105</v>
      </c>
      <c r="X12" s="11"/>
    </row>
    <row r="13" spans="1:24" x14ac:dyDescent="0.3">
      <c r="A13" t="s">
        <v>31</v>
      </c>
      <c r="B13" s="31" t="s">
        <v>32</v>
      </c>
      <c r="C13" s="31"/>
      <c r="D13" s="32"/>
      <c r="F13" s="2">
        <v>10</v>
      </c>
      <c r="G13" s="2">
        <v>3.2</v>
      </c>
      <c r="H13" s="2">
        <v>1</v>
      </c>
      <c r="I13" s="2">
        <v>1</v>
      </c>
      <c r="J13" s="2">
        <v>2.8</v>
      </c>
      <c r="K13" s="2">
        <v>0.9</v>
      </c>
      <c r="L13" s="2">
        <f t="shared" si="0"/>
        <v>61599.999999999993</v>
      </c>
      <c r="M13" s="4">
        <f t="shared" si="1"/>
        <v>1.8E-3</v>
      </c>
      <c r="N13" s="5">
        <f t="shared" si="2"/>
        <v>3298.0563454604094</v>
      </c>
      <c r="P13" s="14">
        <f t="shared" si="8"/>
        <v>17.98490450693183</v>
      </c>
      <c r="Q13" s="15">
        <f t="shared" si="3"/>
        <v>3.2372828112477289E-4</v>
      </c>
      <c r="R13" s="11"/>
      <c r="S13" s="14">
        <f t="shared" si="4"/>
        <v>16.674662162669549</v>
      </c>
      <c r="T13" s="16">
        <f t="shared" si="5"/>
        <v>10271.59189220444</v>
      </c>
      <c r="U13" s="11"/>
      <c r="V13" s="14">
        <f t="shared" si="6"/>
        <v>24.525520348457857</v>
      </c>
      <c r="W13" s="16">
        <f t="shared" si="7"/>
        <v>808.86548010949832</v>
      </c>
      <c r="X13" s="11"/>
    </row>
    <row r="14" spans="1:24" x14ac:dyDescent="0.3">
      <c r="F14" s="2">
        <v>11</v>
      </c>
      <c r="G14" s="2">
        <v>2.6</v>
      </c>
      <c r="H14" s="2">
        <v>1</v>
      </c>
      <c r="I14" s="2">
        <v>1</v>
      </c>
      <c r="J14" s="2">
        <v>2.2999999999999998</v>
      </c>
      <c r="K14" s="2">
        <v>0.6</v>
      </c>
      <c r="L14" s="2">
        <f t="shared" si="0"/>
        <v>50599.999999999993</v>
      </c>
      <c r="M14" s="4">
        <f t="shared" si="1"/>
        <v>1.1999999999999999E-3</v>
      </c>
      <c r="N14" s="5">
        <f t="shared" si="2"/>
        <v>2676.6834108084481</v>
      </c>
      <c r="P14" s="14">
        <f t="shared" si="8"/>
        <v>21.858128414340005</v>
      </c>
      <c r="Q14" s="15">
        <f t="shared" si="3"/>
        <v>2.6229754097208005E-4</v>
      </c>
      <c r="R14" s="11"/>
      <c r="S14" s="14">
        <f t="shared" si="4"/>
        <v>16.858020283555444</v>
      </c>
      <c r="T14" s="16">
        <f t="shared" si="5"/>
        <v>8530.1582634790539</v>
      </c>
      <c r="U14" s="11"/>
      <c r="V14" s="14">
        <f t="shared" si="6"/>
        <v>27.603815418498666</v>
      </c>
      <c r="W14" s="16">
        <f t="shared" si="7"/>
        <v>738.86674805713835</v>
      </c>
      <c r="X14" s="11"/>
    </row>
    <row r="15" spans="1:24" x14ac:dyDescent="0.3">
      <c r="A15" s="6" t="s">
        <v>33</v>
      </c>
      <c r="B15">
        <f>5*0.6*11/B9</f>
        <v>66000</v>
      </c>
      <c r="F15" s="2">
        <v>12</v>
      </c>
      <c r="G15" s="2">
        <v>2</v>
      </c>
      <c r="H15" s="2">
        <v>1</v>
      </c>
      <c r="I15" s="2">
        <v>1</v>
      </c>
      <c r="J15" s="2">
        <v>1.7</v>
      </c>
      <c r="K15" s="2">
        <v>0.4</v>
      </c>
      <c r="L15" s="2">
        <f t="shared" si="0"/>
        <v>37400</v>
      </c>
      <c r="M15" s="4">
        <f t="shared" si="1"/>
        <v>7.9999999999999993E-4</v>
      </c>
      <c r="N15" s="5">
        <f t="shared" si="2"/>
        <v>2414.2634685723251</v>
      </c>
      <c r="P15" s="14">
        <f t="shared" si="8"/>
        <v>28.722813232690147</v>
      </c>
      <c r="Q15" s="15">
        <f t="shared" si="3"/>
        <v>2.2978250586152115E-4</v>
      </c>
      <c r="R15" s="11"/>
      <c r="S15" s="14">
        <f t="shared" si="4"/>
        <v>17.317370825934134</v>
      </c>
      <c r="T15" s="16">
        <f t="shared" si="5"/>
        <v>6476.6966888993666</v>
      </c>
      <c r="U15" s="11"/>
      <c r="V15" s="14">
        <f t="shared" si="6"/>
        <v>33.539399701290343</v>
      </c>
      <c r="W15" s="16">
        <f t="shared" si="7"/>
        <v>809.72947456670818</v>
      </c>
      <c r="X15" s="11"/>
    </row>
    <row r="16" spans="1:24" x14ac:dyDescent="0.3">
      <c r="A16" t="s">
        <v>34</v>
      </c>
      <c r="B16" s="7">
        <f>SQRT((0.05/0.6)^2+(0.1)^2)*100</f>
        <v>13.017082793177758</v>
      </c>
      <c r="F16" s="2">
        <v>13</v>
      </c>
      <c r="G16" s="2">
        <v>1.4</v>
      </c>
      <c r="H16" s="2">
        <v>0.5</v>
      </c>
      <c r="I16" s="2">
        <v>0.2</v>
      </c>
      <c r="J16" s="2">
        <v>2.4</v>
      </c>
      <c r="K16" s="2">
        <v>1</v>
      </c>
      <c r="L16" s="2">
        <f t="shared" si="0"/>
        <v>26399.999999999996</v>
      </c>
      <c r="M16" s="4">
        <f t="shared" si="1"/>
        <v>3.9999999999999996E-4</v>
      </c>
      <c r="N16" s="5">
        <f t="shared" si="2"/>
        <v>1710.1032902387306</v>
      </c>
      <c r="P16" s="14">
        <f t="shared" si="8"/>
        <v>17.320508075688775</v>
      </c>
      <c r="Q16" s="15">
        <f t="shared" si="3"/>
        <v>6.9282032302755094E-5</v>
      </c>
      <c r="R16" s="11"/>
      <c r="S16" s="14">
        <f t="shared" si="4"/>
        <v>16.812208876571162</v>
      </c>
      <c r="T16" s="16">
        <f t="shared" si="5"/>
        <v>4438.423143414786</v>
      </c>
      <c r="U16" s="11"/>
      <c r="V16" s="14">
        <f t="shared" si="6"/>
        <v>24.1381516962144</v>
      </c>
      <c r="W16" s="16">
        <f t="shared" si="7"/>
        <v>412.78732635977838</v>
      </c>
      <c r="X16" s="11"/>
    </row>
    <row r="17" spans="1:28" x14ac:dyDescent="0.3">
      <c r="A17" t="s">
        <v>35</v>
      </c>
      <c r="B17" s="8">
        <f>B15*B16/100</f>
        <v>8591.2746434973196</v>
      </c>
      <c r="F17" s="2">
        <v>14</v>
      </c>
      <c r="G17" s="2">
        <v>0.8</v>
      </c>
      <c r="H17" s="2">
        <v>0.5</v>
      </c>
      <c r="I17" s="2">
        <v>0.2</v>
      </c>
      <c r="J17" s="2">
        <v>1.4</v>
      </c>
      <c r="K17" s="2">
        <v>0.4</v>
      </c>
      <c r="L17" s="2">
        <f t="shared" si="0"/>
        <v>15399.999999999998</v>
      </c>
      <c r="M17" s="4">
        <f t="shared" si="1"/>
        <v>1.6000000000000001E-4</v>
      </c>
      <c r="N17" s="5">
        <f t="shared" si="2"/>
        <v>1172.6422561637012</v>
      </c>
      <c r="P17" s="14">
        <f t="shared" si="8"/>
        <v>28.722813232690147</v>
      </c>
      <c r="Q17" s="15">
        <f t="shared" si="3"/>
        <v>4.5956501172304237E-5</v>
      </c>
      <c r="R17" s="11"/>
      <c r="S17" s="14">
        <f t="shared" si="4"/>
        <v>17.785096692501067</v>
      </c>
      <c r="T17" s="16">
        <f t="shared" si="5"/>
        <v>2738.904890645164</v>
      </c>
      <c r="U17" s="11"/>
      <c r="V17" s="14">
        <f t="shared" si="6"/>
        <v>33.783274920611426</v>
      </c>
      <c r="W17" s="16">
        <f t="shared" si="7"/>
        <v>396.15695723504365</v>
      </c>
      <c r="X17" s="11"/>
    </row>
    <row r="18" spans="1:28" x14ac:dyDescent="0.3">
      <c r="A18" s="6" t="s">
        <v>36</v>
      </c>
      <c r="B18">
        <f>5*2.9*11/B9</f>
        <v>319000</v>
      </c>
      <c r="F18" s="2">
        <v>15</v>
      </c>
      <c r="G18" s="2">
        <v>0.2</v>
      </c>
      <c r="H18" s="2">
        <v>0.05</v>
      </c>
      <c r="I18" s="2">
        <v>0.02</v>
      </c>
      <c r="J18" s="2">
        <v>3.1</v>
      </c>
      <c r="K18" s="2">
        <v>0.8</v>
      </c>
      <c r="L18" s="2">
        <f t="shared" si="0"/>
        <v>3410.0000000000005</v>
      </c>
      <c r="M18" s="4">
        <f t="shared" si="1"/>
        <v>3.1999999999999999E-5</v>
      </c>
      <c r="N18" s="5">
        <f t="shared" si="2"/>
        <v>1059.1607475026976</v>
      </c>
      <c r="P18" s="14">
        <f t="shared" si="8"/>
        <v>18.874586088176876</v>
      </c>
      <c r="Q18" s="15">
        <f t="shared" si="3"/>
        <v>6.0398675482165999E-6</v>
      </c>
      <c r="R18" s="11"/>
      <c r="S18" s="14">
        <f t="shared" si="4"/>
        <v>16.604068280443034</v>
      </c>
      <c r="T18" s="16">
        <f t="shared" si="5"/>
        <v>566.19872836310753</v>
      </c>
      <c r="U18" s="11"/>
      <c r="V18" s="14">
        <f t="shared" si="6"/>
        <v>25.1385179249218</v>
      </c>
      <c r="W18" s="16">
        <f t="shared" si="7"/>
        <v>266.25731436470136</v>
      </c>
      <c r="X18" s="11"/>
    </row>
    <row r="19" spans="1:28" x14ac:dyDescent="0.3">
      <c r="A19" t="s">
        <v>34</v>
      </c>
      <c r="B19" s="9">
        <f>SQRT((0.05/1.7)^2+(0.1)^2)*100</f>
        <v>10.423555968629032</v>
      </c>
      <c r="T19" s="27"/>
      <c r="U19" s="28"/>
      <c r="V19" s="27"/>
      <c r="W19" s="27"/>
    </row>
    <row r="20" spans="1:28" x14ac:dyDescent="0.3">
      <c r="A20" t="s">
        <v>35</v>
      </c>
      <c r="B20" s="8">
        <f>B18*B19/100</f>
        <v>33251.143539926612</v>
      </c>
      <c r="T20" s="27"/>
      <c r="U20" s="29" t="s">
        <v>37</v>
      </c>
      <c r="V20" s="28">
        <v>1929</v>
      </c>
      <c r="W20" s="28"/>
      <c r="X20" s="11"/>
      <c r="Y20" s="11"/>
      <c r="Z20" s="11"/>
      <c r="AA20" s="11"/>
      <c r="AB20" s="11"/>
    </row>
    <row r="21" spans="1:28" x14ac:dyDescent="0.3">
      <c r="A21" s="6" t="s">
        <v>38</v>
      </c>
      <c r="B21" s="10">
        <f>5*0.8*B5/B7</f>
        <v>8.0000000000000002E-3</v>
      </c>
      <c r="T21" s="27"/>
      <c r="U21" s="28" t="s">
        <v>39</v>
      </c>
      <c r="V21" s="28">
        <f>AVERAGE(V4:V18)</f>
        <v>25.816321542480303</v>
      </c>
      <c r="W21" s="28"/>
      <c r="X21" s="11"/>
      <c r="Y21" s="11"/>
      <c r="Z21" s="11"/>
      <c r="AA21" s="11"/>
      <c r="AB21" s="11"/>
    </row>
    <row r="22" spans="1:28" x14ac:dyDescent="0.3">
      <c r="A22" t="s">
        <v>34</v>
      </c>
      <c r="B22" s="9">
        <f>((0.05/0.5)^2+(0.1)^2+(0.1)^2)^(1/2)*100</f>
        <v>17.320508075688775</v>
      </c>
      <c r="T22" s="27"/>
      <c r="U22" s="29" t="s">
        <v>21</v>
      </c>
      <c r="V22" s="28">
        <f>V21*V20/100</f>
        <v>497.99684255444504</v>
      </c>
      <c r="W22" s="28"/>
      <c r="X22" s="11"/>
      <c r="Y22" s="11"/>
      <c r="Z22" s="11"/>
      <c r="AA22" s="11"/>
      <c r="AB22" s="11"/>
    </row>
    <row r="23" spans="1:28" x14ac:dyDescent="0.3">
      <c r="A23" t="s">
        <v>35</v>
      </c>
      <c r="B23" s="10">
        <f>B21*B22/100</f>
        <v>1.385640646055102E-3</v>
      </c>
      <c r="T23" s="27"/>
      <c r="U23" s="28"/>
      <c r="V23" s="28"/>
      <c r="W23" s="28"/>
      <c r="X23" s="11"/>
      <c r="Y23" s="11"/>
      <c r="Z23" s="11"/>
      <c r="AA23" s="11"/>
      <c r="AB23" s="11"/>
    </row>
    <row r="24" spans="1:28" x14ac:dyDescent="0.3">
      <c r="A24" s="6" t="s">
        <v>40</v>
      </c>
      <c r="B24">
        <f>5*3.3*B5/B7</f>
        <v>3.2999999999999995E-2</v>
      </c>
      <c r="T24" s="27"/>
      <c r="U24" s="28"/>
      <c r="V24" s="28"/>
      <c r="W24" s="28"/>
      <c r="X24" s="11"/>
      <c r="Y24" s="11"/>
      <c r="Z24" s="11"/>
      <c r="AA24" s="11"/>
      <c r="AB24" s="11"/>
    </row>
    <row r="25" spans="1:28" x14ac:dyDescent="0.3">
      <c r="A25" t="s">
        <v>34</v>
      </c>
      <c r="B25" s="9">
        <f>((0.05/1.6)^2+(0.1)^2+(0.1)^2+(0.1/5)^2)^(1/2)*100</f>
        <v>14.620725871173429</v>
      </c>
      <c r="T25" s="27"/>
      <c r="U25" s="29" t="s">
        <v>41</v>
      </c>
      <c r="V25" s="28">
        <v>9850</v>
      </c>
      <c r="W25" s="28"/>
      <c r="X25" s="11"/>
      <c r="Y25" s="11"/>
      <c r="Z25" s="11"/>
      <c r="AA25" s="11"/>
      <c r="AB25" s="11"/>
    </row>
    <row r="26" spans="1:28" x14ac:dyDescent="0.3">
      <c r="A26" s="11" t="s">
        <v>35</v>
      </c>
      <c r="B26" s="15">
        <f>B24*B25/100</f>
        <v>4.8248395374872301E-3</v>
      </c>
      <c r="C26" s="11"/>
      <c r="D26" s="11"/>
      <c r="E26" s="11"/>
      <c r="F26" s="11"/>
      <c r="G26" s="11"/>
      <c r="T26" s="27"/>
      <c r="U26" s="30" t="s">
        <v>20</v>
      </c>
      <c r="V26" s="28">
        <f>V4</f>
        <v>22.053630065699803</v>
      </c>
      <c r="W26" s="28"/>
      <c r="X26" s="11"/>
      <c r="Y26" s="11"/>
      <c r="Z26" s="11"/>
      <c r="AA26" s="11"/>
      <c r="AB26" s="11"/>
    </row>
    <row r="27" spans="1:28" x14ac:dyDescent="0.3">
      <c r="A27" s="11"/>
      <c r="B27" s="11"/>
      <c r="C27" s="11"/>
      <c r="D27" s="11"/>
      <c r="E27" s="11"/>
      <c r="F27" s="11"/>
      <c r="G27" s="11"/>
      <c r="T27" s="27"/>
      <c r="U27" s="30" t="s">
        <v>21</v>
      </c>
      <c r="V27" s="28">
        <f>W4</f>
        <v>2574.9548609441658</v>
      </c>
      <c r="W27" s="28"/>
      <c r="X27" s="11"/>
      <c r="Y27" s="11"/>
      <c r="Z27" s="11"/>
      <c r="AA27" s="11"/>
      <c r="AB27" s="11"/>
    </row>
    <row r="28" spans="1:28" x14ac:dyDescent="0.3">
      <c r="A28" s="11" t="s">
        <v>42</v>
      </c>
      <c r="B28" s="11">
        <f>B21</f>
        <v>8.0000000000000002E-3</v>
      </c>
      <c r="C28" s="11"/>
      <c r="D28" s="11"/>
      <c r="E28" s="11"/>
      <c r="F28" s="11"/>
      <c r="G28" s="11"/>
      <c r="T28" s="27"/>
      <c r="U28" s="28"/>
      <c r="V28" s="28"/>
      <c r="W28" s="28"/>
      <c r="X28" s="11"/>
      <c r="Y28" s="11"/>
      <c r="Z28" s="11"/>
      <c r="AA28" s="11"/>
      <c r="AB28" s="11"/>
    </row>
    <row r="29" spans="1:28" x14ac:dyDescent="0.3">
      <c r="A29" s="11"/>
      <c r="B29" s="11"/>
      <c r="C29" s="11"/>
      <c r="D29" s="11"/>
      <c r="E29" s="11"/>
      <c r="F29" s="11"/>
      <c r="G29" s="11"/>
      <c r="T29" s="27"/>
      <c r="U29" s="28" t="s">
        <v>43</v>
      </c>
      <c r="V29" s="28">
        <v>319000</v>
      </c>
      <c r="W29" s="28"/>
      <c r="X29" s="11"/>
      <c r="Y29" s="11"/>
      <c r="Z29" s="11"/>
      <c r="AA29" s="11"/>
      <c r="AB29" s="11"/>
    </row>
    <row r="30" spans="1:28" x14ac:dyDescent="0.3">
      <c r="A30" s="11" t="s">
        <v>44</v>
      </c>
      <c r="B30" s="11">
        <v>5.44</v>
      </c>
      <c r="C30" s="11"/>
      <c r="D30" s="11"/>
      <c r="E30" s="11"/>
      <c r="F30" s="11"/>
      <c r="G30" s="11"/>
      <c r="T30" s="27"/>
      <c r="U30" s="28"/>
      <c r="V30" s="28"/>
      <c r="W30" s="28"/>
      <c r="X30" s="11"/>
      <c r="Y30" s="11"/>
      <c r="Z30" s="11"/>
      <c r="AA30" s="11"/>
      <c r="AB30" s="11"/>
    </row>
    <row r="31" spans="1:28" x14ac:dyDescent="0.3">
      <c r="A31" s="11" t="s">
        <v>47</v>
      </c>
      <c r="B31" s="11">
        <f>1/3.14159265358979*B30/2.5/2.4</f>
        <v>0.28860096347330388</v>
      </c>
      <c r="C31" s="11"/>
      <c r="D31" s="11"/>
      <c r="E31" s="11"/>
      <c r="F31" s="11"/>
      <c r="G31" s="11"/>
      <c r="U31" s="11"/>
      <c r="V31" s="11"/>
      <c r="W31" s="11"/>
      <c r="X31" s="11"/>
      <c r="Y31" s="11"/>
      <c r="Z31" s="11"/>
      <c r="AA31" s="11"/>
      <c r="AB31" s="11"/>
    </row>
    <row r="32" spans="1:28" x14ac:dyDescent="0.3">
      <c r="A32" s="17" t="s">
        <v>45</v>
      </c>
      <c r="B32" s="14">
        <f>((1/24)^2+(1/25)^2)^(1/2)*100</f>
        <v>5.7759078170544855</v>
      </c>
      <c r="C32" s="11"/>
      <c r="D32" s="11"/>
      <c r="E32" s="11"/>
      <c r="F32" s="11"/>
      <c r="G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3">
      <c r="A33" s="17" t="s">
        <v>46</v>
      </c>
      <c r="B33" s="18">
        <f>B32*B31/100</f>
        <v>1.6669325609349118E-2</v>
      </c>
      <c r="C33" s="11"/>
      <c r="D33" s="11"/>
      <c r="E33" s="11"/>
      <c r="F33" s="11"/>
      <c r="G33" s="11"/>
      <c r="V33" s="11"/>
      <c r="W33" s="11"/>
      <c r="X33" s="11"/>
      <c r="Y33" s="11"/>
      <c r="Z33" s="11"/>
      <c r="AA33" s="11"/>
      <c r="AB33" s="11"/>
    </row>
    <row r="34" spans="1:28" x14ac:dyDescent="0.3">
      <c r="A34" s="11"/>
      <c r="B34" s="11"/>
      <c r="C34" s="11"/>
      <c r="D34" s="11"/>
      <c r="E34" s="11"/>
      <c r="F34" s="11"/>
      <c r="G34" s="11"/>
      <c r="V34" s="11"/>
      <c r="W34" s="11"/>
      <c r="X34" s="11"/>
      <c r="Y34" s="11"/>
      <c r="Z34" s="11"/>
      <c r="AA34" s="11"/>
      <c r="AB34" s="11"/>
    </row>
    <row r="35" spans="1:28" x14ac:dyDescent="0.3">
      <c r="A35" s="11"/>
      <c r="B35" s="11"/>
      <c r="C35" s="11"/>
      <c r="D35" s="11"/>
      <c r="E35" s="11"/>
      <c r="F35" s="11"/>
      <c r="G35" s="11"/>
      <c r="V35" s="11"/>
      <c r="W35" s="11"/>
      <c r="X35" s="11"/>
      <c r="Y35" s="11"/>
      <c r="Z35" s="11"/>
      <c r="AA35" s="11"/>
      <c r="AB35" s="11"/>
    </row>
    <row r="36" spans="1:28" x14ac:dyDescent="0.3">
      <c r="A36" s="17"/>
      <c r="B36" s="11"/>
      <c r="C36" s="11"/>
      <c r="D36" s="11"/>
      <c r="E36" s="11"/>
      <c r="F36" s="11"/>
      <c r="G36" s="11"/>
      <c r="V36" s="11"/>
      <c r="W36" s="11"/>
      <c r="X36" s="11"/>
      <c r="Y36" s="11"/>
      <c r="Z36" s="11"/>
      <c r="AA36" s="11"/>
      <c r="AB36" s="11"/>
    </row>
    <row r="37" spans="1:28" x14ac:dyDescent="0.3">
      <c r="A37" s="11"/>
      <c r="B37" s="11"/>
      <c r="C37" s="11"/>
      <c r="D37" s="11"/>
      <c r="E37" s="11"/>
      <c r="F37" s="11"/>
      <c r="G37" s="11"/>
      <c r="V37" s="11"/>
      <c r="W37" s="11"/>
      <c r="X37" s="11"/>
      <c r="Y37" s="11"/>
      <c r="Z37" s="11"/>
      <c r="AA37" s="11"/>
      <c r="AB37" s="11"/>
    </row>
    <row r="38" spans="1:28" x14ac:dyDescent="0.3">
      <c r="A38" s="11"/>
      <c r="B38" s="11"/>
      <c r="C38" s="11"/>
      <c r="D38" s="11"/>
      <c r="E38" s="11"/>
      <c r="F38" s="11"/>
      <c r="G38" s="11"/>
      <c r="V38" s="11"/>
      <c r="W38" s="11"/>
      <c r="X38" s="11"/>
      <c r="Y38" s="11"/>
      <c r="Z38" s="11"/>
      <c r="AA38" s="11"/>
      <c r="AB38" s="11"/>
    </row>
    <row r="39" spans="1:28" x14ac:dyDescent="0.3">
      <c r="A39" s="11"/>
      <c r="B39" s="11"/>
      <c r="C39" s="11"/>
      <c r="D39" s="11"/>
      <c r="E39" s="11"/>
      <c r="F39" s="11"/>
      <c r="G39" s="11"/>
      <c r="V39" s="11"/>
      <c r="W39" s="11"/>
      <c r="X39" s="11"/>
      <c r="Y39" s="11"/>
      <c r="Z39" s="11"/>
      <c r="AA39" s="11"/>
      <c r="AB39" s="11"/>
    </row>
    <row r="40" spans="1:28" x14ac:dyDescent="0.3">
      <c r="A40" s="11"/>
      <c r="B40" s="11"/>
      <c r="C40" s="11"/>
      <c r="D40" s="11"/>
      <c r="E40" s="11"/>
      <c r="F40" s="11"/>
      <c r="G40" s="11"/>
      <c r="V40" s="11"/>
      <c r="W40" s="11"/>
      <c r="X40" s="11"/>
      <c r="Y40" s="11"/>
      <c r="Z40" s="11"/>
      <c r="AA40" s="11"/>
      <c r="AB40" s="11"/>
    </row>
    <row r="41" spans="1:28" x14ac:dyDescent="0.3">
      <c r="A41" s="17"/>
      <c r="B41" s="11"/>
      <c r="C41" s="11"/>
      <c r="D41" s="11"/>
      <c r="E41" s="11"/>
      <c r="F41" s="11"/>
      <c r="G41" s="11"/>
      <c r="V41" s="11"/>
      <c r="W41" s="11"/>
      <c r="X41" s="11"/>
      <c r="Y41" s="11"/>
      <c r="Z41" s="11"/>
      <c r="AA41" s="11"/>
      <c r="AB41" s="11"/>
    </row>
    <row r="42" spans="1:28" x14ac:dyDescent="0.3">
      <c r="A42" s="11"/>
      <c r="B42" s="11"/>
      <c r="C42" s="11"/>
      <c r="D42" s="11"/>
      <c r="E42" s="11"/>
      <c r="F42" s="11"/>
      <c r="G42" s="11"/>
    </row>
    <row r="43" spans="1:28" x14ac:dyDescent="0.3">
      <c r="A43" s="11"/>
      <c r="B43" s="11"/>
      <c r="C43" s="11"/>
      <c r="D43" s="11"/>
      <c r="E43" s="11"/>
      <c r="F43" s="11"/>
      <c r="G43" s="11"/>
      <c r="H43" s="12"/>
    </row>
    <row r="44" spans="1:28" x14ac:dyDescent="0.3">
      <c r="A44" s="11"/>
      <c r="B44" s="11"/>
      <c r="C44" s="11"/>
      <c r="D44" s="11"/>
      <c r="E44" s="11"/>
      <c r="F44" s="11"/>
      <c r="G44" s="11"/>
    </row>
    <row r="45" spans="1:28" x14ac:dyDescent="0.3">
      <c r="A45" s="11"/>
      <c r="B45" s="11"/>
      <c r="C45" s="11"/>
      <c r="D45" s="11"/>
      <c r="E45" s="11"/>
      <c r="F45" s="11"/>
      <c r="G45" s="11"/>
    </row>
    <row r="46" spans="1:28" x14ac:dyDescent="0.3">
      <c r="A46" s="11"/>
      <c r="B46" s="11"/>
      <c r="C46" s="11"/>
      <c r="D46" s="11"/>
      <c r="E46" s="11"/>
      <c r="F46" s="11"/>
      <c r="G46" s="11"/>
    </row>
    <row r="47" spans="1:28" x14ac:dyDescent="0.3">
      <c r="A47" s="11"/>
      <c r="B47" s="11"/>
      <c r="C47" s="11"/>
      <c r="D47" s="11"/>
      <c r="E47" s="11"/>
      <c r="F47" s="11"/>
      <c r="G47" s="11"/>
    </row>
    <row r="48" spans="1:28" x14ac:dyDescent="0.3">
      <c r="A48" s="11"/>
      <c r="B48" s="11"/>
      <c r="C48" s="11"/>
      <c r="D48" s="11"/>
      <c r="E48" s="11"/>
      <c r="F48" s="11"/>
      <c r="G48" s="11"/>
    </row>
    <row r="49" spans="1:7" x14ac:dyDescent="0.3">
      <c r="A49" s="11"/>
      <c r="B49" s="11"/>
      <c r="C49" s="11"/>
      <c r="D49" s="11"/>
      <c r="E49" s="11"/>
      <c r="F49" s="11"/>
      <c r="G49" s="11"/>
    </row>
    <row r="50" spans="1:7" x14ac:dyDescent="0.3">
      <c r="A50" s="11"/>
      <c r="B50" s="11"/>
      <c r="C50" s="11"/>
      <c r="D50" s="11"/>
      <c r="E50" s="11"/>
      <c r="F50" s="11"/>
      <c r="G50" s="11"/>
    </row>
    <row r="51" spans="1:7" x14ac:dyDescent="0.3">
      <c r="A51" s="11"/>
      <c r="B51" s="11"/>
      <c r="C51" s="11"/>
      <c r="D51" s="11"/>
      <c r="E51" s="11"/>
      <c r="F51" s="11"/>
      <c r="G51" s="11"/>
    </row>
    <row r="52" spans="1:7" x14ac:dyDescent="0.3">
      <c r="A52" s="11"/>
      <c r="B52" s="11"/>
      <c r="C52" s="11"/>
      <c r="D52" s="11"/>
      <c r="E52" s="11"/>
      <c r="F52" s="11"/>
      <c r="G52" s="11"/>
    </row>
    <row r="53" spans="1:7" x14ac:dyDescent="0.3">
      <c r="A53" s="11"/>
      <c r="B53" s="11"/>
      <c r="C53" s="11"/>
      <c r="D53" s="11"/>
      <c r="E53" s="11"/>
      <c r="F53" s="11"/>
      <c r="G53" s="11"/>
    </row>
    <row r="54" spans="1:7" x14ac:dyDescent="0.3">
      <c r="A54" s="11"/>
      <c r="B54" s="11"/>
      <c r="C54" s="11"/>
      <c r="D54" s="11"/>
      <c r="E54" s="11"/>
      <c r="F54" s="11"/>
      <c r="G54" s="11"/>
    </row>
    <row r="55" spans="1:7" x14ac:dyDescent="0.3">
      <c r="A55" s="11"/>
      <c r="B55" s="11"/>
      <c r="C55" s="11"/>
      <c r="D55" s="11"/>
      <c r="E55" s="11"/>
      <c r="F55" s="11"/>
      <c r="G55" s="11"/>
    </row>
    <row r="56" spans="1:7" x14ac:dyDescent="0.3">
      <c r="A56" s="11"/>
      <c r="B56" s="11"/>
      <c r="C56" s="11"/>
      <c r="D56" s="11"/>
      <c r="E56" s="11"/>
      <c r="F56" s="11"/>
      <c r="G56" s="11"/>
    </row>
  </sheetData>
  <mergeCells count="6">
    <mergeCell ref="B13:D13"/>
    <mergeCell ref="G2:N2"/>
    <mergeCell ref="P2:Q2"/>
    <mergeCell ref="S2:T2"/>
    <mergeCell ref="V2:W2"/>
    <mergeCell ref="B12:D12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Битюков</dc:creator>
  <cp:lastModifiedBy>Григорий Раевский</cp:lastModifiedBy>
  <cp:revision>1</cp:revision>
  <dcterms:created xsi:type="dcterms:W3CDTF">2023-03-07T07:29:17Z</dcterms:created>
  <dcterms:modified xsi:type="dcterms:W3CDTF">2024-03-01T08:08:57Z</dcterms:modified>
</cp:coreProperties>
</file>