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2SEM\Physics\lab_3_07\"/>
    </mc:Choice>
  </mc:AlternateContent>
  <xr:revisionPtr revIDLastSave="0" documentId="13_ncr:1_{196BFB40-1771-40F2-A5C0-DC9D29378B02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1" l="1"/>
  <c r="U25" i="1"/>
  <c r="U24" i="1"/>
  <c r="U31" i="1"/>
  <c r="U32" i="1"/>
  <c r="U2" i="1"/>
  <c r="I8" i="1"/>
  <c r="K8" i="1"/>
  <c r="F26" i="1" l="1"/>
  <c r="C26" i="1"/>
  <c r="F25" i="1"/>
  <c r="H25" i="1" s="1"/>
  <c r="C25" i="1"/>
  <c r="F24" i="1"/>
  <c r="C24" i="1"/>
  <c r="F23" i="1"/>
  <c r="C23" i="1"/>
  <c r="F22" i="1"/>
  <c r="E22" i="1"/>
  <c r="C22" i="1"/>
  <c r="E21" i="1"/>
  <c r="F20" i="1"/>
  <c r="C20" i="1"/>
  <c r="E20" i="1" s="1"/>
  <c r="E19" i="1"/>
  <c r="E17" i="1"/>
  <c r="E15" i="1"/>
  <c r="E13" i="1"/>
  <c r="R12" i="1"/>
  <c r="U3" i="1" s="1"/>
  <c r="U4" i="1" s="1"/>
  <c r="F12" i="1"/>
  <c r="C12" i="1"/>
  <c r="E12" i="1" s="1"/>
  <c r="R11" i="1"/>
  <c r="R10" i="1"/>
  <c r="R9" i="1"/>
  <c r="F8" i="1"/>
  <c r="R7" i="1"/>
  <c r="R8" i="1" s="1"/>
  <c r="U6" i="1" s="1"/>
  <c r="U7" i="1" s="1"/>
  <c r="R6" i="1"/>
  <c r="U5" i="1"/>
  <c r="H12" i="1" s="1"/>
  <c r="I12" i="1" s="1"/>
  <c r="R5" i="1"/>
  <c r="R3" i="1"/>
  <c r="R4" i="1" s="1"/>
  <c r="E14" i="1"/>
  <c r="J23" i="1" l="1"/>
  <c r="J24" i="1"/>
  <c r="L24" i="1"/>
  <c r="J25" i="1"/>
  <c r="J13" i="1"/>
  <c r="U16" i="1"/>
  <c r="U17" i="1" s="1"/>
  <c r="J16" i="1"/>
  <c r="J15" i="1"/>
  <c r="J20" i="1"/>
  <c r="K20" i="1" s="1"/>
  <c r="N20" i="1" s="1"/>
  <c r="O20" i="1" s="1"/>
  <c r="U10" i="1"/>
  <c r="U11" i="1" s="1"/>
  <c r="J21" i="1"/>
  <c r="K21" i="1" s="1"/>
  <c r="N21" i="1" s="1"/>
  <c r="O21" i="1" s="1"/>
  <c r="J19" i="1"/>
  <c r="K19" i="1" s="1"/>
  <c r="J22" i="1"/>
  <c r="K22" i="1" s="1"/>
  <c r="J14" i="1"/>
  <c r="K14" i="1" s="1"/>
  <c r="J12" i="1"/>
  <c r="K12" i="1" s="1"/>
  <c r="N12" i="1" s="1"/>
  <c r="O12" i="1" s="1"/>
  <c r="J17" i="1"/>
  <c r="K17" i="1" s="1"/>
  <c r="N17" i="1" s="1"/>
  <c r="O17" i="1" s="1"/>
  <c r="J18" i="1"/>
  <c r="K15" i="1"/>
  <c r="N15" i="1" s="1"/>
  <c r="O15" i="1" s="1"/>
  <c r="L22" i="1"/>
  <c r="L23" i="1"/>
  <c r="J26" i="1"/>
  <c r="K13" i="1"/>
  <c r="U12" i="1"/>
  <c r="L14" i="1"/>
  <c r="L16" i="1"/>
  <c r="M16" i="1" s="1"/>
  <c r="L20" i="1"/>
  <c r="M20" i="1" s="1"/>
  <c r="L25" i="1"/>
  <c r="M25" i="1" s="1"/>
  <c r="L21" i="1"/>
  <c r="M21" i="1" s="1"/>
  <c r="L13" i="1"/>
  <c r="M13" i="1" s="1"/>
  <c r="L15" i="1"/>
  <c r="M15" i="1" s="1"/>
  <c r="L19" i="1"/>
  <c r="L17" i="1"/>
  <c r="M17" i="1" s="1"/>
  <c r="U18" i="1"/>
  <c r="L12" i="1"/>
  <c r="M12" i="1" s="1"/>
  <c r="L18" i="1"/>
  <c r="L26" i="1"/>
  <c r="E24" i="1"/>
  <c r="K24" i="1" s="1"/>
  <c r="G8" i="1"/>
  <c r="H8" i="1" s="1"/>
  <c r="E26" i="1"/>
  <c r="K26" i="1" s="1"/>
  <c r="H15" i="1"/>
  <c r="I15" i="1" s="1"/>
  <c r="H22" i="1"/>
  <c r="I22" i="1" s="1"/>
  <c r="H19" i="1"/>
  <c r="I19" i="1" s="1"/>
  <c r="H26" i="1"/>
  <c r="I26" i="1" s="1"/>
  <c r="H23" i="1"/>
  <c r="I23" i="1" s="1"/>
  <c r="G3" i="1"/>
  <c r="E25" i="1"/>
  <c r="K25" i="1" s="1"/>
  <c r="N25" i="1" s="1"/>
  <c r="E18" i="1"/>
  <c r="H14" i="1"/>
  <c r="I14" i="1" s="1"/>
  <c r="H17" i="1"/>
  <c r="I17" i="1" s="1"/>
  <c r="E23" i="1"/>
  <c r="E16" i="1"/>
  <c r="H16" i="1"/>
  <c r="I16" i="1" s="1"/>
  <c r="H18" i="1"/>
  <c r="H20" i="1"/>
  <c r="I20" i="1" s="1"/>
  <c r="H24" i="1"/>
  <c r="H13" i="1"/>
  <c r="I13" i="1" s="1"/>
  <c r="H21" i="1"/>
  <c r="I21" i="1" s="1"/>
  <c r="F3" i="1"/>
  <c r="U21" i="1" l="1"/>
  <c r="I24" i="1"/>
  <c r="I25" i="1"/>
  <c r="M24" i="1"/>
  <c r="N24" i="1" s="1"/>
  <c r="O24" i="1" s="1"/>
  <c r="K16" i="1"/>
  <c r="N16" i="1" s="1"/>
  <c r="O16" i="1" s="1"/>
  <c r="K18" i="1"/>
  <c r="O25" i="1"/>
  <c r="M14" i="1"/>
  <c r="N14" i="1" s="1"/>
  <c r="O14" i="1" s="1"/>
  <c r="U13" i="1"/>
  <c r="N13" i="1"/>
  <c r="O13" i="1" s="1"/>
  <c r="M26" i="1"/>
  <c r="N26" i="1" s="1"/>
  <c r="O26" i="1" s="1"/>
  <c r="I18" i="1"/>
  <c r="M18" i="1"/>
  <c r="M23" i="1"/>
  <c r="M22" i="1"/>
  <c r="N22" i="1" s="1"/>
  <c r="O22" i="1" s="1"/>
  <c r="U19" i="1"/>
  <c r="U20" i="1" s="1"/>
  <c r="K23" i="1"/>
  <c r="N23" i="1" s="1"/>
  <c r="O23" i="1" s="1"/>
  <c r="U28" i="1"/>
  <c r="M19" i="1"/>
  <c r="N19" i="1" s="1"/>
  <c r="O19" i="1" s="1"/>
  <c r="N18" i="1" l="1"/>
  <c r="O18" i="1" s="1"/>
</calcChain>
</file>

<file path=xl/sharedStrings.xml><?xml version="1.0" encoding="utf-8"?>
<sst xmlns="http://schemas.openxmlformats.org/spreadsheetml/2006/main" count="72" uniqueCount="70">
  <si>
    <t>Таблица 1.</t>
  </si>
  <si>
    <t>Xc, дел.</t>
  </si>
  <si>
    <t>Yr, дел.</t>
  </si>
  <si>
    <t>Kx =  мВ/дел</t>
  </si>
  <si>
    <t>Ky =  мВ/дел</t>
  </si>
  <si>
    <t>Hc, А/м</t>
  </si>
  <si>
    <t>Br, Тл</t>
  </si>
  <si>
    <t>f, Гц</t>
  </si>
  <si>
    <t>α, Om/m</t>
  </si>
  <si>
    <t>R1, Om</t>
  </si>
  <si>
    <t>εα, %</t>
  </si>
  <si>
    <t>ΔR1, Om</t>
  </si>
  <si>
    <t>Δα, Om/m</t>
  </si>
  <si>
    <t>R2, Om</t>
  </si>
  <si>
    <t>β, Ом*Ф/м^2</t>
  </si>
  <si>
    <t>Таблица 2.</t>
  </si>
  <si>
    <t>ΔR2, Om</t>
  </si>
  <si>
    <t>εβ, %</t>
  </si>
  <si>
    <t>Xm, дел.</t>
  </si>
  <si>
    <t>Ym, дел.</t>
  </si>
  <si>
    <t>Hm, А/м</t>
  </si>
  <si>
    <t>Bm, Тл</t>
  </si>
  <si>
    <t>χ</t>
  </si>
  <si>
    <t>S</t>
  </si>
  <si>
    <t>P</t>
  </si>
  <si>
    <t>C1, Ф</t>
  </si>
  <si>
    <t>Δβ, Ом*Ф/м^2</t>
  </si>
  <si>
    <t>ΔC1, Ф</t>
  </si>
  <si>
    <t>S, м^2</t>
  </si>
  <si>
    <t>Таблица 3.</t>
  </si>
  <si>
    <t>ΔS, м^2</t>
  </si>
  <si>
    <t>εHc, %</t>
  </si>
  <si>
    <t>№</t>
  </si>
  <si>
    <t>U, В</t>
  </si>
  <si>
    <t>X, дел.</t>
  </si>
  <si>
    <t>Kx, В/дел.</t>
  </si>
  <si>
    <t>H, А/м</t>
  </si>
  <si>
    <t>Y, дел.</t>
  </si>
  <si>
    <t>Ky, В/дел.</t>
  </si>
  <si>
    <t>B, Тл</t>
  </si>
  <si>
    <t>μ</t>
  </si>
  <si>
    <t>εH</t>
  </si>
  <si>
    <t>ΔH</t>
  </si>
  <si>
    <t>εB</t>
  </si>
  <si>
    <t>ΔB</t>
  </si>
  <si>
    <t>εμ</t>
  </si>
  <si>
    <t>Δμ</t>
  </si>
  <si>
    <t>L, м</t>
  </si>
  <si>
    <t>ΔHc, A/m</t>
  </si>
  <si>
    <t>ΔL, м</t>
  </si>
  <si>
    <t>εBr, %</t>
  </si>
  <si>
    <t>N1</t>
  </si>
  <si>
    <t>ΔBr, Тл</t>
  </si>
  <si>
    <t>N2</t>
  </si>
  <si>
    <t>μ0</t>
  </si>
  <si>
    <t>εHm, %</t>
  </si>
  <si>
    <t>ΔHm, A/m</t>
  </si>
  <si>
    <t>εBm, %</t>
  </si>
  <si>
    <t>ΔBm, Тл</t>
  </si>
  <si>
    <t>εμm</t>
  </si>
  <si>
    <t>Δμm</t>
  </si>
  <si>
    <t>εχ</t>
  </si>
  <si>
    <t>Δχ</t>
  </si>
  <si>
    <t>ΔS</t>
  </si>
  <si>
    <t>εP</t>
  </si>
  <si>
    <t>ΔP</t>
  </si>
  <si>
    <t>μ max</t>
  </si>
  <si>
    <t>Hi (μ max)</t>
  </si>
  <si>
    <r>
      <rPr>
        <sz val="11"/>
        <rFont val="Calibri"/>
        <family val="2"/>
        <charset val="204"/>
      </rPr>
      <t>μ</t>
    </r>
    <r>
      <rPr>
        <sz val="11"/>
        <rFont val="Calibri"/>
        <family val="2"/>
        <charset val="204"/>
        <scheme val="minor"/>
      </rPr>
      <t>m</t>
    </r>
  </si>
  <si>
    <r>
      <t>4</t>
    </r>
    <r>
      <rPr>
        <sz val="11"/>
        <rFont val="Calibri"/>
        <family val="2"/>
        <charset val="204"/>
      </rPr>
      <t>π*10^-7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</si>
</sst>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0"/>
  </numFmts>
  <fonts count="3" x14ac:knownFonts="1">
    <font>
      <sz val="11"/>
      <color theme="1"/>
      <name val="Calibri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2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0" fontId="2" fillId="0" borderId="1" xfId="0" applyFont="1" applyBorder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  <xf numFmtId="0" fontId="1" fillId="2" borderId="0" xfId="0" applyFont="1" applyFill="1"/>
    <xf numFmtId="0" fontId="2" fillId="2" borderId="0" xfId="0" applyFont="1" applyFill="1"/>
    <xf numFmtId="2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Лист1!$E$12:$E$26</c:f>
              <c:numCache>
                <c:formatCode>0.0</c:formatCode>
                <c:ptCount val="15"/>
                <c:pt idx="0">
                  <c:v>103.59162895927602</c:v>
                </c:pt>
                <c:pt idx="1">
                  <c:v>94.174208144796381</c:v>
                </c:pt>
                <c:pt idx="2">
                  <c:v>84.756787330316754</c:v>
                </c:pt>
                <c:pt idx="3">
                  <c:v>81.617647058823536</c:v>
                </c:pt>
                <c:pt idx="4">
                  <c:v>72.200226244343881</c:v>
                </c:pt>
                <c:pt idx="5">
                  <c:v>69.061085972850691</c:v>
                </c:pt>
                <c:pt idx="6">
                  <c:v>59.643665158371043</c:v>
                </c:pt>
                <c:pt idx="7">
                  <c:v>53.36538461538462</c:v>
                </c:pt>
                <c:pt idx="8">
                  <c:v>51.795814479638011</c:v>
                </c:pt>
                <c:pt idx="9">
                  <c:v>47.087104072398191</c:v>
                </c:pt>
                <c:pt idx="10">
                  <c:v>43.32013574660634</c:v>
                </c:pt>
                <c:pt idx="11">
                  <c:v>39.867081447963805</c:v>
                </c:pt>
                <c:pt idx="12">
                  <c:v>37.66968325791855</c:v>
                </c:pt>
                <c:pt idx="13">
                  <c:v>33.588800904977376</c:v>
                </c:pt>
                <c:pt idx="14">
                  <c:v>33.274886877828052</c:v>
                </c:pt>
              </c:numCache>
            </c:numRef>
          </c:xVal>
          <c:yVal>
            <c:numRef>
              <c:f>Лист1!$H$12:$H$26</c:f>
              <c:numCache>
                <c:formatCode>0.00</c:formatCode>
                <c:ptCount val="15"/>
                <c:pt idx="0">
                  <c:v>0.46258054123711329</c:v>
                </c:pt>
                <c:pt idx="1">
                  <c:v>0.44478898195876276</c:v>
                </c:pt>
                <c:pt idx="2">
                  <c:v>0.40920586340206172</c:v>
                </c:pt>
                <c:pt idx="3">
                  <c:v>0.39141430412371131</c:v>
                </c:pt>
                <c:pt idx="4">
                  <c:v>0.37362274484536073</c:v>
                </c:pt>
                <c:pt idx="5">
                  <c:v>0.35583118556701021</c:v>
                </c:pt>
                <c:pt idx="6">
                  <c:v>0.33803962628865969</c:v>
                </c:pt>
                <c:pt idx="7">
                  <c:v>0.32024806701030917</c:v>
                </c:pt>
                <c:pt idx="8">
                  <c:v>0.27043170103092773</c:v>
                </c:pt>
                <c:pt idx="9">
                  <c:v>0.25264014175257721</c:v>
                </c:pt>
                <c:pt idx="10">
                  <c:v>0.2366277384020618</c:v>
                </c:pt>
                <c:pt idx="11">
                  <c:v>0.20994039948453599</c:v>
                </c:pt>
                <c:pt idx="12">
                  <c:v>0.18787886597938142</c:v>
                </c:pt>
                <c:pt idx="13">
                  <c:v>0.16546150128865975</c:v>
                </c:pt>
                <c:pt idx="14">
                  <c:v>0.13877416237113399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5D-43E4-B773-7F9D04AF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95232"/>
        <c:axId val="42893696"/>
      </c:scatterChart>
      <c:valAx>
        <c:axId val="4289523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42893696"/>
        <c:crosses val="autoZero"/>
        <c:crossBetween val="midCat"/>
      </c:valAx>
      <c:valAx>
        <c:axId val="42893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89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Лист1!$E$12:$E$26</c:f>
              <c:numCache>
                <c:formatCode>0.0</c:formatCode>
                <c:ptCount val="15"/>
                <c:pt idx="0">
                  <c:v>103.59162895927602</c:v>
                </c:pt>
                <c:pt idx="1">
                  <c:v>94.174208144796381</c:v>
                </c:pt>
                <c:pt idx="2">
                  <c:v>84.756787330316754</c:v>
                </c:pt>
                <c:pt idx="3">
                  <c:v>81.617647058823536</c:v>
                </c:pt>
                <c:pt idx="4">
                  <c:v>72.200226244343881</c:v>
                </c:pt>
                <c:pt idx="5">
                  <c:v>69.061085972850691</c:v>
                </c:pt>
                <c:pt idx="6">
                  <c:v>59.643665158371043</c:v>
                </c:pt>
                <c:pt idx="7">
                  <c:v>53.36538461538462</c:v>
                </c:pt>
                <c:pt idx="8">
                  <c:v>51.795814479638011</c:v>
                </c:pt>
                <c:pt idx="9">
                  <c:v>47.087104072398191</c:v>
                </c:pt>
                <c:pt idx="10">
                  <c:v>43.32013574660634</c:v>
                </c:pt>
                <c:pt idx="11">
                  <c:v>39.867081447963805</c:v>
                </c:pt>
                <c:pt idx="12">
                  <c:v>37.66968325791855</c:v>
                </c:pt>
                <c:pt idx="13">
                  <c:v>33.588800904977376</c:v>
                </c:pt>
                <c:pt idx="14">
                  <c:v>33.274886877828052</c:v>
                </c:pt>
              </c:numCache>
            </c:numRef>
          </c:xVal>
          <c:yVal>
            <c:numRef>
              <c:f>Лист1!$I$12:$I$26</c:f>
              <c:numCache>
                <c:formatCode>0.0</c:formatCode>
                <c:ptCount val="15"/>
                <c:pt idx="0">
                  <c:v>3553.4714752363475</c:v>
                </c:pt>
                <c:pt idx="1">
                  <c:v>3758.4794449615215</c:v>
                </c:pt>
                <c:pt idx="2">
                  <c:v>3842.0012104051107</c:v>
                </c:pt>
                <c:pt idx="3">
                  <c:v>3816.3022056532386</c:v>
                </c:pt>
                <c:pt idx="4">
                  <c:v>4117.9861744795817</c:v>
                </c:pt>
                <c:pt idx="5">
                  <c:v>4100.1593945034774</c:v>
                </c:pt>
                <c:pt idx="6">
                  <c:v>4510.1753339538254</c:v>
                </c:pt>
                <c:pt idx="7">
                  <c:v>4775.4797653628739</c:v>
                </c:pt>
                <c:pt idx="8">
                  <c:v>4154.8281864301907</c:v>
                </c:pt>
                <c:pt idx="9">
                  <c:v>4269.632649476288</c:v>
                </c:pt>
                <c:pt idx="10">
                  <c:v>4346.7631841728908</c:v>
                </c:pt>
                <c:pt idx="11">
                  <c:v>4190.5566095004042</c:v>
                </c:pt>
                <c:pt idx="12">
                  <c:v>3968.9542938793679</c:v>
                </c:pt>
                <c:pt idx="13">
                  <c:v>3920.0589351187459</c:v>
                </c:pt>
                <c:pt idx="14">
                  <c:v>3318.8082646075327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12-48BD-9D04-15194D8F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0688"/>
        <c:axId val="192529152"/>
      </c:scatterChart>
      <c:valAx>
        <c:axId val="19253068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92529152"/>
        <c:crosses val="autoZero"/>
        <c:crossBetween val="midCat"/>
      </c:valAx>
      <c:valAx>
        <c:axId val="192529152"/>
        <c:scaling>
          <c:orientation val="minMax"/>
          <c:min val="30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253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27</xdr:row>
      <xdr:rowOff>33336</xdr:rowOff>
    </xdr:from>
    <xdr:to>
      <xdr:col>7</xdr:col>
      <xdr:colOff>66675</xdr:colOff>
      <xdr:row>41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27</xdr:row>
      <xdr:rowOff>23811</xdr:rowOff>
    </xdr:from>
    <xdr:to>
      <xdr:col>14</xdr:col>
      <xdr:colOff>419100</xdr:colOff>
      <xdr:row>41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topLeftCell="C24" zoomScale="175" zoomScaleNormal="175" workbookViewId="0">
      <selection activeCell="AJ30" sqref="AJ30"/>
    </sheetView>
  </sheetViews>
  <sheetFormatPr defaultRowHeight="14.4" x14ac:dyDescent="0.3"/>
  <cols>
    <col min="1" max="1" width="10" style="1" customWidth="1"/>
    <col min="2" max="2" width="8.88671875" style="1" customWidth="1"/>
    <col min="3" max="3" width="8.88671875" style="1"/>
    <col min="4" max="5" width="12.33203125" style="1" bestFit="1" customWidth="1"/>
    <col min="6" max="8" width="12.33203125" style="1" customWidth="1"/>
    <col min="9" max="11" width="8.88671875" style="1"/>
    <col min="12" max="12" width="9.109375" style="1" customWidth="1"/>
    <col min="13" max="13" width="12" style="1" bestFit="1" customWidth="1"/>
    <col min="14" max="14" width="8.88671875" style="1"/>
    <col min="15" max="15" width="14" style="1" bestFit="1" customWidth="1"/>
    <col min="16" max="16" width="6.6640625" style="1" customWidth="1"/>
    <col min="17" max="17" width="8.88671875" style="1"/>
    <col min="18" max="18" width="8.88671875" style="1" customWidth="1"/>
    <col min="19" max="19" width="4.33203125" style="1" customWidth="1"/>
    <col min="20" max="16384" width="8.88671875" style="1"/>
  </cols>
  <sheetData>
    <row r="1" spans="1:21" x14ac:dyDescent="0.3">
      <c r="A1" s="1" t="s">
        <v>0</v>
      </c>
    </row>
    <row r="2" spans="1:2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Q2" s="1" t="s">
        <v>7</v>
      </c>
      <c r="R2" s="1">
        <v>30</v>
      </c>
      <c r="T2" s="3" t="s">
        <v>8</v>
      </c>
      <c r="U2" s="4">
        <f>R13/R3/R11</f>
        <v>313.91402714932127</v>
      </c>
    </row>
    <row r="3" spans="1:21" x14ac:dyDescent="0.3">
      <c r="B3" s="2">
        <v>1.1000000000000001</v>
      </c>
      <c r="C3" s="2">
        <v>1.4</v>
      </c>
      <c r="D3" s="2">
        <v>100</v>
      </c>
      <c r="E3" s="2">
        <v>50</v>
      </c>
      <c r="F3" s="5">
        <f>U2*B3*D3/1000</f>
        <v>34.530542986425345</v>
      </c>
      <c r="G3" s="6">
        <f>U5*C3*E3/1000</f>
        <v>0.24908182989690714</v>
      </c>
      <c r="Q3" s="1" t="s">
        <v>9</v>
      </c>
      <c r="R3" s="1">
        <f>68</f>
        <v>68</v>
      </c>
      <c r="T3" s="3" t="s">
        <v>10</v>
      </c>
      <c r="U3" s="4">
        <f>((R12/R11)^2+(R4/R3)^2)^(1/2)*100</f>
        <v>10.081847821198718</v>
      </c>
    </row>
    <row r="4" spans="1:21" x14ac:dyDescent="0.3">
      <c r="Q4" s="3" t="s">
        <v>11</v>
      </c>
      <c r="R4" s="1">
        <f>R3*0.1</f>
        <v>6.8000000000000007</v>
      </c>
      <c r="T4" s="3" t="s">
        <v>12</v>
      </c>
      <c r="U4" s="4">
        <f>U3*U2/100</f>
        <v>31.648334506590999</v>
      </c>
    </row>
    <row r="5" spans="1:21" x14ac:dyDescent="0.3">
      <c r="Q5" s="1" t="s">
        <v>13</v>
      </c>
      <c r="R5" s="1">
        <f>470*10^3</f>
        <v>470000</v>
      </c>
      <c r="T5" s="3" t="s">
        <v>14</v>
      </c>
      <c r="U5" s="4">
        <f>R5*R7/R14/R9</f>
        <v>3.5583118556701021</v>
      </c>
    </row>
    <row r="6" spans="1:21" x14ac:dyDescent="0.3">
      <c r="A6" s="1" t="s">
        <v>15</v>
      </c>
      <c r="Q6" s="3" t="s">
        <v>16</v>
      </c>
      <c r="R6" s="1">
        <f>R5*0.1</f>
        <v>47000</v>
      </c>
      <c r="T6" s="3" t="s">
        <v>17</v>
      </c>
      <c r="U6" s="4">
        <f>((R8/R7)^2+(R6/R5)^2+(R10/R9)^2)^(1/2)*100</f>
        <v>16.156582443388206</v>
      </c>
    </row>
    <row r="7" spans="1:21" x14ac:dyDescent="0.3">
      <c r="B7" s="2" t="s">
        <v>18</v>
      </c>
      <c r="C7" s="2" t="s">
        <v>19</v>
      </c>
      <c r="D7" s="2" t="s">
        <v>3</v>
      </c>
      <c r="E7" s="2" t="s">
        <v>4</v>
      </c>
      <c r="F7" s="2" t="s">
        <v>20</v>
      </c>
      <c r="G7" s="2" t="s">
        <v>21</v>
      </c>
      <c r="H7" s="2" t="s">
        <v>68</v>
      </c>
      <c r="I7" s="2" t="s">
        <v>22</v>
      </c>
      <c r="J7" s="2" t="s">
        <v>23</v>
      </c>
      <c r="K7" s="2" t="s">
        <v>24</v>
      </c>
      <c r="Q7" s="3" t="s">
        <v>25</v>
      </c>
      <c r="R7" s="1">
        <f>0.47*10^-6</f>
        <v>4.6999999999999995E-7</v>
      </c>
      <c r="T7" s="3" t="s">
        <v>26</v>
      </c>
      <c r="U7" s="4">
        <f>U6*U5/100</f>
        <v>0.57490158855419682</v>
      </c>
    </row>
    <row r="8" spans="1:21" x14ac:dyDescent="0.3">
      <c r="B8" s="2">
        <v>3.3</v>
      </c>
      <c r="C8" s="2">
        <v>2.6</v>
      </c>
      <c r="D8" s="2">
        <v>100</v>
      </c>
      <c r="E8" s="2">
        <v>50</v>
      </c>
      <c r="F8" s="6">
        <f>U2*B8*D8/1000</f>
        <v>103.59162895927601</v>
      </c>
      <c r="G8" s="6">
        <f>E8*C8*U5/1000</f>
        <v>0.46258054123711329</v>
      </c>
      <c r="H8" s="5">
        <f>G8/(F8*4*3.14159265358979*10^-7)</f>
        <v>3553.4714752363484</v>
      </c>
      <c r="I8" s="7">
        <f>D8/1000*E8/1000*R13*R5*R7/R14/R3*R2</f>
        <v>8.3641259854457233E-4</v>
      </c>
      <c r="J8" s="2">
        <v>8.43</v>
      </c>
      <c r="K8" s="8">
        <f>J8*I8</f>
        <v>7.0509582057307445E-3</v>
      </c>
      <c r="Q8" s="3" t="s">
        <v>27</v>
      </c>
      <c r="R8" s="1">
        <f>R7*0.1</f>
        <v>4.6999999999999997E-8</v>
      </c>
    </row>
    <row r="9" spans="1:21" x14ac:dyDescent="0.3">
      <c r="Q9" s="3" t="s">
        <v>28</v>
      </c>
      <c r="R9" s="1">
        <f>0.64*10^-4</f>
        <v>6.4000000000000011E-5</v>
      </c>
    </row>
    <row r="10" spans="1:21" x14ac:dyDescent="0.3">
      <c r="A10" s="1" t="s">
        <v>29</v>
      </c>
      <c r="Q10" s="3" t="s">
        <v>30</v>
      </c>
      <c r="R10" s="1">
        <f>0.05*10^-4</f>
        <v>5.0000000000000004E-6</v>
      </c>
      <c r="T10" s="3" t="s">
        <v>31</v>
      </c>
      <c r="U10" s="4">
        <f>((0.1/B3)^2+(U4/U2)^2)^(1/2)*100</f>
        <v>13.57528208137801</v>
      </c>
    </row>
    <row r="11" spans="1:21" x14ac:dyDescent="0.3">
      <c r="A11" s="2" t="s">
        <v>32</v>
      </c>
      <c r="B11" s="2" t="s">
        <v>33</v>
      </c>
      <c r="C11" s="2" t="s">
        <v>34</v>
      </c>
      <c r="D11" s="2" t="s">
        <v>35</v>
      </c>
      <c r="E11" s="2" t="s">
        <v>36</v>
      </c>
      <c r="F11" s="2" t="s">
        <v>37</v>
      </c>
      <c r="G11" s="2" t="s">
        <v>38</v>
      </c>
      <c r="H11" s="2" t="s">
        <v>39</v>
      </c>
      <c r="I11" s="9" t="s">
        <v>40</v>
      </c>
      <c r="J11" s="9" t="s">
        <v>41</v>
      </c>
      <c r="K11" s="9" t="s">
        <v>42</v>
      </c>
      <c r="L11" s="9" t="s">
        <v>43</v>
      </c>
      <c r="M11" s="9" t="s">
        <v>44</v>
      </c>
      <c r="N11" s="9" t="s">
        <v>45</v>
      </c>
      <c r="O11" s="9" t="s">
        <v>46</v>
      </c>
      <c r="Q11" s="3" t="s">
        <v>47</v>
      </c>
      <c r="R11" s="1">
        <f>7.8*10^-2</f>
        <v>7.8E-2</v>
      </c>
      <c r="T11" s="3" t="s">
        <v>48</v>
      </c>
      <c r="U11" s="4">
        <f>U10*F3/100</f>
        <v>4.6876186146387315</v>
      </c>
    </row>
    <row r="12" spans="1:21" x14ac:dyDescent="0.3">
      <c r="A12" s="2">
        <v>1</v>
      </c>
      <c r="B12" s="2">
        <v>20</v>
      </c>
      <c r="C12" s="5">
        <f>B8</f>
        <v>3.3</v>
      </c>
      <c r="D12" s="2">
        <v>100</v>
      </c>
      <c r="E12" s="5">
        <f t="shared" ref="E12:E26" si="0">C12*D12/1000*$U$2</f>
        <v>103.59162895927602</v>
      </c>
      <c r="F12" s="5">
        <f>C8</f>
        <v>2.6</v>
      </c>
      <c r="G12" s="2">
        <v>50</v>
      </c>
      <c r="H12" s="6">
        <f t="shared" ref="H12:H26" si="1">F12*G12/1000*$U$5</f>
        <v>0.46258054123711329</v>
      </c>
      <c r="I12" s="5">
        <f t="shared" ref="I12:I26" si="2">H12/(E12*4*3.14159265358979*10^-7)</f>
        <v>3553.4714752363475</v>
      </c>
      <c r="J12" s="5">
        <f t="shared" ref="J12:J26" si="3">((0.1/C12)^2+($U$4/$U$2)^2)^(1/2)*100</f>
        <v>10.527411455114361</v>
      </c>
      <c r="K12" s="5">
        <f t="shared" ref="K12:K26" si="4">E12*J12/100</f>
        <v>10.90551701359839</v>
      </c>
      <c r="L12" s="5">
        <f t="shared" ref="L12:L26" si="5">((0.1/F12)^2+($U$7/$U$5)^2)^(1/2)*100</f>
        <v>16.608072003043702</v>
      </c>
      <c r="M12" s="6">
        <f t="shared" ref="M12:M26" si="6">L12*H12/100</f>
        <v>7.6825709360729036E-2</v>
      </c>
      <c r="N12" s="5">
        <f t="shared" ref="N12:N26" si="7">((K12/E12)^2+(M12/H12)^2)^(1/2)*100</f>
        <v>19.663530903770994</v>
      </c>
      <c r="O12" s="5">
        <f t="shared" ref="O12:O26" si="8">N12*I12/100</f>
        <v>698.73796168978618</v>
      </c>
      <c r="Q12" s="3" t="s">
        <v>49</v>
      </c>
      <c r="R12" s="1">
        <f>0.1*10^-2</f>
        <v>1E-3</v>
      </c>
      <c r="T12" s="3" t="s">
        <v>50</v>
      </c>
      <c r="U12" s="4">
        <f>((0.1/C3)^2+(U7/U5)^2)^(1/2)*100</f>
        <v>17.665094520360352</v>
      </c>
    </row>
    <row r="13" spans="1:21" x14ac:dyDescent="0.3">
      <c r="A13" s="2">
        <v>2</v>
      </c>
      <c r="B13" s="2">
        <v>19</v>
      </c>
      <c r="C13" s="5">
        <v>3</v>
      </c>
      <c r="D13" s="2">
        <v>100</v>
      </c>
      <c r="E13" s="5">
        <f t="shared" si="0"/>
        <v>94.174208144796381</v>
      </c>
      <c r="F13" s="5">
        <v>2.5</v>
      </c>
      <c r="G13" s="2">
        <v>50</v>
      </c>
      <c r="H13" s="6">
        <f t="shared" si="1"/>
        <v>0.44478898195876276</v>
      </c>
      <c r="I13" s="5">
        <f t="shared" si="2"/>
        <v>3758.4794449615215</v>
      </c>
      <c r="J13" s="5">
        <f t="shared" si="3"/>
        <v>10.618604738896746</v>
      </c>
      <c r="K13" s="5">
        <f t="shared" si="4"/>
        <v>9.9999869288818335</v>
      </c>
      <c r="L13" s="5">
        <f t="shared" si="5"/>
        <v>16.64437311075428</v>
      </c>
      <c r="M13" s="6">
        <f t="shared" si="6"/>
        <v>7.4032337712742022E-2</v>
      </c>
      <c r="N13" s="5">
        <f t="shared" si="7"/>
        <v>19.743098106703531</v>
      </c>
      <c r="O13" s="5">
        <f t="shared" si="8"/>
        <v>742.04028413903961</v>
      </c>
      <c r="Q13" s="3" t="s">
        <v>51</v>
      </c>
      <c r="R13" s="1">
        <v>1665</v>
      </c>
      <c r="T13" s="3" t="s">
        <v>52</v>
      </c>
      <c r="U13" s="10">
        <f>U12*G3/100</f>
        <v>4.4000540684331832E-2</v>
      </c>
    </row>
    <row r="14" spans="1:21" x14ac:dyDescent="0.3">
      <c r="A14" s="2">
        <v>3</v>
      </c>
      <c r="B14" s="2">
        <v>18</v>
      </c>
      <c r="C14" s="5">
        <v>2.7</v>
      </c>
      <c r="D14" s="2">
        <v>100</v>
      </c>
      <c r="E14" s="5">
        <f t="shared" si="0"/>
        <v>84.756787330316754</v>
      </c>
      <c r="F14" s="5">
        <v>2.2999999999999998</v>
      </c>
      <c r="G14" s="2">
        <v>50</v>
      </c>
      <c r="H14" s="6">
        <f t="shared" si="1"/>
        <v>0.40920586340206172</v>
      </c>
      <c r="I14" s="5">
        <f t="shared" si="2"/>
        <v>3842.0012104051107</v>
      </c>
      <c r="J14" s="5">
        <f t="shared" si="3"/>
        <v>10.740627384591548</v>
      </c>
      <c r="K14" s="5">
        <f t="shared" si="4"/>
        <v>9.1034107103000217</v>
      </c>
      <c r="L14" s="5">
        <f t="shared" si="5"/>
        <v>16.73137017498626</v>
      </c>
      <c r="M14" s="6">
        <f t="shared" si="6"/>
        <v>6.8465747783547568E-2</v>
      </c>
      <c r="N14" s="5">
        <f t="shared" si="7"/>
        <v>19.882148388618813</v>
      </c>
      <c r="O14" s="5">
        <f t="shared" si="8"/>
        <v>763.87238174527511</v>
      </c>
      <c r="Q14" s="3" t="s">
        <v>53</v>
      </c>
      <c r="R14" s="1">
        <v>970</v>
      </c>
    </row>
    <row r="15" spans="1:21" x14ac:dyDescent="0.3">
      <c r="A15" s="2">
        <v>4</v>
      </c>
      <c r="B15" s="2">
        <v>17</v>
      </c>
      <c r="C15" s="5">
        <v>2.6</v>
      </c>
      <c r="D15" s="2">
        <v>100</v>
      </c>
      <c r="E15" s="5">
        <f t="shared" si="0"/>
        <v>81.617647058823536</v>
      </c>
      <c r="F15" s="5">
        <v>2.2000000000000002</v>
      </c>
      <c r="G15" s="2">
        <v>50</v>
      </c>
      <c r="H15" s="6">
        <f t="shared" si="1"/>
        <v>0.39141430412371131</v>
      </c>
      <c r="I15" s="5">
        <f t="shared" si="2"/>
        <v>3816.3022056532386</v>
      </c>
      <c r="J15" s="5">
        <f t="shared" si="3"/>
        <v>10.790577134615802</v>
      </c>
      <c r="K15" s="5">
        <f t="shared" si="4"/>
        <v>8.8070151613408392</v>
      </c>
      <c r="L15" s="5">
        <f t="shared" si="5"/>
        <v>16.783811047399023</v>
      </c>
      <c r="M15" s="6">
        <f t="shared" si="6"/>
        <v>6.5694237216615464E-2</v>
      </c>
      <c r="N15" s="5">
        <f t="shared" si="7"/>
        <v>19.953267105235845</v>
      </c>
      <c r="O15" s="5">
        <f t="shared" si="8"/>
        <v>761.47697263699763</v>
      </c>
      <c r="Q15" s="3" t="s">
        <v>54</v>
      </c>
      <c r="R15" s="1" t="s">
        <v>69</v>
      </c>
    </row>
    <row r="16" spans="1:21" x14ac:dyDescent="0.3">
      <c r="A16" s="2">
        <v>5</v>
      </c>
      <c r="B16" s="2">
        <v>16</v>
      </c>
      <c r="C16" s="5">
        <v>2.2999999999999998</v>
      </c>
      <c r="D16" s="2">
        <v>100</v>
      </c>
      <c r="E16" s="5">
        <f t="shared" si="0"/>
        <v>72.200226244343881</v>
      </c>
      <c r="F16" s="5">
        <v>2.1</v>
      </c>
      <c r="G16" s="2">
        <v>50</v>
      </c>
      <c r="H16" s="6">
        <f t="shared" si="1"/>
        <v>0.37362274484536073</v>
      </c>
      <c r="I16" s="5">
        <f t="shared" si="2"/>
        <v>4117.9861744795817</v>
      </c>
      <c r="J16" s="5">
        <f t="shared" si="3"/>
        <v>10.979401038864962</v>
      </c>
      <c r="K16" s="5">
        <f t="shared" si="4"/>
        <v>7.9271523903343448</v>
      </c>
      <c r="L16" s="5">
        <f t="shared" si="5"/>
        <v>16.843719696416564</v>
      </c>
      <c r="M16" s="6">
        <f t="shared" si="6"/>
        <v>6.2931967863810223E-2</v>
      </c>
      <c r="N16" s="5">
        <f t="shared" si="7"/>
        <v>20.106171698851082</v>
      </c>
      <c r="O16" s="5">
        <f t="shared" si="8"/>
        <v>827.96937077581401</v>
      </c>
      <c r="T16" s="3" t="s">
        <v>55</v>
      </c>
      <c r="U16" s="4">
        <f>((0.1/B8)^2+(U4/U2)^2)^(1/2)*100</f>
        <v>10.527411455114361</v>
      </c>
    </row>
    <row r="17" spans="1:21" x14ac:dyDescent="0.3">
      <c r="A17" s="2">
        <v>6</v>
      </c>
      <c r="B17" s="2">
        <v>15</v>
      </c>
      <c r="C17" s="5">
        <v>2.2000000000000002</v>
      </c>
      <c r="D17" s="2">
        <v>100</v>
      </c>
      <c r="E17" s="5">
        <f t="shared" si="0"/>
        <v>69.061085972850691</v>
      </c>
      <c r="F17" s="5">
        <v>2</v>
      </c>
      <c r="G17" s="2">
        <v>50</v>
      </c>
      <c r="H17" s="6">
        <f t="shared" si="1"/>
        <v>0.35583118556701021</v>
      </c>
      <c r="I17" s="5">
        <f t="shared" si="2"/>
        <v>4100.1593945034774</v>
      </c>
      <c r="J17" s="5">
        <f t="shared" si="3"/>
        <v>11.059150623560686</v>
      </c>
      <c r="K17" s="5">
        <f t="shared" si="4"/>
        <v>7.6375695200042992</v>
      </c>
      <c r="L17" s="5">
        <f t="shared" si="5"/>
        <v>16.912573909668513</v>
      </c>
      <c r="M17" s="6">
        <f t="shared" si="6"/>
        <v>6.0180212252670319E-2</v>
      </c>
      <c r="N17" s="5">
        <f t="shared" si="7"/>
        <v>20.207423605314034</v>
      </c>
      <c r="O17" s="5">
        <f t="shared" si="8"/>
        <v>828.53657734039666</v>
      </c>
      <c r="T17" s="3" t="s">
        <v>56</v>
      </c>
      <c r="U17" s="10">
        <f>F8*U16/100</f>
        <v>10.90551701359839</v>
      </c>
    </row>
    <row r="18" spans="1:21" x14ac:dyDescent="0.3">
      <c r="A18" s="2">
        <v>7</v>
      </c>
      <c r="B18" s="2">
        <v>14</v>
      </c>
      <c r="C18" s="5">
        <v>1.9</v>
      </c>
      <c r="D18" s="2">
        <v>100</v>
      </c>
      <c r="E18" s="5">
        <f t="shared" si="0"/>
        <v>59.643665158371043</v>
      </c>
      <c r="F18" s="5">
        <v>1.9</v>
      </c>
      <c r="G18" s="2">
        <v>50</v>
      </c>
      <c r="H18" s="6">
        <f t="shared" si="1"/>
        <v>0.33803962628865969</v>
      </c>
      <c r="I18" s="5">
        <f t="shared" si="2"/>
        <v>4510.1753339538254</v>
      </c>
      <c r="J18" s="5">
        <f t="shared" si="3"/>
        <v>11.372971753888255</v>
      </c>
      <c r="K18" s="5">
        <f t="shared" si="4"/>
        <v>6.7832571914452284</v>
      </c>
      <c r="L18" s="5">
        <f t="shared" si="5"/>
        <v>16.992233145614815</v>
      </c>
      <c r="M18" s="6">
        <f t="shared" si="6"/>
        <v>5.7440481423534084E-2</v>
      </c>
      <c r="N18" s="5">
        <f t="shared" si="7"/>
        <v>20.44701625640452</v>
      </c>
      <c r="O18" s="5">
        <f t="shared" si="8"/>
        <v>922.19628372588556</v>
      </c>
      <c r="T18" s="3" t="s">
        <v>57</v>
      </c>
      <c r="U18" s="4">
        <f>((0.1/C8)^2+(U7/U5)^2)^(1/2)*100</f>
        <v>16.608072003043702</v>
      </c>
    </row>
    <row r="19" spans="1:21" s="16" customFormat="1" x14ac:dyDescent="0.3">
      <c r="A19" s="13">
        <v>8</v>
      </c>
      <c r="B19" s="13">
        <v>13</v>
      </c>
      <c r="C19" s="14">
        <v>3.4</v>
      </c>
      <c r="D19" s="13">
        <v>50</v>
      </c>
      <c r="E19" s="14">
        <f t="shared" si="0"/>
        <v>53.36538461538462</v>
      </c>
      <c r="F19" s="14">
        <v>1.8</v>
      </c>
      <c r="G19" s="13">
        <v>50</v>
      </c>
      <c r="H19" s="15">
        <f t="shared" si="1"/>
        <v>0.32024806701030917</v>
      </c>
      <c r="I19" s="14">
        <f t="shared" si="2"/>
        <v>4775.4797653628739</v>
      </c>
      <c r="J19" s="14">
        <f t="shared" si="3"/>
        <v>10.502103337948604</v>
      </c>
      <c r="K19" s="14">
        <f t="shared" si="4"/>
        <v>5.6044878390014192</v>
      </c>
      <c r="L19" s="14">
        <f t="shared" si="5"/>
        <v>17.085062299589787</v>
      </c>
      <c r="M19" s="15">
        <f t="shared" si="6"/>
        <v>5.4714581761943368E-2</v>
      </c>
      <c r="N19" s="14">
        <f t="shared" si="7"/>
        <v>20.054763232255208</v>
      </c>
      <c r="O19" s="14">
        <f t="shared" si="8"/>
        <v>957.7111601477809</v>
      </c>
      <c r="T19" s="17" t="s">
        <v>58</v>
      </c>
      <c r="U19" s="18">
        <f>U18*G8/100</f>
        <v>7.6825709360729036E-2</v>
      </c>
    </row>
    <row r="20" spans="1:21" x14ac:dyDescent="0.3">
      <c r="A20" s="2">
        <v>9</v>
      </c>
      <c r="B20" s="2">
        <v>12</v>
      </c>
      <c r="C20" s="5">
        <f>1.65*2</f>
        <v>3.3</v>
      </c>
      <c r="D20" s="2">
        <v>50</v>
      </c>
      <c r="E20" s="5">
        <f t="shared" si="0"/>
        <v>51.795814479638011</v>
      </c>
      <c r="F20" s="5">
        <f>0.76*2</f>
        <v>1.52</v>
      </c>
      <c r="G20" s="2">
        <v>50</v>
      </c>
      <c r="H20" s="6">
        <f t="shared" si="1"/>
        <v>0.27043170103092773</v>
      </c>
      <c r="I20" s="5">
        <f t="shared" si="2"/>
        <v>4154.8281864301907</v>
      </c>
      <c r="J20" s="5">
        <f t="shared" si="3"/>
        <v>10.527411455114361</v>
      </c>
      <c r="K20" s="5">
        <f t="shared" si="4"/>
        <v>5.4527585067991948</v>
      </c>
      <c r="L20" s="5">
        <f t="shared" si="5"/>
        <v>17.444704202893622</v>
      </c>
      <c r="M20" s="6">
        <f t="shared" si="6"/>
        <v>4.7176010315698964E-2</v>
      </c>
      <c r="N20" s="5">
        <f t="shared" si="7"/>
        <v>20.375085194220109</v>
      </c>
      <c r="O20" s="5">
        <f t="shared" si="8"/>
        <v>846.54978265862167</v>
      </c>
      <c r="T20" s="3" t="s">
        <v>59</v>
      </c>
      <c r="U20" s="4">
        <f>((U19/G8)^2+(U17/F8)^2)^(1/2)*100</f>
        <v>19.663530903770994</v>
      </c>
    </row>
    <row r="21" spans="1:21" x14ac:dyDescent="0.3">
      <c r="A21" s="2">
        <v>10</v>
      </c>
      <c r="B21" s="2">
        <v>11</v>
      </c>
      <c r="C21" s="5">
        <v>3</v>
      </c>
      <c r="D21" s="2">
        <v>50</v>
      </c>
      <c r="E21" s="5">
        <f t="shared" si="0"/>
        <v>47.087104072398191</v>
      </c>
      <c r="F21" s="5">
        <v>1.42</v>
      </c>
      <c r="G21" s="2">
        <v>50</v>
      </c>
      <c r="H21" s="6">
        <f t="shared" si="1"/>
        <v>0.25264014175257721</v>
      </c>
      <c r="I21" s="5">
        <f t="shared" si="2"/>
        <v>4269.632649476288</v>
      </c>
      <c r="J21" s="5">
        <f t="shared" si="3"/>
        <v>10.618604738896746</v>
      </c>
      <c r="K21" s="5">
        <f t="shared" si="4"/>
        <v>4.9999934644409167</v>
      </c>
      <c r="L21" s="5">
        <f t="shared" si="5"/>
        <v>17.624655767016339</v>
      </c>
      <c r="M21" s="6">
        <f t="shared" si="6"/>
        <v>4.4526955313193853E-2</v>
      </c>
      <c r="N21" s="5">
        <f t="shared" si="7"/>
        <v>20.576279000507906</v>
      </c>
      <c r="O21" s="5">
        <f t="shared" si="8"/>
        <v>878.5315262530188</v>
      </c>
      <c r="T21" s="3" t="s">
        <v>60</v>
      </c>
      <c r="U21" s="4">
        <f>H8*U20/100</f>
        <v>698.73796168978652</v>
      </c>
    </row>
    <row r="22" spans="1:21" x14ac:dyDescent="0.3">
      <c r="A22" s="2">
        <v>11</v>
      </c>
      <c r="B22" s="2">
        <v>10</v>
      </c>
      <c r="C22" s="5">
        <f>1.38*2</f>
        <v>2.76</v>
      </c>
      <c r="D22" s="2">
        <v>50</v>
      </c>
      <c r="E22" s="5">
        <f t="shared" si="0"/>
        <v>43.32013574660634</v>
      </c>
      <c r="F22" s="5">
        <f>0.665*5</f>
        <v>3.3250000000000002</v>
      </c>
      <c r="G22" s="2">
        <v>20</v>
      </c>
      <c r="H22" s="6">
        <f t="shared" si="1"/>
        <v>0.2366277384020618</v>
      </c>
      <c r="I22" s="5">
        <f t="shared" si="2"/>
        <v>4346.7631841728908</v>
      </c>
      <c r="J22" s="5">
        <f t="shared" si="3"/>
        <v>10.713129781427643</v>
      </c>
      <c r="K22" s="5">
        <f t="shared" si="4"/>
        <v>4.6409423640245659</v>
      </c>
      <c r="L22" s="5">
        <f t="shared" si="5"/>
        <v>16.434120772474049</v>
      </c>
      <c r="M22" s="6">
        <f t="shared" si="6"/>
        <v>3.888768831016879E-2</v>
      </c>
      <c r="N22" s="5">
        <f t="shared" si="7"/>
        <v>19.617631744886406</v>
      </c>
      <c r="O22" s="5">
        <f t="shared" si="8"/>
        <v>852.73199429333613</v>
      </c>
    </row>
    <row r="23" spans="1:21" x14ac:dyDescent="0.3">
      <c r="A23" s="2">
        <v>12</v>
      </c>
      <c r="B23" s="2">
        <v>9</v>
      </c>
      <c r="C23" s="5">
        <f>1.27*2</f>
        <v>2.54</v>
      </c>
      <c r="D23" s="2">
        <v>50</v>
      </c>
      <c r="E23" s="5">
        <f t="shared" si="0"/>
        <v>39.867081447963805</v>
      </c>
      <c r="F23" s="5">
        <f>0.59*5</f>
        <v>2.9499999999999997</v>
      </c>
      <c r="G23" s="2">
        <v>20</v>
      </c>
      <c r="H23" s="6">
        <f t="shared" si="1"/>
        <v>0.20994039948453599</v>
      </c>
      <c r="I23" s="5">
        <f t="shared" si="2"/>
        <v>4190.5566095004042</v>
      </c>
      <c r="J23" s="5">
        <f t="shared" si="3"/>
        <v>10.823293698771707</v>
      </c>
      <c r="K23" s="5">
        <f t="shared" si="4"/>
        <v>4.314931314241651</v>
      </c>
      <c r="L23" s="5">
        <f t="shared" si="5"/>
        <v>16.5083647623314</v>
      </c>
      <c r="M23" s="6">
        <f t="shared" si="6"/>
        <v>3.4657726930402914E-2</v>
      </c>
      <c r="N23" s="5">
        <f t="shared" si="7"/>
        <v>19.740055562638535</v>
      </c>
      <c r="O23" s="5">
        <f t="shared" si="8"/>
        <v>827.21820309920133</v>
      </c>
    </row>
    <row r="24" spans="1:21" x14ac:dyDescent="0.3">
      <c r="A24" s="2">
        <v>13</v>
      </c>
      <c r="B24" s="2">
        <v>8</v>
      </c>
      <c r="C24" s="5">
        <f>1.2*2</f>
        <v>2.4</v>
      </c>
      <c r="D24" s="2">
        <v>50</v>
      </c>
      <c r="E24" s="5">
        <f t="shared" si="0"/>
        <v>37.66968325791855</v>
      </c>
      <c r="F24" s="5">
        <f>0.528*5</f>
        <v>2.64</v>
      </c>
      <c r="G24" s="2">
        <v>20</v>
      </c>
      <c r="H24" s="6">
        <f t="shared" si="1"/>
        <v>0.18787886597938142</v>
      </c>
      <c r="I24" s="5">
        <f t="shared" si="2"/>
        <v>3968.9542938793679</v>
      </c>
      <c r="J24" s="5">
        <f t="shared" si="3"/>
        <v>10.908930589242946</v>
      </c>
      <c r="K24" s="5">
        <f t="shared" si="4"/>
        <v>4.1093595997940051</v>
      </c>
      <c r="L24" s="5">
        <f t="shared" si="5"/>
        <v>16.59467330084151</v>
      </c>
      <c r="M24" s="6">
        <f t="shared" si="6"/>
        <v>3.1177884010604208E-2</v>
      </c>
      <c r="N24" s="5">
        <f t="shared" si="7"/>
        <v>19.859203120029324</v>
      </c>
      <c r="O24" s="5">
        <f t="shared" si="8"/>
        <v>788.20269496262927</v>
      </c>
      <c r="T24" s="3" t="s">
        <v>61</v>
      </c>
      <c r="U24" s="4">
        <f>((R4/R3)^2+(R6/R5)^2+(R8/R7)^2)^(1/2)*100</f>
        <v>17.320508075688775</v>
      </c>
    </row>
    <row r="25" spans="1:21" x14ac:dyDescent="0.3">
      <c r="A25" s="2">
        <v>14</v>
      </c>
      <c r="B25" s="2">
        <v>7</v>
      </c>
      <c r="C25" s="5">
        <f>1.07*2</f>
        <v>2.14</v>
      </c>
      <c r="D25" s="2">
        <v>50</v>
      </c>
      <c r="E25" s="5">
        <f t="shared" si="0"/>
        <v>33.588800904977376</v>
      </c>
      <c r="F25" s="5">
        <f>0.465*5</f>
        <v>2.3250000000000002</v>
      </c>
      <c r="G25" s="2">
        <v>20</v>
      </c>
      <c r="H25" s="6">
        <f t="shared" si="1"/>
        <v>0.16546150128865975</v>
      </c>
      <c r="I25" s="5">
        <f t="shared" si="2"/>
        <v>3920.0589351187459</v>
      </c>
      <c r="J25" s="5">
        <f t="shared" si="3"/>
        <v>11.112138574398703</v>
      </c>
      <c r="K25" s="5">
        <f t="shared" si="4"/>
        <v>3.7324341020399716</v>
      </c>
      <c r="L25" s="5">
        <f t="shared" si="5"/>
        <v>16.719282422341905</v>
      </c>
      <c r="M25" s="6">
        <f t="shared" si="6"/>
        <v>2.7663975700697913E-2</v>
      </c>
      <c r="N25" s="5">
        <f t="shared" si="7"/>
        <v>20.075209299398864</v>
      </c>
      <c r="O25" s="5">
        <f t="shared" si="8"/>
        <v>786.96003588487451</v>
      </c>
      <c r="T25" s="3" t="s">
        <v>62</v>
      </c>
      <c r="U25" s="11">
        <f>U24*I8/100</f>
        <v>1.4487091167699099E-4</v>
      </c>
    </row>
    <row r="26" spans="1:21" x14ac:dyDescent="0.3">
      <c r="A26" s="2">
        <v>15</v>
      </c>
      <c r="B26" s="2">
        <v>6</v>
      </c>
      <c r="C26" s="5">
        <f>1.06*2</f>
        <v>2.12</v>
      </c>
      <c r="D26" s="2">
        <v>50</v>
      </c>
      <c r="E26" s="5">
        <f t="shared" si="0"/>
        <v>33.274886877828052</v>
      </c>
      <c r="F26" s="5">
        <f>0.39*5</f>
        <v>1.9500000000000002</v>
      </c>
      <c r="G26" s="2">
        <v>20</v>
      </c>
      <c r="H26" s="6">
        <f t="shared" si="1"/>
        <v>0.13877416237113399</v>
      </c>
      <c r="I26" s="5">
        <f t="shared" si="2"/>
        <v>3318.8082646075327</v>
      </c>
      <c r="J26" s="5">
        <f t="shared" si="3"/>
        <v>11.130748694053125</v>
      </c>
      <c r="K26" s="5">
        <f t="shared" si="4"/>
        <v>3.7037440366015004</v>
      </c>
      <c r="L26" s="5">
        <f t="shared" si="5"/>
        <v>16.950918679733835</v>
      </c>
      <c r="M26" s="6">
        <f t="shared" si="6"/>
        <v>2.3523495412012718E-2</v>
      </c>
      <c r="N26" s="5">
        <f t="shared" si="7"/>
        <v>20.278737894087858</v>
      </c>
      <c r="O26" s="5">
        <f t="shared" si="8"/>
        <v>673.01242918708738</v>
      </c>
      <c r="T26" s="3" t="s">
        <v>63</v>
      </c>
      <c r="U26" s="1">
        <v>0.5</v>
      </c>
    </row>
    <row r="27" spans="1:21" x14ac:dyDescent="0.3">
      <c r="T27" s="3" t="s">
        <v>64</v>
      </c>
      <c r="U27" s="4">
        <f>((U26/J8)^2+(U25/I8)^2)^(1/2)*100</f>
        <v>18.307897501498243</v>
      </c>
    </row>
    <row r="28" spans="1:21" x14ac:dyDescent="0.3">
      <c r="T28" s="3" t="s">
        <v>65</v>
      </c>
      <c r="U28" s="12">
        <f>U27*K8/100</f>
        <v>1.2908822011786641E-3</v>
      </c>
    </row>
    <row r="31" spans="1:21" x14ac:dyDescent="0.3">
      <c r="T31" s="3" t="s">
        <v>66</v>
      </c>
      <c r="U31" s="4">
        <f>MAX(I12:I26)</f>
        <v>4775.4797653628739</v>
      </c>
    </row>
    <row r="32" spans="1:21" x14ac:dyDescent="0.3">
      <c r="T32" s="1" t="s">
        <v>67</v>
      </c>
      <c r="U32" s="10">
        <f>E19</f>
        <v>53.36538461538462</v>
      </c>
    </row>
  </sheetData>
  <pageMargins left="0.7" right="0.7" top="0.75" bottom="0.75" header="0.3" footer="0.3"/>
  <pageSetup paperSize="9" orientation="portrait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Битюков</dc:creator>
  <cp:lastModifiedBy>Григорий Раевский</cp:lastModifiedBy>
  <cp:revision>1</cp:revision>
  <dcterms:created xsi:type="dcterms:W3CDTF">2023-03-21T07:38:21Z</dcterms:created>
  <dcterms:modified xsi:type="dcterms:W3CDTF">2024-03-01T08:11:51Z</dcterms:modified>
</cp:coreProperties>
</file>